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600" windowWidth="9360" windowHeight="3960" tabRatio="500" firstSheet="2" activeTab="3"/>
  </bookViews>
  <sheets>
    <sheet name="New and Chg'd Lines-Subs 2016" sheetId="23" r:id="rId1"/>
    <sheet name="SMEPA Lines DECEMBER 2016" sheetId="12" r:id="rId2"/>
    <sheet name="SMEPA Stations December 2016" sheetId="18" r:id="rId3"/>
    <sheet name="MISO Lines DECEMBER 2016" sheetId="13" r:id="rId4"/>
    <sheet name="MISO Stations December 2016" sheetId="17" r:id="rId5"/>
    <sheet name="BATESVILLE 2004 Trans" sheetId="19" r:id="rId6"/>
    <sheet name="Batesville 2013 Trans" sheetId="20" r:id="rId7"/>
    <sheet name="Batesville 2014 Trans" sheetId="22" r:id="rId8"/>
    <sheet name="Batesville 2015 Trans" sheetId="26" r:id="rId9"/>
    <sheet name="Batesville 2016 Trans" sheetId="27" r:id="rId10"/>
    <sheet name="Emal - Dec 2013" sheetId="14" r:id="rId11"/>
    <sheet name="Email(1) - Dec 2014" sheetId="24" r:id="rId12"/>
    <sheet name="Email(2) - Dec 2014" sheetId="25" r:id="rId13"/>
    <sheet name="Summary" sheetId="15" r:id="rId14"/>
  </sheets>
  <definedNames>
    <definedName name="_xlnm.Print_Area" localSheetId="5">'BATESVILLE 2004 Trans'!$A$1:$AH$96</definedName>
    <definedName name="_xlnm.Print_Area" localSheetId="3">'MISO Lines DECEMBER 2016'!$A$1:$N$289</definedName>
    <definedName name="_xlnm.Print_Area" localSheetId="1">'SMEPA Lines DECEMBER 2016'!$C$1:$J$272</definedName>
    <definedName name="_xlnm.Print_Titles" localSheetId="5">'BATESVILLE 2004 Trans'!$1:$1</definedName>
    <definedName name="_xlnm.Print_Titles" localSheetId="3">'MISO Lines DECEMBER 2016'!$1:$8</definedName>
    <definedName name="_xlnm.Print_Titles" localSheetId="4">'MISO Stations December 2016'!$1:$8</definedName>
    <definedName name="_xlnm.Print_Titles" localSheetId="1">'SMEPA Lines DECEMBER 2016'!$1:$6</definedName>
    <definedName name="_xlnm.Print_Titles" localSheetId="2">'SMEPA Stations December 2016'!$4:$6</definedName>
    <definedName name="TableName">"Dummy"</definedName>
  </definedNames>
  <calcPr calcId="145621"/>
</workbook>
</file>

<file path=xl/calcChain.xml><?xml version="1.0" encoding="utf-8"?>
<calcChain xmlns="http://schemas.openxmlformats.org/spreadsheetml/2006/main">
  <c r="J258" i="13" l="1"/>
  <c r="J232" i="13"/>
  <c r="J220" i="13"/>
  <c r="J162" i="13"/>
  <c r="J155" i="13"/>
  <c r="K128" i="13"/>
  <c r="J128" i="13"/>
  <c r="J117" i="13"/>
  <c r="H86" i="23" l="1"/>
  <c r="F86" i="23"/>
  <c r="F109" i="23"/>
  <c r="H109" i="23"/>
  <c r="H83" i="23"/>
  <c r="F83" i="23"/>
  <c r="F57" i="23"/>
  <c r="F108" i="23"/>
  <c r="H108" i="23"/>
  <c r="F107" i="23"/>
  <c r="H107" i="23"/>
  <c r="F106" i="23"/>
  <c r="H106" i="23"/>
  <c r="F104" i="23"/>
  <c r="H104" i="23"/>
  <c r="F103" i="23"/>
  <c r="H103" i="23"/>
  <c r="F102" i="23"/>
  <c r="H102" i="23"/>
  <c r="F101" i="23"/>
  <c r="H101" i="23"/>
  <c r="H100" i="23"/>
  <c r="F100" i="23"/>
  <c r="F99" i="23"/>
  <c r="H99" i="23"/>
  <c r="F77" i="23"/>
  <c r="H77" i="23"/>
  <c r="F76" i="23"/>
  <c r="H76" i="23"/>
  <c r="F75" i="23"/>
  <c r="H75" i="23"/>
  <c r="H74" i="23"/>
  <c r="F74" i="23"/>
  <c r="H73" i="23"/>
  <c r="F73" i="23"/>
  <c r="H72" i="23"/>
  <c r="F72" i="23"/>
  <c r="H71" i="23"/>
  <c r="F71" i="23"/>
  <c r="H70" i="23"/>
  <c r="F70" i="23"/>
  <c r="K55" i="23"/>
  <c r="H55" i="23" s="1"/>
  <c r="J55" i="23" s="1"/>
  <c r="F55" i="23"/>
  <c r="K53" i="23"/>
  <c r="H53" i="23" s="1"/>
  <c r="J53" i="23" s="1"/>
  <c r="F53" i="23"/>
  <c r="K30" i="23"/>
  <c r="H30" i="23" s="1"/>
  <c r="J30" i="23" s="1"/>
  <c r="F30" i="23"/>
  <c r="K28" i="23"/>
  <c r="H28" i="23" s="1"/>
  <c r="J28" i="23" s="1"/>
  <c r="F28" i="23"/>
  <c r="K43" i="23"/>
  <c r="H43" i="23" s="1"/>
  <c r="J43" i="23" s="1"/>
  <c r="F43" i="23"/>
  <c r="K42" i="23"/>
  <c r="H42" i="23" s="1"/>
  <c r="J42" i="23" s="1"/>
  <c r="F42" i="23"/>
  <c r="K37" i="23"/>
  <c r="H37" i="23" s="1"/>
  <c r="J37" i="23" s="1"/>
  <c r="F37" i="23"/>
  <c r="K35" i="23"/>
  <c r="H35" i="23" s="1"/>
  <c r="J35" i="23" s="1"/>
  <c r="F35" i="23"/>
  <c r="K33" i="23"/>
  <c r="H33" i="23" s="1"/>
  <c r="J33" i="23" s="1"/>
  <c r="F33" i="23"/>
  <c r="K31" i="23"/>
  <c r="H31" i="23" s="1"/>
  <c r="J31" i="23" s="1"/>
  <c r="F31" i="23"/>
  <c r="K29" i="23"/>
  <c r="H29" i="23" s="1"/>
  <c r="J29" i="23" s="1"/>
  <c r="F29" i="23"/>
  <c r="K26" i="23"/>
  <c r="H26" i="23" s="1"/>
  <c r="J26" i="23" s="1"/>
  <c r="F26" i="23"/>
  <c r="K25" i="23"/>
  <c r="H25" i="23" s="1"/>
  <c r="J25" i="23" s="1"/>
  <c r="F25" i="23"/>
  <c r="K24" i="23"/>
  <c r="H24" i="23" s="1"/>
  <c r="J24" i="23" s="1"/>
  <c r="F24" i="23"/>
  <c r="K22" i="23"/>
  <c r="H22" i="23" s="1"/>
  <c r="J22" i="23" s="1"/>
  <c r="F22" i="23"/>
  <c r="K5" i="23"/>
  <c r="H5" i="23" s="1"/>
  <c r="J5" i="23" s="1"/>
  <c r="F5" i="23"/>
  <c r="K6" i="23"/>
  <c r="J6" i="23"/>
  <c r="F6" i="23"/>
  <c r="F54" i="23"/>
  <c r="F52" i="23"/>
  <c r="F51" i="23"/>
  <c r="F50" i="23"/>
  <c r="F49" i="23"/>
  <c r="F48" i="23"/>
  <c r="K46" i="23"/>
  <c r="H46" i="23" s="1"/>
  <c r="J46" i="23" s="1"/>
  <c r="F46" i="23"/>
  <c r="K45" i="23"/>
  <c r="H45" i="23" s="1"/>
  <c r="J45" i="23" s="1"/>
  <c r="F45" i="23"/>
  <c r="K44" i="23"/>
  <c r="H44" i="23" s="1"/>
  <c r="J44" i="23" s="1"/>
  <c r="F44" i="23"/>
  <c r="K41" i="23"/>
  <c r="H41" i="23" s="1"/>
  <c r="J41" i="23" s="1"/>
  <c r="F41" i="23"/>
  <c r="K40" i="23"/>
  <c r="H40" i="23" s="1"/>
  <c r="J40" i="23" s="1"/>
  <c r="F40" i="23"/>
  <c r="K39" i="23"/>
  <c r="H39" i="23" s="1"/>
  <c r="J39" i="23" s="1"/>
  <c r="F39" i="23"/>
  <c r="K38" i="23"/>
  <c r="H38" i="23" s="1"/>
  <c r="J38" i="23" s="1"/>
  <c r="F38" i="23"/>
  <c r="K36" i="23"/>
  <c r="H36" i="23" s="1"/>
  <c r="J36" i="23" s="1"/>
  <c r="F36" i="23"/>
  <c r="K34" i="23"/>
  <c r="H34" i="23" s="1"/>
  <c r="J34" i="23" s="1"/>
  <c r="F34" i="23"/>
  <c r="K32" i="23"/>
  <c r="H32" i="23" s="1"/>
  <c r="J32" i="23" s="1"/>
  <c r="F32" i="23"/>
  <c r="K27" i="23"/>
  <c r="H27" i="23" s="1"/>
  <c r="J27" i="23" s="1"/>
  <c r="F27" i="23"/>
  <c r="K21" i="23"/>
  <c r="H21" i="23" s="1"/>
  <c r="J21" i="23" s="1"/>
  <c r="F21" i="23"/>
  <c r="K20" i="23"/>
  <c r="H20" i="23" s="1"/>
  <c r="J20" i="23" s="1"/>
  <c r="F20" i="23"/>
  <c r="F19" i="23"/>
  <c r="F18" i="23"/>
  <c r="F47" i="23"/>
  <c r="F12" i="23"/>
  <c r="F13" i="23"/>
  <c r="F14" i="23"/>
  <c r="K14" i="23"/>
  <c r="J14" i="23"/>
  <c r="K13" i="23"/>
  <c r="J13" i="23"/>
  <c r="K12" i="23"/>
  <c r="J12" i="23"/>
  <c r="K11" i="23"/>
  <c r="J11" i="23"/>
  <c r="F11" i="23"/>
  <c r="K10" i="23"/>
  <c r="J10" i="23"/>
  <c r="F10" i="23"/>
  <c r="K9" i="23"/>
  <c r="J9" i="23"/>
  <c r="F9" i="23"/>
  <c r="K8" i="23"/>
  <c r="J8" i="23"/>
  <c r="F8" i="23"/>
  <c r="K7" i="23"/>
  <c r="J7" i="23"/>
  <c r="F7" i="23"/>
  <c r="F56" i="23"/>
  <c r="L13" i="15" l="1"/>
  <c r="M13" i="15"/>
  <c r="C48" i="27"/>
  <c r="D46" i="27"/>
  <c r="E42" i="27"/>
  <c r="E41" i="27"/>
  <c r="E40" i="27"/>
  <c r="E39" i="27"/>
  <c r="D34" i="27"/>
  <c r="D25" i="27"/>
  <c r="D18" i="27"/>
  <c r="D10" i="27"/>
  <c r="D48" i="27" s="1"/>
  <c r="C20" i="15" s="1"/>
  <c r="E9" i="27"/>
  <c r="E6" i="27"/>
  <c r="E5" i="27"/>
  <c r="E4" i="27"/>
  <c r="E2" i="27"/>
  <c r="H125" i="17"/>
  <c r="G143" i="17"/>
  <c r="G125" i="17"/>
  <c r="G98" i="17"/>
  <c r="G77" i="17"/>
  <c r="E48" i="27" l="1"/>
  <c r="H98" i="17"/>
  <c r="I98" i="17" s="1"/>
  <c r="H143" i="17"/>
  <c r="I143" i="17" s="1"/>
  <c r="H77" i="17"/>
  <c r="I77" i="17" s="1"/>
  <c r="I125" i="17"/>
  <c r="G64" i="17"/>
  <c r="I64" i="17" s="1"/>
  <c r="G61" i="17"/>
  <c r="I61" i="17" s="1"/>
  <c r="G29" i="17"/>
  <c r="H29" i="17" s="1"/>
  <c r="G10" i="17"/>
  <c r="I29" i="17" l="1"/>
  <c r="H10" i="17"/>
  <c r="I10" i="17" s="1"/>
  <c r="G19" i="18"/>
  <c r="F19" i="18"/>
  <c r="G252" i="18"/>
  <c r="F252" i="18"/>
  <c r="H166" i="12"/>
  <c r="H160" i="12"/>
  <c r="G111" i="18"/>
  <c r="N187" i="18" l="1"/>
  <c r="G187" i="18"/>
  <c r="N300" i="18"/>
  <c r="N276" i="18"/>
  <c r="N234" i="18"/>
  <c r="G234" i="18"/>
  <c r="G276" i="18"/>
  <c r="G300" i="18"/>
  <c r="G363" i="18" l="1"/>
  <c r="F363" i="18"/>
  <c r="D349" i="18" l="1"/>
  <c r="N339" i="18"/>
  <c r="N331" i="18"/>
  <c r="N329" i="18"/>
  <c r="N326" i="18"/>
  <c r="N324" i="18"/>
  <c r="N323" i="18"/>
  <c r="N322" i="18"/>
  <c r="N309" i="18"/>
  <c r="N308" i="18"/>
  <c r="N304" i="18"/>
  <c r="N302" i="18"/>
  <c r="N301" i="18"/>
  <c r="N298" i="18"/>
  <c r="N293" i="18"/>
  <c r="N291" i="18"/>
  <c r="N287" i="18"/>
  <c r="N286" i="18"/>
  <c r="N283" i="18"/>
  <c r="N282" i="18"/>
  <c r="N274" i="18"/>
  <c r="N269" i="18"/>
  <c r="J269" i="18"/>
  <c r="N268" i="18" l="1"/>
  <c r="N264" i="18"/>
  <c r="N263" i="18"/>
  <c r="N262" i="18"/>
  <c r="N261" i="18"/>
  <c r="N254" i="18"/>
  <c r="N253" i="18"/>
  <c r="N248" i="18"/>
  <c r="N243" i="18"/>
  <c r="N239" i="18"/>
  <c r="J239" i="18"/>
  <c r="N237" i="18"/>
  <c r="N235" i="18"/>
  <c r="N230" i="18"/>
  <c r="N227" i="18"/>
  <c r="N226" i="18"/>
  <c r="N221" i="18"/>
  <c r="N212" i="18"/>
  <c r="N211" i="18"/>
  <c r="N210" i="18"/>
  <c r="N209" i="18"/>
  <c r="N208" i="18"/>
  <c r="N203" i="18"/>
  <c r="N202" i="18"/>
  <c r="N200" i="18"/>
  <c r="N196" i="18"/>
  <c r="N194" i="18"/>
  <c r="N193" i="18"/>
  <c r="N191" i="18"/>
  <c r="N189" i="18"/>
  <c r="N184" i="18"/>
  <c r="N182" i="18"/>
  <c r="N179" i="18"/>
  <c r="N178" i="18"/>
  <c r="J177" i="18"/>
  <c r="N175" i="18"/>
  <c r="N174" i="18"/>
  <c r="N171" i="18"/>
  <c r="N170" i="18"/>
  <c r="N166" i="18"/>
  <c r="N164" i="18"/>
  <c r="N162" i="18"/>
  <c r="N160" i="18"/>
  <c r="N159" i="18"/>
  <c r="N157" i="18"/>
  <c r="N158" i="18"/>
  <c r="N156" i="18"/>
  <c r="N154" i="18"/>
  <c r="N153" i="18"/>
  <c r="N151" i="18"/>
  <c r="N148" i="18"/>
  <c r="N146" i="18"/>
  <c r="N142" i="18"/>
  <c r="N132" i="18"/>
  <c r="J132" i="18"/>
  <c r="N138" i="18"/>
  <c r="N135" i="18"/>
  <c r="N134" i="18"/>
  <c r="N133" i="18"/>
  <c r="N129" i="18"/>
  <c r="N123" i="18"/>
  <c r="N122" i="18"/>
  <c r="N120" i="18"/>
  <c r="N119" i="18"/>
  <c r="N118" i="18"/>
  <c r="N116" i="18"/>
  <c r="N113" i="18"/>
  <c r="N109" i="18"/>
  <c r="N108" i="18"/>
  <c r="N107" i="18"/>
  <c r="N105" i="18"/>
  <c r="N102" i="18"/>
  <c r="J101" i="18"/>
  <c r="N100" i="18"/>
  <c r="N98" i="18"/>
  <c r="J98" i="18"/>
  <c r="N97" i="18"/>
  <c r="N96" i="18"/>
  <c r="N88" i="18"/>
  <c r="N87" i="18"/>
  <c r="N81" i="18"/>
  <c r="N79" i="18"/>
  <c r="N77" i="18"/>
  <c r="N74" i="18"/>
  <c r="N70" i="18"/>
  <c r="N65" i="18"/>
  <c r="N63" i="18"/>
  <c r="N62" i="18"/>
  <c r="N58" i="18"/>
  <c r="N56" i="18"/>
  <c r="N52" i="18"/>
  <c r="J43" i="18"/>
  <c r="N42" i="18"/>
  <c r="J8" i="18"/>
  <c r="K284" i="13" l="1"/>
  <c r="N285" i="13" s="1"/>
  <c r="M285" i="13" l="1"/>
  <c r="L214" i="13" l="1"/>
  <c r="H214" i="13"/>
  <c r="G214" i="13"/>
  <c r="F214" i="13"/>
  <c r="E214" i="13"/>
  <c r="J267" i="13"/>
  <c r="J262" i="13"/>
  <c r="L262" i="13" s="1"/>
  <c r="K260" i="13"/>
  <c r="J260" i="13"/>
  <c r="K257" i="13"/>
  <c r="K256" i="13"/>
  <c r="L255" i="13"/>
  <c r="K252" i="13"/>
  <c r="K242" i="13"/>
  <c r="J242" i="13"/>
  <c r="K241" i="13"/>
  <c r="J241" i="13"/>
  <c r="K240" i="13"/>
  <c r="J238" i="13"/>
  <c r="J236" i="13"/>
  <c r="L236" i="13" s="1"/>
  <c r="J234" i="13"/>
  <c r="L242" i="13" l="1"/>
  <c r="L260" i="13"/>
  <c r="I214" i="13"/>
  <c r="J231" i="13"/>
  <c r="J227" i="13"/>
  <c r="H119" i="12"/>
  <c r="G119" i="12"/>
  <c r="J218" i="13"/>
  <c r="L204" i="13"/>
  <c r="H204" i="13"/>
  <c r="G204" i="13"/>
  <c r="F204" i="13"/>
  <c r="E204" i="13"/>
  <c r="L193" i="13"/>
  <c r="H193" i="13"/>
  <c r="G193" i="13"/>
  <c r="F193" i="13"/>
  <c r="E193" i="13"/>
  <c r="L192" i="13"/>
  <c r="H192" i="13"/>
  <c r="G192" i="13"/>
  <c r="F192" i="13"/>
  <c r="E192" i="13"/>
  <c r="J175" i="13"/>
  <c r="L162" i="13"/>
  <c r="J157" i="13"/>
  <c r="J147" i="13"/>
  <c r="L147" i="13" s="1"/>
  <c r="L136" i="13"/>
  <c r="H136" i="13"/>
  <c r="G136" i="13"/>
  <c r="F136" i="13"/>
  <c r="E136" i="13"/>
  <c r="L135" i="13"/>
  <c r="H135" i="13"/>
  <c r="G135" i="13"/>
  <c r="F135" i="13"/>
  <c r="E135" i="13"/>
  <c r="L134" i="13"/>
  <c r="H134" i="13"/>
  <c r="G134" i="13"/>
  <c r="F134" i="13"/>
  <c r="E134" i="13"/>
  <c r="J131" i="13"/>
  <c r="L131" i="13" s="1"/>
  <c r="J130" i="13"/>
  <c r="J124" i="13"/>
  <c r="J120" i="13"/>
  <c r="L120" i="13" s="1"/>
  <c r="L121" i="13"/>
  <c r="H121" i="13"/>
  <c r="G121" i="13"/>
  <c r="F121" i="13"/>
  <c r="E121" i="13"/>
  <c r="H120" i="13"/>
  <c r="G120" i="13"/>
  <c r="F120" i="13"/>
  <c r="E120" i="13"/>
  <c r="J118" i="13"/>
  <c r="K114" i="13"/>
  <c r="J114" i="13"/>
  <c r="L64" i="13"/>
  <c r="M64" i="13" s="1"/>
  <c r="H64" i="13"/>
  <c r="G64" i="13"/>
  <c r="F64" i="13"/>
  <c r="E64" i="13"/>
  <c r="L63" i="13"/>
  <c r="M63" i="13" s="1"/>
  <c r="H63" i="13"/>
  <c r="G63" i="13"/>
  <c r="F63" i="13"/>
  <c r="E63" i="13"/>
  <c r="L62" i="13"/>
  <c r="M62" i="13" s="1"/>
  <c r="H62" i="13"/>
  <c r="G62" i="13"/>
  <c r="F62" i="13"/>
  <c r="E62" i="13"/>
  <c r="L61" i="13"/>
  <c r="M61" i="13" s="1"/>
  <c r="H61" i="13"/>
  <c r="G61" i="13"/>
  <c r="F61" i="13"/>
  <c r="E61" i="13"/>
  <c r="L60" i="13"/>
  <c r="M60" i="13" s="1"/>
  <c r="H60" i="13"/>
  <c r="G60" i="13"/>
  <c r="F60" i="13"/>
  <c r="E60" i="13"/>
  <c r="L59" i="13"/>
  <c r="M59" i="13" s="1"/>
  <c r="H59" i="13"/>
  <c r="G59" i="13"/>
  <c r="F59" i="13"/>
  <c r="E59" i="13"/>
  <c r="L58" i="13"/>
  <c r="M58" i="13" s="1"/>
  <c r="H58" i="13"/>
  <c r="G58" i="13"/>
  <c r="F58" i="13"/>
  <c r="E58" i="13"/>
  <c r="L57" i="13"/>
  <c r="M57" i="13" s="1"/>
  <c r="H57" i="13"/>
  <c r="G57" i="13"/>
  <c r="F57" i="13"/>
  <c r="E57" i="13"/>
  <c r="L56" i="13"/>
  <c r="M56" i="13" s="1"/>
  <c r="H56" i="13"/>
  <c r="G56" i="13"/>
  <c r="F56" i="13"/>
  <c r="E56" i="13"/>
  <c r="L24" i="13"/>
  <c r="L31" i="13"/>
  <c r="M214" i="13" l="1"/>
  <c r="N214" i="13" s="1"/>
  <c r="L128" i="13"/>
  <c r="I204" i="13"/>
  <c r="M204" i="13" s="1"/>
  <c r="N204" i="13" s="1"/>
  <c r="I192" i="13"/>
  <c r="M192" i="13" s="1"/>
  <c r="N192" i="13" s="1"/>
  <c r="I193" i="13"/>
  <c r="M193" i="13"/>
  <c r="I135" i="13"/>
  <c r="M135" i="13" s="1"/>
  <c r="N135" i="13" s="1"/>
  <c r="I134" i="13"/>
  <c r="M134" i="13" s="1"/>
  <c r="N134" i="13" s="1"/>
  <c r="I121" i="13"/>
  <c r="I136" i="13"/>
  <c r="M136" i="13"/>
  <c r="I120" i="13"/>
  <c r="M120" i="13" s="1"/>
  <c r="N120" i="13" s="1"/>
  <c r="M121" i="13"/>
  <c r="I64" i="13"/>
  <c r="N64" i="13" s="1"/>
  <c r="I63" i="13"/>
  <c r="N63" i="13" s="1"/>
  <c r="I57" i="13"/>
  <c r="N57" i="13" s="1"/>
  <c r="I61" i="13"/>
  <c r="N61" i="13" s="1"/>
  <c r="I58" i="13"/>
  <c r="N58" i="13" s="1"/>
  <c r="I62" i="13"/>
  <c r="N62" i="13" s="1"/>
  <c r="I59" i="13"/>
  <c r="N59" i="13" s="1"/>
  <c r="I56" i="13"/>
  <c r="N56" i="13" s="1"/>
  <c r="I60" i="13"/>
  <c r="N60" i="13" s="1"/>
  <c r="K264" i="12"/>
  <c r="K263" i="12"/>
  <c r="K262" i="12"/>
  <c r="K261" i="12"/>
  <c r="K260" i="12"/>
  <c r="K259" i="12"/>
  <c r="K258" i="12"/>
  <c r="K257" i="12"/>
  <c r="J264" i="12"/>
  <c r="J263" i="12"/>
  <c r="J262" i="12"/>
  <c r="J261" i="12"/>
  <c r="J260" i="12"/>
  <c r="J259" i="12"/>
  <c r="J258" i="12"/>
  <c r="J257" i="12"/>
  <c r="J256" i="12"/>
  <c r="K256" i="12"/>
  <c r="K215" i="12"/>
  <c r="K213" i="12"/>
  <c r="K167" i="12"/>
  <c r="K166" i="12"/>
  <c r="K165" i="12"/>
  <c r="K163" i="12"/>
  <c r="J163" i="12"/>
  <c r="K160" i="12"/>
  <c r="K150" i="12"/>
  <c r="K149" i="12"/>
  <c r="K143" i="12"/>
  <c r="K140" i="12"/>
  <c r="K138" i="12"/>
  <c r="J138" i="12"/>
  <c r="K137" i="12"/>
  <c r="J137" i="12"/>
  <c r="K132" i="12"/>
  <c r="K111" i="12"/>
  <c r="K105" i="12"/>
  <c r="K101" i="12"/>
  <c r="K100" i="12"/>
  <c r="K98" i="12"/>
  <c r="H92" i="12"/>
  <c r="G92" i="12"/>
  <c r="K92" i="12"/>
  <c r="H91" i="12"/>
  <c r="G91" i="12"/>
  <c r="K91" i="12"/>
  <c r="H89" i="12"/>
  <c r="G89" i="12"/>
  <c r="K89" i="12"/>
  <c r="K88" i="12"/>
  <c r="K86" i="12"/>
  <c r="K83" i="12"/>
  <c r="K82" i="12"/>
  <c r="K80" i="12"/>
  <c r="K79" i="12"/>
  <c r="K77" i="12"/>
  <c r="K65" i="12"/>
  <c r="K60" i="12"/>
  <c r="K52" i="12"/>
  <c r="K50" i="12"/>
  <c r="H44" i="12"/>
  <c r="G44" i="12"/>
  <c r="K44" i="12"/>
  <c r="K43" i="12"/>
  <c r="K41" i="12"/>
  <c r="K40" i="12"/>
  <c r="H37" i="12"/>
  <c r="G37" i="12"/>
  <c r="K37" i="12"/>
  <c r="K36" i="12"/>
  <c r="H34" i="12"/>
  <c r="G34" i="12"/>
  <c r="K34" i="12"/>
  <c r="K28" i="12"/>
  <c r="H26" i="12"/>
  <c r="G26" i="12"/>
  <c r="H20" i="12"/>
  <c r="G20" i="12"/>
  <c r="K20" i="12"/>
  <c r="K19" i="12"/>
  <c r="K18" i="12"/>
  <c r="K17" i="12"/>
  <c r="K12" i="12"/>
  <c r="N193" i="13" l="1"/>
  <c r="N136" i="13"/>
  <c r="N121" i="13"/>
  <c r="F110" i="23"/>
  <c r="H80" i="23" l="1"/>
  <c r="K4" i="23"/>
  <c r="H4" i="23" s="1"/>
  <c r="J4" i="23" s="1"/>
  <c r="H93" i="23" l="1"/>
  <c r="F93" i="23"/>
  <c r="K19" i="23"/>
  <c r="K56" i="23"/>
  <c r="K54" i="23"/>
  <c r="K52" i="23"/>
  <c r="K51" i="23"/>
  <c r="K50" i="23"/>
  <c r="K49" i="23"/>
  <c r="K48" i="23"/>
  <c r="K47" i="23"/>
  <c r="K18" i="23"/>
  <c r="F154" i="17" l="1"/>
  <c r="E154" i="17"/>
  <c r="D154" i="17"/>
  <c r="F131" i="17"/>
  <c r="E131" i="17"/>
  <c r="D131" i="17"/>
  <c r="F84" i="17"/>
  <c r="E84" i="17"/>
  <c r="D84" i="17"/>
  <c r="F40" i="17"/>
  <c r="E40" i="17"/>
  <c r="D40" i="17"/>
  <c r="C48" i="26"/>
  <c r="D46" i="26"/>
  <c r="E42" i="26"/>
  <c r="E41" i="26"/>
  <c r="E40" i="26"/>
  <c r="E39" i="26"/>
  <c r="D34" i="26"/>
  <c r="D25" i="26"/>
  <c r="D18" i="26"/>
  <c r="D10" i="26"/>
  <c r="E9" i="26"/>
  <c r="E6" i="26"/>
  <c r="E5" i="26"/>
  <c r="E4" i="26"/>
  <c r="E2" i="26"/>
  <c r="D48" i="26" l="1"/>
  <c r="E48" i="26"/>
  <c r="E20" i="15" s="1"/>
  <c r="G154" i="17"/>
  <c r="I154" i="17" s="1"/>
  <c r="G84" i="17"/>
  <c r="I84" i="17" s="1"/>
  <c r="G131" i="17"/>
  <c r="I131" i="17" s="1"/>
  <c r="G40" i="17"/>
  <c r="I40" i="17" s="1"/>
  <c r="H69" i="23" l="1"/>
  <c r="F140" i="17" l="1"/>
  <c r="E140" i="17"/>
  <c r="D140" i="17"/>
  <c r="F310" i="17"/>
  <c r="E310" i="17"/>
  <c r="D310" i="17"/>
  <c r="F162" i="17"/>
  <c r="E162" i="17"/>
  <c r="D162" i="17"/>
  <c r="G140" i="17" l="1"/>
  <c r="I140" i="17" s="1"/>
  <c r="G310" i="17"/>
  <c r="I310" i="17" s="1"/>
  <c r="G162" i="17"/>
  <c r="H162" i="17" s="1"/>
  <c r="F316" i="17"/>
  <c r="E316" i="17"/>
  <c r="D316" i="17"/>
  <c r="I162" i="17" l="1"/>
  <c r="G316" i="17"/>
  <c r="F98" i="23"/>
  <c r="H98" i="23"/>
  <c r="F97" i="23"/>
  <c r="H97" i="23"/>
  <c r="F96" i="23"/>
  <c r="H96" i="23"/>
  <c r="F95" i="23"/>
  <c r="H95" i="23"/>
  <c r="F94" i="23"/>
  <c r="H94" i="23"/>
  <c r="F92" i="23"/>
  <c r="H92" i="23"/>
  <c r="F90" i="23"/>
  <c r="H90" i="23"/>
  <c r="J362" i="18"/>
  <c r="J353" i="18"/>
  <c r="E363" i="18"/>
  <c r="J308" i="18"/>
  <c r="J291" i="18"/>
  <c r="J274" i="18"/>
  <c r="K274" i="18"/>
  <c r="J264" i="18"/>
  <c r="K264" i="18"/>
  <c r="N260" i="18"/>
  <c r="J260" i="18"/>
  <c r="K260" i="18"/>
  <c r="J248" i="18"/>
  <c r="K248" i="18"/>
  <c r="N228" i="18"/>
  <c r="G212" i="18"/>
  <c r="J148" i="18"/>
  <c r="K148" i="18"/>
  <c r="J62" i="18"/>
  <c r="K62" i="18"/>
  <c r="N61" i="18"/>
  <c r="H316" i="17" l="1"/>
  <c r="I316" i="17" s="1"/>
  <c r="N343" i="18"/>
  <c r="L274" i="18"/>
  <c r="L260" i="18"/>
  <c r="H141" i="12"/>
  <c r="G141" i="12"/>
  <c r="H42" i="12"/>
  <c r="G42" i="12"/>
  <c r="H13" i="12"/>
  <c r="G13" i="12"/>
  <c r="H11" i="12"/>
  <c r="G11" i="12"/>
  <c r="K271" i="12" l="1"/>
  <c r="H105" i="23" l="1"/>
  <c r="H91" i="23"/>
  <c r="H89" i="23"/>
  <c r="H88" i="23"/>
  <c r="H87" i="23"/>
  <c r="H85" i="23"/>
  <c r="H84" i="23"/>
  <c r="H82" i="23"/>
  <c r="H81" i="23"/>
  <c r="J56" i="23"/>
  <c r="J54" i="23"/>
  <c r="H52" i="23"/>
  <c r="J52" i="23" s="1"/>
  <c r="H51" i="23"/>
  <c r="J51" i="23" s="1"/>
  <c r="H50" i="23"/>
  <c r="J50" i="23" s="1"/>
  <c r="H49" i="23"/>
  <c r="J49" i="23" s="1"/>
  <c r="H48" i="23"/>
  <c r="J48" i="23" s="1"/>
  <c r="H47" i="23"/>
  <c r="J47" i="23" s="1"/>
  <c r="H19" i="23"/>
  <c r="H18" i="23"/>
  <c r="J18" i="23" l="1"/>
  <c r="J19" i="23"/>
  <c r="F4" i="23" l="1"/>
  <c r="F105" i="23"/>
  <c r="F91" i="23"/>
  <c r="F89" i="23"/>
  <c r="F88" i="23"/>
  <c r="F87" i="23"/>
  <c r="F85" i="23"/>
  <c r="F84" i="23"/>
  <c r="F82" i="23"/>
  <c r="F81" i="23"/>
  <c r="F80" i="23"/>
  <c r="F69" i="23"/>
  <c r="F112" i="23" l="1"/>
  <c r="F59" i="23"/>
  <c r="H289" i="12"/>
  <c r="G289" i="12"/>
  <c r="F289" i="12"/>
  <c r="E289" i="12"/>
  <c r="F285" i="12"/>
  <c r="E285" i="12"/>
  <c r="C48" i="22" l="1"/>
  <c r="D46" i="22"/>
  <c r="E42" i="22"/>
  <c r="E41" i="22"/>
  <c r="E40" i="22"/>
  <c r="E39" i="22"/>
  <c r="D34" i="22"/>
  <c r="D25" i="22"/>
  <c r="D18" i="22"/>
  <c r="D10" i="22"/>
  <c r="D48" i="22" s="1"/>
  <c r="E9" i="22"/>
  <c r="E6" i="22"/>
  <c r="E5" i="22"/>
  <c r="E4" i="22"/>
  <c r="E2" i="22"/>
  <c r="E48" i="22" l="1"/>
  <c r="F218" i="17"/>
  <c r="E218" i="17"/>
  <c r="D218" i="17"/>
  <c r="F119" i="17"/>
  <c r="E119" i="17"/>
  <c r="D119" i="17"/>
  <c r="F190" i="17"/>
  <c r="E190" i="17"/>
  <c r="D190" i="17"/>
  <c r="H92" i="13"/>
  <c r="G92" i="13"/>
  <c r="F92" i="13"/>
  <c r="E92" i="13"/>
  <c r="H215" i="13"/>
  <c r="G215" i="13"/>
  <c r="F215" i="13"/>
  <c r="E215" i="13"/>
  <c r="I92" i="13" l="1"/>
  <c r="N92" i="13" s="1"/>
  <c r="G218" i="17"/>
  <c r="I218" i="17" s="1"/>
  <c r="G119" i="17"/>
  <c r="I119" i="17" s="1"/>
  <c r="G190" i="17"/>
  <c r="I215" i="13"/>
  <c r="M215" i="13" s="1"/>
  <c r="N215" i="13" s="1"/>
  <c r="H9" i="12" l="1"/>
  <c r="G9" i="12"/>
  <c r="J244" i="12" l="1"/>
  <c r="J164" i="12"/>
  <c r="H142" i="12"/>
  <c r="G142" i="12"/>
  <c r="J317" i="18"/>
  <c r="J227" i="18"/>
  <c r="J221" i="18"/>
  <c r="K221" i="18"/>
  <c r="J35" i="18" l="1"/>
  <c r="K35" i="18"/>
  <c r="D34" i="20" l="1"/>
  <c r="D25" i="20"/>
  <c r="D18" i="20"/>
  <c r="I344" i="17"/>
  <c r="E75" i="19"/>
  <c r="E74" i="19"/>
  <c r="E73" i="19"/>
  <c r="E71" i="19"/>
  <c r="E69" i="19"/>
  <c r="E68" i="19"/>
  <c r="C48" i="20"/>
  <c r="E77" i="19"/>
  <c r="E78" i="19"/>
  <c r="E84" i="19"/>
  <c r="E91" i="19"/>
  <c r="E89" i="19"/>
  <c r="E87" i="19"/>
  <c r="E76" i="19"/>
  <c r="E70" i="19"/>
  <c r="E42" i="20"/>
  <c r="E41" i="20"/>
  <c r="E4" i="20"/>
  <c r="E6" i="20"/>
  <c r="E2" i="20"/>
  <c r="E5" i="20"/>
  <c r="E9" i="20"/>
  <c r="E40" i="20"/>
  <c r="E39" i="20"/>
  <c r="D46" i="20"/>
  <c r="D10" i="20"/>
  <c r="G302" i="18"/>
  <c r="G343" i="18" s="1"/>
  <c r="H350" i="17"/>
  <c r="H364" i="17" s="1"/>
  <c r="F344" i="17"/>
  <c r="E344" i="17"/>
  <c r="D344" i="17"/>
  <c r="F205" i="17"/>
  <c r="E205" i="17"/>
  <c r="D205" i="17"/>
  <c r="F343" i="17"/>
  <c r="E343" i="17"/>
  <c r="D343" i="17"/>
  <c r="F342" i="17"/>
  <c r="E342" i="17"/>
  <c r="D342" i="17"/>
  <c r="F341" i="17"/>
  <c r="E341" i="17"/>
  <c r="D341" i="17"/>
  <c r="F340" i="17"/>
  <c r="E340" i="17"/>
  <c r="D340" i="17"/>
  <c r="F339" i="17"/>
  <c r="E339" i="17"/>
  <c r="D339" i="17"/>
  <c r="F338" i="17"/>
  <c r="E338" i="17"/>
  <c r="D338" i="17"/>
  <c r="F337" i="17"/>
  <c r="E337" i="17"/>
  <c r="D337" i="17"/>
  <c r="F336" i="17"/>
  <c r="E336" i="17"/>
  <c r="D336" i="17"/>
  <c r="F335" i="17"/>
  <c r="E335" i="17"/>
  <c r="D335" i="17"/>
  <c r="F334" i="17"/>
  <c r="E334" i="17"/>
  <c r="D334" i="17"/>
  <c r="F333" i="17"/>
  <c r="E333" i="17"/>
  <c r="D333" i="17"/>
  <c r="F332" i="17"/>
  <c r="E332" i="17"/>
  <c r="D332" i="17"/>
  <c r="F331" i="17"/>
  <c r="E331" i="17"/>
  <c r="D331" i="17"/>
  <c r="F330" i="17"/>
  <c r="E330" i="17"/>
  <c r="D330" i="17"/>
  <c r="F329" i="17"/>
  <c r="E329" i="17"/>
  <c r="D329" i="17"/>
  <c r="E328" i="17"/>
  <c r="D328" i="17"/>
  <c r="F327" i="17"/>
  <c r="E327" i="17"/>
  <c r="D327" i="17"/>
  <c r="F326" i="17"/>
  <c r="E326" i="17"/>
  <c r="D326" i="17"/>
  <c r="F325" i="17"/>
  <c r="E325" i="17"/>
  <c r="D325" i="17"/>
  <c r="F324" i="17"/>
  <c r="E324" i="17"/>
  <c r="D324" i="17"/>
  <c r="F323" i="17"/>
  <c r="E323" i="17"/>
  <c r="D323" i="17"/>
  <c r="F322" i="17"/>
  <c r="E322" i="17"/>
  <c r="D322" i="17"/>
  <c r="F321" i="17"/>
  <c r="E321" i="17"/>
  <c r="D321" i="17"/>
  <c r="F320" i="17"/>
  <c r="E320" i="17"/>
  <c r="D320" i="17"/>
  <c r="F319" i="17"/>
  <c r="E319" i="17"/>
  <c r="D319" i="17"/>
  <c r="F318" i="17"/>
  <c r="E318" i="17"/>
  <c r="D318" i="17"/>
  <c r="F317" i="17"/>
  <c r="E317" i="17"/>
  <c r="D317" i="17"/>
  <c r="F315" i="17"/>
  <c r="E315" i="17"/>
  <c r="D315" i="17"/>
  <c r="F314" i="17"/>
  <c r="E314" i="17"/>
  <c r="D314" i="17"/>
  <c r="F313" i="17"/>
  <c r="E313" i="17"/>
  <c r="D313" i="17"/>
  <c r="F312" i="17"/>
  <c r="E312" i="17"/>
  <c r="D312" i="17"/>
  <c r="F311" i="17"/>
  <c r="E311" i="17"/>
  <c r="D311" i="17"/>
  <c r="F309" i="17"/>
  <c r="E309" i="17"/>
  <c r="D309" i="17"/>
  <c r="F308" i="17"/>
  <c r="E308" i="17"/>
  <c r="D308" i="17"/>
  <c r="F307" i="17"/>
  <c r="E307" i="17"/>
  <c r="D307" i="17"/>
  <c r="D306" i="17"/>
  <c r="G306" i="17" s="1"/>
  <c r="I306" i="17" s="1"/>
  <c r="F305" i="17"/>
  <c r="E305" i="17"/>
  <c r="D305" i="17"/>
  <c r="F304" i="17"/>
  <c r="E304" i="17"/>
  <c r="D304" i="17"/>
  <c r="F303" i="17"/>
  <c r="E303" i="17"/>
  <c r="D303" i="17"/>
  <c r="F302" i="17"/>
  <c r="E302" i="17"/>
  <c r="D302" i="17"/>
  <c r="F301" i="17"/>
  <c r="E301" i="17"/>
  <c r="D301" i="17"/>
  <c r="F300" i="17"/>
  <c r="E300" i="17"/>
  <c r="D300" i="17"/>
  <c r="F299" i="17"/>
  <c r="E299" i="17"/>
  <c r="D299" i="17"/>
  <c r="F298" i="17"/>
  <c r="E298" i="17"/>
  <c r="D298" i="17"/>
  <c r="F297" i="17"/>
  <c r="E297" i="17"/>
  <c r="D297" i="17"/>
  <c r="F296" i="17"/>
  <c r="E296" i="17"/>
  <c r="D296" i="17"/>
  <c r="F295" i="17"/>
  <c r="E295" i="17"/>
  <c r="D295" i="17"/>
  <c r="F294" i="17"/>
  <c r="E294" i="17"/>
  <c r="D294" i="17"/>
  <c r="F293" i="17"/>
  <c r="E293" i="17"/>
  <c r="D293" i="17"/>
  <c r="F292" i="17"/>
  <c r="E292" i="17"/>
  <c r="D292" i="17"/>
  <c r="F291" i="17"/>
  <c r="E291" i="17"/>
  <c r="D291" i="17"/>
  <c r="F290" i="17"/>
  <c r="E290" i="17"/>
  <c r="D290" i="17"/>
  <c r="F289" i="17"/>
  <c r="E289" i="17"/>
  <c r="D289" i="17"/>
  <c r="F288" i="17"/>
  <c r="E288" i="17"/>
  <c r="D288" i="17"/>
  <c r="F287" i="17"/>
  <c r="E287" i="17"/>
  <c r="D287" i="17"/>
  <c r="F286" i="17"/>
  <c r="E286" i="17"/>
  <c r="D286" i="17"/>
  <c r="F285" i="17"/>
  <c r="E285" i="17"/>
  <c r="D285" i="17"/>
  <c r="F284" i="17"/>
  <c r="E284" i="17"/>
  <c r="D284" i="17"/>
  <c r="F283" i="17"/>
  <c r="E283" i="17"/>
  <c r="D283" i="17"/>
  <c r="F282" i="17"/>
  <c r="E282" i="17"/>
  <c r="D282" i="17"/>
  <c r="F281" i="17"/>
  <c r="E281" i="17"/>
  <c r="D281" i="17"/>
  <c r="F280" i="17"/>
  <c r="E280" i="17"/>
  <c r="D280" i="17"/>
  <c r="F279" i="17"/>
  <c r="E279" i="17"/>
  <c r="D279" i="17"/>
  <c r="F278" i="17"/>
  <c r="E278" i="17"/>
  <c r="D278" i="17"/>
  <c r="F277" i="17"/>
  <c r="E277" i="17"/>
  <c r="D277" i="17"/>
  <c r="F276" i="17"/>
  <c r="E276" i="17"/>
  <c r="D276" i="17"/>
  <c r="F275" i="17"/>
  <c r="E275" i="17"/>
  <c r="D275" i="17"/>
  <c r="F274" i="17"/>
  <c r="E274" i="17"/>
  <c r="D274" i="17"/>
  <c r="F273" i="17"/>
  <c r="E273" i="17"/>
  <c r="D273" i="17"/>
  <c r="F272" i="17"/>
  <c r="E272" i="17"/>
  <c r="D272" i="17"/>
  <c r="F271" i="17"/>
  <c r="E271" i="17"/>
  <c r="D271" i="17"/>
  <c r="F270" i="17"/>
  <c r="E270" i="17"/>
  <c r="D270" i="17"/>
  <c r="F269" i="17"/>
  <c r="E269" i="17"/>
  <c r="D269" i="17"/>
  <c r="F268" i="17"/>
  <c r="E268" i="17"/>
  <c r="D268" i="17"/>
  <c r="F267" i="17"/>
  <c r="E267" i="17"/>
  <c r="D267" i="17"/>
  <c r="F266" i="17"/>
  <c r="E266" i="17"/>
  <c r="D266" i="17"/>
  <c r="F265" i="17"/>
  <c r="E265" i="17"/>
  <c r="D265" i="17"/>
  <c r="F264" i="17"/>
  <c r="E264" i="17"/>
  <c r="D264" i="17"/>
  <c r="F263" i="17"/>
  <c r="E263" i="17"/>
  <c r="D263" i="17"/>
  <c r="F262" i="17"/>
  <c r="E262" i="17"/>
  <c r="D262" i="17"/>
  <c r="F261" i="17"/>
  <c r="E261" i="17"/>
  <c r="D261" i="17"/>
  <c r="F260" i="17"/>
  <c r="E260" i="17"/>
  <c r="D260" i="17"/>
  <c r="F259" i="17"/>
  <c r="E259" i="17"/>
  <c r="D259" i="17"/>
  <c r="F258" i="17"/>
  <c r="E258" i="17"/>
  <c r="D258" i="17"/>
  <c r="F257" i="17"/>
  <c r="E257" i="17"/>
  <c r="D257" i="17"/>
  <c r="F256" i="17"/>
  <c r="E256" i="17"/>
  <c r="D256" i="17"/>
  <c r="F255" i="17"/>
  <c r="E255" i="17"/>
  <c r="D255" i="17"/>
  <c r="F254" i="17"/>
  <c r="E254" i="17"/>
  <c r="D254" i="17"/>
  <c r="F253" i="17"/>
  <c r="E253" i="17"/>
  <c r="D253" i="17"/>
  <c r="F252" i="17"/>
  <c r="E252" i="17"/>
  <c r="D252" i="17"/>
  <c r="F251" i="17"/>
  <c r="E251" i="17"/>
  <c r="D251" i="17"/>
  <c r="F250" i="17"/>
  <c r="E250" i="17"/>
  <c r="D250" i="17"/>
  <c r="F249" i="17"/>
  <c r="E249" i="17"/>
  <c r="D249" i="17"/>
  <c r="F248" i="17"/>
  <c r="E248" i="17"/>
  <c r="D248" i="17"/>
  <c r="F247" i="17"/>
  <c r="E247" i="17"/>
  <c r="D247" i="17"/>
  <c r="F246" i="17"/>
  <c r="E246" i="17"/>
  <c r="D246" i="17"/>
  <c r="F245" i="17"/>
  <c r="E245" i="17"/>
  <c r="D245" i="17"/>
  <c r="F244" i="17"/>
  <c r="E244" i="17"/>
  <c r="D244" i="17"/>
  <c r="F243" i="17"/>
  <c r="E243" i="17"/>
  <c r="D243" i="17"/>
  <c r="F242" i="17"/>
  <c r="E242" i="17"/>
  <c r="D242" i="17"/>
  <c r="F241" i="17"/>
  <c r="E241" i="17"/>
  <c r="D241" i="17"/>
  <c r="F240" i="17"/>
  <c r="E240" i="17"/>
  <c r="D240" i="17"/>
  <c r="F239" i="17"/>
  <c r="E239" i="17"/>
  <c r="D239" i="17"/>
  <c r="F238" i="17"/>
  <c r="E238" i="17"/>
  <c r="D238" i="17"/>
  <c r="F237" i="17"/>
  <c r="E237" i="17"/>
  <c r="D237" i="17"/>
  <c r="F236" i="17"/>
  <c r="E236" i="17"/>
  <c r="D236" i="17"/>
  <c r="F235" i="17"/>
  <c r="E235" i="17"/>
  <c r="D235" i="17"/>
  <c r="F234" i="17"/>
  <c r="E234" i="17"/>
  <c r="D234" i="17"/>
  <c r="F233" i="17"/>
  <c r="E233" i="17"/>
  <c r="D233" i="17"/>
  <c r="F232" i="17"/>
  <c r="E232" i="17"/>
  <c r="D232" i="17"/>
  <c r="F231" i="17"/>
  <c r="E231" i="17"/>
  <c r="D231" i="17"/>
  <c r="F230" i="17"/>
  <c r="E230" i="17"/>
  <c r="D230" i="17"/>
  <c r="F229" i="17"/>
  <c r="E229" i="17"/>
  <c r="D229" i="17"/>
  <c r="F228" i="17"/>
  <c r="E228" i="17"/>
  <c r="D228" i="17"/>
  <c r="F227" i="17"/>
  <c r="E227" i="17"/>
  <c r="D227" i="17"/>
  <c r="F226" i="17"/>
  <c r="E226" i="17"/>
  <c r="D226" i="17"/>
  <c r="F225" i="17"/>
  <c r="E225" i="17"/>
  <c r="D225" i="17"/>
  <c r="F224" i="17"/>
  <c r="E224" i="17"/>
  <c r="D224" i="17"/>
  <c r="F223" i="17"/>
  <c r="E223" i="17"/>
  <c r="D223" i="17"/>
  <c r="F222" i="17"/>
  <c r="E222" i="17"/>
  <c r="D222" i="17"/>
  <c r="F221" i="17"/>
  <c r="E221" i="17"/>
  <c r="D221" i="17"/>
  <c r="F220" i="17"/>
  <c r="E220" i="17"/>
  <c r="D220" i="17"/>
  <c r="F219" i="17"/>
  <c r="E219" i="17"/>
  <c r="D219" i="17"/>
  <c r="F217" i="17"/>
  <c r="E217" i="17"/>
  <c r="D217" i="17"/>
  <c r="F216" i="17"/>
  <c r="E216" i="17"/>
  <c r="D216" i="17"/>
  <c r="F215" i="17"/>
  <c r="E215" i="17"/>
  <c r="D215" i="17"/>
  <c r="F214" i="17"/>
  <c r="E214" i="17"/>
  <c r="D214" i="17"/>
  <c r="F213" i="17"/>
  <c r="E213" i="17"/>
  <c r="D213" i="17"/>
  <c r="F212" i="17"/>
  <c r="E212" i="17"/>
  <c r="D212" i="17"/>
  <c r="F211" i="17"/>
  <c r="E211" i="17"/>
  <c r="D211" i="17"/>
  <c r="F210" i="17"/>
  <c r="E210" i="17"/>
  <c r="D210" i="17"/>
  <c r="F209" i="17"/>
  <c r="E209" i="17"/>
  <c r="D209" i="17"/>
  <c r="F208" i="17"/>
  <c r="E208" i="17"/>
  <c r="D208" i="17"/>
  <c r="D207" i="17"/>
  <c r="F206" i="17"/>
  <c r="E206" i="17"/>
  <c r="D206" i="17"/>
  <c r="F204" i="17"/>
  <c r="E204" i="17"/>
  <c r="D204" i="17"/>
  <c r="F203" i="17"/>
  <c r="E203" i="17"/>
  <c r="D203" i="17"/>
  <c r="F202" i="17"/>
  <c r="E202" i="17"/>
  <c r="D202" i="17"/>
  <c r="F201" i="17"/>
  <c r="E201" i="17"/>
  <c r="D201" i="17"/>
  <c r="F200" i="17"/>
  <c r="E200" i="17"/>
  <c r="D200" i="17"/>
  <c r="F199" i="17"/>
  <c r="E199" i="17"/>
  <c r="D199" i="17"/>
  <c r="F198" i="17"/>
  <c r="E198" i="17"/>
  <c r="D198" i="17"/>
  <c r="F197" i="17"/>
  <c r="E197" i="17"/>
  <c r="D197" i="17"/>
  <c r="F196" i="17"/>
  <c r="E196" i="17"/>
  <c r="D196" i="17"/>
  <c r="F195" i="17"/>
  <c r="E195" i="17"/>
  <c r="D195" i="17"/>
  <c r="F194" i="17"/>
  <c r="E194" i="17"/>
  <c r="D194" i="17"/>
  <c r="F193" i="17"/>
  <c r="E193" i="17"/>
  <c r="D193" i="17"/>
  <c r="F192" i="17"/>
  <c r="E192" i="17"/>
  <c r="D192" i="17"/>
  <c r="F191" i="17"/>
  <c r="E191" i="17"/>
  <c r="D191" i="17"/>
  <c r="F189" i="17"/>
  <c r="E189" i="17"/>
  <c r="D189" i="17"/>
  <c r="F188" i="17"/>
  <c r="E188" i="17"/>
  <c r="D188" i="17"/>
  <c r="F187" i="17"/>
  <c r="E187" i="17"/>
  <c r="D187" i="17"/>
  <c r="F186" i="17"/>
  <c r="E186" i="17"/>
  <c r="D186" i="17"/>
  <c r="F185" i="17"/>
  <c r="E185" i="17"/>
  <c r="D185" i="17"/>
  <c r="F184" i="17"/>
  <c r="E184" i="17"/>
  <c r="D184" i="17"/>
  <c r="F183" i="17"/>
  <c r="E183" i="17"/>
  <c r="D183" i="17"/>
  <c r="F182" i="17"/>
  <c r="E182" i="17"/>
  <c r="D182" i="17"/>
  <c r="F181" i="17"/>
  <c r="E181" i="17"/>
  <c r="D181" i="17"/>
  <c r="F180" i="17"/>
  <c r="E180" i="17"/>
  <c r="D180" i="17"/>
  <c r="F179" i="17"/>
  <c r="E179" i="17"/>
  <c r="D179" i="17"/>
  <c r="F178" i="17"/>
  <c r="E178" i="17"/>
  <c r="D178" i="17"/>
  <c r="F177" i="17"/>
  <c r="E177" i="17"/>
  <c r="D177" i="17"/>
  <c r="F176" i="17"/>
  <c r="E176" i="17"/>
  <c r="D176" i="17"/>
  <c r="F175" i="17"/>
  <c r="E175" i="17"/>
  <c r="D175" i="17"/>
  <c r="F174" i="17"/>
  <c r="E174" i="17"/>
  <c r="D174" i="17"/>
  <c r="F173" i="17"/>
  <c r="E173" i="17"/>
  <c r="D173" i="17"/>
  <c r="F172" i="17"/>
  <c r="E172" i="17"/>
  <c r="D172" i="17"/>
  <c r="F171" i="17"/>
  <c r="E171" i="17"/>
  <c r="D171" i="17"/>
  <c r="F170" i="17"/>
  <c r="E170" i="17"/>
  <c r="D170" i="17"/>
  <c r="F169" i="17"/>
  <c r="E169" i="17"/>
  <c r="D169" i="17"/>
  <c r="F168" i="17"/>
  <c r="E168" i="17"/>
  <c r="D168" i="17"/>
  <c r="F167" i="17"/>
  <c r="E167" i="17"/>
  <c r="D167" i="17"/>
  <c r="F166" i="17"/>
  <c r="E166" i="17"/>
  <c r="D166" i="17"/>
  <c r="F165" i="17"/>
  <c r="E165" i="17"/>
  <c r="D165" i="17"/>
  <c r="F164" i="17"/>
  <c r="E164" i="17"/>
  <c r="D164" i="17"/>
  <c r="F163" i="17"/>
  <c r="E163" i="17"/>
  <c r="D163" i="17"/>
  <c r="F161" i="17"/>
  <c r="E161" i="17"/>
  <c r="D161" i="17"/>
  <c r="F160" i="17"/>
  <c r="E160" i="17"/>
  <c r="D160" i="17"/>
  <c r="F159" i="17"/>
  <c r="E159" i="17"/>
  <c r="D159" i="17"/>
  <c r="F158" i="17"/>
  <c r="E158" i="17"/>
  <c r="D158" i="17"/>
  <c r="F157" i="17"/>
  <c r="E157" i="17"/>
  <c r="D157" i="17"/>
  <c r="F156" i="17"/>
  <c r="E156" i="17"/>
  <c r="D156" i="17"/>
  <c r="F155" i="17"/>
  <c r="E155" i="17"/>
  <c r="D155" i="17"/>
  <c r="F153" i="17"/>
  <c r="E153" i="17"/>
  <c r="D153" i="17"/>
  <c r="F152" i="17"/>
  <c r="E152" i="17"/>
  <c r="D152" i="17"/>
  <c r="F151" i="17"/>
  <c r="E151" i="17"/>
  <c r="D151" i="17"/>
  <c r="F150" i="17"/>
  <c r="E150" i="17"/>
  <c r="D150" i="17"/>
  <c r="F149" i="17"/>
  <c r="E149" i="17"/>
  <c r="D149" i="17"/>
  <c r="F148" i="17"/>
  <c r="E148" i="17"/>
  <c r="D148" i="17"/>
  <c r="F147" i="17"/>
  <c r="E147" i="17"/>
  <c r="D147" i="17"/>
  <c r="F146" i="17"/>
  <c r="E146" i="17"/>
  <c r="D146" i="17"/>
  <c r="F145" i="17"/>
  <c r="E145" i="17"/>
  <c r="D145" i="17"/>
  <c r="F144" i="17"/>
  <c r="E144" i="17"/>
  <c r="D144" i="17"/>
  <c r="F142" i="17"/>
  <c r="E142" i="17"/>
  <c r="D142" i="17"/>
  <c r="F141" i="17"/>
  <c r="E141" i="17"/>
  <c r="D141" i="17"/>
  <c r="F139" i="17"/>
  <c r="E139" i="17"/>
  <c r="D139" i="17"/>
  <c r="F138" i="17"/>
  <c r="E138" i="17"/>
  <c r="D138" i="17"/>
  <c r="F137" i="17"/>
  <c r="E137" i="17"/>
  <c r="D137" i="17"/>
  <c r="F136" i="17"/>
  <c r="E136" i="17"/>
  <c r="D136" i="17"/>
  <c r="F135" i="17"/>
  <c r="E135" i="17"/>
  <c r="D135" i="17"/>
  <c r="F134" i="17"/>
  <c r="E134" i="17"/>
  <c r="D134" i="17"/>
  <c r="F133" i="17"/>
  <c r="E133" i="17"/>
  <c r="D133" i="17"/>
  <c r="F132" i="17"/>
  <c r="E132" i="17"/>
  <c r="D132" i="17"/>
  <c r="F130" i="17"/>
  <c r="E130" i="17"/>
  <c r="D130" i="17"/>
  <c r="F129" i="17"/>
  <c r="E129" i="17"/>
  <c r="D129" i="17"/>
  <c r="F128" i="17"/>
  <c r="E128" i="17"/>
  <c r="D128" i="17"/>
  <c r="F127" i="17"/>
  <c r="E127" i="17"/>
  <c r="D127" i="17"/>
  <c r="F126" i="17"/>
  <c r="E126" i="17"/>
  <c r="D126" i="17"/>
  <c r="F124" i="17"/>
  <c r="E124" i="17"/>
  <c r="D124" i="17"/>
  <c r="F123" i="17"/>
  <c r="E123" i="17"/>
  <c r="D123" i="17"/>
  <c r="F122" i="17"/>
  <c r="E122" i="17"/>
  <c r="D122" i="17"/>
  <c r="F121" i="17"/>
  <c r="E121" i="17"/>
  <c r="D121" i="17"/>
  <c r="F120" i="17"/>
  <c r="E120" i="17"/>
  <c r="D120" i="17"/>
  <c r="F118" i="17"/>
  <c r="E118" i="17"/>
  <c r="D118" i="17"/>
  <c r="F117" i="17"/>
  <c r="E117" i="17"/>
  <c r="D117" i="17"/>
  <c r="F116" i="17"/>
  <c r="E116" i="17"/>
  <c r="D116" i="17"/>
  <c r="F115" i="17"/>
  <c r="E115" i="17"/>
  <c r="D115" i="17"/>
  <c r="F114" i="17"/>
  <c r="E114" i="17"/>
  <c r="D114" i="17"/>
  <c r="F113" i="17"/>
  <c r="E113" i="17"/>
  <c r="D113" i="17"/>
  <c r="F112" i="17"/>
  <c r="E112" i="17"/>
  <c r="D112" i="17"/>
  <c r="F111" i="17"/>
  <c r="E111" i="17"/>
  <c r="D111" i="17"/>
  <c r="F110" i="17"/>
  <c r="E110" i="17"/>
  <c r="D110" i="17"/>
  <c r="F109" i="17"/>
  <c r="E109" i="17"/>
  <c r="D109" i="17"/>
  <c r="F108" i="17"/>
  <c r="E108" i="17"/>
  <c r="D108" i="17"/>
  <c r="F107" i="17"/>
  <c r="E107" i="17"/>
  <c r="D107" i="17"/>
  <c r="F106" i="17"/>
  <c r="E106" i="17"/>
  <c r="D106" i="17"/>
  <c r="F105" i="17"/>
  <c r="E105" i="17"/>
  <c r="D105" i="17"/>
  <c r="F104" i="17"/>
  <c r="E104" i="17"/>
  <c r="D104" i="17"/>
  <c r="F103" i="17"/>
  <c r="E103" i="17"/>
  <c r="D103" i="17"/>
  <c r="F102" i="17"/>
  <c r="E102" i="17"/>
  <c r="D102" i="17"/>
  <c r="F101" i="17"/>
  <c r="E101" i="17"/>
  <c r="D101" i="17"/>
  <c r="F100" i="17"/>
  <c r="E100" i="17"/>
  <c r="D100" i="17"/>
  <c r="F99" i="17"/>
  <c r="E99" i="17"/>
  <c r="D99" i="17"/>
  <c r="F97" i="17"/>
  <c r="E97" i="17"/>
  <c r="D97" i="17"/>
  <c r="F96" i="17"/>
  <c r="E96" i="17"/>
  <c r="D96" i="17"/>
  <c r="F95" i="17"/>
  <c r="E95" i="17"/>
  <c r="D95" i="17"/>
  <c r="F94" i="17"/>
  <c r="E94" i="17"/>
  <c r="D94" i="17"/>
  <c r="F93" i="17"/>
  <c r="E93" i="17"/>
  <c r="D93" i="17"/>
  <c r="F92" i="17"/>
  <c r="E92" i="17"/>
  <c r="D92" i="17"/>
  <c r="F91" i="17"/>
  <c r="E91" i="17"/>
  <c r="D91" i="17"/>
  <c r="F90" i="17"/>
  <c r="E90" i="17"/>
  <c r="D90" i="17"/>
  <c r="F89" i="17"/>
  <c r="E89" i="17"/>
  <c r="D89" i="17"/>
  <c r="F88" i="17"/>
  <c r="E88" i="17"/>
  <c r="D88" i="17"/>
  <c r="F87" i="17"/>
  <c r="E87" i="17"/>
  <c r="D87" i="17"/>
  <c r="F86" i="17"/>
  <c r="E86" i="17"/>
  <c r="D86" i="17"/>
  <c r="F85" i="17"/>
  <c r="E85" i="17"/>
  <c r="D85" i="17"/>
  <c r="F83" i="17"/>
  <c r="E83" i="17"/>
  <c r="D83" i="17"/>
  <c r="F82" i="17"/>
  <c r="E82" i="17"/>
  <c r="D82" i="17"/>
  <c r="F81" i="17"/>
  <c r="E81" i="17"/>
  <c r="D81" i="17"/>
  <c r="F80" i="17"/>
  <c r="E80" i="17"/>
  <c r="D80" i="17"/>
  <c r="F79" i="17"/>
  <c r="E79" i="17"/>
  <c r="D79" i="17"/>
  <c r="F78" i="17"/>
  <c r="E78" i="17"/>
  <c r="D78" i="17"/>
  <c r="F76" i="17"/>
  <c r="E76" i="17"/>
  <c r="D76" i="17"/>
  <c r="F75" i="17"/>
  <c r="E75" i="17"/>
  <c r="D75" i="17"/>
  <c r="F74" i="17"/>
  <c r="E74" i="17"/>
  <c r="D74" i="17"/>
  <c r="F73" i="17"/>
  <c r="E73" i="17"/>
  <c r="D73" i="17"/>
  <c r="F72" i="17"/>
  <c r="E72" i="17"/>
  <c r="D72" i="17"/>
  <c r="F71" i="17"/>
  <c r="E71" i="17"/>
  <c r="D71" i="17"/>
  <c r="F70" i="17"/>
  <c r="E70" i="17"/>
  <c r="D70" i="17"/>
  <c r="F69" i="17"/>
  <c r="E69" i="17"/>
  <c r="D69" i="17"/>
  <c r="F68" i="17"/>
  <c r="E68" i="17"/>
  <c r="D68" i="17"/>
  <c r="F67" i="17"/>
  <c r="E67" i="17"/>
  <c r="D67" i="17"/>
  <c r="F66" i="17"/>
  <c r="E66" i="17"/>
  <c r="D66" i="17"/>
  <c r="F65" i="17"/>
  <c r="E65" i="17"/>
  <c r="D65" i="17"/>
  <c r="F63" i="17"/>
  <c r="E63" i="17"/>
  <c r="D63" i="17"/>
  <c r="F62" i="17"/>
  <c r="E62" i="17"/>
  <c r="D62" i="17"/>
  <c r="F60" i="17"/>
  <c r="E60" i="17"/>
  <c r="D60" i="17"/>
  <c r="F59" i="17"/>
  <c r="E59" i="17"/>
  <c r="D59" i="17"/>
  <c r="F58" i="17"/>
  <c r="E58" i="17"/>
  <c r="D58" i="17"/>
  <c r="F57" i="17"/>
  <c r="E57" i="17"/>
  <c r="D57" i="17"/>
  <c r="F56" i="17"/>
  <c r="E56" i="17"/>
  <c r="D56" i="17"/>
  <c r="F55" i="17"/>
  <c r="E55" i="17"/>
  <c r="D55" i="17"/>
  <c r="F54" i="17"/>
  <c r="E54" i="17"/>
  <c r="D54" i="17"/>
  <c r="F53" i="17"/>
  <c r="E53" i="17"/>
  <c r="D53" i="17"/>
  <c r="F52" i="17"/>
  <c r="E52" i="17"/>
  <c r="D52" i="17"/>
  <c r="F51" i="17"/>
  <c r="E51" i="17"/>
  <c r="D51" i="17"/>
  <c r="F50" i="17"/>
  <c r="E50" i="17"/>
  <c r="D50" i="17"/>
  <c r="F49" i="17"/>
  <c r="E49" i="17"/>
  <c r="D49" i="17"/>
  <c r="F48" i="17"/>
  <c r="E48" i="17"/>
  <c r="D48" i="17"/>
  <c r="F47" i="17"/>
  <c r="E47" i="17"/>
  <c r="D47" i="17"/>
  <c r="F46" i="17"/>
  <c r="E46" i="17"/>
  <c r="D46" i="17"/>
  <c r="F45" i="17"/>
  <c r="E45" i="17"/>
  <c r="D45" i="17"/>
  <c r="F44" i="17"/>
  <c r="E44" i="17"/>
  <c r="D44" i="17"/>
  <c r="F43" i="17"/>
  <c r="E43" i="17"/>
  <c r="D43" i="17"/>
  <c r="F42" i="17"/>
  <c r="E42" i="17"/>
  <c r="D42" i="17"/>
  <c r="F41" i="17"/>
  <c r="E41" i="17"/>
  <c r="D41" i="17"/>
  <c r="F39" i="17"/>
  <c r="E39" i="17"/>
  <c r="D39" i="17"/>
  <c r="F38" i="17"/>
  <c r="E38" i="17"/>
  <c r="D38" i="17"/>
  <c r="F37" i="17"/>
  <c r="E37" i="17"/>
  <c r="D37" i="17"/>
  <c r="F36" i="17"/>
  <c r="E36" i="17"/>
  <c r="D36" i="17"/>
  <c r="F35" i="17"/>
  <c r="E35" i="17"/>
  <c r="D35" i="17"/>
  <c r="F34" i="17"/>
  <c r="E34" i="17"/>
  <c r="D34" i="17"/>
  <c r="F33" i="17"/>
  <c r="E33" i="17"/>
  <c r="D33" i="17"/>
  <c r="F32" i="17"/>
  <c r="E32" i="17"/>
  <c r="D32" i="17"/>
  <c r="F31" i="17"/>
  <c r="E31" i="17"/>
  <c r="D31" i="17"/>
  <c r="F30" i="17"/>
  <c r="E30" i="17"/>
  <c r="D30" i="17"/>
  <c r="F28" i="17"/>
  <c r="E28" i="17"/>
  <c r="D28" i="17"/>
  <c r="F27" i="17"/>
  <c r="E27" i="17"/>
  <c r="D27" i="17"/>
  <c r="F26" i="17"/>
  <c r="E26" i="17"/>
  <c r="D26" i="17"/>
  <c r="F25" i="17"/>
  <c r="E25" i="17"/>
  <c r="D25" i="17"/>
  <c r="F24" i="17"/>
  <c r="E24" i="17"/>
  <c r="D24" i="17"/>
  <c r="F23" i="17"/>
  <c r="E23" i="17"/>
  <c r="D23" i="17"/>
  <c r="F22" i="17"/>
  <c r="E22" i="17"/>
  <c r="D22" i="17"/>
  <c r="F21" i="17"/>
  <c r="E21" i="17"/>
  <c r="D21" i="17"/>
  <c r="F20" i="17"/>
  <c r="E20" i="17"/>
  <c r="D20" i="17"/>
  <c r="F19" i="17"/>
  <c r="E19" i="17"/>
  <c r="D19" i="17"/>
  <c r="F18" i="17"/>
  <c r="E18" i="17"/>
  <c r="D18" i="17"/>
  <c r="F17" i="17"/>
  <c r="E17" i="17"/>
  <c r="D17" i="17"/>
  <c r="F16" i="17"/>
  <c r="E16" i="17"/>
  <c r="D16" i="17"/>
  <c r="F15" i="17"/>
  <c r="E15" i="17"/>
  <c r="D15" i="17"/>
  <c r="F14" i="17"/>
  <c r="E14" i="17"/>
  <c r="D14" i="17"/>
  <c r="F13" i="17"/>
  <c r="E13" i="17"/>
  <c r="D13" i="17"/>
  <c r="F12" i="17"/>
  <c r="E12" i="17"/>
  <c r="D12" i="17"/>
  <c r="F11" i="17"/>
  <c r="E11" i="17"/>
  <c r="D11" i="17"/>
  <c r="F9" i="17"/>
  <c r="E9" i="17"/>
  <c r="D9" i="17"/>
  <c r="J339" i="18"/>
  <c r="K339" i="18"/>
  <c r="J324" i="18"/>
  <c r="K324" i="18"/>
  <c r="J314" i="18"/>
  <c r="J294" i="18"/>
  <c r="J251" i="18"/>
  <c r="K251" i="18"/>
  <c r="J245" i="18"/>
  <c r="K245" i="18"/>
  <c r="J238" i="18"/>
  <c r="J203" i="18"/>
  <c r="K203" i="18"/>
  <c r="J175" i="18"/>
  <c r="K175" i="18"/>
  <c r="J153" i="18"/>
  <c r="K153" i="18"/>
  <c r="J146" i="18"/>
  <c r="K146" i="18"/>
  <c r="J140" i="18"/>
  <c r="K140" i="18"/>
  <c r="J105" i="18"/>
  <c r="K105" i="18"/>
  <c r="J100" i="18"/>
  <c r="K100" i="18"/>
  <c r="J84" i="18"/>
  <c r="J70" i="18"/>
  <c r="K70" i="18"/>
  <c r="J67" i="18"/>
  <c r="K67" i="18"/>
  <c r="J41" i="18"/>
  <c r="K41" i="18"/>
  <c r="J32" i="18"/>
  <c r="K32" i="18"/>
  <c r="J29" i="18"/>
  <c r="K29" i="18"/>
  <c r="J13" i="18"/>
  <c r="E186" i="13"/>
  <c r="F186" i="13"/>
  <c r="G186" i="13"/>
  <c r="H186" i="13"/>
  <c r="H269" i="13"/>
  <c r="G269" i="13"/>
  <c r="F269" i="13"/>
  <c r="E269" i="13"/>
  <c r="H268" i="13"/>
  <c r="G268" i="13"/>
  <c r="F268" i="13"/>
  <c r="E268" i="13"/>
  <c r="H267" i="13"/>
  <c r="G267" i="13"/>
  <c r="F267" i="13"/>
  <c r="E267" i="13"/>
  <c r="H266" i="13"/>
  <c r="G266" i="13"/>
  <c r="F266" i="13"/>
  <c r="E266" i="13"/>
  <c r="H265" i="13"/>
  <c r="G265" i="13"/>
  <c r="F265" i="13"/>
  <c r="E265" i="13"/>
  <c r="H264" i="13"/>
  <c r="G264" i="13"/>
  <c r="F264" i="13"/>
  <c r="E264" i="13"/>
  <c r="H263" i="13"/>
  <c r="G263" i="13"/>
  <c r="F263" i="13"/>
  <c r="E263" i="13"/>
  <c r="F262" i="13"/>
  <c r="E262" i="13"/>
  <c r="H260" i="13"/>
  <c r="G260" i="13"/>
  <c r="F260" i="13"/>
  <c r="E260" i="13"/>
  <c r="H259" i="13"/>
  <c r="G259" i="13"/>
  <c r="F259" i="13"/>
  <c r="E259" i="13"/>
  <c r="H258" i="13"/>
  <c r="G258" i="13"/>
  <c r="F258" i="13"/>
  <c r="E258" i="13"/>
  <c r="H257" i="13"/>
  <c r="G257" i="13"/>
  <c r="F257" i="13"/>
  <c r="E257" i="13"/>
  <c r="F256" i="13"/>
  <c r="E256" i="13"/>
  <c r="H255" i="13"/>
  <c r="G255" i="13"/>
  <c r="F255" i="13"/>
  <c r="E255" i="13"/>
  <c r="H254" i="13"/>
  <c r="G254" i="13"/>
  <c r="F254" i="13"/>
  <c r="E254" i="13"/>
  <c r="H253" i="13"/>
  <c r="G253" i="13"/>
  <c r="F253" i="13"/>
  <c r="E253" i="13"/>
  <c r="H252" i="13"/>
  <c r="G252" i="13"/>
  <c r="F252" i="13"/>
  <c r="E252" i="13"/>
  <c r="H251" i="13"/>
  <c r="G251" i="13"/>
  <c r="F251" i="13"/>
  <c r="E251" i="13"/>
  <c r="H250" i="13"/>
  <c r="G250" i="13"/>
  <c r="F250" i="13"/>
  <c r="E250" i="13"/>
  <c r="H249" i="13"/>
  <c r="G249" i="13"/>
  <c r="F249" i="13"/>
  <c r="E249" i="13"/>
  <c r="F248" i="13"/>
  <c r="E248" i="13"/>
  <c r="F247" i="13"/>
  <c r="E247" i="13"/>
  <c r="H246" i="13"/>
  <c r="G246" i="13"/>
  <c r="E246" i="13"/>
  <c r="H245" i="13"/>
  <c r="G245" i="13"/>
  <c r="F245" i="13"/>
  <c r="E245" i="13"/>
  <c r="H244" i="13"/>
  <c r="G244" i="13"/>
  <c r="F244" i="13"/>
  <c r="E244" i="13"/>
  <c r="H243" i="13"/>
  <c r="G243" i="13"/>
  <c r="F243" i="13"/>
  <c r="E243" i="13"/>
  <c r="H242" i="13"/>
  <c r="G242" i="13"/>
  <c r="F242" i="13"/>
  <c r="E242" i="13"/>
  <c r="H241" i="13"/>
  <c r="G241" i="13"/>
  <c r="F241" i="13"/>
  <c r="E241" i="13"/>
  <c r="H240" i="13"/>
  <c r="G240" i="13"/>
  <c r="F240" i="13"/>
  <c r="E240" i="13"/>
  <c r="H239" i="13"/>
  <c r="G239" i="13"/>
  <c r="F239" i="13"/>
  <c r="E239" i="13"/>
  <c r="H238" i="13"/>
  <c r="G238" i="13"/>
  <c r="F238" i="13"/>
  <c r="E238" i="13"/>
  <c r="H237" i="13"/>
  <c r="G237" i="13"/>
  <c r="F237" i="13"/>
  <c r="E237" i="13"/>
  <c r="F236" i="13"/>
  <c r="E236" i="13"/>
  <c r="H235" i="13"/>
  <c r="G235" i="13"/>
  <c r="F235" i="13"/>
  <c r="E235" i="13"/>
  <c r="H234" i="13"/>
  <c r="G234" i="13"/>
  <c r="F234" i="13"/>
  <c r="E234" i="13"/>
  <c r="H233" i="13"/>
  <c r="G233" i="13"/>
  <c r="F233" i="13"/>
  <c r="E233" i="13"/>
  <c r="F232" i="13"/>
  <c r="H231" i="13"/>
  <c r="G231" i="13"/>
  <c r="F231" i="13"/>
  <c r="E231" i="13"/>
  <c r="F230" i="13"/>
  <c r="E230" i="13"/>
  <c r="H229" i="13"/>
  <c r="G229" i="13"/>
  <c r="F229" i="13"/>
  <c r="E229" i="13"/>
  <c r="H228" i="13"/>
  <c r="G228" i="13"/>
  <c r="F228" i="13"/>
  <c r="E228" i="13"/>
  <c r="H227" i="13"/>
  <c r="G227" i="13"/>
  <c r="F227" i="13"/>
  <c r="E227" i="13"/>
  <c r="H226" i="13"/>
  <c r="G226" i="13"/>
  <c r="F226" i="13"/>
  <c r="E226" i="13"/>
  <c r="H225" i="13"/>
  <c r="G225" i="13"/>
  <c r="F225" i="13"/>
  <c r="E225" i="13"/>
  <c r="H224" i="13"/>
  <c r="G224" i="13"/>
  <c r="F224" i="13"/>
  <c r="E224" i="13"/>
  <c r="H223" i="13"/>
  <c r="F223" i="13"/>
  <c r="E223" i="13"/>
  <c r="H222" i="13"/>
  <c r="G222" i="13"/>
  <c r="F222" i="13"/>
  <c r="E222" i="13"/>
  <c r="F221" i="13"/>
  <c r="E221" i="13"/>
  <c r="H220" i="13"/>
  <c r="G220" i="13"/>
  <c r="F220" i="13"/>
  <c r="E220" i="13"/>
  <c r="H219" i="13"/>
  <c r="G219" i="13"/>
  <c r="F219" i="13"/>
  <c r="E219" i="13"/>
  <c r="H218" i="13"/>
  <c r="G218" i="13"/>
  <c r="F218" i="13"/>
  <c r="E218" i="13"/>
  <c r="H217" i="13"/>
  <c r="G217" i="13"/>
  <c r="F217" i="13"/>
  <c r="E217" i="13"/>
  <c r="H216" i="13"/>
  <c r="G216" i="13"/>
  <c r="F216" i="13"/>
  <c r="E216" i="13"/>
  <c r="H213" i="13"/>
  <c r="G213" i="13"/>
  <c r="F213" i="13"/>
  <c r="E213" i="13"/>
  <c r="H212" i="13"/>
  <c r="G212" i="13"/>
  <c r="F212" i="13"/>
  <c r="E212" i="13"/>
  <c r="H211" i="13"/>
  <c r="G211" i="13"/>
  <c r="F211" i="13"/>
  <c r="E211" i="13"/>
  <c r="H210" i="13"/>
  <c r="G210" i="13"/>
  <c r="F210" i="13"/>
  <c r="E210" i="13"/>
  <c r="H209" i="13"/>
  <c r="G209" i="13"/>
  <c r="F209" i="13"/>
  <c r="E209" i="13"/>
  <c r="H208" i="13"/>
  <c r="G208" i="13"/>
  <c r="F208" i="13"/>
  <c r="E208" i="13"/>
  <c r="H207" i="13"/>
  <c r="G207" i="13"/>
  <c r="F207" i="13"/>
  <c r="E207" i="13"/>
  <c r="H206" i="13"/>
  <c r="G206" i="13"/>
  <c r="F206" i="13"/>
  <c r="E206" i="13"/>
  <c r="H205" i="13"/>
  <c r="G205" i="13"/>
  <c r="F205" i="13"/>
  <c r="E205" i="13"/>
  <c r="H203" i="13"/>
  <c r="G203" i="13"/>
  <c r="F203" i="13"/>
  <c r="E203" i="13"/>
  <c r="H202" i="13"/>
  <c r="G202" i="13"/>
  <c r="F202" i="13"/>
  <c r="E202" i="13"/>
  <c r="H201" i="13"/>
  <c r="G201" i="13"/>
  <c r="F201" i="13"/>
  <c r="E201" i="13"/>
  <c r="H200" i="13"/>
  <c r="G200" i="13"/>
  <c r="F200" i="13"/>
  <c r="E200" i="13"/>
  <c r="H199" i="13"/>
  <c r="G199" i="13"/>
  <c r="F199" i="13"/>
  <c r="E199" i="13"/>
  <c r="F198" i="13"/>
  <c r="E198" i="13"/>
  <c r="H197" i="13"/>
  <c r="G197" i="13"/>
  <c r="F197" i="13"/>
  <c r="E197" i="13"/>
  <c r="H196" i="13"/>
  <c r="G196" i="13"/>
  <c r="F196" i="13"/>
  <c r="E196" i="13"/>
  <c r="H195" i="13"/>
  <c r="G195" i="13"/>
  <c r="F195" i="13"/>
  <c r="E195" i="13"/>
  <c r="H194" i="13"/>
  <c r="G194" i="13"/>
  <c r="F194" i="13"/>
  <c r="E194" i="13"/>
  <c r="H191" i="13"/>
  <c r="G191" i="13"/>
  <c r="F191" i="13"/>
  <c r="E191" i="13"/>
  <c r="H190" i="13"/>
  <c r="G190" i="13"/>
  <c r="F190" i="13"/>
  <c r="E190" i="13"/>
  <c r="H189" i="13"/>
  <c r="G189" i="13"/>
  <c r="F189" i="13"/>
  <c r="E189" i="13"/>
  <c r="H188" i="13"/>
  <c r="G188" i="13"/>
  <c r="F188" i="13"/>
  <c r="E188" i="13"/>
  <c r="H187" i="13"/>
  <c r="G187" i="13"/>
  <c r="F187" i="13"/>
  <c r="E187" i="13"/>
  <c r="H185" i="13"/>
  <c r="G185" i="13"/>
  <c r="F185" i="13"/>
  <c r="E185" i="13"/>
  <c r="H184" i="13"/>
  <c r="G184" i="13"/>
  <c r="F184" i="13"/>
  <c r="E184" i="13"/>
  <c r="H183" i="13"/>
  <c r="G183" i="13"/>
  <c r="F183" i="13"/>
  <c r="E183" i="13"/>
  <c r="H182" i="13"/>
  <c r="G182" i="13"/>
  <c r="F182" i="13"/>
  <c r="E182" i="13"/>
  <c r="H181" i="13"/>
  <c r="G181" i="13"/>
  <c r="F181" i="13"/>
  <c r="E181" i="13"/>
  <c r="H180" i="13"/>
  <c r="G180" i="13"/>
  <c r="F180" i="13"/>
  <c r="E180" i="13"/>
  <c r="H179" i="13"/>
  <c r="G179" i="13"/>
  <c r="F179" i="13"/>
  <c r="E179" i="13"/>
  <c r="H178" i="13"/>
  <c r="G178" i="13"/>
  <c r="F178" i="13"/>
  <c r="E178" i="13"/>
  <c r="H177" i="13"/>
  <c r="G177" i="13"/>
  <c r="F177" i="13"/>
  <c r="E177" i="13"/>
  <c r="H176" i="13"/>
  <c r="G176" i="13"/>
  <c r="F176" i="13"/>
  <c r="E176" i="13"/>
  <c r="H175" i="13"/>
  <c r="G175" i="13"/>
  <c r="F175" i="13"/>
  <c r="E175" i="13"/>
  <c r="H174" i="13"/>
  <c r="G174" i="13"/>
  <c r="F174" i="13"/>
  <c r="E174" i="13"/>
  <c r="F173" i="13"/>
  <c r="E173" i="13"/>
  <c r="H172" i="13"/>
  <c r="G172" i="13"/>
  <c r="F172" i="13"/>
  <c r="E172" i="13"/>
  <c r="H171" i="13"/>
  <c r="G171" i="13"/>
  <c r="F171" i="13"/>
  <c r="E171" i="13"/>
  <c r="H170" i="13"/>
  <c r="G170" i="13"/>
  <c r="F170" i="13"/>
  <c r="E170" i="13"/>
  <c r="H169" i="13"/>
  <c r="G169" i="13"/>
  <c r="F169" i="13"/>
  <c r="E169" i="13"/>
  <c r="H168" i="13"/>
  <c r="G168" i="13"/>
  <c r="F168" i="13"/>
  <c r="E168" i="13"/>
  <c r="H167" i="13"/>
  <c r="G167" i="13"/>
  <c r="F167" i="13"/>
  <c r="E167" i="13"/>
  <c r="H166" i="13"/>
  <c r="G166" i="13"/>
  <c r="F166" i="13"/>
  <c r="E166" i="13"/>
  <c r="H165" i="13"/>
  <c r="G165" i="13"/>
  <c r="F165" i="13"/>
  <c r="E165" i="13"/>
  <c r="H164" i="13"/>
  <c r="G164" i="13"/>
  <c r="F164" i="13"/>
  <c r="E164" i="13"/>
  <c r="H163" i="13"/>
  <c r="G163" i="13"/>
  <c r="F163" i="13"/>
  <c r="E163" i="13"/>
  <c r="H162" i="13"/>
  <c r="G162" i="13"/>
  <c r="F162" i="13"/>
  <c r="E162" i="13"/>
  <c r="H161" i="13"/>
  <c r="G161" i="13"/>
  <c r="F161" i="13"/>
  <c r="E161" i="13"/>
  <c r="H160" i="13"/>
  <c r="G160" i="13"/>
  <c r="F160" i="13"/>
  <c r="E160" i="13"/>
  <c r="H159" i="13"/>
  <c r="G159" i="13"/>
  <c r="F159" i="13"/>
  <c r="E159" i="13"/>
  <c r="H158" i="13"/>
  <c r="G158" i="13"/>
  <c r="F158" i="13"/>
  <c r="E158" i="13"/>
  <c r="H157" i="13"/>
  <c r="G157" i="13"/>
  <c r="F157" i="13"/>
  <c r="E157" i="13"/>
  <c r="H156" i="13"/>
  <c r="G156" i="13"/>
  <c r="F156" i="13"/>
  <c r="E156" i="13"/>
  <c r="H155" i="13"/>
  <c r="G155" i="13"/>
  <c r="F155" i="13"/>
  <c r="E155" i="13"/>
  <c r="H154" i="13"/>
  <c r="G154" i="13"/>
  <c r="F154" i="13"/>
  <c r="E154" i="13"/>
  <c r="H153" i="13"/>
  <c r="G153" i="13"/>
  <c r="F153" i="13"/>
  <c r="E153" i="13"/>
  <c r="H152" i="13"/>
  <c r="G152" i="13"/>
  <c r="F152" i="13"/>
  <c r="E152" i="13"/>
  <c r="H151" i="13"/>
  <c r="G151" i="13"/>
  <c r="F151" i="13"/>
  <c r="E151" i="13"/>
  <c r="H150" i="13"/>
  <c r="G150" i="13"/>
  <c r="F150" i="13"/>
  <c r="E150" i="13"/>
  <c r="F149" i="13"/>
  <c r="E149" i="13"/>
  <c r="H148" i="13"/>
  <c r="G148" i="13"/>
  <c r="F148" i="13"/>
  <c r="E148" i="13"/>
  <c r="H147" i="13"/>
  <c r="G147" i="13"/>
  <c r="F147" i="13"/>
  <c r="E147" i="13"/>
  <c r="F146" i="13"/>
  <c r="E146" i="13"/>
  <c r="H145" i="13"/>
  <c r="G145" i="13"/>
  <c r="F145" i="13"/>
  <c r="E145" i="13"/>
  <c r="H144" i="13"/>
  <c r="G144" i="13"/>
  <c r="F144" i="13"/>
  <c r="E144" i="13"/>
  <c r="H143" i="13"/>
  <c r="G143" i="13"/>
  <c r="F143" i="13"/>
  <c r="E143" i="13"/>
  <c r="H142" i="13"/>
  <c r="G142" i="13"/>
  <c r="F142" i="13"/>
  <c r="E142" i="13"/>
  <c r="H141" i="13"/>
  <c r="G141" i="13"/>
  <c r="F141" i="13"/>
  <c r="E141" i="13"/>
  <c r="H140" i="13"/>
  <c r="G140" i="13"/>
  <c r="F140" i="13"/>
  <c r="E140" i="13"/>
  <c r="F139" i="13"/>
  <c r="E139" i="13"/>
  <c r="H138" i="13"/>
  <c r="G138" i="13"/>
  <c r="F138" i="13"/>
  <c r="E138" i="13"/>
  <c r="H137" i="13"/>
  <c r="G137" i="13"/>
  <c r="F137" i="13"/>
  <c r="E137" i="13"/>
  <c r="H133" i="13"/>
  <c r="G133" i="13"/>
  <c r="F133" i="13"/>
  <c r="E133" i="13"/>
  <c r="H132" i="13"/>
  <c r="G132" i="13"/>
  <c r="F132" i="13"/>
  <c r="E132" i="13"/>
  <c r="H131" i="13"/>
  <c r="G131" i="13"/>
  <c r="F131" i="13"/>
  <c r="E131" i="13"/>
  <c r="H130" i="13"/>
  <c r="G130" i="13"/>
  <c r="F130" i="13"/>
  <c r="E130" i="13"/>
  <c r="H128" i="13"/>
  <c r="G128" i="13"/>
  <c r="F128" i="13"/>
  <c r="E128" i="13"/>
  <c r="H127" i="13"/>
  <c r="G127" i="13"/>
  <c r="F127" i="13"/>
  <c r="E127" i="13"/>
  <c r="H126" i="13"/>
  <c r="G126" i="13"/>
  <c r="F126" i="13"/>
  <c r="E126" i="13"/>
  <c r="H125" i="13"/>
  <c r="G125" i="13"/>
  <c r="F125" i="13"/>
  <c r="E125" i="13"/>
  <c r="H124" i="13"/>
  <c r="G124" i="13"/>
  <c r="F124" i="13"/>
  <c r="E124" i="13"/>
  <c r="F123" i="13"/>
  <c r="E123" i="13"/>
  <c r="F122" i="13"/>
  <c r="E122" i="13"/>
  <c r="H119" i="13"/>
  <c r="G119" i="13"/>
  <c r="F119" i="13"/>
  <c r="E119" i="13"/>
  <c r="H118" i="13"/>
  <c r="G118" i="13"/>
  <c r="F118" i="13"/>
  <c r="E118" i="13"/>
  <c r="H117" i="13"/>
  <c r="G117" i="13"/>
  <c r="F117" i="13"/>
  <c r="E117" i="13"/>
  <c r="H116" i="13"/>
  <c r="G116" i="13"/>
  <c r="F116" i="13"/>
  <c r="E116" i="13"/>
  <c r="H115" i="13"/>
  <c r="G115" i="13"/>
  <c r="F115" i="13"/>
  <c r="E115" i="13"/>
  <c r="H114" i="13"/>
  <c r="G114" i="13"/>
  <c r="F114" i="13"/>
  <c r="E114" i="13"/>
  <c r="H113" i="13"/>
  <c r="G113" i="13"/>
  <c r="F113" i="13"/>
  <c r="E113" i="13"/>
  <c r="H112" i="13"/>
  <c r="G112" i="13"/>
  <c r="F112" i="13"/>
  <c r="E112" i="13"/>
  <c r="H111" i="13"/>
  <c r="G111" i="13"/>
  <c r="F111" i="13"/>
  <c r="E111" i="13"/>
  <c r="H110" i="13"/>
  <c r="G110" i="13"/>
  <c r="F110" i="13"/>
  <c r="E110" i="13"/>
  <c r="H109" i="13"/>
  <c r="G109" i="13"/>
  <c r="F109" i="13"/>
  <c r="E109" i="13"/>
  <c r="H108" i="13"/>
  <c r="G108" i="13"/>
  <c r="F108" i="13"/>
  <c r="E108" i="13"/>
  <c r="H107" i="13"/>
  <c r="G107" i="13"/>
  <c r="F107" i="13"/>
  <c r="E107" i="13"/>
  <c r="H106" i="13"/>
  <c r="G106" i="13"/>
  <c r="F106" i="13"/>
  <c r="E106" i="13"/>
  <c r="H105" i="13"/>
  <c r="G105" i="13"/>
  <c r="F105" i="13"/>
  <c r="E105" i="13"/>
  <c r="H104" i="13"/>
  <c r="G104" i="13"/>
  <c r="F104" i="13"/>
  <c r="E104" i="13"/>
  <c r="H103" i="13"/>
  <c r="G103" i="13"/>
  <c r="F103" i="13"/>
  <c r="E103" i="13"/>
  <c r="H102" i="13"/>
  <c r="G102" i="13"/>
  <c r="F102" i="13"/>
  <c r="E102" i="13"/>
  <c r="H101" i="13"/>
  <c r="G101" i="13"/>
  <c r="F101" i="13"/>
  <c r="E101" i="13"/>
  <c r="H100" i="13"/>
  <c r="G100" i="13"/>
  <c r="F100" i="13"/>
  <c r="E100" i="13"/>
  <c r="H99" i="13"/>
  <c r="G99" i="13"/>
  <c r="F99" i="13"/>
  <c r="E99" i="13"/>
  <c r="H98" i="13"/>
  <c r="G98" i="13"/>
  <c r="F98" i="13"/>
  <c r="E98" i="13"/>
  <c r="H97" i="13"/>
  <c r="G97" i="13"/>
  <c r="F97" i="13"/>
  <c r="E97" i="13"/>
  <c r="F96" i="13"/>
  <c r="E96" i="13"/>
  <c r="H95" i="13"/>
  <c r="G95" i="13"/>
  <c r="F95" i="13"/>
  <c r="E95" i="13"/>
  <c r="H94" i="13"/>
  <c r="G94" i="13"/>
  <c r="F94" i="13"/>
  <c r="E94" i="13"/>
  <c r="H93" i="13"/>
  <c r="G93" i="13"/>
  <c r="F93" i="13"/>
  <c r="E93" i="13"/>
  <c r="H91" i="13"/>
  <c r="G91" i="13"/>
  <c r="F91" i="13"/>
  <c r="E91" i="13"/>
  <c r="H90" i="13"/>
  <c r="G90" i="13"/>
  <c r="F90" i="13"/>
  <c r="E90" i="13"/>
  <c r="H89" i="13"/>
  <c r="G89" i="13"/>
  <c r="F89" i="13"/>
  <c r="E89" i="13"/>
  <c r="H88" i="13"/>
  <c r="G88" i="13"/>
  <c r="F88" i="13"/>
  <c r="E88" i="13"/>
  <c r="H87" i="13"/>
  <c r="G87" i="13"/>
  <c r="F87" i="13"/>
  <c r="E87" i="13"/>
  <c r="H86" i="13"/>
  <c r="G86" i="13"/>
  <c r="F86" i="13"/>
  <c r="E86" i="13"/>
  <c r="H85" i="13"/>
  <c r="G85" i="13"/>
  <c r="F85" i="13"/>
  <c r="E85" i="13"/>
  <c r="H84" i="13"/>
  <c r="G84" i="13"/>
  <c r="F84" i="13"/>
  <c r="E84" i="13"/>
  <c r="H83" i="13"/>
  <c r="G83" i="13"/>
  <c r="F83" i="13"/>
  <c r="E83" i="13"/>
  <c r="H82" i="13"/>
  <c r="G82" i="13"/>
  <c r="F82" i="13"/>
  <c r="E82" i="13"/>
  <c r="H81" i="13"/>
  <c r="G81" i="13"/>
  <c r="F81" i="13"/>
  <c r="E81" i="13"/>
  <c r="H80" i="13"/>
  <c r="G80" i="13"/>
  <c r="F80" i="13"/>
  <c r="E80" i="13"/>
  <c r="H79" i="13"/>
  <c r="G79" i="13"/>
  <c r="F79" i="13"/>
  <c r="E79" i="13"/>
  <c r="H78" i="13"/>
  <c r="G78" i="13"/>
  <c r="F78" i="13"/>
  <c r="E78" i="13"/>
  <c r="H77" i="13"/>
  <c r="G77" i="13"/>
  <c r="F77" i="13"/>
  <c r="E77" i="13"/>
  <c r="H76" i="13"/>
  <c r="G76" i="13"/>
  <c r="F76" i="13"/>
  <c r="E76" i="13"/>
  <c r="H75" i="13"/>
  <c r="G75" i="13"/>
  <c r="F75" i="13"/>
  <c r="E75" i="13"/>
  <c r="H74" i="13"/>
  <c r="G74" i="13"/>
  <c r="F74" i="13"/>
  <c r="E74" i="13"/>
  <c r="H73" i="13"/>
  <c r="G73" i="13"/>
  <c r="F73" i="13"/>
  <c r="E73" i="13"/>
  <c r="H72" i="13"/>
  <c r="G72" i="13"/>
  <c r="F72" i="13"/>
  <c r="E72" i="13"/>
  <c r="H71" i="13"/>
  <c r="G71" i="13"/>
  <c r="F71" i="13"/>
  <c r="E71" i="13"/>
  <c r="H70" i="13"/>
  <c r="G70" i="13"/>
  <c r="F70" i="13"/>
  <c r="E70" i="13"/>
  <c r="F69" i="13"/>
  <c r="E69" i="13"/>
  <c r="H68" i="13"/>
  <c r="G68" i="13"/>
  <c r="F68" i="13"/>
  <c r="E68" i="13"/>
  <c r="H67" i="13"/>
  <c r="G67" i="13"/>
  <c r="F67" i="13"/>
  <c r="E67" i="13"/>
  <c r="H66" i="13"/>
  <c r="G66" i="13"/>
  <c r="F66" i="13"/>
  <c r="E66" i="13"/>
  <c r="H65" i="13"/>
  <c r="G65" i="13"/>
  <c r="F65" i="13"/>
  <c r="E65" i="13"/>
  <c r="H55" i="13"/>
  <c r="G55" i="13"/>
  <c r="F55" i="13"/>
  <c r="E55" i="13"/>
  <c r="H54" i="13"/>
  <c r="G54" i="13"/>
  <c r="F54" i="13"/>
  <c r="E54" i="13"/>
  <c r="H53" i="13"/>
  <c r="G53" i="13"/>
  <c r="F53" i="13"/>
  <c r="E53" i="13"/>
  <c r="H52" i="13"/>
  <c r="G52" i="13"/>
  <c r="F52" i="13"/>
  <c r="E52" i="13"/>
  <c r="H51" i="13"/>
  <c r="G51" i="13"/>
  <c r="F51" i="13"/>
  <c r="E51" i="13"/>
  <c r="H50" i="13"/>
  <c r="G50" i="13"/>
  <c r="F50" i="13"/>
  <c r="E50" i="13"/>
  <c r="H49" i="13"/>
  <c r="G49" i="13"/>
  <c r="F49" i="13"/>
  <c r="E49" i="13"/>
  <c r="H48" i="13"/>
  <c r="G48" i="13"/>
  <c r="F48" i="13"/>
  <c r="E48" i="13"/>
  <c r="H47" i="13"/>
  <c r="G47" i="13"/>
  <c r="F47" i="13"/>
  <c r="E47" i="13"/>
  <c r="H46" i="13"/>
  <c r="G46" i="13"/>
  <c r="F46" i="13"/>
  <c r="E46" i="13"/>
  <c r="H45" i="13"/>
  <c r="G45" i="13"/>
  <c r="F45" i="13"/>
  <c r="E45" i="13"/>
  <c r="H44" i="13"/>
  <c r="G44" i="13"/>
  <c r="E44" i="13"/>
  <c r="H43" i="13"/>
  <c r="G43" i="13"/>
  <c r="F43" i="13"/>
  <c r="E43" i="13"/>
  <c r="H42" i="13"/>
  <c r="G42" i="13"/>
  <c r="F42" i="13"/>
  <c r="E42" i="13"/>
  <c r="H41" i="13"/>
  <c r="G41" i="13"/>
  <c r="F41" i="13"/>
  <c r="E41" i="13"/>
  <c r="H40" i="13"/>
  <c r="G40" i="13"/>
  <c r="F40" i="13"/>
  <c r="E40" i="13"/>
  <c r="H39" i="13"/>
  <c r="G39" i="13"/>
  <c r="F39" i="13"/>
  <c r="E39" i="13"/>
  <c r="H38" i="13"/>
  <c r="G38" i="13"/>
  <c r="F38" i="13"/>
  <c r="E38" i="13"/>
  <c r="H37" i="13"/>
  <c r="G37" i="13"/>
  <c r="F37" i="13"/>
  <c r="E37" i="13"/>
  <c r="H36" i="13"/>
  <c r="G36" i="13"/>
  <c r="F36" i="13"/>
  <c r="E36" i="13"/>
  <c r="H35" i="13"/>
  <c r="G35" i="13"/>
  <c r="F35" i="13"/>
  <c r="E35" i="13"/>
  <c r="H34" i="13"/>
  <c r="G34" i="13"/>
  <c r="F34" i="13"/>
  <c r="E34" i="13"/>
  <c r="H33" i="13"/>
  <c r="G33" i="13"/>
  <c r="F33" i="13"/>
  <c r="E33" i="13"/>
  <c r="H32" i="13"/>
  <c r="G32" i="13"/>
  <c r="F32" i="13"/>
  <c r="E32" i="13"/>
  <c r="H31" i="13"/>
  <c r="G31" i="13"/>
  <c r="F31" i="13"/>
  <c r="E31" i="13"/>
  <c r="H30" i="13"/>
  <c r="G30" i="13"/>
  <c r="F30" i="13"/>
  <c r="E30" i="13"/>
  <c r="H29" i="13"/>
  <c r="G29" i="13"/>
  <c r="F29" i="13"/>
  <c r="E29" i="13"/>
  <c r="H28" i="13"/>
  <c r="G28" i="13"/>
  <c r="F28" i="13"/>
  <c r="E28" i="13"/>
  <c r="H27" i="13"/>
  <c r="G27" i="13"/>
  <c r="F27" i="13"/>
  <c r="E27" i="13"/>
  <c r="H26" i="13"/>
  <c r="G26" i="13"/>
  <c r="F26" i="13"/>
  <c r="E26" i="13"/>
  <c r="H25" i="13"/>
  <c r="G25" i="13"/>
  <c r="F25" i="13"/>
  <c r="E25" i="13"/>
  <c r="H24" i="13"/>
  <c r="G24" i="13"/>
  <c r="F24" i="13"/>
  <c r="E24" i="13"/>
  <c r="H23" i="13"/>
  <c r="G23" i="13"/>
  <c r="F23" i="13"/>
  <c r="E23" i="13"/>
  <c r="H22" i="13"/>
  <c r="G22" i="13"/>
  <c r="F22" i="13"/>
  <c r="E22" i="13"/>
  <c r="H21" i="13"/>
  <c r="G21" i="13"/>
  <c r="F21" i="13"/>
  <c r="E21" i="13"/>
  <c r="H20" i="13"/>
  <c r="G20" i="13"/>
  <c r="F20" i="13"/>
  <c r="E20" i="13"/>
  <c r="H19" i="13"/>
  <c r="G19" i="13"/>
  <c r="F19" i="13"/>
  <c r="E19" i="13"/>
  <c r="H18" i="13"/>
  <c r="G18" i="13"/>
  <c r="F18" i="13"/>
  <c r="E18" i="13"/>
  <c r="H17" i="13"/>
  <c r="G17" i="13"/>
  <c r="F17" i="13"/>
  <c r="E17" i="13"/>
  <c r="H16" i="13"/>
  <c r="G16" i="13"/>
  <c r="F16" i="13"/>
  <c r="E16" i="13"/>
  <c r="H15" i="13"/>
  <c r="G15" i="13"/>
  <c r="F15" i="13"/>
  <c r="E15" i="13"/>
  <c r="H14" i="13"/>
  <c r="G14" i="13"/>
  <c r="F14" i="13"/>
  <c r="E14" i="13"/>
  <c r="H13" i="13"/>
  <c r="G13" i="13"/>
  <c r="F13" i="13"/>
  <c r="E13" i="13"/>
  <c r="H12" i="13"/>
  <c r="G12" i="13"/>
  <c r="F12" i="13"/>
  <c r="E12" i="13"/>
  <c r="H11" i="13"/>
  <c r="G11" i="13"/>
  <c r="F11" i="13"/>
  <c r="E11" i="13"/>
  <c r="H10" i="13"/>
  <c r="G10" i="13"/>
  <c r="F10" i="13"/>
  <c r="E10" i="13"/>
  <c r="L109" i="13"/>
  <c r="M109" i="13" s="1"/>
  <c r="J251" i="12"/>
  <c r="G223" i="13"/>
  <c r="J33" i="13"/>
  <c r="L33" i="13" s="1"/>
  <c r="U60" i="19"/>
  <c r="U55" i="19"/>
  <c r="AK54" i="19"/>
  <c r="AJ54" i="19"/>
  <c r="AI54" i="19"/>
  <c r="AH54" i="19"/>
  <c r="AA54" i="19"/>
  <c r="AK53" i="19"/>
  <c r="AJ53" i="19"/>
  <c r="AI53" i="19"/>
  <c r="AH53" i="19"/>
  <c r="AA53" i="19"/>
  <c r="AK52" i="19"/>
  <c r="AJ52" i="19"/>
  <c r="AI52" i="19"/>
  <c r="AH52" i="19"/>
  <c r="AA52" i="19"/>
  <c r="AK51" i="19"/>
  <c r="AJ51" i="19"/>
  <c r="AI51" i="19"/>
  <c r="AH51" i="19"/>
  <c r="AA51" i="19"/>
  <c r="AK50" i="19"/>
  <c r="AJ50" i="19"/>
  <c r="AI50" i="19"/>
  <c r="AH50" i="19"/>
  <c r="AA50" i="19"/>
  <c r="AK49" i="19"/>
  <c r="AJ49" i="19"/>
  <c r="AI49" i="19"/>
  <c r="AH49" i="19"/>
  <c r="AA49" i="19"/>
  <c r="AK48" i="19"/>
  <c r="AJ48" i="19"/>
  <c r="AI48" i="19"/>
  <c r="AH48" i="19"/>
  <c r="AA48" i="19"/>
  <c r="AK47" i="19"/>
  <c r="AJ47" i="19"/>
  <c r="AI47" i="19"/>
  <c r="AH47" i="19"/>
  <c r="AA47" i="19"/>
  <c r="AK46" i="19"/>
  <c r="AJ46" i="19"/>
  <c r="AI46" i="19"/>
  <c r="AH46" i="19"/>
  <c r="AA46" i="19"/>
  <c r="AK45" i="19"/>
  <c r="AJ45" i="19"/>
  <c r="AI45" i="19"/>
  <c r="AH45" i="19"/>
  <c r="AA45" i="19"/>
  <c r="AK44" i="19"/>
  <c r="AJ44" i="19"/>
  <c r="AI44" i="19"/>
  <c r="AH44" i="19"/>
  <c r="AA44" i="19"/>
  <c r="AK43" i="19"/>
  <c r="AJ43" i="19"/>
  <c r="AI43" i="19"/>
  <c r="AH43" i="19"/>
  <c r="AA43" i="19"/>
  <c r="AK42" i="19"/>
  <c r="AJ42" i="19"/>
  <c r="AI42" i="19"/>
  <c r="AH42" i="19"/>
  <c r="AA42" i="19"/>
  <c r="AK41" i="19"/>
  <c r="AJ41" i="19"/>
  <c r="AI41" i="19"/>
  <c r="AH41" i="19"/>
  <c r="AA41" i="19"/>
  <c r="AK40" i="19"/>
  <c r="AJ40" i="19"/>
  <c r="AI40" i="19"/>
  <c r="AH40" i="19"/>
  <c r="AA40" i="19"/>
  <c r="AK39" i="19"/>
  <c r="AJ39" i="19"/>
  <c r="AI39" i="19"/>
  <c r="AH39" i="19"/>
  <c r="AA39" i="19"/>
  <c r="AK38" i="19"/>
  <c r="AJ38" i="19"/>
  <c r="AI38" i="19"/>
  <c r="AH38" i="19"/>
  <c r="AA38" i="19"/>
  <c r="AK37" i="19"/>
  <c r="AJ37" i="19"/>
  <c r="AI37" i="19"/>
  <c r="AH37" i="19"/>
  <c r="AA37" i="19"/>
  <c r="AK36" i="19"/>
  <c r="AJ36" i="19"/>
  <c r="AI36" i="19"/>
  <c r="AH36" i="19"/>
  <c r="AA36" i="19"/>
  <c r="AK35" i="19"/>
  <c r="AJ35" i="19"/>
  <c r="AI35" i="19"/>
  <c r="AH35" i="19"/>
  <c r="AA35" i="19"/>
  <c r="AK34" i="19"/>
  <c r="AJ34" i="19"/>
  <c r="AI34" i="19"/>
  <c r="AH34" i="19"/>
  <c r="AA34" i="19"/>
  <c r="AK33" i="19"/>
  <c r="AJ33" i="19"/>
  <c r="AI33" i="19"/>
  <c r="AH33" i="19"/>
  <c r="AA33" i="19"/>
  <c r="AK32" i="19"/>
  <c r="AJ32" i="19"/>
  <c r="AI32" i="19"/>
  <c r="AH32" i="19"/>
  <c r="AA32" i="19"/>
  <c r="AK31" i="19"/>
  <c r="AJ31" i="19"/>
  <c r="AI31" i="19"/>
  <c r="AH31" i="19"/>
  <c r="AA31" i="19"/>
  <c r="AK30" i="19"/>
  <c r="AJ30" i="19"/>
  <c r="AI30" i="19"/>
  <c r="AH30" i="19"/>
  <c r="AA30" i="19"/>
  <c r="AK29" i="19"/>
  <c r="AJ29" i="19"/>
  <c r="AI29" i="19"/>
  <c r="AH29" i="19"/>
  <c r="AA29" i="19"/>
  <c r="AK28" i="19"/>
  <c r="AJ28" i="19"/>
  <c r="AI28" i="19"/>
  <c r="AH28" i="19"/>
  <c r="AA28" i="19"/>
  <c r="AK27" i="19"/>
  <c r="AJ27" i="19"/>
  <c r="AI27" i="19"/>
  <c r="AH27" i="19"/>
  <c r="AA27" i="19"/>
  <c r="AK26" i="19"/>
  <c r="AJ26" i="19"/>
  <c r="AI26" i="19"/>
  <c r="AH26" i="19"/>
  <c r="AA26" i="19"/>
  <c r="AK25" i="19"/>
  <c r="AJ25" i="19"/>
  <c r="AI25" i="19"/>
  <c r="AH25" i="19"/>
  <c r="AA25" i="19"/>
  <c r="AK24" i="19"/>
  <c r="AJ24" i="19"/>
  <c r="AI24" i="19"/>
  <c r="AH24" i="19"/>
  <c r="AA24" i="19"/>
  <c r="AK23" i="19"/>
  <c r="AJ23" i="19"/>
  <c r="AI23" i="19"/>
  <c r="AH23" i="19"/>
  <c r="AA23" i="19"/>
  <c r="AK22" i="19"/>
  <c r="AJ22" i="19"/>
  <c r="AI22" i="19"/>
  <c r="AH22" i="19"/>
  <c r="AA22" i="19"/>
  <c r="AK21" i="19"/>
  <c r="AJ21" i="19"/>
  <c r="AI21" i="19"/>
  <c r="AH21" i="19"/>
  <c r="AA21" i="19"/>
  <c r="AK20" i="19"/>
  <c r="AJ20" i="19"/>
  <c r="AI20" i="19"/>
  <c r="AH20" i="19"/>
  <c r="AA20" i="19"/>
  <c r="AK19" i="19"/>
  <c r="AJ19" i="19"/>
  <c r="AI19" i="19"/>
  <c r="AH19" i="19"/>
  <c r="AA19" i="19"/>
  <c r="AK18" i="19"/>
  <c r="AJ18" i="19"/>
  <c r="AI18" i="19"/>
  <c r="AH18" i="19"/>
  <c r="AA18" i="19"/>
  <c r="AK17" i="19"/>
  <c r="AJ17" i="19"/>
  <c r="AI17" i="19"/>
  <c r="AH17" i="19"/>
  <c r="AA17" i="19"/>
  <c r="AK16" i="19"/>
  <c r="AJ16" i="19"/>
  <c r="AI16" i="19"/>
  <c r="AH16" i="19"/>
  <c r="AA16" i="19"/>
  <c r="AK15" i="19"/>
  <c r="AJ15" i="19"/>
  <c r="AI15" i="19"/>
  <c r="AH15" i="19"/>
  <c r="AA15" i="19"/>
  <c r="AK14" i="19"/>
  <c r="AJ14" i="19"/>
  <c r="AI14" i="19"/>
  <c r="AH14" i="19"/>
  <c r="AA14" i="19"/>
  <c r="AK13" i="19"/>
  <c r="AJ13" i="19"/>
  <c r="AI13" i="19"/>
  <c r="AH13" i="19"/>
  <c r="AA13" i="19"/>
  <c r="AK12" i="19"/>
  <c r="AJ12" i="19"/>
  <c r="AI12" i="19"/>
  <c r="AH12" i="19"/>
  <c r="AA12" i="19"/>
  <c r="AK11" i="19"/>
  <c r="AJ11" i="19"/>
  <c r="AI11" i="19"/>
  <c r="AH11" i="19"/>
  <c r="AA11" i="19"/>
  <c r="AK10" i="19"/>
  <c r="AJ10" i="19"/>
  <c r="AI10" i="19"/>
  <c r="AH10" i="19"/>
  <c r="AA10" i="19"/>
  <c r="AK9" i="19"/>
  <c r="AJ9" i="19"/>
  <c r="AI9" i="19"/>
  <c r="AH9" i="19"/>
  <c r="AA9" i="19"/>
  <c r="AK8" i="19"/>
  <c r="AJ8" i="19"/>
  <c r="AI8" i="19"/>
  <c r="AH8" i="19"/>
  <c r="AA8" i="19"/>
  <c r="AK7" i="19"/>
  <c r="AJ7" i="19"/>
  <c r="AI7" i="19"/>
  <c r="AH7" i="19"/>
  <c r="AA7" i="19"/>
  <c r="AK6" i="19"/>
  <c r="AJ6" i="19"/>
  <c r="AI6" i="19"/>
  <c r="AH6" i="19"/>
  <c r="AA6" i="19"/>
  <c r="AK5" i="19"/>
  <c r="AJ5" i="19"/>
  <c r="AI5" i="19"/>
  <c r="AH5" i="19"/>
  <c r="AA5" i="19"/>
  <c r="AK4" i="19"/>
  <c r="AJ4" i="19"/>
  <c r="AI4" i="19"/>
  <c r="AH4" i="19"/>
  <c r="AA4" i="19"/>
  <c r="AK3" i="19"/>
  <c r="AJ3" i="19"/>
  <c r="AI3" i="19"/>
  <c r="AH3" i="19"/>
  <c r="AA3" i="19"/>
  <c r="AK2" i="19"/>
  <c r="AJ2" i="19"/>
  <c r="AI2" i="19"/>
  <c r="AH2" i="19"/>
  <c r="AA2" i="19"/>
  <c r="L129" i="13"/>
  <c r="I129" i="13"/>
  <c r="L261" i="13"/>
  <c r="I261" i="13"/>
  <c r="G17" i="15"/>
  <c r="G358" i="18"/>
  <c r="F358" i="18"/>
  <c r="E358" i="18"/>
  <c r="D357" i="18"/>
  <c r="D363" i="18" s="1"/>
  <c r="E354" i="18"/>
  <c r="D354" i="18"/>
  <c r="I343" i="18"/>
  <c r="H343" i="18"/>
  <c r="F343" i="18"/>
  <c r="F344" i="18" s="1"/>
  <c r="E343" i="18"/>
  <c r="D343" i="18"/>
  <c r="J342" i="18"/>
  <c r="K341" i="18"/>
  <c r="J341" i="18"/>
  <c r="K340" i="18"/>
  <c r="J340" i="18"/>
  <c r="K338" i="18"/>
  <c r="J338" i="18"/>
  <c r="K337" i="18"/>
  <c r="J337" i="18"/>
  <c r="K336" i="18"/>
  <c r="J336" i="18"/>
  <c r="K335" i="18"/>
  <c r="J335" i="18"/>
  <c r="K334" i="18"/>
  <c r="J334" i="18"/>
  <c r="K333" i="18"/>
  <c r="J333" i="18"/>
  <c r="K332" i="18"/>
  <c r="J332" i="18"/>
  <c r="K331" i="18"/>
  <c r="J331" i="18"/>
  <c r="K330" i="18"/>
  <c r="J330" i="18"/>
  <c r="K329" i="18"/>
  <c r="J329" i="18"/>
  <c r="K328" i="18"/>
  <c r="J328" i="18"/>
  <c r="K327" i="18"/>
  <c r="J327" i="18"/>
  <c r="K326" i="18"/>
  <c r="J326" i="18"/>
  <c r="K325" i="18"/>
  <c r="J325" i="18"/>
  <c r="K323" i="18"/>
  <c r="J323" i="18"/>
  <c r="K322" i="18"/>
  <c r="J322" i="18"/>
  <c r="K321" i="18"/>
  <c r="J321" i="18"/>
  <c r="K320" i="18"/>
  <c r="J320" i="18"/>
  <c r="K319" i="18"/>
  <c r="J319" i="18"/>
  <c r="K318" i="18"/>
  <c r="J318" i="18"/>
  <c r="K316" i="18"/>
  <c r="J316" i="18"/>
  <c r="K315" i="18"/>
  <c r="J315" i="18"/>
  <c r="K313" i="18"/>
  <c r="J313" i="18"/>
  <c r="K312" i="18"/>
  <c r="J312" i="18"/>
  <c r="K311" i="18"/>
  <c r="J311" i="18"/>
  <c r="K310" i="18"/>
  <c r="J310" i="18"/>
  <c r="K309" i="18"/>
  <c r="J309" i="18"/>
  <c r="K307" i="18"/>
  <c r="J307" i="18"/>
  <c r="K306" i="18"/>
  <c r="J306" i="18"/>
  <c r="K305" i="18"/>
  <c r="J305" i="18"/>
  <c r="K304" i="18"/>
  <c r="J304" i="18"/>
  <c r="K303" i="18"/>
  <c r="J303" i="18"/>
  <c r="K302" i="18"/>
  <c r="J302" i="18"/>
  <c r="K301" i="18"/>
  <c r="J301" i="18"/>
  <c r="K300" i="18"/>
  <c r="J300" i="18"/>
  <c r="K299" i="18"/>
  <c r="J299" i="18"/>
  <c r="K298" i="18"/>
  <c r="J298" i="18"/>
  <c r="K297" i="18"/>
  <c r="J297" i="18"/>
  <c r="K296" i="18"/>
  <c r="J296" i="18"/>
  <c r="K295" i="18"/>
  <c r="J295" i="18"/>
  <c r="K293" i="18"/>
  <c r="J293" i="18"/>
  <c r="K292" i="18"/>
  <c r="J292" i="18"/>
  <c r="K290" i="18"/>
  <c r="J290" i="18"/>
  <c r="K289" i="18"/>
  <c r="J289" i="18"/>
  <c r="K288" i="18"/>
  <c r="J288" i="18"/>
  <c r="K287" i="18"/>
  <c r="J287" i="18"/>
  <c r="K286" i="18"/>
  <c r="J286" i="18"/>
  <c r="K285" i="18"/>
  <c r="J285" i="18"/>
  <c r="K284" i="18"/>
  <c r="J284" i="18"/>
  <c r="K283" i="18"/>
  <c r="J283" i="18"/>
  <c r="K282" i="18"/>
  <c r="J282" i="18"/>
  <c r="K281" i="18"/>
  <c r="J281" i="18"/>
  <c r="K280" i="18"/>
  <c r="J280" i="18"/>
  <c r="K279" i="18"/>
  <c r="J279" i="18"/>
  <c r="K278" i="18"/>
  <c r="J278" i="18"/>
  <c r="K277" i="18"/>
  <c r="J277" i="18"/>
  <c r="K276" i="18"/>
  <c r="J276" i="18"/>
  <c r="K275" i="18"/>
  <c r="J275" i="18"/>
  <c r="K273" i="18"/>
  <c r="J273" i="18"/>
  <c r="K272" i="18"/>
  <c r="J272" i="18"/>
  <c r="K271" i="18"/>
  <c r="J271" i="18"/>
  <c r="K270" i="18"/>
  <c r="J270" i="18"/>
  <c r="K268" i="18"/>
  <c r="J268" i="18"/>
  <c r="K267" i="18"/>
  <c r="J267" i="18"/>
  <c r="K266" i="18"/>
  <c r="J266" i="18"/>
  <c r="K265" i="18"/>
  <c r="J265" i="18"/>
  <c r="K263" i="18"/>
  <c r="J263" i="18"/>
  <c r="K262" i="18"/>
  <c r="J262" i="18"/>
  <c r="K261" i="18"/>
  <c r="J261" i="18"/>
  <c r="K259" i="18"/>
  <c r="J259" i="18"/>
  <c r="K258" i="18"/>
  <c r="J258" i="18"/>
  <c r="K257" i="18"/>
  <c r="J257" i="18"/>
  <c r="K256" i="18"/>
  <c r="J256" i="18"/>
  <c r="K255" i="18"/>
  <c r="J255" i="18"/>
  <c r="K254" i="18"/>
  <c r="J254" i="18"/>
  <c r="K253" i="18"/>
  <c r="J253" i="18"/>
  <c r="K252" i="18"/>
  <c r="J252" i="18"/>
  <c r="K250" i="18"/>
  <c r="J250" i="18"/>
  <c r="K249" i="18"/>
  <c r="J249" i="18"/>
  <c r="K247" i="18"/>
  <c r="J247" i="18"/>
  <c r="K246" i="18"/>
  <c r="J246" i="18"/>
  <c r="K244" i="18"/>
  <c r="J244" i="18"/>
  <c r="K243" i="18"/>
  <c r="J243" i="18"/>
  <c r="K242" i="18"/>
  <c r="J242" i="18"/>
  <c r="K241" i="18"/>
  <c r="J241" i="18"/>
  <c r="K240" i="18"/>
  <c r="J240" i="18"/>
  <c r="K237" i="18"/>
  <c r="J237" i="18"/>
  <c r="K236" i="18"/>
  <c r="J236" i="18"/>
  <c r="K235" i="18"/>
  <c r="J235" i="18"/>
  <c r="K234" i="18"/>
  <c r="J234" i="18"/>
  <c r="K233" i="18"/>
  <c r="J233" i="18"/>
  <c r="K232" i="18"/>
  <c r="J232" i="18"/>
  <c r="K231" i="18"/>
  <c r="J231" i="18"/>
  <c r="K230" i="18"/>
  <c r="J230" i="18"/>
  <c r="K229" i="18"/>
  <c r="J229" i="18"/>
  <c r="K228" i="18"/>
  <c r="J228" i="18"/>
  <c r="K226" i="18"/>
  <c r="J226" i="18"/>
  <c r="K225" i="18"/>
  <c r="J225" i="18"/>
  <c r="K224" i="18"/>
  <c r="J224" i="18"/>
  <c r="K223" i="18"/>
  <c r="J223" i="18"/>
  <c r="K222" i="18"/>
  <c r="J222" i="18"/>
  <c r="K220" i="18"/>
  <c r="J220" i="18"/>
  <c r="K219" i="18"/>
  <c r="J219" i="18"/>
  <c r="K218" i="18"/>
  <c r="J218" i="18"/>
  <c r="K217" i="18"/>
  <c r="J217" i="18"/>
  <c r="K216" i="18"/>
  <c r="J216" i="18"/>
  <c r="K215" i="18"/>
  <c r="J215" i="18"/>
  <c r="K214" i="18"/>
  <c r="J214" i="18"/>
  <c r="K213" i="18"/>
  <c r="J213" i="18"/>
  <c r="K212" i="18"/>
  <c r="J212" i="18"/>
  <c r="K211" i="18"/>
  <c r="J211" i="18"/>
  <c r="K210" i="18"/>
  <c r="J210" i="18"/>
  <c r="K209" i="18"/>
  <c r="J209" i="18"/>
  <c r="K208" i="18"/>
  <c r="J208" i="18"/>
  <c r="K207" i="18"/>
  <c r="J207" i="18"/>
  <c r="K206" i="18"/>
  <c r="J206" i="18"/>
  <c r="K205" i="18"/>
  <c r="J205" i="18"/>
  <c r="K204" i="18"/>
  <c r="J204" i="18"/>
  <c r="K202" i="18"/>
  <c r="J202" i="18"/>
  <c r="K201" i="18"/>
  <c r="J201" i="18"/>
  <c r="K200" i="18"/>
  <c r="J200" i="18"/>
  <c r="K199" i="18"/>
  <c r="J199" i="18"/>
  <c r="K198" i="18"/>
  <c r="J198" i="18"/>
  <c r="K197" i="18"/>
  <c r="J197" i="18"/>
  <c r="K196" i="18"/>
  <c r="J196" i="18"/>
  <c r="K195" i="18"/>
  <c r="J195" i="18"/>
  <c r="K194" i="18"/>
  <c r="J194" i="18"/>
  <c r="K193" i="18"/>
  <c r="J193" i="18"/>
  <c r="K192" i="18"/>
  <c r="J192" i="18"/>
  <c r="K191" i="18"/>
  <c r="J191" i="18"/>
  <c r="K190" i="18"/>
  <c r="J190" i="18"/>
  <c r="K189" i="18"/>
  <c r="J189" i="18"/>
  <c r="K188" i="18"/>
  <c r="J188" i="18"/>
  <c r="K187" i="18"/>
  <c r="J187" i="18"/>
  <c r="K186" i="18"/>
  <c r="J186" i="18"/>
  <c r="K185" i="18"/>
  <c r="J185" i="18"/>
  <c r="K184" i="18"/>
  <c r="J184" i="18"/>
  <c r="K183" i="18"/>
  <c r="J183" i="18"/>
  <c r="K182" i="18"/>
  <c r="J182" i="18"/>
  <c r="K181" i="18"/>
  <c r="J181" i="18"/>
  <c r="K180" i="18"/>
  <c r="J180" i="18"/>
  <c r="K179" i="18"/>
  <c r="J179" i="18"/>
  <c r="K178" i="18"/>
  <c r="J178" i="18"/>
  <c r="K176" i="18"/>
  <c r="J176" i="18"/>
  <c r="K174" i="18"/>
  <c r="J174" i="18"/>
  <c r="K173" i="18"/>
  <c r="J173" i="18"/>
  <c r="K172" i="18"/>
  <c r="J172" i="18"/>
  <c r="K171" i="18"/>
  <c r="J171" i="18"/>
  <c r="K170" i="18"/>
  <c r="J170" i="18"/>
  <c r="K169" i="18"/>
  <c r="J169" i="18"/>
  <c r="K168" i="18"/>
  <c r="J168" i="18"/>
  <c r="K167" i="18"/>
  <c r="J167" i="18"/>
  <c r="K166" i="18"/>
  <c r="J166" i="18"/>
  <c r="K165" i="18"/>
  <c r="J165" i="18"/>
  <c r="K164" i="18"/>
  <c r="J164" i="18"/>
  <c r="K163" i="18"/>
  <c r="J163" i="18"/>
  <c r="K162" i="18"/>
  <c r="J162" i="18"/>
  <c r="K161" i="18"/>
  <c r="J161" i="18"/>
  <c r="K160" i="18"/>
  <c r="J160" i="18"/>
  <c r="K159" i="18"/>
  <c r="J159" i="18"/>
  <c r="K158" i="18"/>
  <c r="J158" i="18"/>
  <c r="K157" i="18"/>
  <c r="J157" i="18"/>
  <c r="K156" i="18"/>
  <c r="J156" i="18"/>
  <c r="K155" i="18"/>
  <c r="J155" i="18"/>
  <c r="K154" i="18"/>
  <c r="J154" i="18"/>
  <c r="K152" i="18"/>
  <c r="J152" i="18"/>
  <c r="K151" i="18"/>
  <c r="J151" i="18"/>
  <c r="K150" i="18"/>
  <c r="J150" i="18"/>
  <c r="K149" i="18"/>
  <c r="J149" i="18"/>
  <c r="K147" i="18"/>
  <c r="J147" i="18"/>
  <c r="K145" i="18"/>
  <c r="J145" i="18"/>
  <c r="K144" i="18"/>
  <c r="J144" i="18"/>
  <c r="K143" i="18"/>
  <c r="J143" i="18"/>
  <c r="K142" i="18"/>
  <c r="J142" i="18"/>
  <c r="K141" i="18"/>
  <c r="J141" i="18"/>
  <c r="K139" i="18"/>
  <c r="J139" i="18"/>
  <c r="K138" i="18"/>
  <c r="J138" i="18"/>
  <c r="K137" i="18"/>
  <c r="J137" i="18"/>
  <c r="K136" i="18"/>
  <c r="J136" i="18"/>
  <c r="K135" i="18"/>
  <c r="J135" i="18"/>
  <c r="K134" i="18"/>
  <c r="J134" i="18"/>
  <c r="K133" i="18"/>
  <c r="J133" i="18"/>
  <c r="K131" i="18"/>
  <c r="J131" i="18"/>
  <c r="K130" i="18"/>
  <c r="J130" i="18"/>
  <c r="K129" i="18"/>
  <c r="J129" i="18"/>
  <c r="K128" i="18"/>
  <c r="J128" i="18"/>
  <c r="K127" i="18"/>
  <c r="J127" i="18"/>
  <c r="K126" i="18"/>
  <c r="J126" i="18"/>
  <c r="K125" i="18"/>
  <c r="J125" i="18"/>
  <c r="K124" i="18"/>
  <c r="J124" i="18"/>
  <c r="K123" i="18"/>
  <c r="J123" i="18"/>
  <c r="K122" i="18"/>
  <c r="J122" i="18"/>
  <c r="K121" i="18"/>
  <c r="J121" i="18"/>
  <c r="K120" i="18"/>
  <c r="J120" i="18"/>
  <c r="K119" i="18"/>
  <c r="J119" i="18"/>
  <c r="K118" i="18"/>
  <c r="J118" i="18"/>
  <c r="K117" i="18"/>
  <c r="J117" i="18"/>
  <c r="K116" i="18"/>
  <c r="J116" i="18"/>
  <c r="K115" i="18"/>
  <c r="J115" i="18"/>
  <c r="K114" i="18"/>
  <c r="J114" i="18"/>
  <c r="K113" i="18"/>
  <c r="J113" i="18"/>
  <c r="K112" i="18"/>
  <c r="J112" i="18"/>
  <c r="K111" i="18"/>
  <c r="J111" i="18"/>
  <c r="K110" i="18"/>
  <c r="J110" i="18"/>
  <c r="K109" i="18"/>
  <c r="J109" i="18"/>
  <c r="K108" i="18"/>
  <c r="J108" i="18"/>
  <c r="K107" i="18"/>
  <c r="J107" i="18"/>
  <c r="K106" i="18"/>
  <c r="J106" i="18"/>
  <c r="K104" i="18"/>
  <c r="J104" i="18"/>
  <c r="K103" i="18"/>
  <c r="J103" i="18"/>
  <c r="K102" i="18"/>
  <c r="J102" i="18"/>
  <c r="K99" i="18"/>
  <c r="J99" i="18"/>
  <c r="K97" i="18"/>
  <c r="J97" i="18"/>
  <c r="K96" i="18"/>
  <c r="J96" i="18"/>
  <c r="K95" i="18"/>
  <c r="J95" i="18"/>
  <c r="K94" i="18"/>
  <c r="J94" i="18"/>
  <c r="K93" i="18"/>
  <c r="J93" i="18"/>
  <c r="K92" i="18"/>
  <c r="J92" i="18"/>
  <c r="K91" i="18"/>
  <c r="J91" i="18"/>
  <c r="K90" i="18"/>
  <c r="J90" i="18"/>
  <c r="K89" i="18"/>
  <c r="J89" i="18"/>
  <c r="K88" i="18"/>
  <c r="J88" i="18"/>
  <c r="K87" i="18"/>
  <c r="J87" i="18"/>
  <c r="K86" i="18"/>
  <c r="J86" i="18"/>
  <c r="K85" i="18"/>
  <c r="J85" i="18"/>
  <c r="K83" i="18"/>
  <c r="J83" i="18"/>
  <c r="K82" i="18"/>
  <c r="J82" i="18"/>
  <c r="K81" i="18"/>
  <c r="J81" i="18"/>
  <c r="K80" i="18"/>
  <c r="J80" i="18"/>
  <c r="K79" i="18"/>
  <c r="J79" i="18"/>
  <c r="K78" i="18"/>
  <c r="J78" i="18"/>
  <c r="K77" i="18"/>
  <c r="J77" i="18"/>
  <c r="K76" i="18"/>
  <c r="J76" i="18"/>
  <c r="K75" i="18"/>
  <c r="J75" i="18"/>
  <c r="K74" i="18"/>
  <c r="J74" i="18"/>
  <c r="K73" i="18"/>
  <c r="J73" i="18"/>
  <c r="K72" i="18"/>
  <c r="J72" i="18"/>
  <c r="K71" i="18"/>
  <c r="J71" i="18"/>
  <c r="K69" i="18"/>
  <c r="J69" i="18"/>
  <c r="K68" i="18"/>
  <c r="J68" i="18"/>
  <c r="K66" i="18"/>
  <c r="J66" i="18"/>
  <c r="K65" i="18"/>
  <c r="J65" i="18"/>
  <c r="K64" i="18"/>
  <c r="J64" i="18"/>
  <c r="K63" i="18"/>
  <c r="J63" i="18"/>
  <c r="K61" i="18"/>
  <c r="J61" i="18"/>
  <c r="K60" i="18"/>
  <c r="J60" i="18"/>
  <c r="K59" i="18"/>
  <c r="J59" i="18"/>
  <c r="K58" i="18"/>
  <c r="J58" i="18"/>
  <c r="K57" i="18"/>
  <c r="J57" i="18"/>
  <c r="K56" i="18"/>
  <c r="J56" i="18"/>
  <c r="K55" i="18"/>
  <c r="J55" i="18"/>
  <c r="K54" i="18"/>
  <c r="J54" i="18"/>
  <c r="K53" i="18"/>
  <c r="J53" i="18"/>
  <c r="K52" i="18"/>
  <c r="J52" i="18"/>
  <c r="K51" i="18"/>
  <c r="J51" i="18"/>
  <c r="K50" i="18"/>
  <c r="J50" i="18"/>
  <c r="K49" i="18"/>
  <c r="J49" i="18"/>
  <c r="K48" i="18"/>
  <c r="J48" i="18"/>
  <c r="K47" i="18"/>
  <c r="J47" i="18"/>
  <c r="K46" i="18"/>
  <c r="J46" i="18"/>
  <c r="K45" i="18"/>
  <c r="J45" i="18"/>
  <c r="K44" i="18"/>
  <c r="J44" i="18"/>
  <c r="K42" i="18"/>
  <c r="J42" i="18"/>
  <c r="K40" i="18"/>
  <c r="J40" i="18"/>
  <c r="K39" i="18"/>
  <c r="J39" i="18"/>
  <c r="K38" i="18"/>
  <c r="J38" i="18"/>
  <c r="K37" i="18"/>
  <c r="J37" i="18"/>
  <c r="K36" i="18"/>
  <c r="J36" i="18"/>
  <c r="K34" i="18"/>
  <c r="J34" i="18"/>
  <c r="K33" i="18"/>
  <c r="J33" i="18"/>
  <c r="K31" i="18"/>
  <c r="J31" i="18"/>
  <c r="K30" i="18"/>
  <c r="J30" i="18"/>
  <c r="K28" i="18"/>
  <c r="J28" i="18"/>
  <c r="K27" i="18"/>
  <c r="J27" i="18"/>
  <c r="K26" i="18"/>
  <c r="J26" i="18"/>
  <c r="K25" i="18"/>
  <c r="J25" i="18"/>
  <c r="K24" i="18"/>
  <c r="J24" i="18"/>
  <c r="K23" i="18"/>
  <c r="J23" i="18"/>
  <c r="K22" i="18"/>
  <c r="J22" i="18"/>
  <c r="K21" i="18"/>
  <c r="J21" i="18"/>
  <c r="K20" i="18"/>
  <c r="J20" i="18"/>
  <c r="K19" i="18"/>
  <c r="J19" i="18"/>
  <c r="K18" i="18"/>
  <c r="J18" i="18"/>
  <c r="K17" i="18"/>
  <c r="J17" i="18"/>
  <c r="K16" i="18"/>
  <c r="J16" i="18"/>
  <c r="K15" i="18"/>
  <c r="J15" i="18"/>
  <c r="K14" i="18"/>
  <c r="J14" i="18"/>
  <c r="K12" i="18"/>
  <c r="J12" i="18"/>
  <c r="K11" i="18"/>
  <c r="J11" i="18"/>
  <c r="K10" i="18"/>
  <c r="J10" i="18"/>
  <c r="K9" i="18"/>
  <c r="J9" i="18"/>
  <c r="K7" i="18"/>
  <c r="J7" i="18"/>
  <c r="L269" i="13"/>
  <c r="L90" i="13"/>
  <c r="M90" i="13" s="1"/>
  <c r="L89" i="13"/>
  <c r="M89" i="13" s="1"/>
  <c r="L88" i="13"/>
  <c r="M88" i="13" s="1"/>
  <c r="L87" i="13"/>
  <c r="M87" i="13" s="1"/>
  <c r="L51" i="13"/>
  <c r="M51" i="13" s="1"/>
  <c r="L50" i="13"/>
  <c r="M50" i="13" s="1"/>
  <c r="L49" i="13"/>
  <c r="M49" i="13" s="1"/>
  <c r="L48" i="13"/>
  <c r="M48" i="13" s="1"/>
  <c r="L86" i="13"/>
  <c r="M86" i="13" s="1"/>
  <c r="L107" i="13"/>
  <c r="M107" i="13" s="1"/>
  <c r="L91" i="13"/>
  <c r="M91" i="13" s="1"/>
  <c r="L85" i="13"/>
  <c r="M85" i="13" s="1"/>
  <c r="L47" i="13"/>
  <c r="M47" i="13" s="1"/>
  <c r="L46" i="13"/>
  <c r="M46" i="13" s="1"/>
  <c r="L45" i="13"/>
  <c r="L44" i="13"/>
  <c r="L106" i="13"/>
  <c r="M106" i="13" s="1"/>
  <c r="L84" i="13"/>
  <c r="M84" i="13" s="1"/>
  <c r="L105" i="13"/>
  <c r="M105" i="13" s="1"/>
  <c r="L43" i="13"/>
  <c r="M43" i="13" s="1"/>
  <c r="L104" i="13"/>
  <c r="M104" i="13" s="1"/>
  <c r="L42" i="13"/>
  <c r="M42" i="13" s="1"/>
  <c r="L41" i="13"/>
  <c r="M41" i="13" s="1"/>
  <c r="L40" i="13"/>
  <c r="M40" i="13" s="1"/>
  <c r="L103" i="13"/>
  <c r="M103" i="13" s="1"/>
  <c r="L102" i="13"/>
  <c r="M102" i="13" s="1"/>
  <c r="L83" i="13"/>
  <c r="M83" i="13" s="1"/>
  <c r="L101" i="13"/>
  <c r="M101" i="13" s="1"/>
  <c r="L100" i="13"/>
  <c r="M100" i="13" s="1"/>
  <c r="L99" i="13"/>
  <c r="M99" i="13" s="1"/>
  <c r="L39" i="13"/>
  <c r="M39" i="13" s="1"/>
  <c r="L82" i="13"/>
  <c r="M82" i="13" s="1"/>
  <c r="L98" i="13"/>
  <c r="M98" i="13" s="1"/>
  <c r="L38" i="13"/>
  <c r="M38" i="13" s="1"/>
  <c r="L37" i="13"/>
  <c r="M37" i="13" s="1"/>
  <c r="L81" i="13"/>
  <c r="M81" i="13" s="1"/>
  <c r="L36" i="13"/>
  <c r="M36" i="13" s="1"/>
  <c r="L35" i="13"/>
  <c r="M35" i="13" s="1"/>
  <c r="L34" i="13"/>
  <c r="M34" i="13" s="1"/>
  <c r="L54" i="13"/>
  <c r="M54" i="13" s="1"/>
  <c r="L32" i="13"/>
  <c r="M32" i="13" s="1"/>
  <c r="L80" i="13"/>
  <c r="M80" i="13" s="1"/>
  <c r="L79" i="13"/>
  <c r="M79" i="13" s="1"/>
  <c r="L78" i="13"/>
  <c r="M78" i="13" s="1"/>
  <c r="L77" i="13"/>
  <c r="M77" i="13" s="1"/>
  <c r="L30" i="13"/>
  <c r="M30" i="13" s="1"/>
  <c r="L76" i="13"/>
  <c r="M76" i="13" s="1"/>
  <c r="L29" i="13"/>
  <c r="M29" i="13" s="1"/>
  <c r="L75" i="13"/>
  <c r="M75" i="13" s="1"/>
  <c r="L74" i="13"/>
  <c r="M74" i="13" s="1"/>
  <c r="L28" i="13"/>
  <c r="M28" i="13" s="1"/>
  <c r="L27" i="13"/>
  <c r="M27" i="13" s="1"/>
  <c r="L26" i="13"/>
  <c r="M26" i="13" s="1"/>
  <c r="L25" i="13"/>
  <c r="M25" i="13" s="1"/>
  <c r="L23" i="13"/>
  <c r="M23" i="13" s="1"/>
  <c r="L73" i="13"/>
  <c r="M73" i="13" s="1"/>
  <c r="L22" i="13"/>
  <c r="M22" i="13" s="1"/>
  <c r="L72" i="13"/>
  <c r="M72" i="13" s="1"/>
  <c r="L21" i="13"/>
  <c r="M21" i="13" s="1"/>
  <c r="L20" i="13"/>
  <c r="M20" i="13" s="1"/>
  <c r="L19" i="13"/>
  <c r="M19" i="13" s="1"/>
  <c r="L71" i="13"/>
  <c r="M71" i="13" s="1"/>
  <c r="L70" i="13"/>
  <c r="M70" i="13" s="1"/>
  <c r="L18" i="13"/>
  <c r="M18" i="13" s="1"/>
  <c r="L17" i="13"/>
  <c r="M17" i="13" s="1"/>
  <c r="L16" i="13"/>
  <c r="M16" i="13" s="1"/>
  <c r="L15" i="13"/>
  <c r="M15" i="13" s="1"/>
  <c r="L69" i="13"/>
  <c r="M69" i="13" s="1"/>
  <c r="L14" i="13"/>
  <c r="M14" i="13" s="1"/>
  <c r="L68" i="13"/>
  <c r="M68" i="13" s="1"/>
  <c r="L268" i="13"/>
  <c r="M268" i="13" s="1"/>
  <c r="L97" i="13"/>
  <c r="M97" i="13" s="1"/>
  <c r="L108" i="13"/>
  <c r="M108" i="13" s="1"/>
  <c r="L96" i="13"/>
  <c r="M96" i="13" s="1"/>
  <c r="L67" i="13"/>
  <c r="M67" i="13" s="1"/>
  <c r="L13" i="13"/>
  <c r="M13" i="13" s="1"/>
  <c r="L12" i="13"/>
  <c r="M12" i="13" s="1"/>
  <c r="L11" i="13"/>
  <c r="M11" i="13" s="1"/>
  <c r="L10" i="13"/>
  <c r="M10" i="13" s="1"/>
  <c r="L217" i="13"/>
  <c r="L216" i="13"/>
  <c r="L213" i="13"/>
  <c r="L212" i="13"/>
  <c r="L211" i="13"/>
  <c r="L210" i="13"/>
  <c r="L209" i="13"/>
  <c r="L208" i="13"/>
  <c r="L207" i="13"/>
  <c r="L206" i="13"/>
  <c r="L205" i="13"/>
  <c r="L203" i="13"/>
  <c r="L202" i="13"/>
  <c r="L201" i="13"/>
  <c r="L200" i="13"/>
  <c r="L226" i="13"/>
  <c r="L225" i="13"/>
  <c r="L199" i="13"/>
  <c r="L198" i="13"/>
  <c r="L197" i="13"/>
  <c r="L196" i="13"/>
  <c r="L195" i="13"/>
  <c r="L194" i="13"/>
  <c r="L191" i="13"/>
  <c r="M191" i="13" s="1"/>
  <c r="L219" i="13"/>
  <c r="M219" i="13" s="1"/>
  <c r="L190" i="13"/>
  <c r="M190" i="13" s="1"/>
  <c r="L189" i="13"/>
  <c r="M189" i="13" s="1"/>
  <c r="L188" i="13"/>
  <c r="M188" i="13" s="1"/>
  <c r="L187" i="13"/>
  <c r="L186" i="13"/>
  <c r="M186" i="13" s="1"/>
  <c r="L185" i="13"/>
  <c r="M185" i="13" s="1"/>
  <c r="L184" i="13"/>
  <c r="L183" i="13"/>
  <c r="L182" i="13"/>
  <c r="L181" i="13"/>
  <c r="L180" i="13"/>
  <c r="L179" i="13"/>
  <c r="L178" i="13"/>
  <c r="L176" i="13"/>
  <c r="M176" i="13" s="1"/>
  <c r="L175" i="13"/>
  <c r="L174" i="13"/>
  <c r="L173" i="13"/>
  <c r="M173" i="13" s="1"/>
  <c r="L172" i="13"/>
  <c r="M172" i="13" s="1"/>
  <c r="L171" i="13"/>
  <c r="M171" i="13" s="1"/>
  <c r="L170" i="13"/>
  <c r="M170" i="13" s="1"/>
  <c r="L169" i="13"/>
  <c r="M169" i="13" s="1"/>
  <c r="L168" i="13"/>
  <c r="M168" i="13" s="1"/>
  <c r="L167" i="13"/>
  <c r="M167" i="13" s="1"/>
  <c r="L166" i="13"/>
  <c r="M166" i="13" s="1"/>
  <c r="L165" i="13"/>
  <c r="M165" i="13" s="1"/>
  <c r="L164" i="13"/>
  <c r="M164" i="13" s="1"/>
  <c r="L95" i="13"/>
  <c r="M95" i="13" s="1"/>
  <c r="L94" i="13"/>
  <c r="M94" i="13" s="1"/>
  <c r="L66" i="13"/>
  <c r="M66" i="13" s="1"/>
  <c r="L93" i="13"/>
  <c r="M93" i="13" s="1"/>
  <c r="L65" i="13"/>
  <c r="M65" i="13" s="1"/>
  <c r="L163" i="13"/>
  <c r="M163" i="13" s="1"/>
  <c r="L161" i="13"/>
  <c r="M161" i="13" s="1"/>
  <c r="L160" i="13"/>
  <c r="M160" i="13" s="1"/>
  <c r="L159" i="13"/>
  <c r="M159" i="13" s="1"/>
  <c r="L158" i="13"/>
  <c r="M158" i="13" s="1"/>
  <c r="L265" i="13"/>
  <c r="M265" i="13" s="1"/>
  <c r="L263" i="13"/>
  <c r="L156" i="13"/>
  <c r="L155" i="13"/>
  <c r="L154" i="13"/>
  <c r="M154" i="13" s="1"/>
  <c r="L153" i="13"/>
  <c r="M153" i="13" s="1"/>
  <c r="L152" i="13"/>
  <c r="M152" i="13" s="1"/>
  <c r="L151" i="13"/>
  <c r="M151" i="13" s="1"/>
  <c r="L150" i="13"/>
  <c r="M150" i="13" s="1"/>
  <c r="L149" i="13"/>
  <c r="L259" i="13"/>
  <c r="M259" i="13" s="1"/>
  <c r="L148" i="13"/>
  <c r="L146" i="13"/>
  <c r="L145" i="13"/>
  <c r="L144" i="13"/>
  <c r="L254" i="13"/>
  <c r="M254" i="13" s="1"/>
  <c r="L253" i="13"/>
  <c r="M253" i="13" s="1"/>
  <c r="L143" i="13"/>
  <c r="L142" i="13"/>
  <c r="L141" i="13"/>
  <c r="L140" i="13"/>
  <c r="L249" i="13"/>
  <c r="M249" i="13" s="1"/>
  <c r="L139" i="13"/>
  <c r="L138" i="13"/>
  <c r="L244" i="13"/>
  <c r="M244" i="13" s="1"/>
  <c r="L137" i="13"/>
  <c r="L133" i="13"/>
  <c r="L239" i="13"/>
  <c r="M239" i="13" s="1"/>
  <c r="L125" i="13"/>
  <c r="L228" i="13"/>
  <c r="M228" i="13" s="1"/>
  <c r="L122" i="13"/>
  <c r="L119" i="13"/>
  <c r="L116" i="13"/>
  <c r="L113" i="13"/>
  <c r="L112" i="13"/>
  <c r="L111" i="13"/>
  <c r="J110" i="13"/>
  <c r="L110" i="13" s="1"/>
  <c r="M110" i="13" s="1"/>
  <c r="L55" i="13"/>
  <c r="M55" i="13" s="1"/>
  <c r="J53" i="13"/>
  <c r="L53" i="13" s="1"/>
  <c r="M53" i="13" s="1"/>
  <c r="J52" i="13"/>
  <c r="L52" i="13" s="1"/>
  <c r="L231" i="13"/>
  <c r="L224" i="13"/>
  <c r="L223" i="13"/>
  <c r="L177" i="13"/>
  <c r="L267" i="13"/>
  <c r="K264" i="13"/>
  <c r="J264" i="13"/>
  <c r="L157" i="13"/>
  <c r="L258" i="13"/>
  <c r="J257" i="13"/>
  <c r="J256" i="13"/>
  <c r="J252" i="13"/>
  <c r="L252" i="13" s="1"/>
  <c r="J251" i="13"/>
  <c r="L251" i="13" s="1"/>
  <c r="J250" i="13"/>
  <c r="L250" i="13" s="1"/>
  <c r="J248" i="13"/>
  <c r="L248" i="13" s="1"/>
  <c r="J247" i="13"/>
  <c r="J246" i="13"/>
  <c r="L246" i="13" s="1"/>
  <c r="L245" i="13"/>
  <c r="J243" i="13"/>
  <c r="J240" i="13"/>
  <c r="L240" i="13" s="1"/>
  <c r="J132" i="13"/>
  <c r="L132" i="13" s="1"/>
  <c r="L238" i="13"/>
  <c r="J237" i="13"/>
  <c r="L237" i="13" s="1"/>
  <c r="J235" i="13"/>
  <c r="L235" i="13" s="1"/>
  <c r="L234" i="13"/>
  <c r="L130" i="13"/>
  <c r="K233" i="13"/>
  <c r="J233" i="13"/>
  <c r="J127" i="13"/>
  <c r="L127" i="13" s="1"/>
  <c r="L126" i="13"/>
  <c r="L124" i="13"/>
  <c r="J230" i="13"/>
  <c r="L230" i="13" s="1"/>
  <c r="L123" i="13"/>
  <c r="K222" i="13"/>
  <c r="J222" i="13"/>
  <c r="K221" i="13"/>
  <c r="J221" i="13"/>
  <c r="L117" i="13"/>
  <c r="J115" i="13"/>
  <c r="L115" i="13" s="1"/>
  <c r="J266" i="13"/>
  <c r="L114" i="13"/>
  <c r="L229" i="13"/>
  <c r="L218" i="13"/>
  <c r="J24" i="12"/>
  <c r="J25" i="12"/>
  <c r="J153" i="12"/>
  <c r="J81" i="12"/>
  <c r="J80" i="12"/>
  <c r="J71" i="12"/>
  <c r="J70" i="12"/>
  <c r="J45" i="12"/>
  <c r="H21" i="12"/>
  <c r="H221" i="13" s="1"/>
  <c r="G21" i="12"/>
  <c r="J107" i="12"/>
  <c r="J106" i="12"/>
  <c r="J162" i="12"/>
  <c r="J161" i="12"/>
  <c r="J160" i="12"/>
  <c r="J148" i="12"/>
  <c r="J147" i="12"/>
  <c r="J62" i="12"/>
  <c r="J135" i="12"/>
  <c r="J134" i="12"/>
  <c r="H232" i="13"/>
  <c r="G232" i="13"/>
  <c r="E34" i="12"/>
  <c r="E232" i="13" s="1"/>
  <c r="H262" i="13"/>
  <c r="J159" i="12"/>
  <c r="J158" i="12"/>
  <c r="H61" i="12"/>
  <c r="H139" i="13" s="1"/>
  <c r="G117" i="12"/>
  <c r="G173" i="13" s="1"/>
  <c r="G198" i="13"/>
  <c r="H149" i="13"/>
  <c r="H180" i="12"/>
  <c r="G180" i="12"/>
  <c r="G69" i="13" s="1"/>
  <c r="H198" i="13"/>
  <c r="H117" i="12"/>
  <c r="H173" i="13" s="1"/>
  <c r="G149" i="13"/>
  <c r="H75" i="12"/>
  <c r="H146" i="13" s="1"/>
  <c r="G75" i="12"/>
  <c r="G146" i="13" s="1"/>
  <c r="G61" i="12"/>
  <c r="G139" i="13" s="1"/>
  <c r="J217" i="12"/>
  <c r="J255" i="12"/>
  <c r="J269" i="12"/>
  <c r="I271" i="12"/>
  <c r="E271" i="12"/>
  <c r="E280" i="12" s="1"/>
  <c r="J254" i="12"/>
  <c r="J253" i="12"/>
  <c r="J252" i="12"/>
  <c r="J250" i="12"/>
  <c r="J249" i="12"/>
  <c r="J248" i="12"/>
  <c r="J247" i="12"/>
  <c r="J246" i="12"/>
  <c r="J245" i="12"/>
  <c r="E296" i="12"/>
  <c r="E298" i="12" s="1"/>
  <c r="J243" i="12"/>
  <c r="J157" i="12"/>
  <c r="J136" i="12"/>
  <c r="J133" i="12"/>
  <c r="J131" i="12"/>
  <c r="J129" i="12"/>
  <c r="G262" i="13"/>
  <c r="J242" i="12"/>
  <c r="J241" i="12"/>
  <c r="J240" i="12"/>
  <c r="J239" i="12"/>
  <c r="J238" i="12"/>
  <c r="J237" i="12"/>
  <c r="J236" i="12"/>
  <c r="J235" i="12"/>
  <c r="J234" i="12"/>
  <c r="J233" i="12"/>
  <c r="J232" i="12"/>
  <c r="J231" i="12"/>
  <c r="J230" i="12"/>
  <c r="J229" i="12"/>
  <c r="J228" i="12"/>
  <c r="J227" i="12"/>
  <c r="J226" i="12"/>
  <c r="J225" i="12"/>
  <c r="J224" i="12"/>
  <c r="J223" i="12"/>
  <c r="J222" i="12"/>
  <c r="J221" i="12"/>
  <c r="J220" i="12"/>
  <c r="J219" i="12"/>
  <c r="J218" i="12"/>
  <c r="J216" i="12"/>
  <c r="J215" i="12"/>
  <c r="J214" i="12"/>
  <c r="J213" i="12"/>
  <c r="J212" i="12"/>
  <c r="J211" i="12"/>
  <c r="J210" i="12"/>
  <c r="J209" i="12"/>
  <c r="J208" i="12"/>
  <c r="J207" i="12"/>
  <c r="J206" i="12"/>
  <c r="J205" i="12"/>
  <c r="J204" i="12"/>
  <c r="J203" i="12"/>
  <c r="J202" i="12"/>
  <c r="J201" i="12"/>
  <c r="J200" i="12"/>
  <c r="J199" i="12"/>
  <c r="J198" i="12"/>
  <c r="J197" i="12"/>
  <c r="J196" i="12"/>
  <c r="J195" i="12"/>
  <c r="J194" i="12"/>
  <c r="J193" i="12"/>
  <c r="J192" i="12"/>
  <c r="J191" i="12"/>
  <c r="J190" i="12"/>
  <c r="J189" i="12"/>
  <c r="J188" i="12"/>
  <c r="J187" i="12"/>
  <c r="J186" i="12"/>
  <c r="J185" i="12"/>
  <c r="J184" i="12"/>
  <c r="J183" i="12"/>
  <c r="J182" i="12"/>
  <c r="J181" i="12"/>
  <c r="J179" i="12"/>
  <c r="J178" i="12"/>
  <c r="J177" i="12"/>
  <c r="J176" i="12"/>
  <c r="J175" i="12"/>
  <c r="J173" i="12"/>
  <c r="J172" i="12"/>
  <c r="J171" i="12"/>
  <c r="J170" i="12"/>
  <c r="J169" i="12"/>
  <c r="J168" i="12"/>
  <c r="J167" i="12"/>
  <c r="J166" i="12"/>
  <c r="J165" i="12"/>
  <c r="J156" i="12"/>
  <c r="J155" i="12"/>
  <c r="J154" i="12"/>
  <c r="J151" i="12"/>
  <c r="J150" i="12"/>
  <c r="J149" i="12"/>
  <c r="J145" i="12"/>
  <c r="J144" i="12"/>
  <c r="J143" i="12"/>
  <c r="J140" i="12"/>
  <c r="J139" i="12"/>
  <c r="J132" i="12"/>
  <c r="J130" i="12"/>
  <c r="J128" i="12"/>
  <c r="J127" i="12"/>
  <c r="J126" i="12"/>
  <c r="J125" i="12"/>
  <c r="J124" i="12"/>
  <c r="J123" i="12"/>
  <c r="J122" i="12"/>
  <c r="J121" i="12"/>
  <c r="J120" i="12"/>
  <c r="J119" i="12"/>
  <c r="J118" i="12"/>
  <c r="J116" i="12"/>
  <c r="J115" i="12"/>
  <c r="J114" i="12"/>
  <c r="J113" i="12"/>
  <c r="J112" i="12"/>
  <c r="J111" i="12"/>
  <c r="J110" i="12"/>
  <c r="J109" i="12"/>
  <c r="J108" i="12"/>
  <c r="J104" i="12"/>
  <c r="J103" i="12"/>
  <c r="J102" i="12"/>
  <c r="J101" i="12"/>
  <c r="J100" i="12"/>
  <c r="J99" i="12"/>
  <c r="J98" i="12"/>
  <c r="J97" i="12"/>
  <c r="J96" i="12"/>
  <c r="J95" i="12"/>
  <c r="J94" i="12"/>
  <c r="J93" i="12"/>
  <c r="J92" i="12"/>
  <c r="J90" i="12"/>
  <c r="J89" i="12"/>
  <c r="J88" i="12"/>
  <c r="J87" i="12"/>
  <c r="J86" i="12"/>
  <c r="J85" i="12"/>
  <c r="J84" i="12"/>
  <c r="J83" i="12"/>
  <c r="J78" i="12"/>
  <c r="J76" i="12"/>
  <c r="J74" i="12"/>
  <c r="J73" i="12"/>
  <c r="J72" i="12"/>
  <c r="J69" i="12"/>
  <c r="J68" i="12"/>
  <c r="J67" i="12"/>
  <c r="J66" i="12"/>
  <c r="J65" i="12"/>
  <c r="J64" i="12"/>
  <c r="J57" i="12"/>
  <c r="J56" i="12"/>
  <c r="J55" i="12"/>
  <c r="J54" i="12"/>
  <c r="J53" i="12"/>
  <c r="J52" i="12"/>
  <c r="J51" i="12"/>
  <c r="J49" i="12"/>
  <c r="J48" i="12"/>
  <c r="J47" i="12"/>
  <c r="J46" i="12"/>
  <c r="J43" i="12"/>
  <c r="J41" i="12"/>
  <c r="J40" i="12"/>
  <c r="J39" i="12"/>
  <c r="J38" i="12"/>
  <c r="J37" i="12"/>
  <c r="J36" i="12"/>
  <c r="J35" i="12"/>
  <c r="J33" i="12"/>
  <c r="J32" i="12"/>
  <c r="J31" i="12"/>
  <c r="J28" i="12"/>
  <c r="J26" i="12"/>
  <c r="J23" i="12"/>
  <c r="J20" i="12"/>
  <c r="J19" i="12"/>
  <c r="J18" i="12"/>
  <c r="J17" i="12"/>
  <c r="J16" i="12"/>
  <c r="J15" i="12"/>
  <c r="J14" i="12"/>
  <c r="J12" i="12"/>
  <c r="J11" i="12"/>
  <c r="J10" i="12"/>
  <c r="J9" i="12"/>
  <c r="J44" i="12"/>
  <c r="H236" i="13"/>
  <c r="G236" i="13"/>
  <c r="J42" i="12"/>
  <c r="J13" i="12"/>
  <c r="J152" i="12"/>
  <c r="J105" i="12"/>
  <c r="H256" i="13"/>
  <c r="J146" i="12"/>
  <c r="H174" i="12"/>
  <c r="H96" i="13" s="1"/>
  <c r="G174" i="12"/>
  <c r="G96" i="13" s="1"/>
  <c r="H59" i="12"/>
  <c r="H247" i="13" s="1"/>
  <c r="G59" i="12"/>
  <c r="G30" i="12"/>
  <c r="G230" i="13" s="1"/>
  <c r="H30" i="12"/>
  <c r="H230" i="13" s="1"/>
  <c r="G248" i="13"/>
  <c r="G29" i="12"/>
  <c r="G123" i="13" s="1"/>
  <c r="H29" i="12"/>
  <c r="H123" i="13" s="1"/>
  <c r="G27" i="12"/>
  <c r="G122" i="13" s="1"/>
  <c r="H27" i="12"/>
  <c r="H122" i="13" s="1"/>
  <c r="F58" i="12"/>
  <c r="F246" i="13" s="1"/>
  <c r="F296" i="12"/>
  <c r="F298" i="12" s="1"/>
  <c r="G296" i="12"/>
  <c r="H296" i="12"/>
  <c r="F271" i="12"/>
  <c r="F280" i="12" s="1"/>
  <c r="J8" i="12"/>
  <c r="J79" i="12"/>
  <c r="J63" i="12"/>
  <c r="J22" i="12"/>
  <c r="J142" i="12"/>
  <c r="J141" i="12"/>
  <c r="D348" i="17" l="1"/>
  <c r="E348" i="17"/>
  <c r="G275" i="13"/>
  <c r="L264" i="13"/>
  <c r="H275" i="13"/>
  <c r="F328" i="17"/>
  <c r="F348" i="17" s="1"/>
  <c r="E275" i="13"/>
  <c r="F275" i="13"/>
  <c r="D48" i="20"/>
  <c r="G20" i="15" s="1"/>
  <c r="L266" i="18"/>
  <c r="L12" i="18"/>
  <c r="L38" i="18"/>
  <c r="L94" i="18"/>
  <c r="L225" i="18"/>
  <c r="L305" i="18"/>
  <c r="J34" i="12"/>
  <c r="J61" i="12"/>
  <c r="F276" i="13"/>
  <c r="J117" i="12"/>
  <c r="U62" i="19"/>
  <c r="G346" i="18"/>
  <c r="D350" i="18"/>
  <c r="D355" i="18"/>
  <c r="H349" i="18"/>
  <c r="H354" i="18" s="1"/>
  <c r="H355" i="18" s="1"/>
  <c r="L200" i="18"/>
  <c r="E346" i="18"/>
  <c r="E355" i="18"/>
  <c r="I349" i="18"/>
  <c r="I354" i="18" s="1"/>
  <c r="I355" i="18" s="1"/>
  <c r="L256" i="13"/>
  <c r="L220" i="13"/>
  <c r="L56" i="18"/>
  <c r="L183" i="18"/>
  <c r="L199" i="18"/>
  <c r="L208" i="18"/>
  <c r="L216" i="18"/>
  <c r="L234" i="18"/>
  <c r="L244" i="18"/>
  <c r="L255" i="18"/>
  <c r="L279" i="18"/>
  <c r="L287" i="18"/>
  <c r="L297" i="18"/>
  <c r="G294" i="17"/>
  <c r="I294" i="17" s="1"/>
  <c r="L76" i="18"/>
  <c r="L134" i="18"/>
  <c r="L154" i="18"/>
  <c r="L184" i="18"/>
  <c r="L316" i="18"/>
  <c r="L326" i="18"/>
  <c r="L334" i="18"/>
  <c r="G319" i="17"/>
  <c r="H319" i="17" s="1"/>
  <c r="I319" i="17" s="1"/>
  <c r="I183" i="13"/>
  <c r="I267" i="13"/>
  <c r="M267" i="13" s="1"/>
  <c r="N267" i="13" s="1"/>
  <c r="I152" i="13"/>
  <c r="N152" i="13" s="1"/>
  <c r="I171" i="13"/>
  <c r="N171" i="13" s="1"/>
  <c r="I218" i="13"/>
  <c r="M218" i="13" s="1"/>
  <c r="N218" i="13" s="1"/>
  <c r="G271" i="12"/>
  <c r="G274" i="12" s="1"/>
  <c r="J75" i="12"/>
  <c r="E276" i="13"/>
  <c r="G339" i="17"/>
  <c r="L241" i="13"/>
  <c r="L266" i="13"/>
  <c r="L221" i="13"/>
  <c r="L222" i="13"/>
  <c r="L243" i="13"/>
  <c r="L257" i="13"/>
  <c r="M261" i="13"/>
  <c r="N261" i="13" s="1"/>
  <c r="G183" i="17"/>
  <c r="I183" i="17" s="1"/>
  <c r="G210" i="17"/>
  <c r="I210" i="17" s="1"/>
  <c r="G226" i="17"/>
  <c r="I226" i="17" s="1"/>
  <c r="G265" i="17"/>
  <c r="I265" i="17" s="1"/>
  <c r="G280" i="17"/>
  <c r="H280" i="17" s="1"/>
  <c r="I280" i="17" s="1"/>
  <c r="G286" i="17"/>
  <c r="I286" i="17" s="1"/>
  <c r="G302" i="17"/>
  <c r="H302" i="17" s="1"/>
  <c r="G315" i="17"/>
  <c r="H315" i="17" s="1"/>
  <c r="E48" i="20"/>
  <c r="E93" i="19"/>
  <c r="F70" i="19" s="1"/>
  <c r="U70" i="19" s="1"/>
  <c r="L232" i="13"/>
  <c r="D358" i="18"/>
  <c r="L7" i="18"/>
  <c r="L11" i="18"/>
  <c r="L17" i="18"/>
  <c r="L20" i="18"/>
  <c r="L22" i="18"/>
  <c r="L25" i="18"/>
  <c r="L27" i="18"/>
  <c r="L30" i="18"/>
  <c r="L33" i="18"/>
  <c r="L36" i="18"/>
  <c r="L40" i="18"/>
  <c r="L44" i="18"/>
  <c r="L46" i="18"/>
  <c r="L48" i="18"/>
  <c r="L50" i="18"/>
  <c r="L52" i="18"/>
  <c r="L54" i="18"/>
  <c r="L58" i="18"/>
  <c r="L60" i="18"/>
  <c r="L63" i="18"/>
  <c r="L65" i="18"/>
  <c r="L66" i="18"/>
  <c r="L72" i="18"/>
  <c r="L80" i="18"/>
  <c r="L83" i="18"/>
  <c r="L89" i="18"/>
  <c r="L96" i="18"/>
  <c r="L107" i="18"/>
  <c r="L111" i="18"/>
  <c r="L115" i="18"/>
  <c r="L119" i="18"/>
  <c r="L123" i="18"/>
  <c r="L127" i="18"/>
  <c r="L131" i="18"/>
  <c r="L136" i="18"/>
  <c r="L138" i="18"/>
  <c r="L141" i="18"/>
  <c r="L143" i="18"/>
  <c r="L145" i="18"/>
  <c r="L149" i="18"/>
  <c r="L151" i="18"/>
  <c r="L156" i="18"/>
  <c r="L158" i="18"/>
  <c r="L160" i="18"/>
  <c r="L161" i="18"/>
  <c r="L163" i="18"/>
  <c r="L165" i="18"/>
  <c r="L167" i="18"/>
  <c r="L169" i="18"/>
  <c r="L171" i="18"/>
  <c r="L172" i="18"/>
  <c r="L173" i="18"/>
  <c r="L174" i="18"/>
  <c r="L176" i="18"/>
  <c r="L178" i="18"/>
  <c r="L179" i="18"/>
  <c r="L180" i="18"/>
  <c r="L181" i="18"/>
  <c r="L182" i="18"/>
  <c r="L185" i="18"/>
  <c r="L186" i="18"/>
  <c r="L187" i="18"/>
  <c r="L188" i="18"/>
  <c r="L189" i="18"/>
  <c r="L190" i="18"/>
  <c r="L191" i="18"/>
  <c r="L192" i="18"/>
  <c r="L193" i="18"/>
  <c r="L194" i="18"/>
  <c r="L195" i="18"/>
  <c r="L196" i="18"/>
  <c r="L197" i="18"/>
  <c r="L198" i="18"/>
  <c r="L201" i="18"/>
  <c r="L202" i="18"/>
  <c r="L204" i="18"/>
  <c r="L205" i="18"/>
  <c r="L206" i="18"/>
  <c r="L207" i="18"/>
  <c r="L209" i="18"/>
  <c r="L210" i="18"/>
  <c r="L211" i="18"/>
  <c r="L212" i="18"/>
  <c r="L213" i="18"/>
  <c r="L214" i="18"/>
  <c r="L215" i="18"/>
  <c r="L217" i="18"/>
  <c r="L218" i="18"/>
  <c r="L219" i="18"/>
  <c r="L220" i="18"/>
  <c r="L222" i="18"/>
  <c r="L223" i="18"/>
  <c r="L224" i="18"/>
  <c r="L226" i="18"/>
  <c r="L228" i="18"/>
  <c r="L229" i="18"/>
  <c r="L230" i="18"/>
  <c r="L231" i="18"/>
  <c r="L232" i="18"/>
  <c r="L233" i="18"/>
  <c r="L235" i="18"/>
  <c r="L236" i="18"/>
  <c r="L237" i="18"/>
  <c r="L240" i="18"/>
  <c r="L241" i="18"/>
  <c r="L242" i="18"/>
  <c r="L243" i="18"/>
  <c r="L246" i="18"/>
  <c r="L247" i="18"/>
  <c r="L249" i="18"/>
  <c r="L250" i="18"/>
  <c r="L252" i="18"/>
  <c r="L253" i="18"/>
  <c r="L254" i="18"/>
  <c r="L256" i="18"/>
  <c r="L257" i="18"/>
  <c r="L258" i="18"/>
  <c r="L259" i="18"/>
  <c r="L261" i="18"/>
  <c r="L262" i="18"/>
  <c r="L263" i="18"/>
  <c r="L265" i="18"/>
  <c r="L268" i="18"/>
  <c r="L271" i="18"/>
  <c r="L273" i="18"/>
  <c r="L275" i="18"/>
  <c r="L276" i="18"/>
  <c r="L277" i="18"/>
  <c r="L278" i="18"/>
  <c r="L280" i="18"/>
  <c r="L281" i="18"/>
  <c r="L282" i="18"/>
  <c r="L283" i="18"/>
  <c r="L284" i="18"/>
  <c r="L285" i="18"/>
  <c r="L286" i="18"/>
  <c r="L288" i="18"/>
  <c r="L289" i="18"/>
  <c r="L290" i="18"/>
  <c r="L292" i="18"/>
  <c r="L293" i="18"/>
  <c r="L295" i="18"/>
  <c r="L296" i="18"/>
  <c r="L298" i="18"/>
  <c r="L299" i="18"/>
  <c r="L300" i="18"/>
  <c r="L301" i="18"/>
  <c r="L302" i="18"/>
  <c r="L303" i="18"/>
  <c r="L304" i="18"/>
  <c r="L306" i="18"/>
  <c r="L307" i="18"/>
  <c r="L309" i="18"/>
  <c r="L310" i="18"/>
  <c r="L311" i="18"/>
  <c r="L312" i="18"/>
  <c r="L313" i="18"/>
  <c r="L315" i="18"/>
  <c r="L318" i="18"/>
  <c r="L319" i="18"/>
  <c r="L320" i="18"/>
  <c r="L321" i="18"/>
  <c r="L322" i="18"/>
  <c r="L323" i="18"/>
  <c r="L325" i="18"/>
  <c r="L327" i="18"/>
  <c r="L328" i="18"/>
  <c r="L329" i="18"/>
  <c r="L330" i="18"/>
  <c r="L331" i="18"/>
  <c r="L332" i="18"/>
  <c r="L333" i="18"/>
  <c r="L335" i="18"/>
  <c r="L336" i="18"/>
  <c r="L337" i="18"/>
  <c r="L338" i="18"/>
  <c r="L340" i="18"/>
  <c r="L341" i="18"/>
  <c r="J174" i="12"/>
  <c r="J30" i="12"/>
  <c r="J278" i="12"/>
  <c r="I279" i="12"/>
  <c r="G163" i="17"/>
  <c r="I163" i="17" s="1"/>
  <c r="G219" i="17"/>
  <c r="I219" i="17" s="1"/>
  <c r="G235" i="17"/>
  <c r="H235" i="17" s="1"/>
  <c r="G258" i="17"/>
  <c r="I258" i="17" s="1"/>
  <c r="G272" i="17"/>
  <c r="I272" i="17" s="1"/>
  <c r="D364" i="18"/>
  <c r="H357" i="18"/>
  <c r="E364" i="18"/>
  <c r="I241" i="13"/>
  <c r="I269" i="13"/>
  <c r="I110" i="13"/>
  <c r="N110" i="13" s="1"/>
  <c r="G276" i="13"/>
  <c r="L118" i="13"/>
  <c r="L233" i="13"/>
  <c r="I67" i="13"/>
  <c r="N67" i="13" s="1"/>
  <c r="I95" i="13"/>
  <c r="N95" i="13" s="1"/>
  <c r="I100" i="13"/>
  <c r="N100" i="13" s="1"/>
  <c r="I109" i="13"/>
  <c r="N109" i="13" s="1"/>
  <c r="I113" i="13"/>
  <c r="M113" i="13" s="1"/>
  <c r="N113" i="13" s="1"/>
  <c r="I124" i="13"/>
  <c r="M124" i="13" s="1"/>
  <c r="N124" i="13" s="1"/>
  <c r="I137" i="13"/>
  <c r="M137" i="13" s="1"/>
  <c r="N137" i="13" s="1"/>
  <c r="I145" i="13"/>
  <c r="M145" i="13" s="1"/>
  <c r="N145" i="13" s="1"/>
  <c r="I206" i="13"/>
  <c r="M206" i="13" s="1"/>
  <c r="N206" i="13" s="1"/>
  <c r="I216" i="13"/>
  <c r="M216" i="13" s="1"/>
  <c r="N216" i="13" s="1"/>
  <c r="I220" i="13"/>
  <c r="I225" i="13"/>
  <c r="M225" i="13" s="1"/>
  <c r="N225" i="13" s="1"/>
  <c r="I243" i="13"/>
  <c r="I244" i="13"/>
  <c r="N244" i="13" s="1"/>
  <c r="I249" i="13"/>
  <c r="N249" i="13" s="1"/>
  <c r="G192" i="17"/>
  <c r="G198" i="17"/>
  <c r="I198" i="17" s="1"/>
  <c r="G214" i="17"/>
  <c r="G222" i="17"/>
  <c r="G229" i="17"/>
  <c r="I229" i="17" s="1"/>
  <c r="G242" i="17"/>
  <c r="G261" i="17"/>
  <c r="I261" i="17" s="1"/>
  <c r="G269" i="17"/>
  <c r="G277" i="17"/>
  <c r="H277" i="17" s="1"/>
  <c r="I277" i="17" s="1"/>
  <c r="G283" i="17"/>
  <c r="I283" i="17" s="1"/>
  <c r="G290" i="17"/>
  <c r="I290" i="17" s="1"/>
  <c r="G298" i="17"/>
  <c r="I298" i="17" s="1"/>
  <c r="G305" i="17"/>
  <c r="I305" i="17" s="1"/>
  <c r="G308" i="17"/>
  <c r="I308" i="17" s="1"/>
  <c r="G317" i="17"/>
  <c r="I317" i="17" s="1"/>
  <c r="G327" i="17"/>
  <c r="I327" i="17" s="1"/>
  <c r="G336" i="17"/>
  <c r="H336" i="17" s="1"/>
  <c r="I336" i="17" s="1"/>
  <c r="G205" i="17"/>
  <c r="I205" i="17" s="1"/>
  <c r="G344" i="17"/>
  <c r="H344" i="17" s="1"/>
  <c r="G174" i="17"/>
  <c r="I174" i="17" s="1"/>
  <c r="G144" i="17"/>
  <c r="I144" i="17" s="1"/>
  <c r="G157" i="17"/>
  <c r="I157" i="17" s="1"/>
  <c r="G179" i="17"/>
  <c r="I179" i="17" s="1"/>
  <c r="G181" i="17"/>
  <c r="G193" i="17"/>
  <c r="I193" i="17" s="1"/>
  <c r="G204" i="17"/>
  <c r="I204" i="17" s="1"/>
  <c r="G208" i="17"/>
  <c r="I208" i="17" s="1"/>
  <c r="G212" i="17"/>
  <c r="I212" i="17" s="1"/>
  <c r="G216" i="17"/>
  <c r="I216" i="17" s="1"/>
  <c r="G224" i="17"/>
  <c r="I224" i="17" s="1"/>
  <c r="G231" i="17"/>
  <c r="H231" i="17" s="1"/>
  <c r="G239" i="17"/>
  <c r="I239" i="17" s="1"/>
  <c r="G250" i="17"/>
  <c r="H250" i="17" s="1"/>
  <c r="I250" i="17" s="1"/>
  <c r="G252" i="17"/>
  <c r="I252" i="17" s="1"/>
  <c r="G256" i="17"/>
  <c r="I256" i="17" s="1"/>
  <c r="G260" i="17"/>
  <c r="I260" i="17" s="1"/>
  <c r="G263" i="17"/>
  <c r="I263" i="17" s="1"/>
  <c r="G267" i="17"/>
  <c r="H267" i="17" s="1"/>
  <c r="I267" i="17" s="1"/>
  <c r="G271" i="17"/>
  <c r="I271" i="17" s="1"/>
  <c r="G274" i="17"/>
  <c r="H274" i="17" s="1"/>
  <c r="I274" i="17" s="1"/>
  <c r="G279" i="17"/>
  <c r="H279" i="17" s="1"/>
  <c r="G282" i="17"/>
  <c r="I282" i="17" s="1"/>
  <c r="G284" i="17"/>
  <c r="I284" i="17" s="1"/>
  <c r="G288" i="17"/>
  <c r="I288" i="17" s="1"/>
  <c r="G292" i="17"/>
  <c r="I292" i="17" s="1"/>
  <c r="G296" i="17"/>
  <c r="H296" i="17" s="1"/>
  <c r="I296" i="17" s="1"/>
  <c r="G300" i="17"/>
  <c r="H300" i="17" s="1"/>
  <c r="I300" i="17" s="1"/>
  <c r="G304" i="17"/>
  <c r="H304" i="17" s="1"/>
  <c r="G311" i="17"/>
  <c r="H311" i="17" s="1"/>
  <c r="G318" i="17"/>
  <c r="I318" i="17" s="1"/>
  <c r="G321" i="17"/>
  <c r="G323" i="17"/>
  <c r="I323" i="17" s="1"/>
  <c r="G329" i="17"/>
  <c r="I329" i="17" s="1"/>
  <c r="G332" i="17"/>
  <c r="H332" i="17" s="1"/>
  <c r="I332" i="17" s="1"/>
  <c r="G334" i="17"/>
  <c r="I334" i="17" s="1"/>
  <c r="G338" i="17"/>
  <c r="H338" i="17" s="1"/>
  <c r="I338" i="17" s="1"/>
  <c r="G342" i="17"/>
  <c r="I342" i="17" s="1"/>
  <c r="G159" i="17"/>
  <c r="I159" i="17" s="1"/>
  <c r="G168" i="17"/>
  <c r="I168" i="17" s="1"/>
  <c r="G171" i="17"/>
  <c r="I171" i="17" s="1"/>
  <c r="I190" i="13"/>
  <c r="N190" i="13" s="1"/>
  <c r="L227" i="13"/>
  <c r="M129" i="13"/>
  <c r="N129" i="13" s="1"/>
  <c r="L247" i="13"/>
  <c r="I223" i="13"/>
  <c r="M223" i="13" s="1"/>
  <c r="N223" i="13" s="1"/>
  <c r="I87" i="13"/>
  <c r="N87" i="13" s="1"/>
  <c r="I104" i="13"/>
  <c r="N104" i="13" s="1"/>
  <c r="I114" i="13"/>
  <c r="M114" i="13" s="1"/>
  <c r="N114" i="13" s="1"/>
  <c r="I117" i="13"/>
  <c r="I126" i="13"/>
  <c r="M126" i="13" s="1"/>
  <c r="N126" i="13" s="1"/>
  <c r="I128" i="13"/>
  <c r="M128" i="13" s="1"/>
  <c r="N128" i="13" s="1"/>
  <c r="I131" i="13"/>
  <c r="M131" i="13" s="1"/>
  <c r="N131" i="13" s="1"/>
  <c r="I141" i="13"/>
  <c r="M141" i="13" s="1"/>
  <c r="I162" i="13"/>
  <c r="M162" i="13" s="1"/>
  <c r="N162" i="13" s="1"/>
  <c r="I167" i="13"/>
  <c r="N167" i="13" s="1"/>
  <c r="I176" i="13"/>
  <c r="N176" i="13" s="1"/>
  <c r="I179" i="13"/>
  <c r="M179" i="13" s="1"/>
  <c r="I195" i="13"/>
  <c r="M195" i="13" s="1"/>
  <c r="N195" i="13" s="1"/>
  <c r="I202" i="13"/>
  <c r="M202" i="13" s="1"/>
  <c r="N202" i="13" s="1"/>
  <c r="I210" i="13"/>
  <c r="M210" i="13" s="1"/>
  <c r="I222" i="13"/>
  <c r="I224" i="13"/>
  <c r="M224" i="13" s="1"/>
  <c r="N224" i="13" s="1"/>
  <c r="I227" i="13"/>
  <c r="I238" i="13"/>
  <c r="M238" i="13" s="1"/>
  <c r="N238" i="13" s="1"/>
  <c r="I239" i="13"/>
  <c r="N239" i="13" s="1"/>
  <c r="I253" i="13"/>
  <c r="N253" i="13" s="1"/>
  <c r="I258" i="13"/>
  <c r="M258" i="13" s="1"/>
  <c r="N258" i="13" s="1"/>
  <c r="I260" i="13"/>
  <c r="I263" i="13"/>
  <c r="M263" i="13" s="1"/>
  <c r="I266" i="13"/>
  <c r="I186" i="13"/>
  <c r="N186" i="13" s="1"/>
  <c r="F274" i="13"/>
  <c r="E272" i="13"/>
  <c r="E274" i="13"/>
  <c r="I68" i="13"/>
  <c r="N68" i="13" s="1"/>
  <c r="I29" i="13"/>
  <c r="N29" i="13" s="1"/>
  <c r="I36" i="13"/>
  <c r="N36" i="13" s="1"/>
  <c r="I54" i="13"/>
  <c r="N54" i="13" s="1"/>
  <c r="I66" i="13"/>
  <c r="N66" i="13" s="1"/>
  <c r="I72" i="13"/>
  <c r="N72" i="13" s="1"/>
  <c r="I78" i="13"/>
  <c r="N78" i="13" s="1"/>
  <c r="I111" i="13"/>
  <c r="I112" i="13"/>
  <c r="M112" i="13" s="1"/>
  <c r="N112" i="13" s="1"/>
  <c r="I115" i="13"/>
  <c r="M115" i="13" s="1"/>
  <c r="N115" i="13" s="1"/>
  <c r="I116" i="13"/>
  <c r="M116" i="13" s="1"/>
  <c r="I118" i="13"/>
  <c r="I119" i="13"/>
  <c r="M119" i="13" s="1"/>
  <c r="I125" i="13"/>
  <c r="M125" i="13" s="1"/>
  <c r="I127" i="13"/>
  <c r="M127" i="13" s="1"/>
  <c r="N127" i="13" s="1"/>
  <c r="I130" i="13"/>
  <c r="M130" i="13" s="1"/>
  <c r="N130" i="13" s="1"/>
  <c r="I132" i="13"/>
  <c r="M132" i="13" s="1"/>
  <c r="N132" i="13" s="1"/>
  <c r="I133" i="13"/>
  <c r="M133" i="13" s="1"/>
  <c r="I138" i="13"/>
  <c r="M138" i="13" s="1"/>
  <c r="N138" i="13" s="1"/>
  <c r="I140" i="13"/>
  <c r="M140" i="13" s="1"/>
  <c r="N140" i="13" s="1"/>
  <c r="I142" i="13"/>
  <c r="M142" i="13" s="1"/>
  <c r="N142" i="13" s="1"/>
  <c r="I150" i="13"/>
  <c r="N150" i="13" s="1"/>
  <c r="I154" i="13"/>
  <c r="N154" i="13" s="1"/>
  <c r="I160" i="13"/>
  <c r="N160" i="13" s="1"/>
  <c r="I165" i="13"/>
  <c r="N165" i="13" s="1"/>
  <c r="I169" i="13"/>
  <c r="N169" i="13" s="1"/>
  <c r="I174" i="13"/>
  <c r="M174" i="13" s="1"/>
  <c r="N174" i="13" s="1"/>
  <c r="I181" i="13"/>
  <c r="M181" i="13" s="1"/>
  <c r="N181" i="13" s="1"/>
  <c r="I184" i="13"/>
  <c r="M184" i="13" s="1"/>
  <c r="N184" i="13" s="1"/>
  <c r="I188" i="13"/>
  <c r="N188" i="13" s="1"/>
  <c r="I228" i="13"/>
  <c r="N228" i="13" s="1"/>
  <c r="I229" i="13"/>
  <c r="M229" i="13" s="1"/>
  <c r="N229" i="13" s="1"/>
  <c r="I240" i="13"/>
  <c r="I242" i="13"/>
  <c r="I245" i="13"/>
  <c r="M245" i="13" s="1"/>
  <c r="N245" i="13" s="1"/>
  <c r="I252" i="13"/>
  <c r="I255" i="13"/>
  <c r="M255" i="13" s="1"/>
  <c r="I257" i="13"/>
  <c r="M257" i="13" s="1"/>
  <c r="N257" i="13" s="1"/>
  <c r="I265" i="13"/>
  <c r="N265" i="13" s="1"/>
  <c r="I97" i="13"/>
  <c r="N97" i="13" s="1"/>
  <c r="I103" i="13"/>
  <c r="N103" i="13" s="1"/>
  <c r="I105" i="13"/>
  <c r="N105" i="13" s="1"/>
  <c r="I107" i="13"/>
  <c r="N107" i="13" s="1"/>
  <c r="I191" i="13"/>
  <c r="N191" i="13" s="1"/>
  <c r="I197" i="13"/>
  <c r="M197" i="13" s="1"/>
  <c r="N197" i="13" s="1"/>
  <c r="I89" i="13"/>
  <c r="N89" i="13" s="1"/>
  <c r="I98" i="13"/>
  <c r="N98" i="13" s="1"/>
  <c r="I200" i="13"/>
  <c r="M200" i="13" s="1"/>
  <c r="I208" i="13"/>
  <c r="M208" i="13" s="1"/>
  <c r="N208" i="13" s="1"/>
  <c r="I212" i="13"/>
  <c r="M212" i="13" s="1"/>
  <c r="I233" i="13"/>
  <c r="I234" i="13"/>
  <c r="M234" i="13" s="1"/>
  <c r="N234" i="13" s="1"/>
  <c r="I235" i="13"/>
  <c r="M235" i="13" s="1"/>
  <c r="N235" i="13" s="1"/>
  <c r="I237" i="13"/>
  <c r="M237" i="13" s="1"/>
  <c r="N237" i="13" s="1"/>
  <c r="J29" i="12"/>
  <c r="J82" i="12"/>
  <c r="J27" i="12"/>
  <c r="J58" i="12"/>
  <c r="J91" i="12"/>
  <c r="I27" i="13"/>
  <c r="N27" i="13" s="1"/>
  <c r="I46" i="13"/>
  <c r="N46" i="13" s="1"/>
  <c r="I50" i="13"/>
  <c r="N50" i="13" s="1"/>
  <c r="I24" i="13"/>
  <c r="I30" i="13"/>
  <c r="N30" i="13" s="1"/>
  <c r="I32" i="13"/>
  <c r="N32" i="13" s="1"/>
  <c r="I35" i="13"/>
  <c r="N35" i="13" s="1"/>
  <c r="I37" i="13"/>
  <c r="N37" i="13" s="1"/>
  <c r="I39" i="13"/>
  <c r="N39" i="13" s="1"/>
  <c r="I41" i="13"/>
  <c r="N41" i="13" s="1"/>
  <c r="I44" i="13"/>
  <c r="M44" i="13" s="1"/>
  <c r="I48" i="13"/>
  <c r="N48" i="13" s="1"/>
  <c r="I52" i="13"/>
  <c r="I65" i="13"/>
  <c r="I70" i="13"/>
  <c r="N70" i="13" s="1"/>
  <c r="I74" i="13"/>
  <c r="N74" i="13" s="1"/>
  <c r="I79" i="13"/>
  <c r="N79" i="13" s="1"/>
  <c r="I83" i="13"/>
  <c r="N83" i="13" s="1"/>
  <c r="I85" i="13"/>
  <c r="N85" i="13" s="1"/>
  <c r="I262" i="13"/>
  <c r="M262" i="13" s="1"/>
  <c r="N262" i="13" s="1"/>
  <c r="F286" i="12"/>
  <c r="I13" i="13"/>
  <c r="N13" i="13" s="1"/>
  <c r="I16" i="13"/>
  <c r="N16" i="13" s="1"/>
  <c r="I26" i="13"/>
  <c r="N26" i="13" s="1"/>
  <c r="I28" i="13"/>
  <c r="N28" i="13" s="1"/>
  <c r="I31" i="13"/>
  <c r="I33" i="13"/>
  <c r="M33" i="13" s="1"/>
  <c r="I34" i="13"/>
  <c r="N34" i="13" s="1"/>
  <c r="I38" i="13"/>
  <c r="N38" i="13" s="1"/>
  <c r="I40" i="13"/>
  <c r="N40" i="13" s="1"/>
  <c r="I42" i="13"/>
  <c r="N42" i="13" s="1"/>
  <c r="I43" i="13"/>
  <c r="N43" i="13" s="1"/>
  <c r="I45" i="13"/>
  <c r="M45" i="13" s="1"/>
  <c r="I47" i="13"/>
  <c r="N47" i="13" s="1"/>
  <c r="I49" i="13"/>
  <c r="N49" i="13" s="1"/>
  <c r="I51" i="13"/>
  <c r="N51" i="13" s="1"/>
  <c r="I53" i="13"/>
  <c r="N53" i="13" s="1"/>
  <c r="I55" i="13"/>
  <c r="N55" i="13" s="1"/>
  <c r="I71" i="13"/>
  <c r="N71" i="13" s="1"/>
  <c r="I73" i="13"/>
  <c r="N73" i="13" s="1"/>
  <c r="I75" i="13"/>
  <c r="N75" i="13" s="1"/>
  <c r="I76" i="13"/>
  <c r="N76" i="13" s="1"/>
  <c r="I77" i="13"/>
  <c r="N77" i="13" s="1"/>
  <c r="I80" i="13"/>
  <c r="N80" i="13" s="1"/>
  <c r="I81" i="13"/>
  <c r="N81" i="13" s="1"/>
  <c r="I82" i="13"/>
  <c r="N82" i="13" s="1"/>
  <c r="I84" i="13"/>
  <c r="N84" i="13" s="1"/>
  <c r="I86" i="13"/>
  <c r="N86" i="13" s="1"/>
  <c r="I88" i="13"/>
  <c r="N88" i="13" s="1"/>
  <c r="I90" i="13"/>
  <c r="N90" i="13" s="1"/>
  <c r="I91" i="13"/>
  <c r="N91" i="13" s="1"/>
  <c r="I93" i="13"/>
  <c r="N93" i="13" s="1"/>
  <c r="I94" i="13"/>
  <c r="N94" i="13" s="1"/>
  <c r="I99" i="13"/>
  <c r="N99" i="13" s="1"/>
  <c r="I101" i="13"/>
  <c r="N101" i="13" s="1"/>
  <c r="I102" i="13"/>
  <c r="N102" i="13" s="1"/>
  <c r="I106" i="13"/>
  <c r="N106" i="13" s="1"/>
  <c r="I108" i="13"/>
  <c r="N108" i="13" s="1"/>
  <c r="I143" i="13"/>
  <c r="M143" i="13" s="1"/>
  <c r="I144" i="13"/>
  <c r="M144" i="13" s="1"/>
  <c r="N144" i="13" s="1"/>
  <c r="I147" i="13"/>
  <c r="M147" i="13" s="1"/>
  <c r="N147" i="13" s="1"/>
  <c r="I148" i="13"/>
  <c r="M148" i="13" s="1"/>
  <c r="N148" i="13" s="1"/>
  <c r="I151" i="13"/>
  <c r="N151" i="13" s="1"/>
  <c r="I153" i="13"/>
  <c r="N153" i="13" s="1"/>
  <c r="I155" i="13"/>
  <c r="I156" i="13"/>
  <c r="M156" i="13" s="1"/>
  <c r="I157" i="13"/>
  <c r="M157" i="13" s="1"/>
  <c r="N157" i="13" s="1"/>
  <c r="I158" i="13"/>
  <c r="N158" i="13" s="1"/>
  <c r="I159" i="13"/>
  <c r="N159" i="13" s="1"/>
  <c r="I161" i="13"/>
  <c r="N161" i="13" s="1"/>
  <c r="I163" i="13"/>
  <c r="N163" i="13" s="1"/>
  <c r="I164" i="13"/>
  <c r="N164" i="13" s="1"/>
  <c r="I166" i="13"/>
  <c r="N166" i="13" s="1"/>
  <c r="I168" i="13"/>
  <c r="N168" i="13" s="1"/>
  <c r="I170" i="13"/>
  <c r="N170" i="13" s="1"/>
  <c r="I172" i="13"/>
  <c r="N172" i="13" s="1"/>
  <c r="I175" i="13"/>
  <c r="M175" i="13" s="1"/>
  <c r="I177" i="13"/>
  <c r="M177" i="13" s="1"/>
  <c r="N177" i="13" s="1"/>
  <c r="I178" i="13"/>
  <c r="M178" i="13" s="1"/>
  <c r="N178" i="13" s="1"/>
  <c r="I180" i="13"/>
  <c r="M180" i="13" s="1"/>
  <c r="N180" i="13" s="1"/>
  <c r="I182" i="13"/>
  <c r="M182" i="13" s="1"/>
  <c r="N182" i="13" s="1"/>
  <c r="I185" i="13"/>
  <c r="N185" i="13" s="1"/>
  <c r="I187" i="13"/>
  <c r="M187" i="13" s="1"/>
  <c r="N187" i="13" s="1"/>
  <c r="I189" i="13"/>
  <c r="N189" i="13" s="1"/>
  <c r="I194" i="13"/>
  <c r="M194" i="13" s="1"/>
  <c r="I196" i="13"/>
  <c r="M196" i="13" s="1"/>
  <c r="I199" i="13"/>
  <c r="M199" i="13" s="1"/>
  <c r="N199" i="13" s="1"/>
  <c r="I201" i="13"/>
  <c r="M201" i="13" s="1"/>
  <c r="N201" i="13" s="1"/>
  <c r="I203" i="13"/>
  <c r="M203" i="13" s="1"/>
  <c r="I205" i="13"/>
  <c r="M205" i="13" s="1"/>
  <c r="I207" i="13"/>
  <c r="M207" i="13" s="1"/>
  <c r="I209" i="13"/>
  <c r="M209" i="13" s="1"/>
  <c r="I211" i="13"/>
  <c r="M211" i="13" s="1"/>
  <c r="I213" i="13"/>
  <c r="M213" i="13" s="1"/>
  <c r="I217" i="13"/>
  <c r="M217" i="13" s="1"/>
  <c r="N217" i="13" s="1"/>
  <c r="I219" i="13"/>
  <c r="N219" i="13" s="1"/>
  <c r="I226" i="13"/>
  <c r="M226" i="13" s="1"/>
  <c r="N226" i="13" s="1"/>
  <c r="I231" i="13"/>
  <c r="M231" i="13" s="1"/>
  <c r="N231" i="13" s="1"/>
  <c r="I250" i="13"/>
  <c r="M250" i="13" s="1"/>
  <c r="N250" i="13" s="1"/>
  <c r="I251" i="13"/>
  <c r="M251" i="13" s="1"/>
  <c r="N251" i="13" s="1"/>
  <c r="I254" i="13"/>
  <c r="N254" i="13" s="1"/>
  <c r="I259" i="13"/>
  <c r="N259" i="13" s="1"/>
  <c r="I264" i="13"/>
  <c r="I268" i="13"/>
  <c r="N268" i="13" s="1"/>
  <c r="I123" i="13"/>
  <c r="M123" i="13" s="1"/>
  <c r="N123" i="13" s="1"/>
  <c r="I139" i="13"/>
  <c r="M139" i="13" s="1"/>
  <c r="N139" i="13" s="1"/>
  <c r="I232" i="13"/>
  <c r="I20" i="13"/>
  <c r="N20" i="13" s="1"/>
  <c r="I173" i="13"/>
  <c r="N173" i="13" s="1"/>
  <c r="L10" i="18"/>
  <c r="L14" i="18"/>
  <c r="L15" i="18"/>
  <c r="L16" i="18"/>
  <c r="L18" i="18"/>
  <c r="L19" i="18"/>
  <c r="L21" i="18"/>
  <c r="L23" i="18"/>
  <c r="L24" i="18"/>
  <c r="L28" i="18"/>
  <c r="L31" i="18"/>
  <c r="L34" i="18"/>
  <c r="L37" i="18"/>
  <c r="L39" i="18"/>
  <c r="L42" i="18"/>
  <c r="L45" i="18"/>
  <c r="L47" i="18"/>
  <c r="L49" i="18"/>
  <c r="L51" i="18"/>
  <c r="L53" i="18"/>
  <c r="L55" i="18"/>
  <c r="L57" i="18"/>
  <c r="L59" i="18"/>
  <c r="L61" i="18"/>
  <c r="L64" i="18"/>
  <c r="L68" i="18"/>
  <c r="L69" i="18"/>
  <c r="L71" i="18"/>
  <c r="L73" i="18"/>
  <c r="L75" i="18"/>
  <c r="L77" i="18"/>
  <c r="L78" i="18"/>
  <c r="L79" i="18"/>
  <c r="L81" i="18"/>
  <c r="L82" i="18"/>
  <c r="L85" i="18"/>
  <c r="L86" i="18"/>
  <c r="L88" i="18"/>
  <c r="L90" i="18"/>
  <c r="L91" i="18"/>
  <c r="L92" i="18"/>
  <c r="L93" i="18"/>
  <c r="L95" i="18"/>
  <c r="L97" i="18"/>
  <c r="L99" i="18"/>
  <c r="L102" i="18"/>
  <c r="L103" i="18"/>
  <c r="L104" i="18"/>
  <c r="L108" i="18"/>
  <c r="L110" i="18"/>
  <c r="L112" i="18"/>
  <c r="L113" i="18"/>
  <c r="L114" i="18"/>
  <c r="L116" i="18"/>
  <c r="L117" i="18"/>
  <c r="L118" i="18"/>
  <c r="L120" i="18"/>
  <c r="L121" i="18"/>
  <c r="L122" i="18"/>
  <c r="L124" i="18"/>
  <c r="L125" i="18"/>
  <c r="L126" i="18"/>
  <c r="L128" i="18"/>
  <c r="L129" i="18"/>
  <c r="L130" i="18"/>
  <c r="L133" i="18"/>
  <c r="L135" i="18"/>
  <c r="L137" i="18"/>
  <c r="L139" i="18"/>
  <c r="L142" i="18"/>
  <c r="L144" i="18"/>
  <c r="L147" i="18"/>
  <c r="L150" i="18"/>
  <c r="L152" i="18"/>
  <c r="L155" i="18"/>
  <c r="L157" i="18"/>
  <c r="L159" i="18"/>
  <c r="L162" i="18"/>
  <c r="L166" i="18"/>
  <c r="L168" i="18"/>
  <c r="L170" i="18"/>
  <c r="L267" i="18"/>
  <c r="L270" i="18"/>
  <c r="L272" i="18"/>
  <c r="G340" i="17"/>
  <c r="I340" i="17" s="1"/>
  <c r="G320" i="17"/>
  <c r="H320" i="17" s="1"/>
  <c r="G322" i="17"/>
  <c r="I322" i="17" s="1"/>
  <c r="G324" i="17"/>
  <c r="G325" i="17"/>
  <c r="H325" i="17" s="1"/>
  <c r="I325" i="17" s="1"/>
  <c r="G326" i="17"/>
  <c r="H326" i="17" s="1"/>
  <c r="I326" i="17" s="1"/>
  <c r="G330" i="17"/>
  <c r="H330" i="17" s="1"/>
  <c r="G331" i="17"/>
  <c r="I331" i="17" s="1"/>
  <c r="G333" i="17"/>
  <c r="G335" i="17"/>
  <c r="H335" i="17" s="1"/>
  <c r="I335" i="17" s="1"/>
  <c r="G128" i="17"/>
  <c r="I128" i="17" s="1"/>
  <c r="G130" i="17"/>
  <c r="I130" i="17" s="1"/>
  <c r="G148" i="17"/>
  <c r="H148" i="17" s="1"/>
  <c r="I148" i="17" s="1"/>
  <c r="G149" i="17"/>
  <c r="I149" i="17" s="1"/>
  <c r="G152" i="17"/>
  <c r="H152" i="17" s="1"/>
  <c r="I152" i="17" s="1"/>
  <c r="G158" i="17"/>
  <c r="I158" i="17" s="1"/>
  <c r="G169" i="17"/>
  <c r="I169" i="17" s="1"/>
  <c r="G170" i="17"/>
  <c r="I170" i="17" s="1"/>
  <c r="G172" i="17"/>
  <c r="I172" i="17" s="1"/>
  <c r="G173" i="17"/>
  <c r="I173" i="17" s="1"/>
  <c r="G175" i="17"/>
  <c r="H175" i="17" s="1"/>
  <c r="I175" i="17" s="1"/>
  <c r="G176" i="17"/>
  <c r="I176" i="17" s="1"/>
  <c r="G177" i="17"/>
  <c r="I177" i="17" s="1"/>
  <c r="G178" i="17"/>
  <c r="H178" i="17" s="1"/>
  <c r="G180" i="17"/>
  <c r="I180" i="17" s="1"/>
  <c r="D350" i="17"/>
  <c r="F350" i="17"/>
  <c r="E350" i="17"/>
  <c r="G184" i="17"/>
  <c r="I184" i="17" s="1"/>
  <c r="G185" i="17"/>
  <c r="I185" i="17" s="1"/>
  <c r="G186" i="17"/>
  <c r="I186" i="17" s="1"/>
  <c r="G187" i="17"/>
  <c r="I187" i="17" s="1"/>
  <c r="G188" i="17"/>
  <c r="I188" i="17" s="1"/>
  <c r="G189" i="17"/>
  <c r="I189" i="17" s="1"/>
  <c r="G191" i="17"/>
  <c r="I191" i="17" s="1"/>
  <c r="G194" i="17"/>
  <c r="I194" i="17" s="1"/>
  <c r="G195" i="17"/>
  <c r="I195" i="17" s="1"/>
  <c r="G196" i="17"/>
  <c r="I196" i="17" s="1"/>
  <c r="G197" i="17"/>
  <c r="I197" i="17" s="1"/>
  <c r="G199" i="17"/>
  <c r="I199" i="17" s="1"/>
  <c r="G200" i="17"/>
  <c r="I200" i="17" s="1"/>
  <c r="G201" i="17"/>
  <c r="I201" i="17" s="1"/>
  <c r="G202" i="17"/>
  <c r="I202" i="17" s="1"/>
  <c r="G203" i="17"/>
  <c r="I203" i="17" s="1"/>
  <c r="G209" i="17"/>
  <c r="I209" i="17" s="1"/>
  <c r="G211" i="17"/>
  <c r="I211" i="17" s="1"/>
  <c r="G213" i="17"/>
  <c r="G215" i="17"/>
  <c r="H215" i="17" s="1"/>
  <c r="I215" i="17" s="1"/>
  <c r="G217" i="17"/>
  <c r="I217" i="17" s="1"/>
  <c r="G220" i="17"/>
  <c r="I220" i="17" s="1"/>
  <c r="G221" i="17"/>
  <c r="I221" i="17" s="1"/>
  <c r="G223" i="17"/>
  <c r="I223" i="17" s="1"/>
  <c r="G225" i="17"/>
  <c r="H225" i="17" s="1"/>
  <c r="G227" i="17"/>
  <c r="H227" i="17" s="1"/>
  <c r="I227" i="17" s="1"/>
  <c r="G228" i="17"/>
  <c r="G230" i="17"/>
  <c r="I230" i="17" s="1"/>
  <c r="G232" i="17"/>
  <c r="I232" i="17" s="1"/>
  <c r="G233" i="17"/>
  <c r="I233" i="17" s="1"/>
  <c r="G234" i="17"/>
  <c r="I234" i="17" s="1"/>
  <c r="G236" i="17"/>
  <c r="G237" i="17"/>
  <c r="I237" i="17" s="1"/>
  <c r="G160" i="17"/>
  <c r="I160" i="17" s="1"/>
  <c r="G161" i="17"/>
  <c r="G164" i="17"/>
  <c r="I164" i="17" s="1"/>
  <c r="G165" i="17"/>
  <c r="G166" i="17"/>
  <c r="I166" i="17" s="1"/>
  <c r="G167" i="17"/>
  <c r="G238" i="17"/>
  <c r="I238" i="17" s="1"/>
  <c r="G240" i="17"/>
  <c r="I240" i="17" s="1"/>
  <c r="G241" i="17"/>
  <c r="H241" i="17" s="1"/>
  <c r="I241" i="17" s="1"/>
  <c r="G243" i="17"/>
  <c r="H243" i="17" s="1"/>
  <c r="I243" i="17" s="1"/>
  <c r="G244" i="17"/>
  <c r="I244" i="17" s="1"/>
  <c r="G245" i="17"/>
  <c r="I245" i="17" s="1"/>
  <c r="G246" i="17"/>
  <c r="I246" i="17" s="1"/>
  <c r="G247" i="17"/>
  <c r="I247" i="17" s="1"/>
  <c r="G248" i="17"/>
  <c r="H248" i="17" s="1"/>
  <c r="I248" i="17" s="1"/>
  <c r="G249" i="17"/>
  <c r="I249" i="17" s="1"/>
  <c r="G251" i="17"/>
  <c r="G253" i="17"/>
  <c r="I253" i="17" s="1"/>
  <c r="G254" i="17"/>
  <c r="I254" i="17" s="1"/>
  <c r="G255" i="17"/>
  <c r="I255" i="17" s="1"/>
  <c r="G257" i="17"/>
  <c r="I257" i="17" s="1"/>
  <c r="G259" i="17"/>
  <c r="I259" i="17" s="1"/>
  <c r="G262" i="17"/>
  <c r="I262" i="17" s="1"/>
  <c r="G264" i="17"/>
  <c r="H264" i="17" s="1"/>
  <c r="G266" i="17"/>
  <c r="I266" i="17" s="1"/>
  <c r="G268" i="17"/>
  <c r="G270" i="17"/>
  <c r="G273" i="17"/>
  <c r="I273" i="17" s="1"/>
  <c r="G275" i="17"/>
  <c r="I275" i="17" s="1"/>
  <c r="G276" i="17"/>
  <c r="I276" i="17" s="1"/>
  <c r="G278" i="17"/>
  <c r="I278" i="17" s="1"/>
  <c r="G281" i="17"/>
  <c r="H281" i="17" s="1"/>
  <c r="G285" i="17"/>
  <c r="H285" i="17" s="1"/>
  <c r="I285" i="17" s="1"/>
  <c r="G287" i="17"/>
  <c r="H287" i="17" s="1"/>
  <c r="I287" i="17" s="1"/>
  <c r="G289" i="17"/>
  <c r="I289" i="17" s="1"/>
  <c r="G291" i="17"/>
  <c r="I291" i="17" s="1"/>
  <c r="G293" i="17"/>
  <c r="I293" i="17" s="1"/>
  <c r="G295" i="17"/>
  <c r="H295" i="17" s="1"/>
  <c r="I295" i="17" s="1"/>
  <c r="G297" i="17"/>
  <c r="H297" i="17" s="1"/>
  <c r="I297" i="17" s="1"/>
  <c r="G299" i="17"/>
  <c r="I299" i="17" s="1"/>
  <c r="G301" i="17"/>
  <c r="I301" i="17" s="1"/>
  <c r="G303" i="17"/>
  <c r="I303" i="17" s="1"/>
  <c r="G307" i="17"/>
  <c r="I307" i="17" s="1"/>
  <c r="G309" i="17"/>
  <c r="I309" i="17" s="1"/>
  <c r="G312" i="17"/>
  <c r="H312" i="17" s="1"/>
  <c r="I312" i="17" s="1"/>
  <c r="G313" i="17"/>
  <c r="I313" i="17" s="1"/>
  <c r="G314" i="17"/>
  <c r="I314" i="17" s="1"/>
  <c r="G337" i="17"/>
  <c r="I337" i="17" s="1"/>
  <c r="G343" i="17"/>
  <c r="I343" i="17" s="1"/>
  <c r="G341" i="17"/>
  <c r="I341" i="17" s="1"/>
  <c r="G206" i="17"/>
  <c r="H206" i="17" s="1"/>
  <c r="G207" i="17"/>
  <c r="I207" i="17" s="1"/>
  <c r="G182" i="17"/>
  <c r="I182" i="17" s="1"/>
  <c r="G136" i="17"/>
  <c r="I136" i="17" s="1"/>
  <c r="G146" i="17"/>
  <c r="I146" i="17" s="1"/>
  <c r="G153" i="17"/>
  <c r="I153" i="17" s="1"/>
  <c r="G155" i="17"/>
  <c r="I155" i="17" s="1"/>
  <c r="G156" i="17"/>
  <c r="I156" i="17" s="1"/>
  <c r="G112" i="17"/>
  <c r="I112" i="17" s="1"/>
  <c r="G115" i="17"/>
  <c r="I115" i="17" s="1"/>
  <c r="G116" i="17"/>
  <c r="I116" i="17" s="1"/>
  <c r="G124" i="17"/>
  <c r="I124" i="17" s="1"/>
  <c r="L164" i="18"/>
  <c r="L109" i="18"/>
  <c r="L106" i="18"/>
  <c r="G103" i="17"/>
  <c r="G104" i="17"/>
  <c r="I104" i="17" s="1"/>
  <c r="G109" i="17"/>
  <c r="I109" i="17" s="1"/>
  <c r="L87" i="18"/>
  <c r="L74" i="18"/>
  <c r="G145" i="17"/>
  <c r="I145" i="17" s="1"/>
  <c r="G147" i="17"/>
  <c r="H147" i="17" s="1"/>
  <c r="I147" i="17" s="1"/>
  <c r="G150" i="17"/>
  <c r="I150" i="17" s="1"/>
  <c r="G151" i="17"/>
  <c r="I151" i="17" s="1"/>
  <c r="G95" i="17"/>
  <c r="I95" i="17" s="1"/>
  <c r="G97" i="17"/>
  <c r="I97" i="17" s="1"/>
  <c r="G101" i="17"/>
  <c r="I101" i="17" s="1"/>
  <c r="G108" i="17"/>
  <c r="I108" i="17" s="1"/>
  <c r="G110" i="17"/>
  <c r="I110" i="17" s="1"/>
  <c r="G118" i="17"/>
  <c r="I118" i="17" s="1"/>
  <c r="G121" i="17"/>
  <c r="I121" i="17" s="1"/>
  <c r="G122" i="17"/>
  <c r="I122" i="17" s="1"/>
  <c r="G123" i="17"/>
  <c r="I123" i="17" s="1"/>
  <c r="G126" i="17"/>
  <c r="I126" i="17" s="1"/>
  <c r="G133" i="17"/>
  <c r="I133" i="17" s="1"/>
  <c r="G138" i="17"/>
  <c r="I138" i="17" s="1"/>
  <c r="G18" i="17"/>
  <c r="H18" i="17" s="1"/>
  <c r="I18" i="17" s="1"/>
  <c r="G28" i="17"/>
  <c r="I28" i="17" s="1"/>
  <c r="G73" i="17"/>
  <c r="I73" i="17" s="1"/>
  <c r="G80" i="17"/>
  <c r="I80" i="17" s="1"/>
  <c r="G88" i="17"/>
  <c r="I88" i="17" s="1"/>
  <c r="G93" i="17"/>
  <c r="I93" i="17" s="1"/>
  <c r="G99" i="17"/>
  <c r="I99" i="17" s="1"/>
  <c r="G100" i="17"/>
  <c r="I100" i="17" s="1"/>
  <c r="G102" i="17"/>
  <c r="I102" i="17" s="1"/>
  <c r="G105" i="17"/>
  <c r="H105" i="17" s="1"/>
  <c r="I105" i="17" s="1"/>
  <c r="G106" i="17"/>
  <c r="H106" i="17" s="1"/>
  <c r="I106" i="17" s="1"/>
  <c r="G107" i="17"/>
  <c r="H107" i="17" s="1"/>
  <c r="I107" i="17" s="1"/>
  <c r="G111" i="17"/>
  <c r="I111" i="17" s="1"/>
  <c r="G113" i="17"/>
  <c r="I113" i="17" s="1"/>
  <c r="G114" i="17"/>
  <c r="I114" i="17" s="1"/>
  <c r="G117" i="17"/>
  <c r="I117" i="17" s="1"/>
  <c r="G120" i="17"/>
  <c r="I120" i="17" s="1"/>
  <c r="G127" i="17"/>
  <c r="I127" i="17" s="1"/>
  <c r="G129" i="17"/>
  <c r="I129" i="17" s="1"/>
  <c r="G132" i="17"/>
  <c r="I132" i="17" s="1"/>
  <c r="G134" i="17"/>
  <c r="I134" i="17" s="1"/>
  <c r="G135" i="17"/>
  <c r="H135" i="17" s="1"/>
  <c r="I135" i="17" s="1"/>
  <c r="G137" i="17"/>
  <c r="I137" i="17" s="1"/>
  <c r="G139" i="17"/>
  <c r="I139" i="17" s="1"/>
  <c r="G141" i="17"/>
  <c r="I141" i="17" s="1"/>
  <c r="G142" i="17"/>
  <c r="I142" i="17" s="1"/>
  <c r="L26" i="18"/>
  <c r="G22" i="17"/>
  <c r="G33" i="17"/>
  <c r="I33" i="17" s="1"/>
  <c r="G34" i="17"/>
  <c r="I34" i="17" s="1"/>
  <c r="G35" i="17"/>
  <c r="I35" i="17" s="1"/>
  <c r="G39" i="17"/>
  <c r="G56" i="17"/>
  <c r="I56" i="17" s="1"/>
  <c r="G58" i="17"/>
  <c r="I58" i="17" s="1"/>
  <c r="G60" i="17"/>
  <c r="I60" i="17" s="1"/>
  <c r="G72" i="17"/>
  <c r="I72" i="17" s="1"/>
  <c r="G74" i="17"/>
  <c r="H74" i="17" s="1"/>
  <c r="I74" i="17" s="1"/>
  <c r="G75" i="17"/>
  <c r="I75" i="17" s="1"/>
  <c r="G78" i="17"/>
  <c r="I78" i="17" s="1"/>
  <c r="G79" i="17"/>
  <c r="I79" i="17" s="1"/>
  <c r="G81" i="17"/>
  <c r="I81" i="17" s="1"/>
  <c r="G82" i="17"/>
  <c r="I82" i="17" s="1"/>
  <c r="G83" i="17"/>
  <c r="G85" i="17"/>
  <c r="I85" i="17" s="1"/>
  <c r="G87" i="17"/>
  <c r="H87" i="17" s="1"/>
  <c r="I87" i="17" s="1"/>
  <c r="G89" i="17"/>
  <c r="I89" i="17" s="1"/>
  <c r="G90" i="17"/>
  <c r="I90" i="17" s="1"/>
  <c r="G91" i="17"/>
  <c r="H91" i="17" s="1"/>
  <c r="G92" i="17"/>
  <c r="H92" i="17" s="1"/>
  <c r="G94" i="17"/>
  <c r="H94" i="17" s="1"/>
  <c r="I94" i="17" s="1"/>
  <c r="G96" i="17"/>
  <c r="I96" i="17" s="1"/>
  <c r="G76" i="17"/>
  <c r="I76" i="17" s="1"/>
  <c r="G14" i="17"/>
  <c r="H14" i="17" s="1"/>
  <c r="D345" i="17"/>
  <c r="E349" i="17"/>
  <c r="D349" i="17"/>
  <c r="F349" i="17"/>
  <c r="G12" i="17"/>
  <c r="I12" i="17" s="1"/>
  <c r="G13" i="17"/>
  <c r="I13" i="17" s="1"/>
  <c r="G15" i="17"/>
  <c r="I15" i="17" s="1"/>
  <c r="G16" i="17"/>
  <c r="H16" i="17" s="1"/>
  <c r="G17" i="17"/>
  <c r="I17" i="17" s="1"/>
  <c r="G19" i="17"/>
  <c r="I19" i="17" s="1"/>
  <c r="G20" i="17"/>
  <c r="I20" i="17" s="1"/>
  <c r="G21" i="17"/>
  <c r="G23" i="17"/>
  <c r="I23" i="17" s="1"/>
  <c r="G24" i="17"/>
  <c r="I24" i="17" s="1"/>
  <c r="G25" i="17"/>
  <c r="H25" i="17" s="1"/>
  <c r="G26" i="17"/>
  <c r="I26" i="17" s="1"/>
  <c r="G27" i="17"/>
  <c r="I27" i="17" s="1"/>
  <c r="G30" i="17"/>
  <c r="I30" i="17" s="1"/>
  <c r="G31" i="17"/>
  <c r="I31" i="17" s="1"/>
  <c r="G32" i="17"/>
  <c r="I32" i="17" s="1"/>
  <c r="G36" i="17"/>
  <c r="I36" i="17" s="1"/>
  <c r="G37" i="17"/>
  <c r="H37" i="17" s="1"/>
  <c r="G38" i="17"/>
  <c r="H38" i="17" s="1"/>
  <c r="I38" i="17" s="1"/>
  <c r="G41" i="17"/>
  <c r="I41" i="17" s="1"/>
  <c r="G42" i="17"/>
  <c r="G44" i="17"/>
  <c r="I44" i="17" s="1"/>
  <c r="G45" i="17"/>
  <c r="I45" i="17" s="1"/>
  <c r="G46" i="17"/>
  <c r="I46" i="17" s="1"/>
  <c r="G47" i="17"/>
  <c r="I47" i="17" s="1"/>
  <c r="G48" i="17"/>
  <c r="I48" i="17" s="1"/>
  <c r="G49" i="17"/>
  <c r="I49" i="17" s="1"/>
  <c r="G50" i="17"/>
  <c r="I50" i="17" s="1"/>
  <c r="G51" i="17"/>
  <c r="I51" i="17" s="1"/>
  <c r="G52" i="17"/>
  <c r="I52" i="17" s="1"/>
  <c r="G53" i="17"/>
  <c r="H53" i="17" s="1"/>
  <c r="I53" i="17" s="1"/>
  <c r="G54" i="17"/>
  <c r="I54" i="17" s="1"/>
  <c r="G55" i="17"/>
  <c r="I55" i="17" s="1"/>
  <c r="G57" i="17"/>
  <c r="I57" i="17" s="1"/>
  <c r="G59" i="17"/>
  <c r="I59" i="17" s="1"/>
  <c r="G62" i="17"/>
  <c r="I62" i="17" s="1"/>
  <c r="G63" i="17"/>
  <c r="I63" i="17" s="1"/>
  <c r="G65" i="17"/>
  <c r="G66" i="17"/>
  <c r="G67" i="17"/>
  <c r="I67" i="17" s="1"/>
  <c r="G68" i="17"/>
  <c r="H68" i="17" s="1"/>
  <c r="I68" i="17" s="1"/>
  <c r="G69" i="17"/>
  <c r="I69" i="17" s="1"/>
  <c r="G70" i="17"/>
  <c r="I70" i="17" s="1"/>
  <c r="G71" i="17"/>
  <c r="I71" i="17" s="1"/>
  <c r="G86" i="17"/>
  <c r="I86" i="17" s="1"/>
  <c r="G9" i="17"/>
  <c r="G11" i="17"/>
  <c r="I11" i="17" s="1"/>
  <c r="I357" i="18"/>
  <c r="L9" i="18"/>
  <c r="J343" i="18"/>
  <c r="F79" i="19"/>
  <c r="U79" i="19" s="1"/>
  <c r="V79" i="19" s="1"/>
  <c r="F68" i="19"/>
  <c r="U68" i="19" s="1"/>
  <c r="E345" i="17"/>
  <c r="G43" i="17"/>
  <c r="F272" i="13"/>
  <c r="I122" i="13"/>
  <c r="M122" i="13" s="1"/>
  <c r="N122" i="13" s="1"/>
  <c r="I230" i="13"/>
  <c r="M230" i="13" s="1"/>
  <c r="N230" i="13" s="1"/>
  <c r="I96" i="13"/>
  <c r="N96" i="13" s="1"/>
  <c r="I146" i="13"/>
  <c r="M146" i="13" s="1"/>
  <c r="N146" i="13" s="1"/>
  <c r="I149" i="13"/>
  <c r="M149" i="13" s="1"/>
  <c r="I198" i="13"/>
  <c r="M198" i="13" s="1"/>
  <c r="N198" i="13" s="1"/>
  <c r="I11" i="13"/>
  <c r="N11" i="13" s="1"/>
  <c r="I12" i="13"/>
  <c r="N12" i="13" s="1"/>
  <c r="I14" i="13"/>
  <c r="N14" i="13" s="1"/>
  <c r="I15" i="13"/>
  <c r="N15" i="13" s="1"/>
  <c r="I17" i="13"/>
  <c r="N17" i="13" s="1"/>
  <c r="I18" i="13"/>
  <c r="N18" i="13" s="1"/>
  <c r="I19" i="13"/>
  <c r="N19" i="13" s="1"/>
  <c r="I21" i="13"/>
  <c r="N21" i="13" s="1"/>
  <c r="I22" i="13"/>
  <c r="N22" i="13" s="1"/>
  <c r="I23" i="13"/>
  <c r="N23" i="13" s="1"/>
  <c r="I25" i="13"/>
  <c r="N25" i="13" s="1"/>
  <c r="E350" i="18"/>
  <c r="F350" i="18"/>
  <c r="F354" i="18" s="1"/>
  <c r="F364" i="18" s="1"/>
  <c r="G350" i="18"/>
  <c r="G354" i="18" s="1"/>
  <c r="G364" i="18" s="1"/>
  <c r="E344" i="18"/>
  <c r="G344" i="18"/>
  <c r="F346" i="18"/>
  <c r="E272" i="12"/>
  <c r="E286" i="12"/>
  <c r="M276" i="13"/>
  <c r="H271" i="12"/>
  <c r="J50" i="12"/>
  <c r="H248" i="13"/>
  <c r="H274" i="13" s="1"/>
  <c r="J60" i="12"/>
  <c r="G247" i="13"/>
  <c r="I247" i="13" s="1"/>
  <c r="J59" i="12"/>
  <c r="G256" i="13"/>
  <c r="I256" i="13" s="1"/>
  <c r="J77" i="12"/>
  <c r="I236" i="13"/>
  <c r="H69" i="13"/>
  <c r="I69" i="13" s="1"/>
  <c r="N69" i="13" s="1"/>
  <c r="J180" i="12"/>
  <c r="G221" i="13"/>
  <c r="I221" i="13" s="1"/>
  <c r="J21" i="12"/>
  <c r="F274" i="12"/>
  <c r="F272" i="12"/>
  <c r="I246" i="13"/>
  <c r="I10" i="13"/>
  <c r="F76" i="19" l="1"/>
  <c r="U76" i="19" s="1"/>
  <c r="V76" i="19" s="1"/>
  <c r="H339" i="17"/>
  <c r="I339" i="17" s="1"/>
  <c r="I206" i="17"/>
  <c r="I324" i="17"/>
  <c r="H324" i="17"/>
  <c r="H321" i="17"/>
  <c r="I321" i="17" s="1"/>
  <c r="M264" i="13"/>
  <c r="N264" i="13" s="1"/>
  <c r="M117" i="13"/>
  <c r="N117" i="13" s="1"/>
  <c r="N155" i="13"/>
  <c r="M155" i="13"/>
  <c r="N207" i="13"/>
  <c r="N212" i="13"/>
  <c r="C36" i="15"/>
  <c r="N213" i="13"/>
  <c r="H251" i="17"/>
  <c r="I251" i="17" s="1"/>
  <c r="H228" i="17"/>
  <c r="I228" i="17" s="1"/>
  <c r="H242" i="17"/>
  <c r="I242" i="17" s="1"/>
  <c r="H236" i="17"/>
  <c r="I236" i="17" s="1"/>
  <c r="H214" i="17"/>
  <c r="I214" i="17" s="1"/>
  <c r="F355" i="18"/>
  <c r="F82" i="19"/>
  <c r="U82" i="19" s="1"/>
  <c r="F71" i="19"/>
  <c r="U71" i="19" s="1"/>
  <c r="G355" i="18"/>
  <c r="F345" i="17"/>
  <c r="G345" i="17" s="1"/>
  <c r="F115" i="23" s="1"/>
  <c r="F116" i="23" s="1"/>
  <c r="F118" i="23" s="1"/>
  <c r="G328" i="17"/>
  <c r="H328" i="17" s="1"/>
  <c r="I328" i="17" s="1"/>
  <c r="M269" i="13"/>
  <c r="N269" i="13"/>
  <c r="I275" i="13"/>
  <c r="C6" i="15" s="1"/>
  <c r="M252" i="13"/>
  <c r="N252" i="13" s="1"/>
  <c r="M242" i="13"/>
  <c r="N242" i="13" s="1"/>
  <c r="M220" i="13"/>
  <c r="N220" i="13" s="1"/>
  <c r="F74" i="19"/>
  <c r="U74" i="19" s="1"/>
  <c r="F80" i="19"/>
  <c r="U80" i="19" s="1"/>
  <c r="V80" i="19" s="1"/>
  <c r="F81" i="19"/>
  <c r="U81" i="19" s="1"/>
  <c r="F72" i="19"/>
  <c r="U72" i="19" s="1"/>
  <c r="V72" i="19" s="1"/>
  <c r="U67" i="19"/>
  <c r="F73" i="19"/>
  <c r="U73" i="19" s="1"/>
  <c r="V73" i="19" s="1"/>
  <c r="J349" i="18"/>
  <c r="J354" i="18" s="1"/>
  <c r="J355" i="18" s="1"/>
  <c r="N211" i="13"/>
  <c r="H269" i="17"/>
  <c r="I269" i="17" s="1"/>
  <c r="I235" i="17"/>
  <c r="I231" i="17"/>
  <c r="M240" i="13"/>
  <c r="N240" i="13" s="1"/>
  <c r="E277" i="13"/>
  <c r="F77" i="19"/>
  <c r="U77" i="19" s="1"/>
  <c r="V77" i="19" s="1"/>
  <c r="M266" i="13"/>
  <c r="N266" i="13" s="1"/>
  <c r="M118" i="13"/>
  <c r="N118" i="13" s="1"/>
  <c r="M232" i="13"/>
  <c r="N232" i="13" s="1"/>
  <c r="H363" i="18"/>
  <c r="H364" i="18" s="1"/>
  <c r="J350" i="18"/>
  <c r="I315" i="17"/>
  <c r="I363" i="18"/>
  <c r="I364" i="18" s="1"/>
  <c r="G280" i="12"/>
  <c r="G285" i="12" s="1"/>
  <c r="G286" i="12" s="1"/>
  <c r="M260" i="13"/>
  <c r="N260" i="13" s="1"/>
  <c r="N200" i="13"/>
  <c r="M183" i="13"/>
  <c r="N183" i="13" s="1"/>
  <c r="N210" i="13"/>
  <c r="M241" i="13"/>
  <c r="N241" i="13" s="1"/>
  <c r="F87" i="19"/>
  <c r="U87" i="19" s="1"/>
  <c r="N263" i="13"/>
  <c r="F277" i="13"/>
  <c r="G272" i="12"/>
  <c r="M222" i="13"/>
  <c r="N222" i="13" s="1"/>
  <c r="F89" i="19"/>
  <c r="U89" i="19" s="1"/>
  <c r="F78" i="19"/>
  <c r="U78" i="19" s="1"/>
  <c r="V78" i="19" s="1"/>
  <c r="I302" i="17"/>
  <c r="M243" i="13"/>
  <c r="N243" i="13" s="1"/>
  <c r="M31" i="13"/>
  <c r="N31" i="13" s="1"/>
  <c r="M24" i="13"/>
  <c r="M52" i="13"/>
  <c r="N52" i="13" s="1"/>
  <c r="F84" i="19"/>
  <c r="U84" i="19" s="1"/>
  <c r="F75" i="19"/>
  <c r="U75" i="19" s="1"/>
  <c r="V75" i="19" s="1"/>
  <c r="F69" i="19"/>
  <c r="U69" i="19" s="1"/>
  <c r="F91" i="19"/>
  <c r="U91" i="19" s="1"/>
  <c r="N179" i="13"/>
  <c r="I288" i="12"/>
  <c r="I289" i="12" s="1"/>
  <c r="I285" i="12"/>
  <c r="I286" i="12" s="1"/>
  <c r="J279" i="12"/>
  <c r="H280" i="12"/>
  <c r="H285" i="12" s="1"/>
  <c r="H298" i="12" s="1"/>
  <c r="I280" i="12"/>
  <c r="H66" i="17"/>
  <c r="I66" i="17" s="1"/>
  <c r="I42" i="17"/>
  <c r="I83" i="17"/>
  <c r="I268" i="17"/>
  <c r="I167" i="17"/>
  <c r="I165" i="17"/>
  <c r="H213" i="17"/>
  <c r="I213" i="17" s="1"/>
  <c r="H333" i="17"/>
  <c r="I333" i="17" s="1"/>
  <c r="I192" i="17"/>
  <c r="I320" i="17"/>
  <c r="I311" i="17"/>
  <c r="I65" i="17"/>
  <c r="I21" i="17"/>
  <c r="I279" i="17"/>
  <c r="I39" i="17"/>
  <c r="I22" i="17"/>
  <c r="I103" i="17"/>
  <c r="H270" i="17"/>
  <c r="I270" i="17" s="1"/>
  <c r="I178" i="17"/>
  <c r="I181" i="17"/>
  <c r="H222" i="17"/>
  <c r="I222" i="17" s="1"/>
  <c r="I281" i="17"/>
  <c r="I304" i="17"/>
  <c r="I9" i="17"/>
  <c r="G274" i="13"/>
  <c r="G277" i="13" s="1"/>
  <c r="N255" i="13"/>
  <c r="M233" i="13"/>
  <c r="N233" i="13" s="1"/>
  <c r="E351" i="17"/>
  <c r="I330" i="17"/>
  <c r="I161" i="17"/>
  <c r="M227" i="13"/>
  <c r="N227" i="13" s="1"/>
  <c r="N116" i="13"/>
  <c r="N44" i="13"/>
  <c r="N141" i="13"/>
  <c r="N143" i="13"/>
  <c r="N119" i="13"/>
  <c r="N133" i="13"/>
  <c r="N65" i="13"/>
  <c r="N276" i="13" s="1"/>
  <c r="E7" i="15" s="1"/>
  <c r="I276" i="13"/>
  <c r="C7" i="15" s="1"/>
  <c r="M111" i="13"/>
  <c r="N111" i="13" s="1"/>
  <c r="I225" i="17"/>
  <c r="F351" i="17"/>
  <c r="I264" i="17"/>
  <c r="N125" i="13"/>
  <c r="N175" i="13"/>
  <c r="N45" i="13"/>
  <c r="N156" i="13"/>
  <c r="N196" i="13"/>
  <c r="N203" i="13"/>
  <c r="N33" i="13"/>
  <c r="C37" i="15"/>
  <c r="N194" i="13"/>
  <c r="N149" i="13"/>
  <c r="N205" i="13"/>
  <c r="N209" i="13"/>
  <c r="G272" i="13"/>
  <c r="I25" i="17"/>
  <c r="I16" i="17"/>
  <c r="I91" i="17"/>
  <c r="G350" i="17"/>
  <c r="C14" i="15" s="1"/>
  <c r="E38" i="15"/>
  <c r="E37" i="15"/>
  <c r="D351" i="17"/>
  <c r="J357" i="18"/>
  <c r="I358" i="18"/>
  <c r="I92" i="17"/>
  <c r="I37" i="17"/>
  <c r="I14" i="17"/>
  <c r="I43" i="17"/>
  <c r="G349" i="17"/>
  <c r="J344" i="18"/>
  <c r="J346" i="18" s="1"/>
  <c r="H272" i="13"/>
  <c r="H276" i="13"/>
  <c r="H277" i="13" s="1"/>
  <c r="M236" i="13"/>
  <c r="N236" i="13" s="1"/>
  <c r="M247" i="13"/>
  <c r="N247" i="13" s="1"/>
  <c r="M246" i="13"/>
  <c r="N246" i="13" s="1"/>
  <c r="I248" i="13"/>
  <c r="I274" i="13" s="1"/>
  <c r="N10" i="13"/>
  <c r="M221" i="13"/>
  <c r="N221" i="13" s="1"/>
  <c r="M256" i="13"/>
  <c r="N256" i="13" s="1"/>
  <c r="H272" i="12"/>
  <c r="H274" i="12"/>
  <c r="C38" i="15"/>
  <c r="J271" i="12"/>
  <c r="E274" i="12"/>
  <c r="I348" i="17" l="1"/>
  <c r="H348" i="17"/>
  <c r="C27" i="15"/>
  <c r="G348" i="17"/>
  <c r="J285" i="12"/>
  <c r="G298" i="12"/>
  <c r="H286" i="12"/>
  <c r="N24" i="13"/>
  <c r="N275" i="13" s="1"/>
  <c r="E6" i="15" s="1"/>
  <c r="M275" i="13"/>
  <c r="I296" i="12"/>
  <c r="J296" i="12" s="1"/>
  <c r="J363" i="18"/>
  <c r="J364" i="18" s="1"/>
  <c r="J274" i="12"/>
  <c r="J272" i="12"/>
  <c r="J288" i="12"/>
  <c r="G37" i="15"/>
  <c r="I350" i="17"/>
  <c r="I364" i="17" s="1"/>
  <c r="E14" i="15" s="1"/>
  <c r="G14" i="15" s="1"/>
  <c r="H349" i="17"/>
  <c r="U96" i="19"/>
  <c r="H353" i="17"/>
  <c r="H345" i="17"/>
  <c r="I277" i="13"/>
  <c r="G38" i="15"/>
  <c r="I272" i="13"/>
  <c r="F62" i="23" s="1"/>
  <c r="F63" i="23" s="1"/>
  <c r="F65" i="23" s="1"/>
  <c r="J358" i="18"/>
  <c r="I345" i="17"/>
  <c r="I349" i="17"/>
  <c r="G7" i="15"/>
  <c r="M248" i="13"/>
  <c r="M274" i="13" s="1"/>
  <c r="C35" i="15"/>
  <c r="G351" i="17" l="1"/>
  <c r="E27" i="15"/>
  <c r="G27" i="15" s="1"/>
  <c r="I298" i="12"/>
  <c r="H351" i="17"/>
  <c r="H355" i="17" s="1"/>
  <c r="I357" i="17" s="1"/>
  <c r="I363" i="17" s="1"/>
  <c r="E13" i="15" s="1"/>
  <c r="I351" i="17"/>
  <c r="G353" i="17"/>
  <c r="C39" i="15"/>
  <c r="C41" i="15" s="1"/>
  <c r="J280" i="13"/>
  <c r="C5" i="15"/>
  <c r="K280" i="13"/>
  <c r="M272" i="13"/>
  <c r="G6" i="15"/>
  <c r="N248" i="13"/>
  <c r="E26" i="15" l="1"/>
  <c r="H354" i="17"/>
  <c r="H356" i="17" s="1"/>
  <c r="H357" i="17"/>
  <c r="M280" i="13"/>
  <c r="M290" i="13" s="1"/>
  <c r="N274" i="13"/>
  <c r="N272" i="13"/>
  <c r="C8" i="15"/>
  <c r="E36" i="15" l="1"/>
  <c r="G36" i="15" s="1"/>
  <c r="C13" i="15"/>
  <c r="H362" i="17"/>
  <c r="C12" i="15"/>
  <c r="C25" i="15" s="1"/>
  <c r="I356" i="17"/>
  <c r="I362" i="17" s="1"/>
  <c r="E12" i="15" s="1"/>
  <c r="E15" i="15" s="1"/>
  <c r="H359" i="17"/>
  <c r="H363" i="17"/>
  <c r="H365" i="17" s="1"/>
  <c r="L14" i="15"/>
  <c r="E5" i="15"/>
  <c r="N277" i="13"/>
  <c r="E25" i="15" l="1"/>
  <c r="G25" i="15" s="1"/>
  <c r="C26" i="15"/>
  <c r="G26" i="15" s="1"/>
  <c r="G13" i="15"/>
  <c r="E35" i="15"/>
  <c r="G35" i="15" s="1"/>
  <c r="G39" i="15" s="1"/>
  <c r="G41" i="15" s="1"/>
  <c r="I365" i="17"/>
  <c r="I359" i="17"/>
  <c r="G12" i="15"/>
  <c r="C15" i="15"/>
  <c r="E8" i="15"/>
  <c r="G5" i="15"/>
  <c r="G8" i="15" s="1"/>
  <c r="E28" i="15" l="1"/>
  <c r="G15" i="15"/>
  <c r="C28" i="15"/>
  <c r="E39" i="15"/>
  <c r="E41" i="15" s="1"/>
  <c r="M14" i="15"/>
  <c r="M15" i="15" s="1"/>
  <c r="L7" i="15"/>
  <c r="L9" i="15" s="1"/>
  <c r="G28" i="15"/>
  <c r="M9" i="15" l="1"/>
  <c r="M277" i="13"/>
  <c r="N278" i="13" s="1"/>
</calcChain>
</file>

<file path=xl/comments1.xml><?xml version="1.0" encoding="utf-8"?>
<comments xmlns="http://schemas.openxmlformats.org/spreadsheetml/2006/main">
  <authors>
    <author>Bobby Vinson</author>
    <author>Marty Pulliam</author>
    <author>Jason Goar</author>
  </authors>
  <commentList>
    <comment ref="I10" authorId="0">
      <text>
        <r>
          <rPr>
            <b/>
            <sz val="8"/>
            <color indexed="81"/>
            <rFont val="Tahoma"/>
            <family val="2"/>
          </rPr>
          <t>Bobby Vinson:</t>
        </r>
        <r>
          <rPr>
            <sz val="8"/>
            <color indexed="81"/>
            <rFont val="Tahoma"/>
            <family val="2"/>
          </rPr>
          <t xml:space="preserve">
$221,342.05 Leased</t>
        </r>
      </text>
    </comment>
    <comment ref="I11" authorId="0">
      <text>
        <r>
          <rPr>
            <b/>
            <sz val="8"/>
            <color indexed="81"/>
            <rFont val="Tahoma"/>
            <family val="2"/>
          </rPr>
          <t>Bobby Vinson:</t>
        </r>
        <r>
          <rPr>
            <sz val="8"/>
            <color indexed="81"/>
            <rFont val="Tahoma"/>
            <family val="2"/>
          </rPr>
          <t xml:space="preserve">
$262,767.76 Leased</t>
        </r>
      </text>
    </comment>
    <comment ref="M24" authorId="1">
      <text>
        <r>
          <rPr>
            <b/>
            <sz val="8"/>
            <color indexed="81"/>
            <rFont val="Tahoma"/>
            <family val="2"/>
          </rPr>
          <t>Marty Pulliam:</t>
        </r>
        <r>
          <rPr>
            <sz val="8"/>
            <color indexed="81"/>
            <rFont val="Tahoma"/>
            <family val="2"/>
          </rPr>
          <t xml:space="preserve">
See Folder Email(1) -Jason Goar stated this line meets 7 factor testing.</t>
        </r>
      </text>
    </comment>
    <comment ref="M31" authorId="1">
      <text>
        <r>
          <rPr>
            <b/>
            <sz val="8"/>
            <color indexed="81"/>
            <rFont val="Tahoma"/>
            <family val="2"/>
          </rPr>
          <t>Marty Pulliam:</t>
        </r>
        <r>
          <rPr>
            <sz val="8"/>
            <color indexed="81"/>
            <rFont val="Tahoma"/>
            <family val="2"/>
          </rPr>
          <t xml:space="preserve">
See folder Email(1) - Jason Goar stated this line meets 7 factor testing.</t>
        </r>
      </text>
    </comment>
    <comment ref="M52" authorId="1">
      <text>
        <r>
          <rPr>
            <b/>
            <sz val="8"/>
            <color indexed="81"/>
            <rFont val="Tahoma"/>
            <family val="2"/>
          </rPr>
          <t>Marty Pulliam:</t>
        </r>
        <r>
          <rPr>
            <sz val="8"/>
            <color indexed="81"/>
            <rFont val="Tahoma"/>
            <family val="2"/>
          </rPr>
          <t xml:space="preserve">
See folder Email(1) - Jason Goar said this line meets 7 factor test.</t>
        </r>
      </text>
    </comment>
    <comment ref="D117" authorId="2">
      <text>
        <r>
          <rPr>
            <b/>
            <sz val="9"/>
            <color indexed="81"/>
            <rFont val="Tahoma"/>
            <charset val="1"/>
          </rPr>
          <t>Jason Goar:</t>
        </r>
        <r>
          <rPr>
            <sz val="9"/>
            <color indexed="81"/>
            <rFont val="Tahoma"/>
            <charset val="1"/>
          </rPr>
          <t xml:space="preserve">
Line 11 is now a looped line and can be included.</t>
        </r>
      </text>
    </comment>
    <comment ref="D155" authorId="2">
      <text>
        <r>
          <rPr>
            <b/>
            <sz val="9"/>
            <color indexed="81"/>
            <rFont val="Tahoma"/>
            <charset val="1"/>
          </rPr>
          <t>Jason Goar:</t>
        </r>
        <r>
          <rPr>
            <sz val="9"/>
            <color indexed="81"/>
            <rFont val="Tahoma"/>
            <charset val="1"/>
          </rPr>
          <t xml:space="preserve">
Line 70 is now a looped line and can be included.</t>
        </r>
      </text>
    </comment>
    <comment ref="D188" authorId="2">
      <text>
        <r>
          <rPr>
            <b/>
            <sz val="9"/>
            <color indexed="81"/>
            <rFont val="Tahoma"/>
            <charset val="1"/>
          </rPr>
          <t>Jason Goar:</t>
        </r>
        <r>
          <rPr>
            <sz val="9"/>
            <color indexed="81"/>
            <rFont val="Tahoma"/>
            <charset val="1"/>
          </rPr>
          <t xml:space="preserve">
Line is currenly deenergized and not being used.</t>
        </r>
      </text>
    </comment>
    <comment ref="K207" authorId="2">
      <text>
        <r>
          <rPr>
            <b/>
            <sz val="9"/>
            <color indexed="81"/>
            <rFont val="Tahoma"/>
            <charset val="1"/>
          </rPr>
          <t>Jason Goar:</t>
        </r>
        <r>
          <rPr>
            <sz val="9"/>
            <color indexed="81"/>
            <rFont val="Tahoma"/>
            <charset val="1"/>
          </rPr>
          <t xml:space="preserve">
Similar to L186 and other moselle lines.
</t>
        </r>
      </text>
    </comment>
    <comment ref="K212" authorId="2">
      <text>
        <r>
          <rPr>
            <b/>
            <sz val="9"/>
            <color indexed="81"/>
            <rFont val="Tahoma"/>
            <charset val="1"/>
          </rPr>
          <t>Jason Goar:</t>
        </r>
        <r>
          <rPr>
            <sz val="9"/>
            <color indexed="81"/>
            <rFont val="Tahoma"/>
            <charset val="1"/>
          </rPr>
          <t xml:space="preserve">
Moselle lines are similar to L186 at Batesville and can be included in attachment O.</t>
        </r>
      </text>
    </comment>
    <comment ref="D214" authorId="2">
      <text>
        <r>
          <rPr>
            <b/>
            <sz val="9"/>
            <color indexed="81"/>
            <rFont val="Tahoma"/>
            <charset val="1"/>
          </rPr>
          <t>Jason Goar:</t>
        </r>
        <r>
          <rPr>
            <sz val="9"/>
            <color indexed="81"/>
            <rFont val="Tahoma"/>
            <charset val="1"/>
          </rPr>
          <t xml:space="preserve">
Line 184(0.39) &amp; 185 (0.40) are the Batesville to Batesville TVA 161kV tie lines.  Both share common structures and right-of-way.</t>
        </r>
      </text>
    </comment>
    <comment ref="K231" authorId="1">
      <text>
        <r>
          <rPr>
            <b/>
            <sz val="8"/>
            <color indexed="81"/>
            <rFont val="Tahoma"/>
            <family val="2"/>
          </rPr>
          <t>Marty Pulliam:</t>
        </r>
        <r>
          <rPr>
            <sz val="8"/>
            <color indexed="81"/>
            <rFont val="Tahoma"/>
            <family val="2"/>
          </rPr>
          <t xml:space="preserve">
Line Mileage includes PowerSouth's portion of the line, however, the cost are 100% SME's and its 100% includable.
JG - The mileage is correct.  It is only the CE owned portion of the line.
</t>
        </r>
      </text>
    </comment>
  </commentList>
</comments>
</file>

<file path=xl/comments2.xml><?xml version="1.0" encoding="utf-8"?>
<comments xmlns="http://schemas.openxmlformats.org/spreadsheetml/2006/main">
  <authors>
    <author>bvinson</author>
    <author>Marty Pulliam</author>
  </authors>
  <commentList>
    <comment ref="H7" authorId="0">
      <text>
        <r>
          <rPr>
            <b/>
            <sz val="9"/>
            <color indexed="81"/>
            <rFont val="Tahoma"/>
            <family val="2"/>
          </rPr>
          <t>bvinson:</t>
        </r>
        <r>
          <rPr>
            <sz val="9"/>
            <color indexed="81"/>
            <rFont val="Tahoma"/>
            <family val="2"/>
          </rPr>
          <t xml:space="preserve">
deductions represent deducts for value of metering equipment</t>
        </r>
      </text>
    </comment>
    <comment ref="H210" authorId="1">
      <text>
        <r>
          <rPr>
            <b/>
            <sz val="8"/>
            <color indexed="81"/>
            <rFont val="Tahoma"/>
            <family val="2"/>
          </rPr>
          <t>Marty Pulliam:</t>
        </r>
        <r>
          <rPr>
            <sz val="8"/>
            <color indexed="81"/>
            <rFont val="Tahoma"/>
            <family val="2"/>
          </rPr>
          <t xml:space="preserve">
Added Cap Bank Assets
(see worksheet Email(2) from Jason Goar)</t>
        </r>
      </text>
    </comment>
    <comment ref="H214" authorId="1">
      <text>
        <r>
          <rPr>
            <b/>
            <sz val="8"/>
            <color indexed="81"/>
            <rFont val="Tahoma"/>
            <family val="2"/>
          </rPr>
          <t>Marty Pulliam:</t>
        </r>
        <r>
          <rPr>
            <sz val="8"/>
            <color indexed="81"/>
            <rFont val="Tahoma"/>
            <family val="2"/>
          </rPr>
          <t xml:space="preserve">
Added Cap Bank Assets
(see worksheet Email(2) from Jason Goar)
</t>
        </r>
      </text>
    </comment>
    <comment ref="H228" authorId="1">
      <text>
        <r>
          <rPr>
            <b/>
            <sz val="8"/>
            <color indexed="81"/>
            <rFont val="Tahoma"/>
            <family val="2"/>
          </rPr>
          <t>Marty Pulliam:</t>
        </r>
        <r>
          <rPr>
            <sz val="8"/>
            <color indexed="81"/>
            <rFont val="Tahoma"/>
            <family val="2"/>
          </rPr>
          <t xml:space="preserve">
Added Cap Bank Assets
(see worksheet Email(2) from Jason Goar)
</t>
        </r>
      </text>
    </comment>
    <comment ref="H236" authorId="1">
      <text>
        <r>
          <rPr>
            <b/>
            <sz val="8"/>
            <color indexed="81"/>
            <rFont val="Tahoma"/>
            <family val="2"/>
          </rPr>
          <t>Marty Pulliam:</t>
        </r>
        <r>
          <rPr>
            <sz val="8"/>
            <color indexed="81"/>
            <rFont val="Tahoma"/>
            <family val="2"/>
          </rPr>
          <t xml:space="preserve">
Added Cap Bank Assets
(see worksheet Email(2) from Jason Goar)</t>
        </r>
      </text>
    </comment>
    <comment ref="H242" authorId="1">
      <text>
        <r>
          <rPr>
            <b/>
            <sz val="8"/>
            <color indexed="81"/>
            <rFont val="Tahoma"/>
            <family val="2"/>
          </rPr>
          <t>Marty Pulliam:</t>
        </r>
        <r>
          <rPr>
            <sz val="8"/>
            <color indexed="81"/>
            <rFont val="Tahoma"/>
            <family val="2"/>
          </rPr>
          <t xml:space="preserve">
Added Cap Bank Assets
(see worksheet Email(2) from Jason Goar)</t>
        </r>
      </text>
    </comment>
    <comment ref="H316" authorId="1">
      <text>
        <r>
          <rPr>
            <b/>
            <sz val="8"/>
            <color indexed="81"/>
            <rFont val="Tahoma"/>
            <family val="2"/>
          </rPr>
          <t>Marty Pulliam:</t>
        </r>
        <r>
          <rPr>
            <sz val="8"/>
            <color indexed="81"/>
            <rFont val="Tahoma"/>
            <family val="2"/>
          </rPr>
          <t xml:space="preserve">
Added Cap Bank Assets
(see worksheet Email(2) from Jason Goar)
</t>
        </r>
      </text>
    </comment>
    <comment ref="H321" authorId="1">
      <text>
        <r>
          <rPr>
            <b/>
            <sz val="8"/>
            <color indexed="81"/>
            <rFont val="Tahoma"/>
            <family val="2"/>
          </rPr>
          <t>Marty Pulliam:</t>
        </r>
        <r>
          <rPr>
            <sz val="8"/>
            <color indexed="81"/>
            <rFont val="Tahoma"/>
            <family val="2"/>
          </rPr>
          <t xml:space="preserve">
Added Cap Bank Assets
(see worksheet Email(2) from Jason Goar)</t>
        </r>
      </text>
    </comment>
    <comment ref="H324" authorId="1">
      <text>
        <r>
          <rPr>
            <b/>
            <sz val="8"/>
            <color indexed="81"/>
            <rFont val="Tahoma"/>
            <family val="2"/>
          </rPr>
          <t>Marty Pulliam:</t>
        </r>
        <r>
          <rPr>
            <sz val="8"/>
            <color indexed="81"/>
            <rFont val="Tahoma"/>
            <family val="2"/>
          </rPr>
          <t xml:space="preserve">
Added Cap Bank Assets
(see worksheet Email(2) from Jason Goar)</t>
        </r>
      </text>
    </comment>
    <comment ref="H339" authorId="1">
      <text>
        <r>
          <rPr>
            <b/>
            <sz val="8"/>
            <color indexed="81"/>
            <rFont val="Tahoma"/>
            <family val="2"/>
          </rPr>
          <t>Marty Pulliam:</t>
        </r>
        <r>
          <rPr>
            <sz val="8"/>
            <color indexed="81"/>
            <rFont val="Tahoma"/>
            <family val="2"/>
          </rPr>
          <t xml:space="preserve">
Added Cap Bank Assets
(see worksheet Email(2) from Jason Goar)</t>
        </r>
      </text>
    </comment>
  </commentList>
</comments>
</file>

<file path=xl/comments3.xml><?xml version="1.0" encoding="utf-8"?>
<comments xmlns="http://schemas.openxmlformats.org/spreadsheetml/2006/main">
  <authors>
    <author>Marty Pulliam</author>
  </authors>
  <commentList>
    <comment ref="E51" authorId="0">
      <text>
        <r>
          <rPr>
            <b/>
            <sz val="8"/>
            <color indexed="81"/>
            <rFont val="Tahoma"/>
            <family val="2"/>
          </rPr>
          <t xml:space="preserve">Marty Pulliam:
</t>
        </r>
        <r>
          <rPr>
            <sz val="8"/>
            <color indexed="81"/>
            <rFont val="Tahoma"/>
            <family val="2"/>
          </rPr>
          <t>This amount is 100% excludable due to lack of FERC filing for the reclassification of this amount.</t>
        </r>
      </text>
    </comment>
  </commentList>
</comments>
</file>

<file path=xl/comments4.xml><?xml version="1.0" encoding="utf-8"?>
<comments xmlns="http://schemas.openxmlformats.org/spreadsheetml/2006/main">
  <authors>
    <author>Marty Pulliam</author>
  </authors>
  <commentList>
    <comment ref="E51" authorId="0">
      <text>
        <r>
          <rPr>
            <b/>
            <sz val="8"/>
            <color indexed="81"/>
            <rFont val="Tahoma"/>
            <family val="2"/>
          </rPr>
          <t xml:space="preserve">Marty Pulliam:
</t>
        </r>
        <r>
          <rPr>
            <sz val="8"/>
            <color indexed="81"/>
            <rFont val="Tahoma"/>
            <family val="2"/>
          </rPr>
          <t>This amount is 100% excludable due to lack of FERC filing for the reclassification of this amount.</t>
        </r>
      </text>
    </comment>
  </commentList>
</comments>
</file>

<file path=xl/comments5.xml><?xml version="1.0" encoding="utf-8"?>
<comments xmlns="http://schemas.openxmlformats.org/spreadsheetml/2006/main">
  <authors>
    <author>Marty Pulliam</author>
  </authors>
  <commentList>
    <comment ref="E51" authorId="0">
      <text>
        <r>
          <rPr>
            <b/>
            <sz val="8"/>
            <color indexed="81"/>
            <rFont val="Tahoma"/>
            <family val="2"/>
          </rPr>
          <t xml:space="preserve">Marty Pulliam:
</t>
        </r>
        <r>
          <rPr>
            <sz val="8"/>
            <color indexed="81"/>
            <rFont val="Tahoma"/>
            <family val="2"/>
          </rPr>
          <t>This amount is 100% excludable due to lack of FERC filing for the reclassification of this amount.</t>
        </r>
      </text>
    </comment>
  </commentList>
</comments>
</file>

<file path=xl/comments6.xml><?xml version="1.0" encoding="utf-8"?>
<comments xmlns="http://schemas.openxmlformats.org/spreadsheetml/2006/main">
  <authors>
    <author>Marty Pulliam</author>
  </authors>
  <commentList>
    <comment ref="L8" authorId="0">
      <text>
        <r>
          <rPr>
            <b/>
            <sz val="8"/>
            <color indexed="81"/>
            <rFont val="Tahoma"/>
            <family val="2"/>
          </rPr>
          <t>Marty Pulliam:</t>
        </r>
        <r>
          <rPr>
            <sz val="8"/>
            <color indexed="81"/>
            <rFont val="Tahoma"/>
            <family val="2"/>
          </rPr>
          <t xml:space="preserve">
Total From Plant Utility Report of the Functional Group TRANSMISSION
</t>
        </r>
      </text>
    </comment>
    <comment ref="M13" authorId="0">
      <text>
        <r>
          <rPr>
            <b/>
            <sz val="8"/>
            <color indexed="81"/>
            <rFont val="Tahoma"/>
            <family val="2"/>
          </rPr>
          <t>Marty Pulliam:</t>
        </r>
        <r>
          <rPr>
            <sz val="8"/>
            <color indexed="81"/>
            <rFont val="Tahoma"/>
            <family val="2"/>
          </rPr>
          <t xml:space="preserve">
Balance from GL350100,352100,353200</t>
        </r>
      </text>
    </comment>
  </commentList>
</comments>
</file>

<file path=xl/sharedStrings.xml><?xml version="1.0" encoding="utf-8"?>
<sst xmlns="http://schemas.openxmlformats.org/spreadsheetml/2006/main" count="4824" uniqueCount="1719">
  <si>
    <t>TRANSMISSION LINES</t>
  </si>
  <si>
    <t>TOWERS &amp;</t>
  </si>
  <si>
    <t>POLES &amp;</t>
  </si>
  <si>
    <t>CONDUCTORS</t>
  </si>
  <si>
    <t>FIXTURES</t>
  </si>
  <si>
    <t>&amp; DEVICES</t>
  </si>
  <si>
    <t>DESCRIPTION</t>
  </si>
  <si>
    <t>LINE #</t>
  </si>
  <si>
    <t>ACCT. 354</t>
  </si>
  <si>
    <t>ACCT. 355</t>
  </si>
  <si>
    <t>ACCT. 356</t>
  </si>
  <si>
    <t>TOTAL</t>
  </si>
  <si>
    <t>Sylvarena - Taylorsville</t>
  </si>
  <si>
    <t>3</t>
  </si>
  <si>
    <t>Homewood - Decatur Sub</t>
  </si>
  <si>
    <t>Decatur GOAB - Newton GOAB</t>
  </si>
  <si>
    <t>5</t>
  </si>
  <si>
    <t>10</t>
  </si>
  <si>
    <t>Waldrup - Heidelburg Sub</t>
  </si>
  <si>
    <t>19</t>
  </si>
  <si>
    <t>19A</t>
  </si>
  <si>
    <t>20</t>
  </si>
  <si>
    <t>Clara GOAB - Buckatunna GOAB</t>
  </si>
  <si>
    <t>23</t>
  </si>
  <si>
    <t>24</t>
  </si>
  <si>
    <t>Maxie GOAB - Wiggins GOAB</t>
  </si>
  <si>
    <t>37</t>
  </si>
  <si>
    <t>St. Regis GOAB - Wiggins GOAB</t>
  </si>
  <si>
    <t>37A</t>
  </si>
  <si>
    <t>37B</t>
  </si>
  <si>
    <t>37C</t>
  </si>
  <si>
    <t>38</t>
  </si>
  <si>
    <t>40,40A,40B</t>
  </si>
  <si>
    <t>43</t>
  </si>
  <si>
    <t>Bassfield GOAB - Lone Star GOAB</t>
  </si>
  <si>
    <t>47</t>
  </si>
  <si>
    <t>Lone Star GOAB - North Collins Sub</t>
  </si>
  <si>
    <t>49</t>
  </si>
  <si>
    <t>50</t>
  </si>
  <si>
    <t>56</t>
  </si>
  <si>
    <t>57</t>
  </si>
  <si>
    <t>58</t>
  </si>
  <si>
    <t>61,61A,61B</t>
  </si>
  <si>
    <t>64</t>
  </si>
  <si>
    <t>65</t>
  </si>
  <si>
    <t>Plantation Tap - Plantation Pipeline Sub</t>
  </si>
  <si>
    <t>66</t>
  </si>
  <si>
    <t>Goss GOAB - Goss Sub</t>
  </si>
  <si>
    <t>67</t>
  </si>
  <si>
    <t>Humble GOAB - Humble Sub</t>
  </si>
  <si>
    <t>68</t>
  </si>
  <si>
    <t>69</t>
  </si>
  <si>
    <t>Basin GOAB - Agricola GOAB</t>
  </si>
  <si>
    <t>72</t>
  </si>
  <si>
    <t>Colonial Kola GOAB - Colonial Kola Sub</t>
  </si>
  <si>
    <t>75A</t>
  </si>
  <si>
    <t>79</t>
  </si>
  <si>
    <t>Hebron GOAB - Hebron Sub</t>
  </si>
  <si>
    <t>82</t>
  </si>
  <si>
    <t>Glade GOAB - Glade Sub</t>
  </si>
  <si>
    <t>83</t>
  </si>
  <si>
    <t>86</t>
  </si>
  <si>
    <t>87</t>
  </si>
  <si>
    <t>Wade Hurley GOAB - Harleston Sub</t>
  </si>
  <si>
    <t>88</t>
  </si>
  <si>
    <t>Cumbest Bluff - Wade Hurley GOAB</t>
  </si>
  <si>
    <t>88A</t>
  </si>
  <si>
    <t>Sharon GOAB - Sharon Sub</t>
  </si>
  <si>
    <t>90</t>
  </si>
  <si>
    <t>Okahola GOAB - Oak Grove Sub</t>
  </si>
  <si>
    <t>91</t>
  </si>
  <si>
    <t>92</t>
  </si>
  <si>
    <t>Leaf River Tap - Leaf River Sub</t>
  </si>
  <si>
    <t>93</t>
  </si>
  <si>
    <t>94</t>
  </si>
  <si>
    <t>Pickwick GOAB - Pickwick Sub</t>
  </si>
  <si>
    <t>95</t>
  </si>
  <si>
    <t>Clara GOAB - Clara Sub</t>
  </si>
  <si>
    <t>96</t>
  </si>
  <si>
    <t>97</t>
  </si>
  <si>
    <t>98</t>
  </si>
  <si>
    <t>Moss GOAB - Stringer Sub</t>
  </si>
  <si>
    <t>99</t>
  </si>
  <si>
    <t>115</t>
  </si>
  <si>
    <t>161</t>
  </si>
  <si>
    <t>162</t>
  </si>
  <si>
    <t>165</t>
  </si>
  <si>
    <t>166</t>
  </si>
  <si>
    <t>167</t>
  </si>
  <si>
    <t>168</t>
  </si>
  <si>
    <t>169</t>
  </si>
  <si>
    <t>170</t>
  </si>
  <si>
    <t>171</t>
  </si>
  <si>
    <t>172</t>
  </si>
  <si>
    <t>173</t>
  </si>
  <si>
    <t>230</t>
  </si>
  <si>
    <t>Centerville - Woodville</t>
  </si>
  <si>
    <t>500</t>
  </si>
  <si>
    <t>Lucian - Auburn</t>
  </si>
  <si>
    <t>501</t>
  </si>
  <si>
    <t>503</t>
  </si>
  <si>
    <t>504</t>
  </si>
  <si>
    <t>505</t>
  </si>
  <si>
    <t>507</t>
  </si>
  <si>
    <t>510</t>
  </si>
  <si>
    <t>511</t>
  </si>
  <si>
    <t>512</t>
  </si>
  <si>
    <t>West Yazoo</t>
  </si>
  <si>
    <t>513</t>
  </si>
  <si>
    <t>514</t>
  </si>
  <si>
    <t>515</t>
  </si>
  <si>
    <t>516</t>
  </si>
  <si>
    <t>517</t>
  </si>
  <si>
    <t>518</t>
  </si>
  <si>
    <t>Browning - East Greenwood</t>
  </si>
  <si>
    <t>519</t>
  </si>
  <si>
    <t>520</t>
  </si>
  <si>
    <t>521</t>
  </si>
  <si>
    <t>522</t>
  </si>
  <si>
    <t>523</t>
  </si>
  <si>
    <t>524</t>
  </si>
  <si>
    <t>525</t>
  </si>
  <si>
    <t>526</t>
  </si>
  <si>
    <t>Murphy</t>
  </si>
  <si>
    <t>527</t>
  </si>
  <si>
    <t>528</t>
  </si>
  <si>
    <t>529</t>
  </si>
  <si>
    <t>530</t>
  </si>
  <si>
    <t>531</t>
  </si>
  <si>
    <t>532</t>
  </si>
  <si>
    <t>533</t>
  </si>
  <si>
    <t>534</t>
  </si>
  <si>
    <t>535</t>
  </si>
  <si>
    <t>536</t>
  </si>
  <si>
    <t>537</t>
  </si>
  <si>
    <t>538</t>
  </si>
  <si>
    <t>539</t>
  </si>
  <si>
    <t>541</t>
  </si>
  <si>
    <t>542</t>
  </si>
  <si>
    <t>Friendship</t>
  </si>
  <si>
    <t>544</t>
  </si>
  <si>
    <t>543A</t>
  </si>
  <si>
    <t>Dixie Pipeline</t>
  </si>
  <si>
    <t>Poplar Springs GOAB to Mountain Creek Sub</t>
  </si>
  <si>
    <t>Variance GL TO CPR/BB</t>
  </si>
  <si>
    <t>JE NEEDED</t>
  </si>
  <si>
    <t>Logtown - Borg Warner (Sold)</t>
  </si>
  <si>
    <t xml:space="preserve">ADJUSTED CPR CONTROL BALANCE </t>
  </si>
  <si>
    <t>ADJUSTED GL BALANCE</t>
  </si>
  <si>
    <t>Shelton GOAB - Shelton Sub</t>
  </si>
  <si>
    <t>41B</t>
  </si>
  <si>
    <t>41,41A</t>
  </si>
  <si>
    <t>Fountainbleau GOAB - Fountainbleau Sub</t>
  </si>
  <si>
    <t>506A</t>
  </si>
  <si>
    <t>17B</t>
  </si>
  <si>
    <t>ACCT 397</t>
  </si>
  <si>
    <t>COMMUNICATIONS</t>
  </si>
  <si>
    <t>EQUIPMENT</t>
  </si>
  <si>
    <t>ACCT 350</t>
  </si>
  <si>
    <t>LAND</t>
  </si>
  <si>
    <t>73,73A</t>
  </si>
  <si>
    <t>74A</t>
  </si>
  <si>
    <t>Kittrell GOAB - Kittrell Sub</t>
  </si>
  <si>
    <t>Hwy 588 GOAB - Hwy 588 Sub</t>
  </si>
  <si>
    <t>578A</t>
  </si>
  <si>
    <t>Ocean Springs GOAB - Gulf Park Estates GOAB</t>
  </si>
  <si>
    <t>Joe Batt Road GAOB - Vancleave GOAB</t>
  </si>
  <si>
    <t>MPCO GOAB - Three Rivers Sub</t>
  </si>
  <si>
    <t>MPCO Switch - Landon Sub</t>
  </si>
  <si>
    <t>MPCO Line - Helena Sub</t>
  </si>
  <si>
    <t>MPCO Switch - Tucker Road Sub</t>
  </si>
  <si>
    <t>ROW- Transmission Line</t>
  </si>
  <si>
    <t>118A</t>
  </si>
  <si>
    <t>47A</t>
  </si>
  <si>
    <t>168A</t>
  </si>
  <si>
    <t>168B</t>
  </si>
  <si>
    <t>89A</t>
  </si>
  <si>
    <t>89B</t>
  </si>
  <si>
    <t>Cumbest Bluff (MPDO) - Cumbest Bluff SS</t>
  </si>
  <si>
    <t>Line</t>
  </si>
  <si>
    <t>KV</t>
  </si>
  <si>
    <t>Sold</t>
  </si>
  <si>
    <t>Area</t>
  </si>
  <si>
    <t>S</t>
  </si>
  <si>
    <t>M</t>
  </si>
  <si>
    <t>MPCO Switch - Bayou Cassotte sub</t>
  </si>
  <si>
    <t>E</t>
  </si>
  <si>
    <t>E-Entergy</t>
  </si>
  <si>
    <t>M-MPCO</t>
  </si>
  <si>
    <t>S-SMEPA</t>
  </si>
  <si>
    <t>35B</t>
  </si>
  <si>
    <t>35,35A</t>
  </si>
  <si>
    <t>54A</t>
  </si>
  <si>
    <t>54B</t>
  </si>
  <si>
    <t>62B</t>
  </si>
  <si>
    <t>172A</t>
  </si>
  <si>
    <t xml:space="preserve"> </t>
  </si>
  <si>
    <t>Total Line</t>
  </si>
  <si>
    <t>MISO Line</t>
  </si>
  <si>
    <t>Miles Includable</t>
  </si>
  <si>
    <t>% Line Mile</t>
  </si>
  <si>
    <t xml:space="preserve">% $ </t>
  </si>
  <si>
    <t>Excludable</t>
  </si>
  <si>
    <t>$</t>
  </si>
  <si>
    <t>Includable</t>
  </si>
  <si>
    <t>46,46A</t>
  </si>
  <si>
    <t>51,51A</t>
  </si>
  <si>
    <t>52,52A</t>
  </si>
  <si>
    <t>60,60A,60B,60C</t>
  </si>
  <si>
    <t>80,80A</t>
  </si>
  <si>
    <t>502,502A</t>
  </si>
  <si>
    <t>540,540A</t>
  </si>
  <si>
    <t>568,568A</t>
  </si>
  <si>
    <t>163,163A</t>
  </si>
  <si>
    <t>164,164A</t>
  </si>
  <si>
    <t>231,231A</t>
  </si>
  <si>
    <t>Miles All Segments</t>
  </si>
  <si>
    <t>Total Line miles all Segments - SMEPA Transmission Dept Maximo Records</t>
  </si>
  <si>
    <t>MISO Line Miles Incudable - MISO Report supplied by Gary Hudson</t>
  </si>
  <si>
    <t>(2)</t>
  </si>
  <si>
    <t>(1)</t>
  </si>
  <si>
    <t>(3)</t>
  </si>
  <si>
    <t>% Line Mile Includable: (2) / (1)</t>
  </si>
  <si>
    <t>(4)</t>
  </si>
  <si>
    <t>(5)</t>
  </si>
  <si>
    <t>(SUM)</t>
  </si>
  <si>
    <t>(6)</t>
  </si>
  <si>
    <t>SMEPA</t>
  </si>
  <si>
    <t>EMI</t>
  </si>
  <si>
    <t>MPCO</t>
  </si>
  <si>
    <t>(7)</t>
  </si>
  <si>
    <t>Any preference for allocation method(line mileage, or capital cost)?  If we use capital cost we can use same logic for Transmission Station “undesignated” land.</t>
  </si>
  <si>
    <t>Michael, could you just cut and paste verbiage from my e-mail below to MISO , and paste into bottom of your Excel spreadsheets?  If this doesn’t work, we’ll just paste into a Word document and include the Word document in the Attachement O template.</t>
  </si>
  <si>
    <t>Thanks</t>
  </si>
  <si>
    <t>Bobby,</t>
  </si>
  <si>
    <t>Thanks for walking us through your approach regarding Transmission Asset reporting on the Attachment O.  We like what we are hearing.  Cathy Brewster and I discussed your question on how to apportion the $20.9 million in the “unassigned” land balance account to transmission lines not meeting the MISO test.  Both of the allocation methods you suggest seem reasonable.  I’m not sure we have a strong preference for one over the other.  We’ll let you decide which approach to take.</t>
  </si>
  <si>
    <t>We ask that you include an explanation of the situation and your approach in the documentation/support you submit.  You don’t have to be too detailed in the narrative…just a high level summary is sufficient.  We also ask that you apply the same allocation method year after year for consistency purposes.  We appreciate the upfront consultation you afforded us!</t>
  </si>
  <si>
    <t>I will be sending some of the other items I owe you in a separate e-mail.  I don’t have everything pulled together, so I may send what I have ready today.</t>
  </si>
  <si>
    <t>Have a nice weekend!</t>
  </si>
  <si>
    <t>Jeff Haselhorst</t>
  </si>
  <si>
    <t>MISO</t>
  </si>
  <si>
    <t>Senior Analyst - Tariff Pricing</t>
  </si>
  <si>
    <t>(317) 249-5454</t>
  </si>
  <si>
    <t>Cathy/Jeff</t>
  </si>
  <si>
    <t>We are in the process of completing the RUS Form 12 Attachment O Data template you’d sent a week or so ago.  On page 2 , lines 1-5, these amounts obviously are taken directly from our 2012 RUS Form 12.</t>
  </si>
  <si>
    <t>Per our conference call earlier this week, we’d agreed that transmission plant not meeting MISO’s 7-factor test would be deducted on the Attachment O template page 4, line 2.  We are utilizing the detail attached to David Duebner’s e-mail to SMEPA’s Steve McElhaney dated February 8, 2013 to detail /segregate facilities that meet the 7 factor test, and those that do not meet the test.  We will insert this detail into the Attachment O template we send back to you and directly link the deduction on page 4, line 2, to the detail spreadsheet we insert.</t>
  </si>
  <si>
    <t>A few months back we’d mentioned that dollars in SMEPA’s transmission land account were not segregated/assigned to individual lines in early years.  In other words,  mindset in the 1960’s and early 1970’s ,when most of the right of way was acquired , was apparently that since land was non-depreciable, there was no need to maintain detail records at the individual line level.  In more recent years we began assigning land purchases, and maintaining detail at the individual transmission line level.</t>
  </si>
  <si>
    <t>Eighty percent of transmission costs are includable on Attachment O/meet the 7-factor test.  As part of our attempt to develop the amount for page 4, line 2(amounts not meeting MISO’s criteria), we obviously need to assign a portion of the $20.9 million in the “unassigned” land balance account to transmission lines not meeting the MISO test.  I propose that since eighty percent of the capital cost for transmission plant, excluding land , meet the MISO criteria, SMEPA utilize roughly twenty percent of the “unassigned” land balance in developing the amount for page 4, line 2.  As an alternative, SMEPA could utilize miles of transmission line in the approved versus unapproved categories and ratio the balance in the “unassigned “ land balance  account accordingly.  We can easily show the calculations based on the detail spreadsheet we’ll be including in the Attachment O workbook.</t>
  </si>
  <si>
    <t>Please provide us with your proposed methodology so we can continue to move forward with completion of Attachment O.</t>
  </si>
  <si>
    <t>Should you need to discuss with me,  my direct dial number is 601-705-6622.</t>
  </si>
  <si>
    <t>Bobby Vinson, Controller</t>
  </si>
  <si>
    <t>South Mississippi Electric Power Association.</t>
  </si>
  <si>
    <t>CONFIDENTIALITY NOTICE: The information contained in this communication is PRIVILEGED AND CONFIDENTIAL and intended only for the use of the individual to whom it is addressed. If you are not the intended recipient, you are hereby notified that any dissemination, distribution, or copying of this communication is strictly prohibited.  Please notify the sender immediately by e-mail if you have received this e-mail by mistake and delete this e-mail from your system.</t>
  </si>
  <si>
    <t>From: Jeff Haselhorst [mailto:jhaselhorst@misoenergy.org]</t>
  </si>
  <si>
    <t>Sent: Friday, March 29, 2013 2:55 PM</t>
  </si>
  <si>
    <t>To: Bobby Vinson; Catherine G Brewster</t>
  </si>
  <si>
    <t>Cc: Gary Hutson; Steve McElhaney; Nathan Bellville; Tariff Pricing Inbox; Catherine G Brewster</t>
  </si>
  <si>
    <t>Subject: RE: SMEPA Attachment O-Gross Plant in Service Amounts</t>
  </si>
  <si>
    <t>From: Bobby Vinson [mailto:bvinson@smepa.coop]</t>
  </si>
  <si>
    <t>Sent: Friday, March 29, 2013 11:35 AM</t>
  </si>
  <si>
    <t>To: Catherine G Brewster; Jeff Haselhorst</t>
  </si>
  <si>
    <t>Cc: Gary Hutson; Steve McElhaney; Nathan Bellville</t>
  </si>
  <si>
    <t>Subject: SMEPA Attachment O-Gross Plant in Service Amounts</t>
  </si>
  <si>
    <t>Importance: High</t>
  </si>
  <si>
    <t>(See inserted email "Email Tab' on how to handle ROW $)</t>
  </si>
  <si>
    <t>Sorted By Area than Line #</t>
  </si>
  <si>
    <t>ROW Includable</t>
  </si>
  <si>
    <t>Acct 397 Communication Equipment Excluded</t>
  </si>
  <si>
    <t>% $ Includable = ((Sum) x (3))</t>
  </si>
  <si>
    <t>Excludable $ = (Sum) - (4)</t>
  </si>
  <si>
    <t>MISO Attachment O</t>
  </si>
  <si>
    <t>Lines</t>
  </si>
  <si>
    <t>Total</t>
  </si>
  <si>
    <t>Total Transmission</t>
  </si>
  <si>
    <t>Stations</t>
  </si>
  <si>
    <t>Variance GL TO CPR</t>
  </si>
  <si>
    <t>Totals</t>
  </si>
  <si>
    <t>Station Right of Way not assigned to Location</t>
  </si>
  <si>
    <t>Five Points</t>
  </si>
  <si>
    <t>5POINT_C</t>
  </si>
  <si>
    <t xml:space="preserve">Yazoo Valley Mobile </t>
  </si>
  <si>
    <t>YVMS</t>
  </si>
  <si>
    <t>West Yazoo 115kV SS &amp; METER (YVEPA)</t>
  </si>
  <si>
    <t>WYAZ</t>
  </si>
  <si>
    <t>West Waynesboro (DIXIE)</t>
  </si>
  <si>
    <t>WWAY</t>
  </si>
  <si>
    <t>West Richton (DIXIE EPA)</t>
  </si>
  <si>
    <t>WRIC</t>
  </si>
  <si>
    <t>Woodville (SWMEPA)</t>
  </si>
  <si>
    <t>WOOD</t>
  </si>
  <si>
    <t>West Moselle (DIXIE EPA)</t>
  </si>
  <si>
    <t>WMOS</t>
  </si>
  <si>
    <t>West Laurel (DIXIE EPA)</t>
  </si>
  <si>
    <t>WLAU</t>
  </si>
  <si>
    <t>Winona (DELTA EPA)</t>
  </si>
  <si>
    <t>WINO</t>
  </si>
  <si>
    <t>White Oak</t>
  </si>
  <si>
    <t>WHOA</t>
  </si>
  <si>
    <t>Whistler (DIXIE EPA)</t>
  </si>
  <si>
    <t>WHIS_M</t>
  </si>
  <si>
    <t>Whistler 69kV SS</t>
  </si>
  <si>
    <t>WHIS</t>
  </si>
  <si>
    <t>West Hattiesburg 69kV SS</t>
  </si>
  <si>
    <t>WHAT_S</t>
  </si>
  <si>
    <t>West Hattiesburg LEASED</t>
  </si>
  <si>
    <t>WHAT</t>
  </si>
  <si>
    <t>West Cleveland 115kV SS</t>
  </si>
  <si>
    <t>WCLE_S</t>
  </si>
  <si>
    <t>West Cleveland (DELTA EPA)</t>
  </si>
  <si>
    <t>WCLE</t>
  </si>
  <si>
    <t>Waynesboro 230/161/69kV SUB &amp; MW</t>
  </si>
  <si>
    <t>WAYN</t>
  </si>
  <si>
    <t>Watts (Coast)</t>
  </si>
  <si>
    <t>WATT</t>
  </si>
  <si>
    <t>Washington (SWMEPA)</t>
  </si>
  <si>
    <t>WASH_M</t>
  </si>
  <si>
    <t>Washington 115kV SS</t>
  </si>
  <si>
    <t>WASH</t>
  </si>
  <si>
    <t>Walls station (COAHOMA EPA)</t>
  </si>
  <si>
    <t>WALL</t>
  </si>
  <si>
    <t>Waldrup 69kV SS</t>
  </si>
  <si>
    <t>WALD</t>
  </si>
  <si>
    <t>Vaughn 115KV SS</t>
  </si>
  <si>
    <t>VAUG</t>
  </si>
  <si>
    <t>Utica (SWMEPA)</t>
  </si>
  <si>
    <t>UTIC_S</t>
  </si>
  <si>
    <t>Utica Jr College (SWMEPA)</t>
  </si>
  <si>
    <t>UTIC</t>
  </si>
  <si>
    <t>Tylertown (MEPA)</t>
  </si>
  <si>
    <t>TYLR</t>
  </si>
  <si>
    <t>Twinkletown (COAHOMA EPA)</t>
  </si>
  <si>
    <t>TWNK</t>
  </si>
  <si>
    <t>Tunica (COAHOMA EPA)</t>
  </si>
  <si>
    <t>TUNI</t>
  </si>
  <si>
    <t>Traxler MW</t>
  </si>
  <si>
    <t>TRAX</t>
  </si>
  <si>
    <t>Tinsley 115KV SS</t>
  </si>
  <si>
    <t>TINS_S</t>
  </si>
  <si>
    <t>Tennesse Gas (TCEPA)</t>
  </si>
  <si>
    <t>TENN</t>
  </si>
  <si>
    <t xml:space="preserve">Twin County Mobile </t>
  </si>
  <si>
    <t>TCMS</t>
  </si>
  <si>
    <t>Taylorsville 69kV SS &amp; METER (SPEPA)</t>
  </si>
  <si>
    <t>TAYL</t>
  </si>
  <si>
    <t>Tanner Chapel (SREPA)</t>
  </si>
  <si>
    <t>TANN</t>
  </si>
  <si>
    <t>Sylvarena 69kV SS, MW, &amp; METER (SPEPA)</t>
  </si>
  <si>
    <t>SYLV</t>
  </si>
  <si>
    <t>Sylvarena GT MW</t>
  </si>
  <si>
    <t>SYLG_C</t>
  </si>
  <si>
    <t>Sylvarena GT 69kV SS</t>
  </si>
  <si>
    <t>SYLG</t>
  </si>
  <si>
    <t xml:space="preserve">Southwest Mobile </t>
  </si>
  <si>
    <t>SWMS</t>
  </si>
  <si>
    <t>Southwest Lone Star</t>
  </si>
  <si>
    <t>SWLST</t>
  </si>
  <si>
    <t>Swiftwater (TCEPA)</t>
  </si>
  <si>
    <t>SWIF</t>
  </si>
  <si>
    <t>Dexter 115kV SS</t>
  </si>
  <si>
    <t>SWDE</t>
  </si>
  <si>
    <t>South Waynesboro (DIXIE EPA)</t>
  </si>
  <si>
    <t>SWAY</t>
  </si>
  <si>
    <t>Sunflower (COAHOMA EPA)</t>
  </si>
  <si>
    <t>SUNF</t>
  </si>
  <si>
    <t>Sumrall (PRVEPA)</t>
  </si>
  <si>
    <t>SUMR</t>
  </si>
  <si>
    <t>Stringtown (DELTA EPA)</t>
  </si>
  <si>
    <t>STRN</t>
  </si>
  <si>
    <t>Stringer (SPEPA)</t>
  </si>
  <si>
    <t>STRI</t>
  </si>
  <si>
    <t>Stillmore (PRVEPA)</t>
  </si>
  <si>
    <t>STIL</t>
  </si>
  <si>
    <t>Station Creek 161/69kV SUB &amp; MW</t>
  </si>
  <si>
    <t>STCR</t>
  </si>
  <si>
    <t>State Line 69kV SW, MW, &amp; METER (SREPA)</t>
  </si>
  <si>
    <t>STAT</t>
  </si>
  <si>
    <t>South Redwood 115kV SS</t>
  </si>
  <si>
    <t>SRED_S</t>
  </si>
  <si>
    <t>South Redwood (YVEPA)</t>
  </si>
  <si>
    <t>SRED</t>
  </si>
  <si>
    <t xml:space="preserve">Southern Pine Mobile </t>
  </si>
  <si>
    <t>SPMS</t>
  </si>
  <si>
    <t>Spence (Coast)</t>
  </si>
  <si>
    <t>SPEN</t>
  </si>
  <si>
    <t>South Hattiesburg LEASE</t>
  </si>
  <si>
    <t>SOUTH HATTIESBURG</t>
  </si>
  <si>
    <t>South Natchez (SWMEPA)</t>
  </si>
  <si>
    <t>SNAT</t>
  </si>
  <si>
    <t>Smithdale (MEPA)</t>
  </si>
  <si>
    <t>SMIT</t>
  </si>
  <si>
    <t>South Lucedale (SREPA)</t>
  </si>
  <si>
    <t>SLUC</t>
  </si>
  <si>
    <t>Silver Creek 115kV SS (EMI) &amp; METER (SPEPA)</t>
  </si>
  <si>
    <t>SILV</t>
  </si>
  <si>
    <t>Silver Creek GT 115kV SS &amp; MW</t>
  </si>
  <si>
    <t>SILG</t>
  </si>
  <si>
    <t>Silver Creek SW (Leased)</t>
  </si>
  <si>
    <t>SILC</t>
  </si>
  <si>
    <t>South Hoy (DIXIE EPA)</t>
  </si>
  <si>
    <t>SHOY</t>
  </si>
  <si>
    <t>Shelton (DIXIE EPA)</t>
  </si>
  <si>
    <t>SHEL</t>
  </si>
  <si>
    <t>Shelby (DELTA EPA)</t>
  </si>
  <si>
    <t>SHED</t>
  </si>
  <si>
    <t xml:space="preserve">Shelby (COAHOMA EPA) </t>
  </si>
  <si>
    <t>SHEC</t>
  </si>
  <si>
    <t>Shaw (DELTA EPA)</t>
  </si>
  <si>
    <t>SHAW</t>
  </si>
  <si>
    <t>Sharon (DIXIE EPA)</t>
  </si>
  <si>
    <t>SHAR</t>
  </si>
  <si>
    <t>Shady Grove (SPEPA)</t>
  </si>
  <si>
    <t>SHAD</t>
  </si>
  <si>
    <t>SERC Hotline (SOCO Richburg Tower)</t>
  </si>
  <si>
    <t>SERC_C</t>
  </si>
  <si>
    <t>Southeast Natchez GOAB</t>
  </si>
  <si>
    <t>SENA</t>
  </si>
  <si>
    <t>Southeast Greene 230/161/69Kv Sub &amp; MW</t>
  </si>
  <si>
    <t>SEGR</t>
  </si>
  <si>
    <t>South Collins 69kV SS, MW, &amp; METER (SPEPA)</t>
  </si>
  <si>
    <t>SCOL</t>
  </si>
  <si>
    <t>South Cleveland (DELTA EPA)</t>
  </si>
  <si>
    <t>SCLE</t>
  </si>
  <si>
    <t>Schlater (DELTA EPA)</t>
  </si>
  <si>
    <t>SCHL</t>
  </si>
  <si>
    <t>South Brandon (SPEPA)</t>
  </si>
  <si>
    <t>SBRA</t>
  </si>
  <si>
    <t>Sawyer SS</t>
  </si>
  <si>
    <t>SAWY</t>
  </si>
  <si>
    <t>Sawmill Road (SREPA)</t>
  </si>
  <si>
    <t>SAWM</t>
  </si>
  <si>
    <t>Sand Hill (SREPA)</t>
  </si>
  <si>
    <t>SAND_M</t>
  </si>
  <si>
    <t>Sand Hill MW</t>
  </si>
  <si>
    <t>SAND_C</t>
  </si>
  <si>
    <t>Sand Hill GOAB</t>
  </si>
  <si>
    <t>SAND</t>
  </si>
  <si>
    <t>Salem (MEPA)</t>
  </si>
  <si>
    <t>SALE</t>
  </si>
  <si>
    <t>Ruleville (DELTA EPA)</t>
  </si>
  <si>
    <t>RULE</t>
  </si>
  <si>
    <t>Roxie (SWMEPA)</t>
  </si>
  <si>
    <t>ROXI</t>
  </si>
  <si>
    <t>Rose Hill (SPEPA)</t>
  </si>
  <si>
    <t>ROSE</t>
  </si>
  <si>
    <t>Rolling Fork (TCEPA)</t>
  </si>
  <si>
    <t>ROLI</t>
  </si>
  <si>
    <t>Rocky Creek 69KV SS &amp; METER (SREPA)</t>
  </si>
  <si>
    <t>ROCK</t>
  </si>
  <si>
    <t>Richburg (PRVEPA)</t>
  </si>
  <si>
    <t>RICH</t>
  </si>
  <si>
    <t xml:space="preserve">Rex Brown </t>
  </si>
  <si>
    <t>REXB_C</t>
  </si>
  <si>
    <t>Refuge (TCEPA)</t>
  </si>
  <si>
    <t>REFU</t>
  </si>
  <si>
    <t>Rawls Springs 69kV SS, MW, &amp; METER (SPEPA)</t>
  </si>
  <si>
    <t>RAWL</t>
  </si>
  <si>
    <t>Rankin County Airport (SPEPA)</t>
  </si>
  <si>
    <t>RANK</t>
  </si>
  <si>
    <t>Purvis (PRVEPA)</t>
  </si>
  <si>
    <t>PURV</t>
  </si>
  <si>
    <t>Purvis Bulk 230/161kV SUB &amp; MW</t>
  </si>
  <si>
    <t>PURB</t>
  </si>
  <si>
    <t>Puckett (SPEPA)</t>
  </si>
  <si>
    <t>PUCK</t>
  </si>
  <si>
    <t>Progress (MEPA)</t>
  </si>
  <si>
    <t>PROG</t>
  </si>
  <si>
    <t xml:space="preserve">Pearl River Vally Mobile </t>
  </si>
  <si>
    <t>PRMS</t>
  </si>
  <si>
    <t>Prentiss69KV XX</t>
  </si>
  <si>
    <t>PRENT</t>
  </si>
  <si>
    <t>Prentiss 69kV SS &amp; METER (SPEPA)</t>
  </si>
  <si>
    <t>PREN</t>
  </si>
  <si>
    <t>Port Gibson (SWMEPA)</t>
  </si>
  <si>
    <t>PORTG</t>
  </si>
  <si>
    <t>Polkville 161/69Kv Substaion</t>
  </si>
  <si>
    <t>POLK_S</t>
  </si>
  <si>
    <t>Polkville (SPEPA)</t>
  </si>
  <si>
    <t>POLK</t>
  </si>
  <si>
    <t>Plant Morrow MW</t>
  </si>
  <si>
    <t>PMOR</t>
  </si>
  <si>
    <t>Plantation Pipeline (SREPA)</t>
  </si>
  <si>
    <t>PLAN</t>
  </si>
  <si>
    <t>Pinola (SPEPA)</t>
  </si>
  <si>
    <t>PINO</t>
  </si>
  <si>
    <t>Pine Ridge (SWMEPA)</t>
  </si>
  <si>
    <t>PINE_M</t>
  </si>
  <si>
    <t>Pine RidgeSS (Leased)</t>
  </si>
  <si>
    <t>PINE</t>
  </si>
  <si>
    <t>Pisgah (MEPA)</t>
  </si>
  <si>
    <t>PIGS</t>
  </si>
  <si>
    <t>Pickwick (PRVEPA)</t>
  </si>
  <si>
    <t>PICW</t>
  </si>
  <si>
    <t>Pickens (YVEPA)</t>
  </si>
  <si>
    <t>PICK</t>
  </si>
  <si>
    <t>Petal (DIXIE EPA)</t>
  </si>
  <si>
    <t>PETA</t>
  </si>
  <si>
    <t>Perkinston MW</t>
  </si>
  <si>
    <t>PERK</t>
  </si>
  <si>
    <t>Peetsville (SWMEPA)</t>
  </si>
  <si>
    <t>PEET</t>
  </si>
  <si>
    <t>Paulding 69kV SS &amp; MW</t>
  </si>
  <si>
    <t>PAUL</t>
  </si>
  <si>
    <t>Pace (DELTA EPA)</t>
  </si>
  <si>
    <t>PACE</t>
  </si>
  <si>
    <t>Onward (TCEPA)</t>
  </si>
  <si>
    <t>ONWA</t>
  </si>
  <si>
    <t>Olive Oil Field (MEPA)</t>
  </si>
  <si>
    <t>OLVE</t>
  </si>
  <si>
    <t>Oloh MW</t>
  </si>
  <si>
    <t>OLOH</t>
  </si>
  <si>
    <t>Old Augusta (DIXIE EPA)</t>
  </si>
  <si>
    <t>OLDA</t>
  </si>
  <si>
    <t>Oakvale (PRVEPA)</t>
  </si>
  <si>
    <t>OAKV</t>
  </si>
  <si>
    <t>Oak Grove LEASE</t>
  </si>
  <si>
    <t>OAK GROVE</t>
  </si>
  <si>
    <t>North Winona (DELTA EPA)</t>
  </si>
  <si>
    <t>NWIN</t>
  </si>
  <si>
    <t>North Petal (DIXIE EPA)</t>
  </si>
  <si>
    <t>NPET</t>
  </si>
  <si>
    <t>Norfield (MEPA)</t>
  </si>
  <si>
    <t>NORf_M</t>
  </si>
  <si>
    <t>Norfield 115kV SS</t>
  </si>
  <si>
    <t>NORF</t>
  </si>
  <si>
    <t>North Lucedale (SREPA)</t>
  </si>
  <si>
    <t>NLUC</t>
  </si>
  <si>
    <t>Nitta Yuma SS</t>
  </si>
  <si>
    <t>NITT</t>
  </si>
  <si>
    <t>North Hattiesburg (SPEPA)</t>
  </si>
  <si>
    <t>NHAT</t>
  </si>
  <si>
    <t>Newton SS &amp; NETER (SPEPA)</t>
  </si>
  <si>
    <t>NEWT</t>
  </si>
  <si>
    <t>Necaise (Coast)</t>
  </si>
  <si>
    <t>NECA_S</t>
  </si>
  <si>
    <t>Necaise MW</t>
  </si>
  <si>
    <t>NECA</t>
  </si>
  <si>
    <t>North Collins 69kV SS &amp; METER (SPEPA)</t>
  </si>
  <si>
    <t>NCOL</t>
  </si>
  <si>
    <t>Murphy 115kV SS &amp; METER (TCEPA)</t>
  </si>
  <si>
    <t>MURP</t>
  </si>
  <si>
    <t>MS Hub SS</t>
  </si>
  <si>
    <t>MSHB</t>
  </si>
  <si>
    <t>Martin Bluff (SREPA)</t>
  </si>
  <si>
    <t>MRTNB</t>
  </si>
  <si>
    <t>Plant Morrow 161kV SS</t>
  </si>
  <si>
    <t>MR161</t>
  </si>
  <si>
    <t>Plant Moselle MW</t>
  </si>
  <si>
    <t>MOSE_C</t>
  </si>
  <si>
    <t>Moselle 161/69kV Sub</t>
  </si>
  <si>
    <t>MOSE</t>
  </si>
  <si>
    <t>Morton 69kV SW &amp; METER (SPEPA)</t>
  </si>
  <si>
    <t>MORT</t>
  </si>
  <si>
    <t>Moorehead</t>
  </si>
  <si>
    <t>MOOR</t>
  </si>
  <si>
    <t>Monticello MW</t>
  </si>
  <si>
    <t>MONT_C</t>
  </si>
  <si>
    <t>Monticello (SPEPA)</t>
  </si>
  <si>
    <t>MONT</t>
  </si>
  <si>
    <t>Monaco Lake (SREPA)</t>
  </si>
  <si>
    <t>MONA</t>
  </si>
  <si>
    <t xml:space="preserve">SMEPA Mobile </t>
  </si>
  <si>
    <t>MOBILE_SM</t>
  </si>
  <si>
    <t>Mountain Creek (SPEPA)</t>
  </si>
  <si>
    <t>MNCR</t>
  </si>
  <si>
    <t>Missionary 161/69kV SUB &amp; MW</t>
  </si>
  <si>
    <t>MISS</t>
  </si>
  <si>
    <t>Minter City (DEPA)</t>
  </si>
  <si>
    <t>MINT</t>
  </si>
  <si>
    <t>Midway (YVEPA)</t>
  </si>
  <si>
    <t>MIDW</t>
  </si>
  <si>
    <t>McLain MW</t>
  </si>
  <si>
    <t>MCLA_C</t>
  </si>
  <si>
    <t>Mclain (SREPA)</t>
  </si>
  <si>
    <t>MCLA</t>
  </si>
  <si>
    <t>Maxie LEASED</t>
  </si>
  <si>
    <t>MAXI_G</t>
  </si>
  <si>
    <t>Martinville (SPEPA)</t>
  </si>
  <si>
    <t>MART_M</t>
  </si>
  <si>
    <t>MART</t>
  </si>
  <si>
    <t>Marks (COAHOMA EPA)</t>
  </si>
  <si>
    <t>MARK</t>
  </si>
  <si>
    <t>Mallalieu 115kV SS</t>
  </si>
  <si>
    <t>MALL_S</t>
  </si>
  <si>
    <t>Mallalieu (MEPA)</t>
  </si>
  <si>
    <t>MALL</t>
  </si>
  <si>
    <t>Magee 161/115/69kV SUB, MW, METER (SPEPA)</t>
  </si>
  <si>
    <t>MAGE</t>
  </si>
  <si>
    <t>Maddox (SPEPA)</t>
  </si>
  <si>
    <t>MADD</t>
  </si>
  <si>
    <t>Macedonia 69kV SS</t>
  </si>
  <si>
    <t>MACE_S</t>
  </si>
  <si>
    <t>Macedonia (DIXIE EPA)</t>
  </si>
  <si>
    <t>MACE</t>
  </si>
  <si>
    <t>Lyon 115kV SW &amp; METER (COAHMOA EPA)</t>
  </si>
  <si>
    <t>LYON</t>
  </si>
  <si>
    <t>Lynn Ray Rd</t>
  </si>
  <si>
    <t>LYNN</t>
  </si>
  <si>
    <t>Little Yazoo (YVEPA)</t>
  </si>
  <si>
    <t>LYAZ</t>
  </si>
  <si>
    <t>Lumberton 161/69kV SUB, MW, &amp; METER (PRVEPA)</t>
  </si>
  <si>
    <t>LUMB</t>
  </si>
  <si>
    <t>Lula (COAHOMA)</t>
  </si>
  <si>
    <t>LULA</t>
  </si>
  <si>
    <t>Lucedale (SREPA)</t>
  </si>
  <si>
    <t>LUCE</t>
  </si>
  <si>
    <t>Little Texas MW</t>
  </si>
  <si>
    <t>LTTX</t>
  </si>
  <si>
    <t>Loyd Star (SWMEPA)</t>
  </si>
  <si>
    <t>LOYD</t>
  </si>
  <si>
    <t>Lorman 115kV SS</t>
  </si>
  <si>
    <t>LORM_S</t>
  </si>
  <si>
    <t>Lorman (SWMEPA)</t>
  </si>
  <si>
    <t>LORM</t>
  </si>
  <si>
    <t>Lone Star MW</t>
  </si>
  <si>
    <t>LONE_C</t>
  </si>
  <si>
    <t>Lone Star (SPEPA)</t>
  </si>
  <si>
    <t>LONE</t>
  </si>
  <si>
    <t>Lizana (Coast)</t>
  </si>
  <si>
    <t>LIZA</t>
  </si>
  <si>
    <t>Liberty (MEPA)</t>
  </si>
  <si>
    <t>LIBE</t>
  </si>
  <si>
    <t>Lexington (YVEPA)</t>
  </si>
  <si>
    <t>LEXI</t>
  </si>
  <si>
    <t>Leland (TCEPA)</t>
  </si>
  <si>
    <t>LELA</t>
  </si>
  <si>
    <t>Leakesville (SREPA)</t>
  </si>
  <si>
    <t>LEAK</t>
  </si>
  <si>
    <t>Leaf River (DIXIE EPA)</t>
  </si>
  <si>
    <t>LEAF</t>
  </si>
  <si>
    <t>Little Creek (MEPA)</t>
  </si>
  <si>
    <t>LCRE</t>
  </si>
  <si>
    <t>Lake Serene (PRVEPA)</t>
  </si>
  <si>
    <t>LAKS</t>
  </si>
  <si>
    <t>Lake (SPEPA)</t>
  </si>
  <si>
    <t>LAKE</t>
  </si>
  <si>
    <t>Koch Foods</t>
  </si>
  <si>
    <t>KOCH</t>
  </si>
  <si>
    <t>Kittrell (SREPA)</t>
  </si>
  <si>
    <t>KITT</t>
  </si>
  <si>
    <t>Kittrell MW</t>
  </si>
  <si>
    <t>KITR</t>
  </si>
  <si>
    <t>Kiln Coast</t>
  </si>
  <si>
    <t>KILN</t>
  </si>
  <si>
    <t>Joe Batt Rd (SREPA)</t>
  </si>
  <si>
    <t>JOEBAT</t>
  </si>
  <si>
    <t>Jayess (MEPA)</t>
  </si>
  <si>
    <t>JAYE</t>
  </si>
  <si>
    <t>Itta Bena (DELTA EPA)</t>
  </si>
  <si>
    <t>ITTA</t>
  </si>
  <si>
    <t>Isola 115kV SS &amp; METER (TCEPA)</t>
  </si>
  <si>
    <t>ISOL</t>
  </si>
  <si>
    <t>IP Redwood (YVEPA)</t>
  </si>
  <si>
    <t>IPRED</t>
  </si>
  <si>
    <t>Inverness (DELTA EPA)</t>
  </si>
  <si>
    <t>INVE</t>
  </si>
  <si>
    <t>Indianola (DELTA EPA)</t>
  </si>
  <si>
    <t>INDI</t>
  </si>
  <si>
    <t>Highway 588</t>
  </si>
  <si>
    <t>HWY588</t>
  </si>
  <si>
    <t>Highway 15 (Coast)</t>
  </si>
  <si>
    <t>HWY15</t>
  </si>
  <si>
    <t>Hoy 69kV SS &amp; METER (DIXIE)</t>
  </si>
  <si>
    <t>HOY</t>
  </si>
  <si>
    <t>Homewood 161/69kV SUB, MW, &amp; METER (SPEPA)</t>
  </si>
  <si>
    <t>HOME</t>
  </si>
  <si>
    <t>Holly Springs (PRVEPA)</t>
  </si>
  <si>
    <t>HOLS</t>
  </si>
  <si>
    <t>Hollandale (TCEPA)</t>
  </si>
  <si>
    <t>HOLL</t>
  </si>
  <si>
    <t>Hintonville 161/69kV SUB &amp; MW</t>
  </si>
  <si>
    <t>HINT</t>
  </si>
  <si>
    <t>Hintonville (SREPA)</t>
  </si>
  <si>
    <t>HINS</t>
  </si>
  <si>
    <t>Hillsdale LEASE</t>
  </si>
  <si>
    <t>HILLSDALE</t>
  </si>
  <si>
    <t>Heidelberg MW</t>
  </si>
  <si>
    <t>HEID_C</t>
  </si>
  <si>
    <t>Heidelberg (SPEPA)</t>
  </si>
  <si>
    <t>HEID</t>
  </si>
  <si>
    <t>Hebron (DIXIE EPA)</t>
  </si>
  <si>
    <t>HEBR</t>
  </si>
  <si>
    <t>Heathman (DELTA EPA)</t>
  </si>
  <si>
    <t>HEAT_M</t>
  </si>
  <si>
    <t>Heathman 115kV SS</t>
  </si>
  <si>
    <t>HEAT</t>
  </si>
  <si>
    <t>Headquarters</t>
  </si>
  <si>
    <t>HQ</t>
  </si>
  <si>
    <t>Hattiesburg Industrial (PRVEPA)</t>
  </si>
  <si>
    <t>HBGIN</t>
  </si>
  <si>
    <t>Hathorn 69kV SS, MW, &amp; METER (PVEPA) LANTATION PIPELINE</t>
  </si>
  <si>
    <t>HATH</t>
  </si>
  <si>
    <t>Hampton (TCEPA)</t>
  </si>
  <si>
    <t>HAMP</t>
  </si>
  <si>
    <t>Hamill Farm (SREPA)</t>
  </si>
  <si>
    <t>HAMF</t>
  </si>
  <si>
    <t>Hambrick 115KV SS</t>
  </si>
  <si>
    <t>HAMB_S</t>
  </si>
  <si>
    <t>Gwinville (SPEPA)</t>
  </si>
  <si>
    <t>GWIN</t>
  </si>
  <si>
    <t>Gwinville Junction 69kV SS</t>
  </si>
  <si>
    <t>GWIJ</t>
  </si>
  <si>
    <t>Gulfport</t>
  </si>
  <si>
    <t>GULF</t>
  </si>
  <si>
    <t>Greenville (DELTA EPA)</t>
  </si>
  <si>
    <t>GREV</t>
  </si>
  <si>
    <t>Greenwood (DELTA EPA)</t>
  </si>
  <si>
    <t>GREE</t>
  </si>
  <si>
    <t>GP Taylorsville 69kV SS</t>
  </si>
  <si>
    <t>GPTA_S</t>
  </si>
  <si>
    <t>GP Taylorsville (SPEPA)</t>
  </si>
  <si>
    <t>GPTA</t>
  </si>
  <si>
    <t>GP Monticello (SPEPA)</t>
  </si>
  <si>
    <t>GPMO</t>
  </si>
  <si>
    <t>Goss (PRVEPA)</t>
  </si>
  <si>
    <t>GOSS</t>
  </si>
  <si>
    <t>Glade (DIXIE EPA)</t>
  </si>
  <si>
    <t>GLAD</t>
  </si>
  <si>
    <t>Gillsburg (MEPA)</t>
  </si>
  <si>
    <t>GILL_M</t>
  </si>
  <si>
    <t>Gillsburg 115KV SS</t>
  </si>
  <si>
    <t>GILL</t>
  </si>
  <si>
    <t>Friendship (MEPA)</t>
  </si>
  <si>
    <t>FRIE_M</t>
  </si>
  <si>
    <t>Foxworth (PRVEPA)</t>
  </si>
  <si>
    <t>FOXW_M</t>
  </si>
  <si>
    <t>Foxworth 69kV SS &amp; MW</t>
  </si>
  <si>
    <t>FOXW</t>
  </si>
  <si>
    <t>Field Operations Center</t>
  </si>
  <si>
    <t>FOC</t>
  </si>
  <si>
    <t>Floyd Lynk Sub (TCEPA)</t>
  </si>
  <si>
    <t>FLOY</t>
  </si>
  <si>
    <t>Florence 115kV SS &amp; METER (SPEPA)</t>
  </si>
  <si>
    <t>FLOR</t>
  </si>
  <si>
    <t>Fernwood 115KV SS</t>
  </si>
  <si>
    <t>FERN_S</t>
  </si>
  <si>
    <t>Fayette (SWMEPA)</t>
  </si>
  <si>
    <t>FAYE</t>
  </si>
  <si>
    <t>East Whitfield (SPEPA)</t>
  </si>
  <si>
    <t>EWHI</t>
  </si>
  <si>
    <t>Evans (DELTA EPA)</t>
  </si>
  <si>
    <t>EVAN</t>
  </si>
  <si>
    <t>Eucutta (DIXIE EPA)</t>
  </si>
  <si>
    <t>EUCU</t>
  </si>
  <si>
    <t>Eminence (SPEPA)</t>
  </si>
  <si>
    <t>EMIN</t>
  </si>
  <si>
    <t>East Mccomb (MEPA)</t>
  </si>
  <si>
    <t>EMCC</t>
  </si>
  <si>
    <t>Elliott (DELTA EPA)</t>
  </si>
  <si>
    <t>ELLT</t>
  </si>
  <si>
    <t>Ellisville Junction (DIXIE EPA)</t>
  </si>
  <si>
    <t>ELLI</t>
  </si>
  <si>
    <t>East Lincoln 115KV SS</t>
  </si>
  <si>
    <t>ELIN_S</t>
  </si>
  <si>
    <t>East Lincoln (MEPA)</t>
  </si>
  <si>
    <t>ELIN</t>
  </si>
  <si>
    <t>East Greenwood (DELTA EPA)</t>
  </si>
  <si>
    <t>EGRE</t>
  </si>
  <si>
    <t>DXPL</t>
  </si>
  <si>
    <t xml:space="preserve">Dixie Electric Mobile </t>
  </si>
  <si>
    <t>DXMS</t>
  </si>
  <si>
    <t>Diamond (DIXIE EPA)</t>
  </si>
  <si>
    <t>DIAM</t>
  </si>
  <si>
    <t>Dexter (MEPA)</t>
  </si>
  <si>
    <t>DEXT</t>
  </si>
  <si>
    <t>Decatur (SPEPA)</t>
  </si>
  <si>
    <t>DECA</t>
  </si>
  <si>
    <t>Cumbest Bluff 115kV SS</t>
  </si>
  <si>
    <t>CUMB</t>
  </si>
  <si>
    <t>Crosby (SWMEPA)</t>
  </si>
  <si>
    <t>CROS</t>
  </si>
  <si>
    <t>Cranfield SS</t>
  </si>
  <si>
    <t>CRAN_S</t>
  </si>
  <si>
    <t>Copiah 115kV SS</t>
  </si>
  <si>
    <t>COPI</t>
  </si>
  <si>
    <t>Columbia 161/69kV SUB, MW, &amp; METER (PRVEPA)</t>
  </si>
  <si>
    <t>COLU</t>
  </si>
  <si>
    <t>Colonial Kola (SPEPA)</t>
  </si>
  <si>
    <t>COLK</t>
  </si>
  <si>
    <t xml:space="preserve">Cole Road 161/69KV SUB </t>
  </si>
  <si>
    <t>COLE</t>
  </si>
  <si>
    <t>Colonial Collins (SPEPA)</t>
  </si>
  <si>
    <t>COLC</t>
  </si>
  <si>
    <t>Cleveland (DELTA EPA)</t>
  </si>
  <si>
    <t>CLEV</t>
  </si>
  <si>
    <t>Cleo (DIXIE EPA)</t>
  </si>
  <si>
    <t>CLEO_M</t>
  </si>
  <si>
    <t>Cleo 69kV SS &amp; MW</t>
  </si>
  <si>
    <t>CLEO</t>
  </si>
  <si>
    <t>Clarksdale (COAHOMA EPA)</t>
  </si>
  <si>
    <t>CLARD</t>
  </si>
  <si>
    <t>Clara (DIXIE EPA)</t>
  </si>
  <si>
    <t>CLAR</t>
  </si>
  <si>
    <t>Centerpoint (SWMEPA)</t>
  </si>
  <si>
    <t>CENT</t>
  </si>
  <si>
    <t>Cedar Lake (Coast Sub)</t>
  </si>
  <si>
    <t>CEDR</t>
  </si>
  <si>
    <t>Yazoo Valley Catfish Load</t>
  </si>
  <si>
    <t>CATF_YV</t>
  </si>
  <si>
    <t>Twin County Catfish Load</t>
  </si>
  <si>
    <t>CATF_TC</t>
  </si>
  <si>
    <t>Delta EPA Catfish Load</t>
  </si>
  <si>
    <t>CATF_DEL</t>
  </si>
  <si>
    <t>Coahoma Catfish Load</t>
  </si>
  <si>
    <t>CATF_COA</t>
  </si>
  <si>
    <t>Carrolton (DELTA EPA)</t>
  </si>
  <si>
    <t>CARR</t>
  </si>
  <si>
    <t>Burr Creek (DIXIE EPA)</t>
  </si>
  <si>
    <t>BURR</t>
  </si>
  <si>
    <t>Bucatunna (DIXIE EPA)</t>
  </si>
  <si>
    <t>BUCK</t>
  </si>
  <si>
    <t>Brookhaven SW 115kV SS &amp; METER (SWMEPA)</t>
  </si>
  <si>
    <t>BRSW</t>
  </si>
  <si>
    <t>Browning 115KV SS</t>
  </si>
  <si>
    <t>BROW</t>
  </si>
  <si>
    <t xml:space="preserve">Brookhaven (MEPA) </t>
  </si>
  <si>
    <t>BRMG</t>
  </si>
  <si>
    <t>Brewer (SREPA)</t>
  </si>
  <si>
    <t>BREW</t>
  </si>
  <si>
    <t>Brandon (SPEPA)</t>
  </si>
  <si>
    <t>BRAN</t>
  </si>
  <si>
    <t>Benndale  (SREPA)</t>
  </si>
  <si>
    <t>BNSR</t>
  </si>
  <si>
    <t>Benndale GT 69kV SS &amp; MW</t>
  </si>
  <si>
    <t>BNGT</t>
  </si>
  <si>
    <t>Blackhawk (DELTA EPA)</t>
  </si>
  <si>
    <t>BLAC</t>
  </si>
  <si>
    <t>Big Level (PRVEPA)</t>
  </si>
  <si>
    <t>BIGL</t>
  </si>
  <si>
    <t>Benndale 231/161/69kV Sub</t>
  </si>
  <si>
    <t>BENN</t>
  </si>
  <si>
    <t>Belzoni (TCEPA)</t>
  </si>
  <si>
    <t>BELZ</t>
  </si>
  <si>
    <t>Bellevue (PRVEPA)</t>
  </si>
  <si>
    <t>BELL</t>
  </si>
  <si>
    <t>Bay Springs (SPEPA)</t>
  </si>
  <si>
    <t>BAYS</t>
  </si>
  <si>
    <t>Baxterville (PRVEPA)</t>
  </si>
  <si>
    <t>BAXT</t>
  </si>
  <si>
    <t>Bassfield (PRVEPA)</t>
  </si>
  <si>
    <t>BASS</t>
  </si>
  <si>
    <t>Basin (SREPA)</t>
  </si>
  <si>
    <t>BASI_M</t>
  </si>
  <si>
    <t>Basin GOAB</t>
  </si>
  <si>
    <t>BASI</t>
  </si>
  <si>
    <t>Banks 115kV SS</t>
  </si>
  <si>
    <t>BANK_S</t>
  </si>
  <si>
    <t>Banks (COHOMA EPA)</t>
  </si>
  <si>
    <t>BANK</t>
  </si>
  <si>
    <t>Auburn 115KV SS</t>
  </si>
  <si>
    <t>AUBU</t>
  </si>
  <si>
    <t>Arlington (MEPA)</t>
  </si>
  <si>
    <t>ARLI</t>
  </si>
  <si>
    <t>Arcloa 115KV SS</t>
  </si>
  <si>
    <t>ARCO</t>
  </si>
  <si>
    <t>Anchor Curve (YVEPA)</t>
  </si>
  <si>
    <t>ANCH</t>
  </si>
  <si>
    <t>Aleco Firetower (SREPA)</t>
  </si>
  <si>
    <t>ALEC</t>
  </si>
  <si>
    <t>Alcorn (SWMEPA)</t>
  </si>
  <si>
    <t>ALCO</t>
  </si>
  <si>
    <t>Agricola 69kV SS (SREPA)</t>
  </si>
  <si>
    <t>AGRI</t>
  </si>
  <si>
    <t>Acona (DELTA EPA)</t>
  </si>
  <si>
    <t>ACON</t>
  </si>
  <si>
    <t>Equipment</t>
  </si>
  <si>
    <t>Improvements</t>
  </si>
  <si>
    <t>Land Rights</t>
  </si>
  <si>
    <t>M - MPCO</t>
  </si>
  <si>
    <t>SUBSTATION</t>
  </si>
  <si>
    <t>Excludable SUB</t>
  </si>
  <si>
    <t>Includable SUB</t>
  </si>
  <si>
    <t xml:space="preserve">Communication </t>
  </si>
  <si>
    <t>Data Processing</t>
  </si>
  <si>
    <t>Station</t>
  </si>
  <si>
    <t>Structures &amp;</t>
  </si>
  <si>
    <t>Land &amp;</t>
  </si>
  <si>
    <t>Leased</t>
  </si>
  <si>
    <t>E - Entergy</t>
  </si>
  <si>
    <t>S - SMEPA</t>
  </si>
  <si>
    <t>Substation CPR</t>
  </si>
  <si>
    <t>South Mississippi Electric Power Association</t>
  </si>
  <si>
    <t>Sorted by Area than Location</t>
  </si>
  <si>
    <t>Arcola 115KV SS</t>
  </si>
  <si>
    <t>Acct 391 &amp; 397 Office Equipemnt &amp; Communication Equipment Excluded</t>
  </si>
  <si>
    <t>MISO Incudable SUB - MISO Report supplied by Gary Hudson</t>
  </si>
  <si>
    <t>MISO Excludable SUB = Total - (1)</t>
  </si>
  <si>
    <t>(8)</t>
  </si>
  <si>
    <t>MISO Includable SUB and Excludable SUB $ including ROW by Area</t>
  </si>
  <si>
    <t>Grand Gulf Station Equip</t>
  </si>
  <si>
    <t>(Included in EMI)</t>
  </si>
  <si>
    <t>MB</t>
  </si>
  <si>
    <t>Gross Plant in Service</t>
  </si>
  <si>
    <t>ROW- Transmission Line - Undesignated Land</t>
  </si>
  <si>
    <t>Undesignated Land Excluded</t>
  </si>
  <si>
    <t>MPCO - MB Load</t>
  </si>
  <si>
    <t>MPCO (Incl MRA &amp; MB)</t>
  </si>
  <si>
    <t>Total Includabe,</t>
  </si>
  <si>
    <t>Deduction for Line 2 Page 4 - Attachment O. Trans Plt Excl from ISO Rates</t>
  </si>
  <si>
    <t>Attachment O Line 2 Page 4</t>
  </si>
  <si>
    <t>Attachment O Line 80-84 Page 2</t>
  </si>
  <si>
    <t>SMEPA Gross Transmission Plant by Transmission Pricing Zone</t>
  </si>
  <si>
    <t>MPCO - MRA Load</t>
  </si>
  <si>
    <t>Without MPCO - MRA Load</t>
  </si>
  <si>
    <t>(1a)</t>
  </si>
  <si>
    <t>(1b)</t>
  </si>
  <si>
    <t>(1c)</t>
  </si>
  <si>
    <t>(1d)</t>
  </si>
  <si>
    <t>(1e)</t>
  </si>
  <si>
    <t>(1f)</t>
  </si>
  <si>
    <t>(2a)</t>
  </si>
  <si>
    <t>(2b)</t>
  </si>
  <si>
    <t>(2c)</t>
  </si>
  <si>
    <t>(2d)</t>
  </si>
  <si>
    <t>(2e)</t>
  </si>
  <si>
    <t>(2f)</t>
  </si>
  <si>
    <t>Lines (1)</t>
  </si>
  <si>
    <t>Stations (2)</t>
  </si>
  <si>
    <t>Grand Gulf - SMEPA Trial Balance &amp; Fixed Asset Report - SMEPA Utility Plant YTD Report Account 353100</t>
  </si>
  <si>
    <t>Batesville (Lines &amp; Stations)</t>
  </si>
  <si>
    <t>Totals from Line and Station Sections above 1a + 2a, 1b + 2b, 1c + 2c, 1d + 2d, 1e + 2e, 1f + 2f</t>
  </si>
  <si>
    <t xml:space="preserve">Calculated MISO Excludable Transmission </t>
  </si>
  <si>
    <t>(7a)</t>
  </si>
  <si>
    <t>(7b)</t>
  </si>
  <si>
    <t>(7c)</t>
  </si>
  <si>
    <t>(7d)</t>
  </si>
  <si>
    <t>(7e)</t>
  </si>
  <si>
    <t>(7f)</t>
  </si>
  <si>
    <t>(7g)</t>
  </si>
  <si>
    <t>(7h)</t>
  </si>
  <si>
    <t>SMEPA Gross Transmission Plant by Transmission Pricing Zone:</t>
  </si>
  <si>
    <t>SMEPA Gross Transmission Plant by Transmission Pricing Zone excluding MPCO - MRA Load</t>
  </si>
  <si>
    <t>MISO Includable SUB = Total - Metering Equipment located at includable sub ( Metering Equipment Hard coded value</t>
  </si>
  <si>
    <t>in (1) MISO Includable SUB</t>
  </si>
  <si>
    <t xml:space="preserve">Totals by Area - SMEPA, EMI, MPCO Total, Includable, Excludable </t>
  </si>
  <si>
    <t>% of MISO Includable SUB to Total , to be used to Allocate Unassigned ROW $ (5) as Includable or Excludable</t>
  </si>
  <si>
    <t>(5a)</t>
  </si>
  <si>
    <t>(5b)</t>
  </si>
  <si>
    <t>Station ROW Undesignated Land to be allocated to Areas based on Area's % to Total (4)</t>
  </si>
  <si>
    <t>Detemination was made that no Undesignated Land was associated with MPCO SUB, SMEPA not Owned</t>
  </si>
  <si>
    <t>Station ROW Undesignated Land to be allocated to SMEPA</t>
  </si>
  <si>
    <t xml:space="preserve">(SUM) Total all Areas Excluding Undesignated Land </t>
  </si>
  <si>
    <t>ROW - Transmission Line - Undesignated Land</t>
  </si>
  <si>
    <t>% $ Includable of (6) , This % used to allocate ROW Transmission Line - Undesignated Land as Includable or excludable</t>
  </si>
  <si>
    <t>ROW - Transmission Line - Undesignated Land Includable (7) * (8)</t>
  </si>
  <si>
    <t>(9)</t>
  </si>
  <si>
    <t>Basin GOAB (moved to Lines Tab)</t>
  </si>
  <si>
    <t>Basin GOAB (Moved from Stations Tab)</t>
  </si>
  <si>
    <t>Sand Hill GOAB (Moved from Stations Tab)</t>
  </si>
  <si>
    <t>Sand Hill GOAB (Moved to Lines Tab)</t>
  </si>
  <si>
    <t>GAS TURBINE - COMBINED CYCLE</t>
  </si>
  <si>
    <t>O</t>
  </si>
  <si>
    <t>I</t>
  </si>
  <si>
    <t xml:space="preserve">C  - EACH </t>
  </si>
  <si>
    <t>C</t>
  </si>
  <si>
    <t>05.01.00.02.01</t>
  </si>
  <si>
    <t>Main transformer</t>
  </si>
  <si>
    <t>Main transformer ST</t>
  </si>
  <si>
    <t>1GTB-XF-1</t>
  </si>
  <si>
    <t>3.8/161126mva -three 18/161200mva</t>
  </si>
  <si>
    <t>original cost or take-off from single line diagram &amp; interviews</t>
  </si>
  <si>
    <t>1GTB-XF-2</t>
  </si>
  <si>
    <t>1GTB-XF-3</t>
  </si>
  <si>
    <t>Main transformer GT</t>
  </si>
  <si>
    <t>1GTG-XF-1</t>
  </si>
  <si>
    <t>1GTG-XF-2</t>
  </si>
  <si>
    <t>1GTG-XF-3</t>
  </si>
  <si>
    <t>05.01.00.03.01</t>
  </si>
  <si>
    <t>Unit auxiliaries transformer</t>
  </si>
  <si>
    <t>CA-PD-XF-1</t>
  </si>
  <si>
    <t>161/4.16</t>
  </si>
  <si>
    <t>CA-PD-XF-2</t>
  </si>
  <si>
    <t>05.02.00.01.01</t>
  </si>
  <si>
    <t xml:space="preserve">Switchyard </t>
  </si>
  <si>
    <t>circuit breakers</t>
  </si>
  <si>
    <t>CPPA-52-1</t>
  </si>
  <si>
    <t>1200A 161KV</t>
  </si>
  <si>
    <t>take-off from single line diagram &amp; interviews</t>
  </si>
  <si>
    <t>CPPA-52-2</t>
  </si>
  <si>
    <t>CPPA-52-3</t>
  </si>
  <si>
    <t>CPPA-52-4</t>
  </si>
  <si>
    <t>CPPA-52-5</t>
  </si>
  <si>
    <t>CPPA-52-6</t>
  </si>
  <si>
    <t>CPPA-52-7</t>
  </si>
  <si>
    <t>CPPA-52-8</t>
  </si>
  <si>
    <t>CPPA-52-9</t>
  </si>
  <si>
    <t>3000A 161KV</t>
  </si>
  <si>
    <t>CPPA-52-10</t>
  </si>
  <si>
    <t>CPPA-52-11</t>
  </si>
  <si>
    <t>CPPA-52-12</t>
  </si>
  <si>
    <t>CPPA-52-13</t>
  </si>
  <si>
    <t>05.03.00.01.01</t>
  </si>
  <si>
    <t>Switchyard</t>
  </si>
  <si>
    <t>Sys protection devices</t>
  </si>
  <si>
    <t xml:space="preserve">Line Differential relays, Bus differnetial relays, Breaker failure relays, Over current relays, ground relay, transfer trip relays.   These devices are  should be considers as a lot.  </t>
  </si>
  <si>
    <t>05.04.00.01.01</t>
  </si>
  <si>
    <t>Other equipment</t>
  </si>
  <si>
    <t>C - per unit or some grouping that makes sense for the plant</t>
  </si>
  <si>
    <t>05.05.00.01.01</t>
  </si>
  <si>
    <t>Meters</t>
  </si>
  <si>
    <t>MW Meter</t>
  </si>
  <si>
    <t>MW Back-up Meter</t>
  </si>
  <si>
    <t>Station Service Meter</t>
  </si>
  <si>
    <t>05.07.00.04.01</t>
  </si>
  <si>
    <t>Transformers</t>
  </si>
  <si>
    <t>CPPA-XF-1A</t>
  </si>
  <si>
    <t>400 MVA 161-230KV</t>
  </si>
  <si>
    <t>05.07.00.07.01</t>
  </si>
  <si>
    <t>Disconnects</t>
  </si>
  <si>
    <t>Disconnect</t>
  </si>
  <si>
    <t>CPPA DS-1</t>
  </si>
  <si>
    <t>C ?</t>
  </si>
  <si>
    <t>CPPA DS-2</t>
  </si>
  <si>
    <t>CPPA DS-3</t>
  </si>
  <si>
    <t>CPPA DS-4</t>
  </si>
  <si>
    <t>CPPA DS-5</t>
  </si>
  <si>
    <t>CPPA DS-6</t>
  </si>
  <si>
    <t>CPPA DS-7</t>
  </si>
  <si>
    <t>CPPA DS-8</t>
  </si>
  <si>
    <t>CPPA DS-9</t>
  </si>
  <si>
    <t>CPPA DS-10</t>
  </si>
  <si>
    <t>CPPA DS-11</t>
  </si>
  <si>
    <t>CPPA DS-12</t>
  </si>
  <si>
    <t>CPPA DS-13</t>
  </si>
  <si>
    <t>CPPA DS-14</t>
  </si>
  <si>
    <t>CPPA DS-15</t>
  </si>
  <si>
    <t>CPPA DS-16</t>
  </si>
  <si>
    <t>CPPA DS-17</t>
  </si>
  <si>
    <t>CPPA DS-18</t>
  </si>
  <si>
    <t>05.07.00.09.01</t>
  </si>
  <si>
    <t>Transmission Lines</t>
  </si>
  <si>
    <t>Transmission Line 161KV</t>
  </si>
  <si>
    <t>Half Mile</t>
  </si>
  <si>
    <t>Transmission Line 230KV</t>
  </si>
  <si>
    <t xml:space="preserve">Transmission </t>
  </si>
  <si>
    <t xml:space="preserve">  Discounts CPPA DS-1 Thru 18</t>
  </si>
  <si>
    <t xml:space="preserve">  Station Service Meters (2)</t>
  </si>
  <si>
    <t xml:space="preserve">  Station Grounding</t>
  </si>
  <si>
    <t xml:space="preserve">  Circuit Breakers (13)</t>
  </si>
  <si>
    <t xml:space="preserve">  Towers</t>
  </si>
  <si>
    <t xml:space="preserve">  Transformers (4)</t>
  </si>
  <si>
    <t xml:space="preserve">  Uniterruptible Power Supply</t>
  </si>
  <si>
    <t xml:space="preserve">  ST Transformers (3)</t>
  </si>
  <si>
    <t xml:space="preserve">  GT Transformers (3)</t>
  </si>
  <si>
    <t xml:space="preserve">  Auxiliaries Transformers (2)</t>
  </si>
  <si>
    <t xml:space="preserve">  MW Electronic Meters (6)</t>
  </si>
  <si>
    <t xml:space="preserve">  Radio/Telemetry Equipment</t>
  </si>
  <si>
    <t xml:space="preserve">  Radios - Communications System</t>
  </si>
  <si>
    <t xml:space="preserve">  Control building</t>
  </si>
  <si>
    <t xml:space="preserve">  Battery Load Bank</t>
  </si>
  <si>
    <t xml:space="preserve">  Switch Other Equipment</t>
  </si>
  <si>
    <t xml:space="preserve">  161KV Transmission Line</t>
  </si>
  <si>
    <t xml:space="preserve">    L184</t>
  </si>
  <si>
    <t xml:space="preserve">    L185</t>
  </si>
  <si>
    <t xml:space="preserve">  230KV Transmission Line</t>
  </si>
  <si>
    <t>DENOTES CHANGES PER 6/25/13&amp;6/26/13 E-MAILS FROM MISO'S DAVID DUEBNER</t>
  </si>
  <si>
    <t>Auburn 115KV SS (Smithdale)</t>
  </si>
  <si>
    <t>DENOTES Changes PER 7/15/2013 E-MAIL FROM MISO'S DAVID DUEBNER(L555,L581,L568/568A)</t>
  </si>
  <si>
    <t>Joe Batt Road GOAB - Vancleave GOAB</t>
  </si>
  <si>
    <t>ANCH_MW</t>
  </si>
  <si>
    <t>Anchor Curve Microwave</t>
  </si>
  <si>
    <t>BLAC_MW</t>
  </si>
  <si>
    <t>BOVI</t>
  </si>
  <si>
    <t>Bovina Microwave</t>
  </si>
  <si>
    <t>Blackhawk Microwave</t>
  </si>
  <si>
    <t>CARL</t>
  </si>
  <si>
    <t>Carlisle Microwave</t>
  </si>
  <si>
    <t>DLO</t>
  </si>
  <si>
    <t>D'LO Microwave</t>
  </si>
  <si>
    <t>EDEN</t>
  </si>
  <si>
    <t>Eden Microwave</t>
  </si>
  <si>
    <t>FLOR_MW</t>
  </si>
  <si>
    <t>Florence Microwave</t>
  </si>
  <si>
    <t>GREV_MW</t>
  </si>
  <si>
    <t>Greenville Microwave (DEPA Dist Office)</t>
  </si>
  <si>
    <t>HAM_MW</t>
  </si>
  <si>
    <t>Hamburg Microwave</t>
  </si>
  <si>
    <t>LANG</t>
  </si>
  <si>
    <t>Langford Microwave</t>
  </si>
  <si>
    <t>LEXI_MW</t>
  </si>
  <si>
    <t>Lexington Microwave</t>
  </si>
  <si>
    <t>LORM_MW</t>
  </si>
  <si>
    <t>Lorman Microwave</t>
  </si>
  <si>
    <t>MDRD</t>
  </si>
  <si>
    <t>Midway Road Microwave</t>
  </si>
  <si>
    <t>NRAN</t>
  </si>
  <si>
    <t>North Rankin Microwave</t>
  </si>
  <si>
    <t>Port Gibson Microwave</t>
  </si>
  <si>
    <t>REDW_MW</t>
  </si>
  <si>
    <t>Redwood Microwave</t>
  </si>
  <si>
    <t>ROLI_MW</t>
  </si>
  <si>
    <t>Rolling Fork Microwave</t>
  </si>
  <si>
    <t>SALE_MW</t>
  </si>
  <si>
    <t>Salem Microwave</t>
  </si>
  <si>
    <t>SUNP</t>
  </si>
  <si>
    <t>Sunplex (SREPA)</t>
  </si>
  <si>
    <t>UTIC_MW</t>
  </si>
  <si>
    <t>Utica Microwave</t>
  </si>
  <si>
    <t>WCAN</t>
  </si>
  <si>
    <t>West Canton Microwave</t>
  </si>
  <si>
    <t>YAZO</t>
  </si>
  <si>
    <t>Yazoo Valley Microwave (YVEPA HQ)</t>
  </si>
  <si>
    <t>Greenville Microwave</t>
  </si>
  <si>
    <t>NORF_M</t>
  </si>
  <si>
    <t>Port Gobson Microwave</t>
  </si>
  <si>
    <t>PORT</t>
  </si>
  <si>
    <t>rolling Fork Microwave</t>
  </si>
  <si>
    <t>Yazoo Valley EPA Microwave (YVEEPA HQ)</t>
  </si>
  <si>
    <t>Asset #</t>
  </si>
  <si>
    <t>Value</t>
  </si>
  <si>
    <t>Towers</t>
  </si>
  <si>
    <t>Uniterruptible Power Supply</t>
  </si>
  <si>
    <t>MW Elec Meters</t>
  </si>
  <si>
    <t>Radio/Telemetry Equip</t>
  </si>
  <si>
    <t>Radio - Comm System</t>
  </si>
  <si>
    <t>Battery Bank Load</t>
  </si>
  <si>
    <t>Station Svc Meters</t>
  </si>
  <si>
    <t>Aux Transformers</t>
  </si>
  <si>
    <t>Misc Other Station Equip</t>
  </si>
  <si>
    <t>L184</t>
  </si>
  <si>
    <t>L185</t>
  </si>
  <si>
    <t>L233</t>
  </si>
  <si>
    <t>SUB</t>
  </si>
  <si>
    <t>(4a)</t>
  </si>
  <si>
    <t>Less Land Acct 397</t>
  </si>
  <si>
    <t>&amp; Land E253</t>
  </si>
  <si>
    <t>(10)</t>
  </si>
  <si>
    <t>MISO Lines Totals included SAND &amp; BASIN GOAB from SMEPA Stations TAB $386,281.41</t>
  </si>
  <si>
    <t>Note 1</t>
  </si>
  <si>
    <t>Note 1:</t>
  </si>
  <si>
    <t>Batesville Transmission Assets Values per Fixed Assets System 12/31/13</t>
  </si>
  <si>
    <t xml:space="preserve">From Batesville Supplied Ttail Balance </t>
  </si>
  <si>
    <t>% Transmission</t>
  </si>
  <si>
    <t>assets Identified</t>
  </si>
  <si>
    <t>Total E89</t>
  </si>
  <si>
    <t xml:space="preserve">Allocation of </t>
  </si>
  <si>
    <t xml:space="preserve">Unidentified </t>
  </si>
  <si>
    <t>TB $ to Identified Assets</t>
  </si>
  <si>
    <t xml:space="preserve">Batesville Purchase File </t>
  </si>
  <si>
    <t>Undesignated Land Allocation Includable &amp; Excludable held at 2012 Amounts</t>
  </si>
  <si>
    <t>See 2012 File for Calculation</t>
  </si>
  <si>
    <t>Total Transmission Assets Identified Baxterville Supplied TB</t>
  </si>
  <si>
    <t>240/320/400 MVA GSU Transformer (1)</t>
  </si>
  <si>
    <t>69/90/112/120 Mva GSU Trnsmformer (3)</t>
  </si>
  <si>
    <t>117/156/193 MVA GSU Transformer (2)</t>
  </si>
  <si>
    <t>138/185/1230 MVA GSU Transformer (1)</t>
  </si>
  <si>
    <t>MISO Stations Totals exclude SAND &amp; BASIN GOAB on SMEPA Stations TAB $386,281.41-moved to MISO Lines, per MISO</t>
  </si>
  <si>
    <t>Station Right of Way Undesignated Land (9)</t>
  </si>
  <si>
    <t xml:space="preserve">For 2013, SMEPA determined that Station Land was all owned by SMEPA.  2012 Attachment O reflected $120,701.59 as MISO Excludable based on allocation of </t>
  </si>
  <si>
    <t xml:space="preserve">includable vs excludable amounts in SMEPA system.  The deductions /MISO Excludable Sub amounts in the SMEPA area were deductions for metering equipment. </t>
  </si>
  <si>
    <t>Land is actually owned by SMEPA. 100% of Undesigned Land is associated with SMEPA stations</t>
  </si>
  <si>
    <t>BRLR</t>
  </si>
  <si>
    <t>Brownlee Road</t>
  </si>
  <si>
    <t>PINE_MW</t>
  </si>
  <si>
    <t>Pine Ridge Microwave</t>
  </si>
  <si>
    <t>VIDIA_M</t>
  </si>
  <si>
    <t>Vidalia 25kv Meter</t>
  </si>
  <si>
    <t>Batesville 161KV BUS#2 to Batesville 161KV Ring Bus</t>
  </si>
  <si>
    <t>Batesville Transmission Assets Values per Fixed Assets System 12/31/14</t>
  </si>
  <si>
    <t>% of Includable to Area, used to allocate Station ROW Undesignated Land Column H Row 332 / Column H Row 335</t>
  </si>
  <si>
    <t>% of Includable to Area, used to allocate Station ROW Undesignated Land Column H Row 333/ Column H Row 335</t>
  </si>
  <si>
    <r>
      <t xml:space="preserve">Adjustment </t>
    </r>
    <r>
      <rPr>
        <i/>
        <sz val="12"/>
        <rFont val="Arial"/>
        <family val="2"/>
      </rPr>
      <t>(Note A)</t>
    </r>
  </si>
  <si>
    <t>Net Change</t>
  </si>
  <si>
    <t>TOTAL NET CHANGE IN LINES</t>
  </si>
  <si>
    <t>Variance</t>
  </si>
  <si>
    <t>TOTAL NET CHANGE IN SUBSTATIONS</t>
  </si>
  <si>
    <t>New Lines</t>
  </si>
  <si>
    <t>Line/Sub</t>
  </si>
  <si>
    <t>New Substations</t>
  </si>
  <si>
    <t>Line Balances December 31, 2014</t>
  </si>
  <si>
    <t>Miles</t>
  </si>
  <si>
    <t>Included</t>
  </si>
  <si>
    <t>%</t>
  </si>
  <si>
    <t>Excluded</t>
  </si>
  <si>
    <t>miles</t>
  </si>
  <si>
    <t>Comments</t>
  </si>
  <si>
    <t>Include</t>
  </si>
  <si>
    <t>Exclude</t>
  </si>
  <si>
    <t>Marty</t>
  </si>
  <si>
    <t>Attached is Jason Goar’s review of transmission assets for 2014 Attachment O filing.  I believe you can get rid of the yellow highlighting on the MISO Lines and MISO Stations for prior year changes and just use yellow highlighting  for 2014 changes.  This should eliminate some confusion.</t>
  </si>
  <si>
    <t>Per below, looks like Line 538, Lines 502 &amp;526 can be moved to includable as sh0uld Line 502A.  I recommend you add a tab in your workbook and insert Jason’s email verbiage since he includes basis for inclusion.  Put a note in the cell referencing the tab in your workbook.  Please double check his comments relative to substations.</t>
  </si>
  <si>
    <t>Please update the MISO Lines Dec 2014 and MISO Stations December 2014 tabs in your workbook &amp; be sure links are updated appropriately on the Summary tab.</t>
  </si>
  <si>
    <t>I’d like for you to update and return to me by COB Tuesday March 24 so our group can make a final review and forward to BPO for their review.</t>
  </si>
  <si>
    <t>Any questions, just let me know.</t>
  </si>
  <si>
    <r>
      <t>From:</t>
    </r>
    <r>
      <rPr>
        <sz val="10"/>
        <rFont val="Tahoma"/>
        <family val="2"/>
      </rPr>
      <t xml:space="preserve"> Jason Goar</t>
    </r>
  </si>
  <si>
    <r>
      <t>Sent:</t>
    </r>
    <r>
      <rPr>
        <sz val="10"/>
        <rFont val="Tahoma"/>
        <family val="2"/>
      </rPr>
      <t xml:space="preserve"> Monday, March 16, 2015 6:38 PM</t>
    </r>
  </si>
  <si>
    <r>
      <t>To:</t>
    </r>
    <r>
      <rPr>
        <sz val="10"/>
        <rFont val="Tahoma"/>
        <family val="2"/>
      </rPr>
      <t xml:space="preserve"> Bobby Vinson</t>
    </r>
  </si>
  <si>
    <r>
      <t>Subject:</t>
    </r>
    <r>
      <rPr>
        <sz val="10"/>
        <rFont val="Tahoma"/>
        <family val="2"/>
      </rPr>
      <t xml:space="preserve"> FW: 2014 MISO Att O</t>
    </r>
  </si>
  <si>
    <t>Attached is my review of the 2014 MISO Att O additions/adjustments.    See my comments below regarding the highlighted additions/adjustments in the attached document.</t>
  </si>
  <si>
    <r>
      <t>-</t>
    </r>
    <r>
      <rPr>
        <sz val="7"/>
        <rFont val="Times New Roman"/>
        <family val="1"/>
      </rPr>
      <t xml:space="preserve">          </t>
    </r>
    <r>
      <rPr>
        <sz val="11"/>
        <rFont val="Calibri"/>
        <family val="2"/>
      </rPr>
      <t>Line 33D is missing from Leakesville line details.</t>
    </r>
  </si>
  <si>
    <r>
      <t>-</t>
    </r>
    <r>
      <rPr>
        <sz val="7"/>
        <rFont val="Times New Roman"/>
        <family val="1"/>
      </rPr>
      <t xml:space="preserve">          </t>
    </r>
    <r>
      <rPr>
        <sz val="11"/>
        <rFont val="Calibri"/>
        <family val="2"/>
      </rPr>
      <t>Line 231A (Benndale to McIntosh) – Line mileage in Att O includes PowerSouth’s portion.  Cost does not change in attachment O.</t>
    </r>
  </si>
  <si>
    <r>
      <t>-</t>
    </r>
    <r>
      <rPr>
        <sz val="7"/>
        <rFont val="Times New Roman"/>
        <family val="1"/>
      </rPr>
      <t xml:space="preserve">          </t>
    </r>
    <r>
      <rPr>
        <sz val="11"/>
        <rFont val="Calibri"/>
        <family val="2"/>
      </rPr>
      <t>Line 538 (Silver Creek – G.P. Monticello)  - The normally open switch on L526, if closed, provides for an alternate service or looped feed.  It could qualify for Att O base on Factor 2c of 7 factor test.  Lines 502 &amp; 526 would also qualify for inclusion.</t>
    </r>
    <r>
      <rPr>
        <sz val="11"/>
        <color rgb="FF1F497D"/>
        <rFont val="Calibri"/>
        <family val="2"/>
      </rPr>
      <t xml:space="preserve"> </t>
    </r>
  </si>
  <si>
    <t>Note:  L502A (3.94miles) serves Monticello (SPEPA) and Monticello (EES) loads.  This line could qualify under Factor 2a of 7 factor test.  See Factor 2 below.</t>
  </si>
  <si>
    <r>
      <t xml:space="preserve">                </t>
    </r>
    <r>
      <rPr>
        <sz val="10"/>
        <rFont val="Calibri"/>
        <family val="2"/>
      </rPr>
      <t>2.  Local Distribution facilities are primarily radial in character.</t>
    </r>
  </si>
  <si>
    <t>The following radial line exceptions are considered transmission:</t>
  </si>
  <si>
    <t>a)   Radial facilities that are presently used to deliver power to two or more wholesale customers (distribution providers) who are not affiliates of each other. (Factor 6 would also fail.)</t>
  </si>
  <si>
    <t>b)   Radial facilities that are used to deliver power to one or more wholesale load customer and also used to deliver power from one or more wholesale generators. (Note, only energized facilities are applicable for inclusion in Appendix H or G.)</t>
  </si>
  <si>
    <t>c)   Radial facilities resulting from normally open switches or circuit breakers that may be used to restore customer service via reconfiguration of the transmission system to an alternate transmission source.  These radial facilities are potentially networked facilities, operated radially.</t>
  </si>
  <si>
    <t>Substations</t>
  </si>
  <si>
    <r>
      <t>-</t>
    </r>
    <r>
      <rPr>
        <sz val="7"/>
        <rFont val="Times New Roman"/>
        <family val="1"/>
      </rPr>
      <t xml:space="preserve">          </t>
    </r>
    <r>
      <rPr>
        <sz val="11"/>
        <rFont val="Calibri"/>
        <family val="2"/>
      </rPr>
      <t>All decisions for inclusion/exclusion were based on 2013 Att O data for percentages.  Microwave and DP adjustments are excluded from Att O.</t>
    </r>
  </si>
  <si>
    <r>
      <t>-</t>
    </r>
    <r>
      <rPr>
        <sz val="7"/>
        <color rgb="FF1F497D"/>
        <rFont val="Times New Roman"/>
        <family val="1"/>
      </rPr>
      <t xml:space="preserve">          </t>
    </r>
    <r>
      <rPr>
        <sz val="11"/>
        <rFont val="Calibri"/>
        <family val="2"/>
      </rPr>
      <t>For Baxterville, it appears that the DP cost are included with GOAB in Att O by mistake.  I do not see these costs assigned to separate Baxterville sub as for other subs.</t>
    </r>
    <r>
      <rPr>
        <sz val="11"/>
        <color rgb="FF1F497D"/>
        <rFont val="Calibri"/>
        <family val="2"/>
      </rPr>
      <t xml:space="preserve">  </t>
    </r>
    <r>
      <rPr>
        <sz val="11"/>
        <rFont val="Calibri"/>
        <family val="2"/>
      </rPr>
      <t>Will you confirm this?</t>
    </r>
  </si>
  <si>
    <r>
      <t>-</t>
    </r>
    <r>
      <rPr>
        <sz val="7"/>
        <color rgb="FF1F497D"/>
        <rFont val="Times New Roman"/>
        <family val="1"/>
      </rPr>
      <t xml:space="preserve">          </t>
    </r>
    <r>
      <rPr>
        <sz val="11"/>
        <rFont val="Calibri"/>
        <family val="2"/>
      </rPr>
      <t>See comments for highlighted values.  Will you confirm that cost adjustments are distributed properly for inclusion/exclusion?</t>
    </r>
  </si>
  <si>
    <t>Let me know if you have any questions.</t>
  </si>
  <si>
    <t>Thanks,</t>
  </si>
  <si>
    <t>JG</t>
  </si>
  <si>
    <t>Jason Goar, PE</t>
  </si>
  <si>
    <t>System Planning Manager</t>
  </si>
  <si>
    <t>Office: (601) 261-2324</t>
  </si>
  <si>
    <t>Fax: (601) 261-2375</t>
  </si>
  <si>
    <t>I would treat this capacitor bank the same as the others.  Do you know why these are excluded?</t>
  </si>
  <si>
    <r>
      <t>From:</t>
    </r>
    <r>
      <rPr>
        <sz val="10"/>
        <rFont val="Tahoma"/>
        <family val="2"/>
      </rPr>
      <t xml:space="preserve"> Marty Pulliam</t>
    </r>
  </si>
  <si>
    <r>
      <t>Sent:</t>
    </r>
    <r>
      <rPr>
        <sz val="10"/>
        <rFont val="Tahoma"/>
        <family val="2"/>
      </rPr>
      <t xml:space="preserve"> Friday, March 20, 2015 1:38 PM</t>
    </r>
  </si>
  <si>
    <r>
      <t>To:</t>
    </r>
    <r>
      <rPr>
        <sz val="10"/>
        <rFont val="Tahoma"/>
        <family val="2"/>
      </rPr>
      <t xml:space="preserve"> Jason Goar</t>
    </r>
  </si>
  <si>
    <r>
      <t>Subject:</t>
    </r>
    <r>
      <rPr>
        <sz val="10"/>
        <rFont val="Tahoma"/>
        <family val="2"/>
      </rPr>
      <t xml:space="preserve"> RE: MISO Attachment ) - Baxterville</t>
    </r>
  </si>
  <si>
    <t>I found Cap Bank assets at the following locations that were 100% excluded.  All member subs!</t>
  </si>
  <si>
    <t>SHOY – South Hoy (Dixie EPA)</t>
  </si>
  <si>
    <t>BAXT – Baxterville (PRVEPA)</t>
  </si>
  <si>
    <t>SWAY – South Waynesboro (Dixie EPA)</t>
  </si>
  <si>
    <t>WLAU – West Laurel (Dixie EPA)</t>
  </si>
  <si>
    <t>FOXW_M – Foxworth (PRVEPA)</t>
  </si>
  <si>
    <t>DECA – Decatur (SPEPA)</t>
  </si>
  <si>
    <t>BIGL – Big Level (PRVEPA)</t>
  </si>
  <si>
    <t>GWIN – Gwinville (SPEPA)</t>
  </si>
  <si>
    <t>STIL – Stillmore (PRVEPA)</t>
  </si>
  <si>
    <r>
      <t>Sent:</t>
    </r>
    <r>
      <rPr>
        <sz val="10"/>
        <rFont val="Tahoma"/>
        <family val="2"/>
      </rPr>
      <t xml:space="preserve"> Friday, March 20, 2015 12:55 PM</t>
    </r>
  </si>
  <si>
    <r>
      <t>To:</t>
    </r>
    <r>
      <rPr>
        <sz val="10"/>
        <rFont val="Tahoma"/>
        <family val="2"/>
      </rPr>
      <t xml:space="preserve"> Marty Pulliam</t>
    </r>
  </si>
  <si>
    <t>Marty,</t>
  </si>
  <si>
    <t>I have applied the 7 factor test and cannot find any details that would exclude the capacitor bank from attachment O.  Can you look at other locations such as Big Level of Stillmore to see if cap bank was excluded from those locations?  Let me know what you find.</t>
  </si>
  <si>
    <r>
      <t>Sent:</t>
    </r>
    <r>
      <rPr>
        <sz val="10"/>
        <rFont val="Tahoma"/>
        <family val="2"/>
      </rPr>
      <t xml:space="preserve"> Wednesday, March 18, 2015 9:09 AM</t>
    </r>
  </si>
  <si>
    <r>
      <t>Subject:</t>
    </r>
    <r>
      <rPr>
        <sz val="10"/>
        <rFont val="Tahoma"/>
        <family val="2"/>
      </rPr>
      <t xml:space="preserve"> MISO Attachment ) - Baxterville</t>
    </r>
  </si>
  <si>
    <t>Hey Jason,</t>
  </si>
  <si>
    <t>The attached spreadsheet breaks down both Line 044 and the Baxterville Sub by assets.  We never broke the tap line (L044A) out as a separate location and that is why we had 1% of the line cost excluded on last years MISO Attach O. </t>
  </si>
  <si>
    <t>As for the SUB assets, it includes the metering equipment and the Cap Bank that was installed in 2013.  (Note: The GOAB is part of Line 044 list of Assets)</t>
  </si>
  <si>
    <t>Would the Cap Bank assets be includable?</t>
  </si>
  <si>
    <t>Please let me know what we can claim as includable/excludable…</t>
  </si>
  <si>
    <t>Thanks!</t>
  </si>
  <si>
    <t>DENOTES CHANGES FROM PRIOR SUBMISSION</t>
  </si>
  <si>
    <t>33A,33B,33C,33D</t>
  </si>
  <si>
    <t>Account 114 (Acq Price Adj)</t>
  </si>
  <si>
    <t xml:space="preserve">Note 2: </t>
  </si>
  <si>
    <t xml:space="preserve">Account 114 in the RUS Chart of Accounts  , "Acquisition Price Adjustment " is utilized to record the difference in price paid for an acquisition </t>
  </si>
  <si>
    <t>and net book value on the books of the seller at date of sale.  This account excludes goodwill.  Account 114 value is reported on RUS Form 12</t>
  </si>
  <si>
    <t>in Sec H, line 24.  The balance in this account at 12/31/2014 is $48,712,221 as reported on SMEPA's 2014 Form 12.  Utilizing the formula below,</t>
  </si>
  <si>
    <t>a portion of this account value is added to Gross Transmission Plant on line 2 of page 2 , with the balance added</t>
  </si>
  <si>
    <t>to line 1 on page 2:</t>
  </si>
  <si>
    <t>Transmission investment per detail</t>
  </si>
  <si>
    <t>Amount Recorded to Acct 106 at acquisiton /per 2012 Year End RUS Form 12</t>
  </si>
  <si>
    <t>Percentage Assignable to Transmission Assets</t>
  </si>
  <si>
    <t>Balance in Account 114 per 12/31/2014 RUS Form 12</t>
  </si>
  <si>
    <t>Percentage assignable to Transmission from above</t>
  </si>
  <si>
    <t>Added to Transmission Assets(Attachment O, Page 2 Line 2)</t>
  </si>
  <si>
    <t>Balance Added to Production Assets(Attachment O, Page 2 Line 1)</t>
  </si>
  <si>
    <t>amount included in Production Accumulated Depreciation Account attributable to $19,000,674 Transmission Assets</t>
  </si>
  <si>
    <t xml:space="preserve">at Batesville(discussed above).  Transferred from Production Accumulated Depreciation to Transmission </t>
  </si>
  <si>
    <t>Accumulated Depreciation(page 2, lines 7 &amp; 8):</t>
  </si>
  <si>
    <t>Annual Depreciation Rate(two years as Batesville was acquired December 19, 2012)</t>
  </si>
  <si>
    <t>(See Attach O Work Papers for Cooperatives YE 2014.XLSX)</t>
  </si>
  <si>
    <t>Deleted 5/22/2015</t>
  </si>
  <si>
    <t>Deleted Amounts 5/22/2015</t>
  </si>
  <si>
    <t>DECEMBER 2015</t>
  </si>
  <si>
    <t>14,14A,14B</t>
  </si>
  <si>
    <t>15,15A,15B</t>
  </si>
  <si>
    <t>CROS_MW</t>
  </si>
  <si>
    <t>Crosby Microwave</t>
  </si>
  <si>
    <t>Liberty Microwave</t>
  </si>
  <si>
    <t>LIBE_MW</t>
  </si>
  <si>
    <t>ROXI_MW</t>
  </si>
  <si>
    <t>Roxie Microwave</t>
  </si>
  <si>
    <t>SCLL</t>
  </si>
  <si>
    <t>South Collins (SPEPA)</t>
  </si>
  <si>
    <t>SENA_MW</t>
  </si>
  <si>
    <t>Southeast Natchez Microwave</t>
  </si>
  <si>
    <t>SHOY_S</t>
  </si>
  <si>
    <t>South Hoy 161/69 KV Subtation</t>
  </si>
  <si>
    <t>SUMM</t>
  </si>
  <si>
    <t>Summit Microwave</t>
  </si>
  <si>
    <t>TOPI_MW</t>
  </si>
  <si>
    <t>Topisaw Microwave</t>
  </si>
  <si>
    <t>Less D335, E334, H3335, I3335</t>
  </si>
  <si>
    <t>Less D335,  H335, I335</t>
  </si>
  <si>
    <t>2015 Line Balance</t>
  </si>
  <si>
    <t>Dec 2015</t>
  </si>
  <si>
    <t>16,16A</t>
  </si>
  <si>
    <t>1,1A</t>
  </si>
  <si>
    <t>18,18A</t>
  </si>
  <si>
    <t>2015 Substation Balance</t>
  </si>
  <si>
    <t>South Hoy 161/69Kv Substation</t>
  </si>
  <si>
    <t>s</t>
  </si>
  <si>
    <t>Batesville Transmission Assets Values per Fixed Assets System 12/31/15</t>
  </si>
  <si>
    <t>Summitt Microwave</t>
  </si>
  <si>
    <t>GOAB's moved Lines Tap</t>
  </si>
  <si>
    <t>Martinville</t>
  </si>
  <si>
    <t>(Comm, MW Excluded )</t>
  </si>
  <si>
    <t>NSE</t>
  </si>
  <si>
    <t>NME</t>
  </si>
  <si>
    <t>RSE</t>
  </si>
  <si>
    <t>NL</t>
  </si>
  <si>
    <t>NS - New Station Built</t>
  </si>
  <si>
    <t>NSE - New Station Equipment Installed</t>
  </si>
  <si>
    <t>NME - New Metering Equipment Installed/Upgraded</t>
  </si>
  <si>
    <t>NL - Additional Land Cost added</t>
  </si>
  <si>
    <t>RSE - Removed Station Equipment</t>
  </si>
  <si>
    <t>Dec 2016</t>
  </si>
  <si>
    <t>2016 Line Balance</t>
  </si>
  <si>
    <t>Change in Line Balance in 2016</t>
  </si>
  <si>
    <t>2016 Substation Balance</t>
  </si>
  <si>
    <t>Change in Station Balance in 2016</t>
  </si>
  <si>
    <t>DECEMBER 2016</t>
  </si>
  <si>
    <t>2016 Changes</t>
  </si>
  <si>
    <t>2016 Adjustments</t>
  </si>
  <si>
    <t>12,12A</t>
  </si>
  <si>
    <t>17A,17C</t>
  </si>
  <si>
    <t>Taylorsville SS - Hebron GOAB - Plant Moselle SUB</t>
  </si>
  <si>
    <t>Taylorsville SS - Sylvarena GT SS - Sylvarena SS</t>
  </si>
  <si>
    <t>Homewood SUB - Sylvarena SS</t>
  </si>
  <si>
    <t>2,2A</t>
  </si>
  <si>
    <t>4,4A,4B,4C</t>
  </si>
  <si>
    <t>6,6A</t>
  </si>
  <si>
    <t>Newton GOAB - Missionary SUB, Newton SS - Newton Sub</t>
  </si>
  <si>
    <t>Waldrup SS - Paulding SUB - Missionary SUB</t>
  </si>
  <si>
    <t>Sylvarena SS - Bay Springs GOAB - Bay Spring Sub</t>
  </si>
  <si>
    <t>9,9A</t>
  </si>
  <si>
    <t>Bay Springs GOAB - Waldrup SS</t>
  </si>
  <si>
    <t>Waldrup SS - Moss GOAB - Hoy SS</t>
  </si>
  <si>
    <t>West Laurel GOAB - South Hoy SUB, S. Hoy SUB - Hoy SS, S Hoy SUB - Hoy Sub</t>
  </si>
  <si>
    <t>Missionary SUB - Missionary GOAB- Rose Hill GOAB - Rose Hill Sub</t>
  </si>
  <si>
    <t>Plant Moselle - Hwy 588 GOAB - West Laural GOAB - West Laureal Sub</t>
  </si>
  <si>
    <t>Hoy SS - Sharon GOAB - Cleo SS</t>
  </si>
  <si>
    <t>Plant Moselle SUB - Burr Creek GOAB</t>
  </si>
  <si>
    <t>Burr Creek GOAB - Ellisville Junction SS - Ellisville Junction Sub</t>
  </si>
  <si>
    <t>Burr Creek GOAB - Burr Creek Sub</t>
  </si>
  <si>
    <t>Ellisville Junction SS - Glade GOAB - Cleo SS</t>
  </si>
  <si>
    <t>Cleo SS - Whistler SS</t>
  </si>
  <si>
    <t>Whistler SS - Whistler Sub</t>
  </si>
  <si>
    <t>Whistler SS - Waynesboro SUB</t>
  </si>
  <si>
    <t>Waynesboro SUB - South Waynesboro GOAB -South Waynesboro Sub</t>
  </si>
  <si>
    <t>8,8A</t>
  </si>
  <si>
    <t>21,21A</t>
  </si>
  <si>
    <t>22,22A</t>
  </si>
  <si>
    <t>South Waynesboro GOAB - Little Rock GAOB - Clara GOAB</t>
  </si>
  <si>
    <t>Buckatunna GOAB - State Line SS</t>
  </si>
  <si>
    <t>Plant Moselle SUB - Petal GOAB - Macedonia SS - Macedonia Sub</t>
  </si>
  <si>
    <t>26,26A</t>
  </si>
  <si>
    <t>Macedonia SS - West Richton GOAB - West Richton Sub</t>
  </si>
  <si>
    <t>West Richton GOAB - Hintonville GOAB - Hintonville Sub</t>
  </si>
  <si>
    <t>27,27A</t>
  </si>
  <si>
    <t>28,28A,28B</t>
  </si>
  <si>
    <t>State Line SS - Sand Hill GOAB - Sand Hill Sub, Sand Hill GOAB - Kittrell GOAB</t>
  </si>
  <si>
    <t>29,29A</t>
  </si>
  <si>
    <t>Sand Hill GOAB - Brownlee Rd GOAB - Hintonville Sub</t>
  </si>
  <si>
    <t>Hintonville SUB - Plantation GOAB - McLain GOAB</t>
  </si>
  <si>
    <t>30,30A</t>
  </si>
  <si>
    <t>31,31A</t>
  </si>
  <si>
    <t>Benndale GT SUB - McLain GOAB - McLain Sub</t>
  </si>
  <si>
    <t>32,32A</t>
  </si>
  <si>
    <t>State Line SS - Leakesville GOAB - Leakesville Sub</t>
  </si>
  <si>
    <t>Southeast Green SUB - Sawmill RD GOAB - Swamill RD Sub</t>
  </si>
  <si>
    <t>34,34A</t>
  </si>
  <si>
    <t>Rocky Creek SS - Lucedale GOAB - Lucedale Sub</t>
  </si>
  <si>
    <t>Lucedale GOAB - Benndale SUB - Benndale GT SUB</t>
  </si>
  <si>
    <t>Benndale SUB - Benndale Sub</t>
  </si>
  <si>
    <t>36,36A</t>
  </si>
  <si>
    <t>Benndale GT SUB - Big Level GOAB - Big Level Sub</t>
  </si>
  <si>
    <t>St. Regis GOAB - Big Level GOAB</t>
  </si>
  <si>
    <t>Wiggins GOAB - Stillmore Sub</t>
  </si>
  <si>
    <t>Maxie GOAB - Lumberton SUB</t>
  </si>
  <si>
    <t>39,39A,39B,39C</t>
  </si>
  <si>
    <t>Richburg GOAB - Okahola GOAB - Purvis GOAB - Lumberton GOAB - Lumberton Sub</t>
  </si>
  <si>
    <t>Rawls Springs SS - Breland GOAB - West Hattieburg SS - Richburg GOAB</t>
  </si>
  <si>
    <t>Plant Moselle Sub - Shelton GOAB - Rawl Springs SS</t>
  </si>
  <si>
    <t>Rawls Springs SS - Sumrall GOAB</t>
  </si>
  <si>
    <t>Sumrall GOAB - Columbia SUB</t>
  </si>
  <si>
    <t>Lumberton SUB - Baxterville GOAB - Baxterville Sub</t>
  </si>
  <si>
    <t>44,44A</t>
  </si>
  <si>
    <t>45,45A</t>
  </si>
  <si>
    <t>Baxterville GOAB - Foxworth GOAB - Foxworth SS</t>
  </si>
  <si>
    <t>Columbia SUB - Bassfield GOAB - Bassfield Sub</t>
  </si>
  <si>
    <t>Lone Star GOAB - Lone Star Sub</t>
  </si>
  <si>
    <t>North Collins GOAB - South Collins SS</t>
  </si>
  <si>
    <t>South Collins SS - West Moselle GOAB</t>
  </si>
  <si>
    <t>Plant Moselle SUB - West Moselle GOAB - West Moelle Sub</t>
  </si>
  <si>
    <t>Columbia SUB - Foxworth SS - Foxworth Sub</t>
  </si>
  <si>
    <t>53,53A,53B,53C</t>
  </si>
  <si>
    <t>Columbia SUB - Goss GOAB - Hathon SS - Oakvale GOAB - Oakvale Sub</t>
  </si>
  <si>
    <t>Oakvale GOAB - Prentiss SS</t>
  </si>
  <si>
    <t>Prentiss SS - Prentiss Sub</t>
  </si>
  <si>
    <t>Prentiss SS - Gwinville GOAB</t>
  </si>
  <si>
    <t>55,55B</t>
  </si>
  <si>
    <t>Gwinville GOAB - Gwinville Junction SS</t>
  </si>
  <si>
    <t>Gwinville Junction SS - Pinola GOAB - Pinola Sub</t>
  </si>
  <si>
    <t>Gwinville Junction SS - Magee Sub</t>
  </si>
  <si>
    <t>Magee SUB - Maddox GOAB</t>
  </si>
  <si>
    <t xml:space="preserve">Maddox GOAB - GP Taylorsville SS - Georgia Pacific SUB - Taylorsville SS - Taylorsville Sub </t>
  </si>
  <si>
    <t>Magee SUB - Martinville GOAB - Puckett GOAB - Pucket Sub</t>
  </si>
  <si>
    <t>Puckett GOAB - Polkville GOAB</t>
  </si>
  <si>
    <t>62A,62C</t>
  </si>
  <si>
    <t>Polikville GOAB - Morton SS - Donald Rd GOAB</t>
  </si>
  <si>
    <t>Polkville GOAB - Polkville SUB</t>
  </si>
  <si>
    <t>Morton SS - Homewood SUB</t>
  </si>
  <si>
    <t>Petal GOAB - North Petal Sub</t>
  </si>
  <si>
    <t>Waynesboro SUB - Diamond Sub</t>
  </si>
  <si>
    <t>70,70A</t>
  </si>
  <si>
    <t>Whistler SS - Eucutta GOAB - Eucutta Sub</t>
  </si>
  <si>
    <t>71,71A,71B</t>
  </si>
  <si>
    <t>Benndale GT SUB - Benndale SUB - Basin GOAB - Basin Sub</t>
  </si>
  <si>
    <t>Agricola GOAB - Rocky Creek SS, Agricola GOAB - Agricola Sub</t>
  </si>
  <si>
    <t>South Collins SS - Colonial Collins GOAB - Colonial Kola GOAB - South Collins GOAB - Colonial Collins GOAB</t>
  </si>
  <si>
    <t>Colonial Collins Tap - Colonial Collins Sub</t>
  </si>
  <si>
    <t>75,75B,75C</t>
  </si>
  <si>
    <t>Plant Moselle SUB - Eminence GOAB - Eminence Sub - Colonial Kola GOAB</t>
  </si>
  <si>
    <t>Lumberton SUB - Hillsdale Sub</t>
  </si>
  <si>
    <t>Breland GOAB - Cole Rd SUB - Bellevue Sub</t>
  </si>
  <si>
    <t>Purvis GOAB - Purvis Sub</t>
  </si>
  <si>
    <t>Hintonville SUB - Old Augusta Sub</t>
  </si>
  <si>
    <t>South Hattiesburg SS - South Hattiesburg Sub</t>
  </si>
  <si>
    <t>Cumbest Bluff SS - Vancleave Sub</t>
  </si>
  <si>
    <t>Vancleave GOAB  Vancleave Sub</t>
  </si>
  <si>
    <t>Florence SUB - Greenfield Sub</t>
  </si>
  <si>
    <t>Rawls Springs SS - North Hattiesburg Sub</t>
  </si>
  <si>
    <t>West Hattiesburg SS - West Hatteisburg Sub</t>
  </si>
  <si>
    <t>Martinville SS - Martinville Sub</t>
  </si>
  <si>
    <t>West Waynesboro - Little Rock GOAB</t>
  </si>
  <si>
    <t>101,101A</t>
  </si>
  <si>
    <t>West Hattiesburg SS - East Lake Serene GOAB - East Lake Serene Sub</t>
  </si>
  <si>
    <t>Macedonia SS - Petal Sub</t>
  </si>
  <si>
    <t>Holly Springs GOAB - Foxworth SS</t>
  </si>
  <si>
    <t>North Collins SS - Station Creek SUB</t>
  </si>
  <si>
    <t xml:space="preserve">GP Taylorsville SS - Station Creek SUB </t>
  </si>
  <si>
    <t>Holly Springs GOAB - Hathorn SS</t>
  </si>
  <si>
    <t>Pinola GOAB - Martinville SS</t>
  </si>
  <si>
    <t>Sylvarena GT SS - Bay Springs GOAB</t>
  </si>
  <si>
    <t>Cole  Road SUB - East Lake Serene GOAB</t>
  </si>
  <si>
    <t>Rose Hill GOAB - Newton SUB</t>
  </si>
  <si>
    <t>Agricola SS - Tanner Chapel Sub</t>
  </si>
  <si>
    <t>Brownlee RD GOAB - Brewer Sub</t>
  </si>
  <si>
    <t>Ellisville Junction SS - Macedonia SS</t>
  </si>
  <si>
    <t>East Moselle Sub - Plant Moselle SUB</t>
  </si>
  <si>
    <t>Lynn Ray RD SUB - Lynn Ray RD Sub</t>
  </si>
  <si>
    <t>Heidelberg GOAB - Eucutta GOAB</t>
  </si>
  <si>
    <t>South Collins GOAB - South Collins Sub</t>
  </si>
  <si>
    <t>Plant Moselle SUB - Columbia SUB</t>
  </si>
  <si>
    <t>Plant Moselle SUB - Hintonville SUB</t>
  </si>
  <si>
    <t>Plant Moselle SUB - Station Creek SUB - Magee SUB</t>
  </si>
  <si>
    <t>Plant Morrow SUB - Cole RD SUB - Plant Moselle SUB</t>
  </si>
  <si>
    <t>Hintonville SUB - Purvis Bulk SUB</t>
  </si>
  <si>
    <t>Purvis Bulk SUB - Lumberton SUB</t>
  </si>
  <si>
    <t xml:space="preserve">Plant Morrow SUB - Columbia SUB </t>
  </si>
  <si>
    <t>Magee SUB - MS Hub SUB</t>
  </si>
  <si>
    <t>MS Hub SS - Columbia SUB</t>
  </si>
  <si>
    <t>SW Lonestar SS - Columbia SUB</t>
  </si>
  <si>
    <t>Plant Morrow SUB - Purvis Bulk SUB</t>
  </si>
  <si>
    <t>Hintonville SUB - Waynesboro SUB</t>
  </si>
  <si>
    <t>Magee SUB - White Oak SUB</t>
  </si>
  <si>
    <t>White Oak SUB - Homewood SUB</t>
  </si>
  <si>
    <t>Hintonville SUB - Benndale SUB</t>
  </si>
  <si>
    <t>Waynesboro 161KV SUB - Waynesboro 230KV SUB</t>
  </si>
  <si>
    <t>Moselle Unit 5 - Moselle SUB GSU Strain Bus</t>
  </si>
  <si>
    <t>White Oak SS - Polkville SUB</t>
  </si>
  <si>
    <t>Silver Creek SUB - Prentiss SUB</t>
  </si>
  <si>
    <t>Prentiss SUB - Southwest Lone Star SUB</t>
  </si>
  <si>
    <t>Plant Moselle SUB - South Hoy SUB</t>
  </si>
  <si>
    <t>Moselle GSU #6 - Moselle Switchyard</t>
  </si>
  <si>
    <t>Moselle GSU #7 - Moselle Switchyard</t>
  </si>
  <si>
    <t>Batesville #1 BUS - Batesville Ring Bus</t>
  </si>
  <si>
    <t>Batesville #2 BUS - Batesville Ring Bus</t>
  </si>
  <si>
    <t>Waynesboro SUB - Alabama State Line (AEC)(McIntosh)</t>
  </si>
  <si>
    <t>Benndale &amp; Southeast Greene SUBs - Alabama State Line (AEC)(McIntosh)</t>
  </si>
  <si>
    <t>Waynesboro SUB - Missionary SUB</t>
  </si>
  <si>
    <t>Silver Creek Sub (MP&amp;L) - Northeast Monticello GOAB - Monticello Sub</t>
  </si>
  <si>
    <t>State Line SS - Gillsburg Sub</t>
  </si>
  <si>
    <t>Vaughn SS - Peetsville Sub</t>
  </si>
  <si>
    <t>St. Martin Switch (MPCO) - Cook Road Sub</t>
  </si>
  <si>
    <t>Fountainbleau Switch (MPCO) - Fountainbleau GOAB</t>
  </si>
  <si>
    <t>Hickory Hills Switch (MPCO) - Hickory Hills Sub &amp; GOAB</t>
  </si>
  <si>
    <t>Cross Roads Sub - Collins Pipeline Sub</t>
  </si>
  <si>
    <t>Nitta Yuma SS (MP&amp;L) - Hampton Sub</t>
  </si>
  <si>
    <t>Ocean Springs Switch (MPCO) - Ocean Springs Sub</t>
  </si>
  <si>
    <t>Little Yazoo SS - Little Yazzoo Sub</t>
  </si>
  <si>
    <t>Lorman SS (MP&amp;L) - Alcorn Sub</t>
  </si>
  <si>
    <t>Utica SS (MP&amp;L) - Utica Jr College Sub</t>
  </si>
  <si>
    <t>Big Point Switch (MPCO)  - Big Point Sub</t>
  </si>
  <si>
    <t>Forts Lake Switch (MPCO) - Forts Lake Sub</t>
  </si>
  <si>
    <t>Sawyer SS (MP&amp;L) - North Winona Sub</t>
  </si>
  <si>
    <t>Southwest Dexter SS (MP&amp;L) - Dexter Sub</t>
  </si>
  <si>
    <t>Nicholson Switch 9MPCO)  - Nicholson Sub</t>
  </si>
  <si>
    <t>Norfield SS (MP&amp;L) - Little Creek Sub</t>
  </si>
  <si>
    <t>Olson Switch (MPCO)  - Olson Sub</t>
  </si>
  <si>
    <t>Mallalieu SS (MP&amp;L) - Mallalieu Sub</t>
  </si>
  <si>
    <t>Northeast Monticello GOAB - G. P. Monticello Sub</t>
  </si>
  <si>
    <t>Copiah SS (MP&amp;L) - Shady Grove Sub</t>
  </si>
  <si>
    <t>Isola SS (MP&amp;L) - Isola Sub</t>
  </si>
  <si>
    <t>Heathman SS (MP&amp;L) - Heathman Sub</t>
  </si>
  <si>
    <t xml:space="preserve">Ozona GOAB (MPCO) - Piggot Sub </t>
  </si>
  <si>
    <t>Derby GOAB (MPCO) - Derby Sub</t>
  </si>
  <si>
    <t>Banks SS (MP&amp;L) - Banks Sub</t>
  </si>
  <si>
    <t>Spence GOAB (MPCO) - Spence Sub</t>
  </si>
  <si>
    <t>Redwood SS (MP&amp;L) - IP Redwood Sub</t>
  </si>
  <si>
    <t>Lamey Switch (MPCO) - Lamey Sub</t>
  </si>
  <si>
    <t>Escatawpa South Switch (MPCO) - Escatawpa South Sub</t>
  </si>
  <si>
    <t>Silver Creek Sub (MP&amp;L) - G. P. Monticello Sub</t>
  </si>
  <si>
    <t>Watts GOAB (MPCO) - Watts Sub</t>
  </si>
  <si>
    <t>Whitfield Sub (MP&amp;L) - East Whitifield GOAB - South Brandon Sub</t>
  </si>
  <si>
    <t>Fort Bayou GOAB (MPCO) - Fort Bayou Sub</t>
  </si>
  <si>
    <t>Refuge GOAB - Refuge Sub</t>
  </si>
  <si>
    <t>Chatawa GOAB - Progess GOAB</t>
  </si>
  <si>
    <t>Progress GOAB - Progress Sub</t>
  </si>
  <si>
    <t>East Whitfield GOAB - East Whitfield Sub</t>
  </si>
  <si>
    <t>West Arlington GOAB - Arlington Sub</t>
  </si>
  <si>
    <t>Stennis Airport GOAB (MPCO) - Stennis Airport Sub</t>
  </si>
  <si>
    <t>Jayess SUB - Jayess Sub</t>
  </si>
  <si>
    <t>Schalter Sub (MP&amp;L) - Evans Sub</t>
  </si>
  <si>
    <t>Lucedale South GOAB (MPCO) - Lucedale South Sub</t>
  </si>
  <si>
    <t>McNeil GOAB (MPCO) - McNeil Sub</t>
  </si>
  <si>
    <t>James Rd GOAB - Centerpoint Sub</t>
  </si>
  <si>
    <t>Martin Bluff Sub - Hickory Hills Sub GOAB</t>
  </si>
  <si>
    <t>555,555A</t>
  </si>
  <si>
    <t>Vestry Switch (MPCO) - Aleco GOAB - Aleco SS</t>
  </si>
  <si>
    <t>Hamil Rd Sub - Fountainbleau SUB GOAB</t>
  </si>
  <si>
    <t>Wellman Switch (MPCO) - Wellman Sub</t>
  </si>
  <si>
    <t>Cuevas Rd GOAB - Necaise Sub</t>
  </si>
  <si>
    <t>Monaco Lake Switch (MPCO) - Monaco Lake Sub</t>
  </si>
  <si>
    <t>Norfield SS (MP&amp;L) - Norfield Sub</t>
  </si>
  <si>
    <t>Salem GOAB - Salem Sub</t>
  </si>
  <si>
    <t>Dixie Pipeline Sub - MPCO Switch</t>
  </si>
  <si>
    <t>Vaughn SS - Loyd Star SS - Loyd Star Sub</t>
  </si>
  <si>
    <t>Lizana Tap - Lazana Sub</t>
  </si>
  <si>
    <t>Dedeaux Road - Dedeaux Sub</t>
  </si>
  <si>
    <t>Aleco GOAB - Joe Batt Rd GOAB - Joe Batt Rd Sub</t>
  </si>
  <si>
    <t>North Lucedale Switch (MPCO) - North Lucedale Sub</t>
  </si>
  <si>
    <t>Silver Creek CT - Silver Creek SUB</t>
  </si>
  <si>
    <t>South Redwood SS - South Redwood Sub</t>
  </si>
  <si>
    <t>West Cleveland SS - West Cleveland Sub</t>
  </si>
  <si>
    <t>Gulf Park Estates GOAB - Gulf Park Estates Sub</t>
  </si>
  <si>
    <t>Vidalia GAOB - Vidalia Sub</t>
  </si>
  <si>
    <t>Cranfield SS - Cranfield Sub</t>
  </si>
  <si>
    <t>Tinsley SS - Denbury Sub</t>
  </si>
  <si>
    <t>Arcola SS - Arcola Sub</t>
  </si>
  <si>
    <t>East Lincoln GOAB - East Lincoln Sub</t>
  </si>
  <si>
    <t>MPCO Switch - Sunplex Sub</t>
  </si>
  <si>
    <t>Acona SS - Acona Sub</t>
  </si>
  <si>
    <t>Carrollton SS - Carrollton Sub</t>
  </si>
  <si>
    <t>Greenville SS - Greenville Swiftwater Sub</t>
  </si>
  <si>
    <t>Greenwood SS - GreenWood Snell Sub</t>
  </si>
  <si>
    <t>Jayess SS - Jayess Sub</t>
  </si>
  <si>
    <t>Lorman SS - Lorman Sub</t>
  </si>
  <si>
    <t xml:space="preserve">Minter City SS - Minter City SE Natchez Sub </t>
  </si>
  <si>
    <t>Natchez SE SS - Kingston Sub</t>
  </si>
  <si>
    <t>Shaw SS - Shaw Sub</t>
  </si>
  <si>
    <t>CPR Control Balance December 31, 2016</t>
  </si>
  <si>
    <t>GL Balance December 31, 2016</t>
  </si>
  <si>
    <t>`</t>
  </si>
  <si>
    <t>Nitta Yuma SS - Hampton Sub</t>
  </si>
  <si>
    <t>Little Yazoo SS (MP&amp;L) - Little Yazoo Sub</t>
  </si>
  <si>
    <t>Browning SS (MP&amp;L) - East Greenwood Sub</t>
  </si>
  <si>
    <t>Northest Monticello GOAB - G. P. Monticello Sub</t>
  </si>
  <si>
    <t>Silver Creek SUB (MP&amp;L) - G. P. Monticello Sub</t>
  </si>
  <si>
    <t>Progess GOAB - Progress Sub</t>
  </si>
  <si>
    <t>Pisgah GOAB - Magee Rd SS - Pisgah Sub</t>
  </si>
  <si>
    <t>Schalter SUB (MP&amp;L) - Evans Sub</t>
  </si>
  <si>
    <t>Arcola SS - Arcola sub</t>
  </si>
  <si>
    <t>East Lincoln GOAB - East Lincoln</t>
  </si>
  <si>
    <t>Silver Creek Sub (MP&amp;L) - Norhteast Monticello - Monticello Sub</t>
  </si>
  <si>
    <t>Whitfield Sub (MP&amp;L) - East Whitfield GOAB - South Brandon Sub</t>
  </si>
  <si>
    <t>Cross Roads Sub (MPCO) - Collins Pumping Station Sub</t>
  </si>
  <si>
    <t>Nicholson Switch (MPCO) - Nicholson Sub</t>
  </si>
  <si>
    <t>Ozona GOAB (MPCO) - Piggot Sub</t>
  </si>
  <si>
    <t>Dedeaux Road - Dedeaux Rd Sub</t>
  </si>
  <si>
    <t>MPCO Switch - Bayou Cassotte Sub</t>
  </si>
  <si>
    <t>Vidalia GOAB - Vadalia Sub</t>
  </si>
  <si>
    <t>Fountainbleau Switch (MPCP) - Fountainbleau GOAB</t>
  </si>
  <si>
    <t>546,546A</t>
  </si>
  <si>
    <t>Hickory Hills Sub GOAB - Martin Bluff Sub</t>
  </si>
  <si>
    <t>Hickory Hills Switch (MPCO) - Hickory Hills Sub GOAB</t>
  </si>
  <si>
    <t>Fountainebleau Sub GOAB - Hamil Farm Rd Sub</t>
  </si>
  <si>
    <t>Cuevas Rd GOAB (MPCO) - Necaise Sub</t>
  </si>
  <si>
    <t>MPCO Switch - Dixie Pipeline Sub</t>
  </si>
  <si>
    <t>Lizana Tap - Lizana  Sub</t>
  </si>
  <si>
    <t>Greenwood SS - Greenwood Snell Sub</t>
  </si>
  <si>
    <t>Minter City SS - Minter City Se Natchez Sub</t>
  </si>
  <si>
    <t>7,7A,7B</t>
  </si>
  <si>
    <t>Newton GOAB - Missionary SUB - Newton SS - Newton Sub</t>
  </si>
  <si>
    <t>Missionary SUB - Missionary GOAB - Rose Hill GOAB - Rose Hill Sub</t>
  </si>
  <si>
    <t>Sylvarena SS - Bay Springs GOAB - Bay Springs Sub</t>
  </si>
  <si>
    <t>Waldrup SS - Heidelburg Sub</t>
  </si>
  <si>
    <t>11,11A</t>
  </si>
  <si>
    <t>Plant Moselle SUB - Burr Creek Goab</t>
  </si>
  <si>
    <t>South Waynesboro GOAB - Little Rock GOAB - Clara GOAB</t>
  </si>
  <si>
    <t>St Regis GOAB - Wiggins GOAB</t>
  </si>
  <si>
    <t>St Regis GOAB - Bill Level GOAB</t>
  </si>
  <si>
    <t>Lone Star GOAB - North Collins SS</t>
  </si>
  <si>
    <t>North Collins SUB - South Collins SS</t>
  </si>
  <si>
    <t>Oakvale GOAB - Prentiss  SS</t>
  </si>
  <si>
    <t>Gwinville Junction GOAB - Magee SUB</t>
  </si>
  <si>
    <t>59,59A</t>
  </si>
  <si>
    <t>Magee SUB - Maddox GOAB Maddox Sub</t>
  </si>
  <si>
    <t>Whistler SS -  Eucutta Sub</t>
  </si>
  <si>
    <t>74,74B,74C</t>
  </si>
  <si>
    <t>West Hattiesburg SS  - West Hattiesburg Sub</t>
  </si>
  <si>
    <t>GP Taylorsville SS - Station Creek SUB</t>
  </si>
  <si>
    <t>Brownlee Rd GOAB - Brewer Sub</t>
  </si>
  <si>
    <t>East Moselle SUB - Plant Moselle SUB</t>
  </si>
  <si>
    <t xml:space="preserve">South Collins GOAB - South Collins Sub </t>
  </si>
  <si>
    <t>Plant Morrow SUB - Columbia SUB</t>
  </si>
  <si>
    <t>Moselle SUB - Moselle CT 5 GSU Strain Bus</t>
  </si>
  <si>
    <t>Taylorsville SS - Hebron SS - Plant Moselle SUB</t>
  </si>
  <si>
    <t>Plant Morrow SUB  - Cole RD SUB - Plant Moselle SUB</t>
  </si>
  <si>
    <t>MS Hub SUB - Columbia SUB</t>
  </si>
  <si>
    <t>Southwest Lonestar SS - Columbia SUB</t>
  </si>
  <si>
    <t>25,25A,25B</t>
  </si>
  <si>
    <t>Homewood SUB - Lake GOAB - Decatur GOAB - Decatur Sub, Lake GOAB - Lake Sub</t>
  </si>
  <si>
    <t>2012 %</t>
  </si>
  <si>
    <t>Used to allocate Futures Years when Undesignated Land Value changes</t>
  </si>
  <si>
    <t>DENOTES CHANGES FROM PRIOR YEAR SUBMISSION</t>
  </si>
  <si>
    <t>ACON_SS</t>
  </si>
  <si>
    <t>Acona 115KV SS</t>
  </si>
  <si>
    <t>2016 Additions</t>
  </si>
  <si>
    <t>CARR_SS</t>
  </si>
  <si>
    <t>Carrolton 115KV SS</t>
  </si>
  <si>
    <t>GREE_SS</t>
  </si>
  <si>
    <t>Greenwood 115KV SS</t>
  </si>
  <si>
    <t>GREV_SS</t>
  </si>
  <si>
    <t>Greenville 115KV SS</t>
  </si>
  <si>
    <t>JAYE_SS</t>
  </si>
  <si>
    <t>Jayess 115KV SS</t>
  </si>
  <si>
    <t>MIDW_SS</t>
  </si>
  <si>
    <t>Midway 115KV SS</t>
  </si>
  <si>
    <t>REDW_SS</t>
  </si>
  <si>
    <t>Redwood 115KV SS</t>
  </si>
  <si>
    <t>SHAW_SS</t>
  </si>
  <si>
    <t>Shaw 115KV SS</t>
  </si>
  <si>
    <t>CPR Control Balance DECEMBER 31, 2016</t>
  </si>
  <si>
    <t>GL Balance DECEMBER 31, 2016</t>
  </si>
  <si>
    <t>Basin &amp; Sand Hill GOAB moved from Stations Tab</t>
  </si>
  <si>
    <t>Basin &amp; Sand Hill GOAB moved To Lines Tab</t>
  </si>
  <si>
    <t>Basin GOAB (Actually Capacitor Bank)</t>
  </si>
  <si>
    <t>Sand Hill GOAB (Actually Capacitor Bank)</t>
  </si>
  <si>
    <t>DENOTES CHANGES from 2015 to 2016</t>
  </si>
  <si>
    <t>GOAB Switch</t>
  </si>
  <si>
    <t>Redwoood 115KV SS</t>
  </si>
  <si>
    <t>Southeast Natchez</t>
  </si>
  <si>
    <t>Partial Retirement $30,000 - 2016</t>
  </si>
  <si>
    <t>Values changed</t>
  </si>
  <si>
    <t xml:space="preserve">during 2016 </t>
  </si>
  <si>
    <t>Asset 245526 Partial</t>
  </si>
  <si>
    <t>Retirement $30,000</t>
  </si>
  <si>
    <t>BATESVILLE 2016 TRANS TAB - Batesville - Cell D48 + Cell D51</t>
  </si>
  <si>
    <t>Based on SMEPA Transmission Plant in Service from - Tab - MISO Lines December 2016</t>
  </si>
  <si>
    <t>MISO Lines December 2016 Column I Row 256 + Column I Row 252</t>
  </si>
  <si>
    <t>MISO Lines December 2016 Column N Row 256</t>
  </si>
  <si>
    <t>MISO Lines December 2016 Column I Row 257</t>
  </si>
  <si>
    <t>MISO Lines December 2016 Column N Row 257</t>
  </si>
  <si>
    <t>MISO Lines December 2016 Column I Row 258</t>
  </si>
  <si>
    <t>MISO Lines December 2016 Column N Row 258</t>
  </si>
  <si>
    <t>Based on SMEPA Transmission Plant in Service from - Tab - MISO Stations December 2016</t>
  </si>
  <si>
    <t>MISO Stations December 2016 Column G Row 305</t>
  </si>
  <si>
    <t>MISO Stations December 2016 Column I Row 318</t>
  </si>
  <si>
    <t>MISO Stations December 2016 Column G Row 306</t>
  </si>
  <si>
    <t>MISO Stations December 2016 Column I Row 319</t>
  </si>
  <si>
    <t>MISO Stations December 2016 Column G Row 307</t>
  </si>
  <si>
    <t>MISO Stations December 2016 Column I Row 320</t>
  </si>
  <si>
    <t>BATESVILLE 2016 TRANS TAB - Batesville - Cell E48 +  E51</t>
  </si>
  <si>
    <t>MISO Lines December 2016 Sum Column I Rows 102-259</t>
  </si>
  <si>
    <t>MISO Stations December 2016 Sum Column G Rows 192-327 + H340 + I340</t>
  </si>
  <si>
    <t>MISO Lines December 2016 Sum Column I Rows 10-55</t>
  </si>
  <si>
    <t>MISO Stations December 2016 Sum Column G Rows 9:166 + H341+I341 + C17 Above + C20 Above</t>
  </si>
  <si>
    <t>- Batesville 2016 Trans D18 - D25- D34</t>
  </si>
  <si>
    <t>MISO Lines December 2016 Sum Column I Rows 87:101</t>
  </si>
  <si>
    <t>MISO Stations December 2016 Sum Column G Rows 178-191</t>
  </si>
  <si>
    <t>MISO Lines December 2016 Sum Column I Rows 56-86</t>
  </si>
  <si>
    <t>MISO Stations December 2016 Sum Column G Rows 167:177</t>
  </si>
  <si>
    <t>Lines that Changed in 2016</t>
  </si>
  <si>
    <t>Carrolton SS - Carrolton Sub</t>
  </si>
  <si>
    <t>Greenville SS - Greenville Sub</t>
  </si>
  <si>
    <t>Greenwood SS - Greenwood Sub</t>
  </si>
  <si>
    <t>Minter City SS - Minter City Sub</t>
  </si>
  <si>
    <t>Sand Hill GOAB - Kittrell GOAB</t>
  </si>
  <si>
    <t>Morton SS - Homewood SS</t>
  </si>
  <si>
    <t>Whistler SS - Eucutta Sub</t>
  </si>
  <si>
    <t>Waldrup SS - Heidelberg Sub</t>
  </si>
  <si>
    <t>Heidleberg GOAB - Eucutta GOAB</t>
  </si>
  <si>
    <t>West Laurel GOAB - South Hoy SUB, South Hoy SUB - Hoy SS, South Hoy SUB - Hoy Sub</t>
  </si>
  <si>
    <t>West Ricton GOAB - Hintonville GOAB - Hintonville Sub</t>
  </si>
  <si>
    <t>Maddox GOAB - GP Taylorsville SS - Georgia Pacific SUB - Taylorsville SS - Taylorsville Sub</t>
  </si>
  <si>
    <t>Polkville GOAB - Morton SS - Donald Rd GOAB</t>
  </si>
  <si>
    <t>Agricola GOAB - Rocky Creek SS - Agricola GOAB - Agricola Sub</t>
  </si>
  <si>
    <t>Benndale &amp; Southeast Greene SUB's - Alabama State Line (AEC)(McIntosh)</t>
  </si>
  <si>
    <t>NSP - Station Purchased from EMI</t>
  </si>
  <si>
    <t>NSP</t>
  </si>
  <si>
    <t>Station Purchased</t>
  </si>
  <si>
    <t>New Metering Equipment Installed/Upgraded</t>
  </si>
  <si>
    <t>Removed Station Equipment</t>
  </si>
  <si>
    <t>Lorman 115KV SS</t>
  </si>
  <si>
    <t>Norfield 115KV SS</t>
  </si>
  <si>
    <t>New Station Equipment Installed</t>
  </si>
  <si>
    <t>Benndale 231/161/69KV SUB</t>
  </si>
  <si>
    <t>Emmience (SPEPA)</t>
  </si>
  <si>
    <t>Foworth (PRVEPA)</t>
  </si>
  <si>
    <t>Hintonville 161/69KV SUB &amp; MW</t>
  </si>
  <si>
    <t>Homewood 161/69KV SUB,MW &amp; Meter (SPEPA)</t>
  </si>
  <si>
    <t>Substations that Changed in 2016</t>
  </si>
  <si>
    <t>Lumberton 161/69KV SUB, MW,&amp; Meter</t>
  </si>
  <si>
    <t>Magee 161/115/69KV MW, Meter (SPEPA)</t>
  </si>
  <si>
    <t>Moselle 161/69 KV SUB</t>
  </si>
  <si>
    <t>Plant Morrow 161KV SUB</t>
  </si>
  <si>
    <t>North Petal (Dixie)</t>
  </si>
  <si>
    <t>Polkville 161/69KV SUB</t>
  </si>
  <si>
    <t>POK_S</t>
  </si>
  <si>
    <t>Prentiss 69KV SS</t>
  </si>
  <si>
    <t>Purvis Bulk 230/161/69KV SUB &amp; MW</t>
  </si>
  <si>
    <t>South Coolins 69KV SS, MW, Meter (SPEPA)</t>
  </si>
  <si>
    <t>Southeast Greene 230/161/69KV SUB &amp; MW</t>
  </si>
  <si>
    <t>South Hoy 161/69KV SUB</t>
  </si>
  <si>
    <t>Southern Pine Mobile</t>
  </si>
  <si>
    <t>Station Creek 161/69KV SUB &amp; MW</t>
  </si>
  <si>
    <t>Waynesboro 230/161/69KV SUB &amp; MW</t>
  </si>
  <si>
    <t>Midway RD MW</t>
  </si>
  <si>
    <t>Whistler 69KV SS</t>
  </si>
  <si>
    <t>SENA-MW</t>
  </si>
  <si>
    <t>Additional Land Cost</t>
  </si>
  <si>
    <t>Batesville 161 - Batesville TVA 161 (Tie Line)</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</si>
</sst>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5" formatCode="&quot;$&quot;#,##0_);\(&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409]mmmm\ d\,\ yyyy;@"/>
    <numFmt numFmtId="165" formatCode="#,###,###,##0.00\ ;[Color3]\&lt;#,###,###,##0.00\&gt;"/>
    <numFmt numFmtId="166" formatCode="_(* #,##0.000_);_(* \(#,##0.000\);_(* &quot;-&quot;??_);_(@_)"/>
    <numFmt numFmtId="167" formatCode="#,##0.0"/>
    <numFmt numFmtId="168" formatCode="0_);\(0\)"/>
    <numFmt numFmtId="169" formatCode="0.0%"/>
    <numFmt numFmtId="170" formatCode="&quot;$&quot;#,##0.00"/>
    <numFmt numFmtId="171" formatCode="0.00_)"/>
    <numFmt numFmtId="172" formatCode="&quot;$&quot;#,##0"/>
  </numFmts>
  <fonts count="44">
    <font>
      <sz val="12"/>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2"/>
      <name val="Arial"/>
      <family val="2"/>
    </font>
    <font>
      <sz val="12"/>
      <name val="Arial"/>
      <family val="2"/>
    </font>
    <font>
      <sz val="12"/>
      <name val="Arial"/>
      <family val="2"/>
    </font>
    <font>
      <sz val="10"/>
      <name val="Tahoma"/>
      <family val="2"/>
    </font>
    <font>
      <sz val="12"/>
      <name val="Times New Roman"/>
      <family val="1"/>
    </font>
    <font>
      <sz val="12"/>
      <color indexed="8"/>
      <name val="Arial"/>
      <family val="2"/>
    </font>
    <font>
      <sz val="12"/>
      <color indexed="8"/>
      <name val="Times New Roman"/>
      <family val="1"/>
    </font>
    <font>
      <sz val="9"/>
      <color indexed="81"/>
      <name val="Tahoma"/>
      <family val="2"/>
    </font>
    <font>
      <b/>
      <sz val="9"/>
      <color indexed="81"/>
      <name val="Tahoma"/>
      <family val="2"/>
    </font>
    <font>
      <sz val="10"/>
      <name val="Arial"/>
      <family val="2"/>
    </font>
    <font>
      <b/>
      <sz val="18"/>
      <name val="Arial"/>
      <family val="2"/>
    </font>
    <font>
      <b/>
      <sz val="10"/>
      <name val="Arial"/>
      <family val="2"/>
    </font>
    <font>
      <b/>
      <sz val="10"/>
      <name val="Times New Roman"/>
      <family val="1"/>
    </font>
    <font>
      <sz val="11"/>
      <name val="Arial"/>
      <family val="2"/>
    </font>
    <font>
      <b/>
      <sz val="12"/>
      <name val="Arial"/>
      <family val="2"/>
    </font>
    <font>
      <b/>
      <sz val="12"/>
      <color rgb="FFFF0000"/>
      <name val="Arial"/>
      <family val="2"/>
    </font>
    <font>
      <i/>
      <sz val="12"/>
      <name val="Arial"/>
      <family val="2"/>
    </font>
    <font>
      <sz val="12"/>
      <name val="Arial"/>
      <family val="2"/>
    </font>
    <font>
      <sz val="8"/>
      <color indexed="81"/>
      <name val="Tahoma"/>
      <family val="2"/>
    </font>
    <font>
      <b/>
      <sz val="8"/>
      <color indexed="81"/>
      <name val="Tahoma"/>
      <family val="2"/>
    </font>
    <font>
      <sz val="11"/>
      <name val="Calibri"/>
      <family val="2"/>
    </font>
    <font>
      <sz val="11"/>
      <color rgb="FF1F497D"/>
      <name val="Calibri"/>
      <family val="2"/>
    </font>
    <font>
      <b/>
      <sz val="10"/>
      <name val="Tahoma"/>
      <family val="2"/>
    </font>
    <font>
      <sz val="7"/>
      <name val="Times New Roman"/>
      <family val="1"/>
    </font>
    <font>
      <sz val="10"/>
      <name val="Calibri"/>
      <family val="2"/>
    </font>
    <font>
      <sz val="7"/>
      <color rgb="FF1F497D"/>
      <name val="Times New Roman"/>
      <family val="1"/>
    </font>
    <font>
      <i/>
      <sz val="14"/>
      <color rgb="FF0070C0"/>
      <name val="Arnprior"/>
    </font>
    <font>
      <sz val="12"/>
      <color rgb="FF0070C0"/>
      <name val="Arnprior"/>
    </font>
    <font>
      <sz val="12"/>
      <name val="Arial MT"/>
    </font>
    <font>
      <sz val="9"/>
      <name val="Arial"/>
      <family val="2"/>
    </font>
    <font>
      <b/>
      <i/>
      <sz val="16"/>
      <name val="Helv"/>
    </font>
    <font>
      <sz val="9"/>
      <color indexed="81"/>
      <name val="Tahoma"/>
      <charset val="1"/>
    </font>
    <font>
      <b/>
      <sz val="9"/>
      <color indexed="81"/>
      <name val="Tahoma"/>
      <charset val="1"/>
    </font>
  </fonts>
  <fills count="16">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3" tint="0.59999389629810485"/>
        <bgColor indexed="64"/>
      </patternFill>
    </fill>
    <fill>
      <patternFill patternType="solid">
        <fgColor rgb="FF00B0F0"/>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indexed="22"/>
        <bgColor indexed="64"/>
      </patternFill>
    </fill>
    <fill>
      <patternFill patternType="solid">
        <fgColor indexed="26"/>
        <bgColor indexed="64"/>
      </patternFill>
    </fill>
    <fill>
      <patternFill patternType="solid">
        <fgColor theme="3" tint="0.79998168889431442"/>
        <bgColor indexed="64"/>
      </patternFill>
    </fill>
    <fill>
      <patternFill patternType="solid">
        <fgColor rgb="FFC00000"/>
        <bgColor indexed="64"/>
      </patternFill>
    </fill>
    <fill>
      <patternFill patternType="solid">
        <fgColor rgb="FF7030A0"/>
        <bgColor indexed="64"/>
      </patternFill>
    </fill>
    <fill>
      <patternFill patternType="solid">
        <fgColor rgb="FF00B050"/>
        <bgColor indexed="64"/>
      </patternFill>
    </fill>
    <fill>
      <patternFill patternType="solid">
        <fgColor theme="9"/>
        <bgColor indexed="64"/>
      </patternFill>
    </fill>
  </fills>
  <borders count="28">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0">
    <xf numFmtId="0" fontId="0" fillId="0" borderId="0"/>
    <xf numFmtId="43" fontId="9" fillId="0" borderId="0" applyFont="0" applyFill="0" applyBorder="0" applyAlignment="0" applyProtection="0"/>
    <xf numFmtId="9" fontId="13" fillId="0" borderId="0" applyFont="0" applyFill="0" applyBorder="0" applyAlignment="0" applyProtection="0"/>
    <xf numFmtId="0" fontId="9" fillId="0" borderId="0"/>
    <xf numFmtId="43" fontId="14"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20" fillId="0" borderId="0"/>
    <xf numFmtId="43" fontId="20" fillId="0" borderId="0" applyFont="0" applyFill="0" applyBorder="0" applyAlignment="0" applyProtection="0"/>
    <xf numFmtId="0" fontId="8" fillId="0" borderId="0"/>
    <xf numFmtId="43" fontId="8" fillId="0" borderId="0" applyFont="0" applyFill="0" applyBorder="0" applyAlignment="0" applyProtection="0"/>
    <xf numFmtId="44" fontId="28" fillId="0" borderId="0" applyFont="0" applyFill="0" applyBorder="0" applyAlignment="0" applyProtection="0"/>
    <xf numFmtId="0" fontId="11" fillId="0" borderId="0"/>
    <xf numFmtId="9" fontId="11" fillId="0" borderId="0" applyFont="0" applyFill="0" applyBorder="0" applyAlignment="0" applyProtection="0"/>
    <xf numFmtId="0" fontId="9" fillId="0" borderId="0"/>
    <xf numFmtId="43" fontId="9" fillId="0" borderId="0" applyFont="0" applyFill="0" applyBorder="0" applyAlignment="0" applyProtection="0"/>
    <xf numFmtId="0" fontId="4" fillId="0" borderId="0"/>
    <xf numFmtId="43" fontId="4"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170" fontId="39" fillId="0" borderId="0" applyProtection="0"/>
    <xf numFmtId="43" fontId="40" fillId="0" borderId="0" applyFont="0" applyFill="0" applyBorder="0" applyAlignment="0" applyProtection="0"/>
    <xf numFmtId="38" fontId="10" fillId="9" borderId="0" applyNumberFormat="0" applyBorder="0" applyAlignment="0" applyProtection="0"/>
    <xf numFmtId="10" fontId="10" fillId="10" borderId="17" applyNumberFormat="0" applyBorder="0" applyAlignment="0" applyProtection="0"/>
    <xf numFmtId="171" fontId="41" fillId="0" borderId="0"/>
    <xf numFmtId="0" fontId="40" fillId="0" borderId="0"/>
    <xf numFmtId="10" fontId="9" fillId="0" borderId="0" applyFont="0" applyFill="0" applyBorder="0" applyAlignment="0" applyProtection="0"/>
    <xf numFmtId="44" fontId="9" fillId="0" borderId="0" applyFont="0" applyFill="0" applyBorder="0" applyAlignment="0" applyProtection="0"/>
    <xf numFmtId="0" fontId="3" fillId="0" borderId="0"/>
    <xf numFmtId="9" fontId="11" fillId="0" borderId="0" applyFont="0" applyFill="0" applyBorder="0" applyAlignment="0" applyProtection="0"/>
    <xf numFmtId="0" fontId="1" fillId="0" borderId="0"/>
    <xf numFmtId="43" fontId="1" fillId="0" borderId="0" applyFont="0" applyFill="0" applyBorder="0" applyAlignment="0" applyProtection="0"/>
    <xf numFmtId="44" fontId="1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cellStyleXfs>
  <cellXfs count="480">
    <xf numFmtId="0" fontId="0" fillId="0" borderId="0" xfId="0"/>
    <xf numFmtId="0" fontId="0" fillId="0" borderId="0" xfId="0" applyAlignment="1">
      <alignment horizontal="center"/>
    </xf>
    <xf numFmtId="7" fontId="0" fillId="0" borderId="0" xfId="0" applyNumberFormat="1" applyFill="1" applyProtection="1"/>
    <xf numFmtId="39" fontId="0" fillId="0" borderId="0" xfId="0" applyNumberFormat="1" applyFill="1" applyProtection="1"/>
    <xf numFmtId="0" fontId="0" fillId="0" borderId="1" xfId="0" applyBorder="1" applyAlignment="1">
      <alignment horizontal="center"/>
    </xf>
    <xf numFmtId="0" fontId="0" fillId="0" borderId="0" xfId="0" applyFill="1" applyAlignment="1">
      <alignment horizontal="center"/>
    </xf>
    <xf numFmtId="0" fontId="0" fillId="0" borderId="0" xfId="0" applyFill="1"/>
    <xf numFmtId="43" fontId="0" fillId="0" borderId="0" xfId="1" applyFont="1"/>
    <xf numFmtId="43" fontId="12" fillId="0" borderId="0" xfId="1" applyFont="1" applyAlignment="1">
      <alignment horizontal="center"/>
    </xf>
    <xf numFmtId="43" fontId="12" fillId="0" borderId="1" xfId="1" applyFont="1" applyBorder="1" applyAlignment="1">
      <alignment horizontal="center"/>
    </xf>
    <xf numFmtId="43" fontId="0" fillId="0" borderId="0" xfId="1" applyFont="1" applyFill="1" applyAlignment="1">
      <alignment horizontal="center"/>
    </xf>
    <xf numFmtId="164" fontId="11" fillId="0" borderId="0" xfId="0" quotePrefix="1" applyNumberFormat="1" applyFont="1" applyAlignment="1">
      <alignment horizontal="center"/>
    </xf>
    <xf numFmtId="43" fontId="11" fillId="0" borderId="0" xfId="1" applyFont="1" applyFill="1"/>
    <xf numFmtId="0" fontId="12" fillId="0" borderId="0" xfId="0" applyFont="1" applyFill="1" applyAlignment="1">
      <alignment horizontal="center"/>
    </xf>
    <xf numFmtId="0" fontId="11" fillId="0" borderId="0" xfId="0" applyFont="1" applyFill="1" applyAlignment="1">
      <alignment horizontal="center"/>
    </xf>
    <xf numFmtId="0" fontId="11" fillId="0" borderId="0" xfId="0" applyFont="1" applyFill="1"/>
    <xf numFmtId="43" fontId="0" fillId="0" borderId="0" xfId="1" applyFont="1" applyFill="1"/>
    <xf numFmtId="43" fontId="0" fillId="0" borderId="0" xfId="0" applyNumberFormat="1" applyFill="1" applyProtection="1"/>
    <xf numFmtId="43" fontId="0" fillId="0" borderId="0" xfId="0" applyNumberFormat="1" applyFill="1"/>
    <xf numFmtId="7" fontId="0" fillId="0" borderId="0" xfId="0" applyNumberFormat="1" applyFill="1"/>
    <xf numFmtId="7" fontId="0" fillId="0" borderId="1" xfId="0" applyNumberFormat="1" applyFill="1" applyBorder="1"/>
    <xf numFmtId="0" fontId="0" fillId="0" borderId="0" xfId="0" applyFill="1" applyBorder="1" applyAlignment="1">
      <alignment horizontal="center"/>
    </xf>
    <xf numFmtId="39" fontId="0" fillId="0" borderId="0" xfId="0" applyNumberFormat="1" applyFill="1"/>
    <xf numFmtId="9" fontId="0" fillId="0" borderId="0" xfId="2" applyFont="1" applyFill="1"/>
    <xf numFmtId="2" fontId="0" fillId="0" borderId="0" xfId="0" applyNumberFormat="1" applyFill="1"/>
    <xf numFmtId="0" fontId="0" fillId="0" borderId="0" xfId="0" quotePrefix="1" applyAlignment="1">
      <alignment horizontal="center"/>
    </xf>
    <xf numFmtId="9" fontId="0" fillId="0" borderId="0" xfId="2" applyNumberFormat="1" applyFont="1" applyFill="1"/>
    <xf numFmtId="43" fontId="0" fillId="0" borderId="0" xfId="0" applyNumberFormat="1"/>
    <xf numFmtId="10" fontId="0" fillId="0" borderId="0" xfId="2" applyNumberFormat="1" applyFont="1"/>
    <xf numFmtId="9" fontId="0" fillId="0" borderId="0" xfId="2" applyNumberFormat="1" applyFont="1"/>
    <xf numFmtId="0" fontId="11" fillId="0" borderId="0" xfId="0" quotePrefix="1" applyFont="1"/>
    <xf numFmtId="43" fontId="11" fillId="0" borderId="0" xfId="0" applyNumberFormat="1" applyFont="1" applyFill="1"/>
    <xf numFmtId="0" fontId="11" fillId="0" borderId="0" xfId="0" applyFont="1"/>
    <xf numFmtId="0" fontId="0" fillId="0" borderId="0" xfId="0" applyFont="1" applyFill="1"/>
    <xf numFmtId="0" fontId="0" fillId="0" borderId="1" xfId="0" applyBorder="1"/>
    <xf numFmtId="0" fontId="11" fillId="0" borderId="0" xfId="0" quotePrefix="1" applyFont="1" applyAlignment="1">
      <alignment horizontal="center"/>
    </xf>
    <xf numFmtId="0" fontId="11" fillId="0" borderId="1" xfId="0" quotePrefix="1" applyFont="1" applyBorder="1" applyAlignment="1">
      <alignment horizontal="center"/>
    </xf>
    <xf numFmtId="0" fontId="0" fillId="0" borderId="2" xfId="0" applyFill="1" applyBorder="1"/>
    <xf numFmtId="0" fontId="0" fillId="0" borderId="3" xfId="0" applyFill="1" applyBorder="1"/>
    <xf numFmtId="43" fontId="0" fillId="0" borderId="3" xfId="0" applyNumberFormat="1" applyFill="1" applyBorder="1" applyProtection="1"/>
    <xf numFmtId="43" fontId="0" fillId="0" borderId="4" xfId="0" applyNumberFormat="1" applyFill="1" applyBorder="1" applyProtection="1"/>
    <xf numFmtId="0" fontId="0" fillId="0" borderId="5" xfId="0" applyFill="1" applyBorder="1"/>
    <xf numFmtId="0" fontId="0" fillId="0" borderId="0" xfId="0" applyFill="1" applyBorder="1"/>
    <xf numFmtId="43" fontId="0" fillId="0" borderId="0" xfId="0" applyNumberFormat="1" applyFill="1" applyBorder="1" applyProtection="1"/>
    <xf numFmtId="43" fontId="0" fillId="0" borderId="6" xfId="0" applyNumberFormat="1" applyFill="1" applyBorder="1" applyProtection="1"/>
    <xf numFmtId="0" fontId="0" fillId="0" borderId="7" xfId="0" applyFill="1" applyBorder="1"/>
    <xf numFmtId="0" fontId="0" fillId="0" borderId="1" xfId="0" applyFill="1" applyBorder="1"/>
    <xf numFmtId="43" fontId="0" fillId="0" borderId="1" xfId="0" applyNumberFormat="1" applyFill="1" applyBorder="1" applyProtection="1"/>
    <xf numFmtId="43" fontId="0" fillId="0" borderId="8" xfId="0" applyNumberFormat="1" applyFill="1" applyBorder="1" applyProtection="1"/>
    <xf numFmtId="0" fontId="0" fillId="0" borderId="0" xfId="0" applyAlignment="1">
      <alignment horizontal="right"/>
    </xf>
    <xf numFmtId="43" fontId="0" fillId="0" borderId="1" xfId="1" applyFont="1" applyBorder="1"/>
    <xf numFmtId="0" fontId="9" fillId="0" borderId="0" xfId="3" applyFill="1"/>
    <xf numFmtId="0" fontId="9" fillId="0" borderId="0" xfId="3" applyFont="1" applyFill="1"/>
    <xf numFmtId="43" fontId="0" fillId="0" borderId="0" xfId="4" applyFont="1" applyFill="1"/>
    <xf numFmtId="0" fontId="11" fillId="0" borderId="0" xfId="3" applyFont="1" applyFill="1"/>
    <xf numFmtId="165" fontId="9" fillId="0" borderId="0" xfId="3" applyNumberFormat="1" applyFont="1" applyFill="1"/>
    <xf numFmtId="44" fontId="11" fillId="0" borderId="0" xfId="5" applyFont="1" applyFill="1"/>
    <xf numFmtId="0" fontId="9" fillId="0" borderId="1" xfId="3" applyFill="1" applyBorder="1"/>
    <xf numFmtId="43" fontId="0" fillId="0" borderId="1" xfId="4" applyFont="1" applyFill="1" applyBorder="1"/>
    <xf numFmtId="43" fontId="11" fillId="0" borderId="0" xfId="4" applyFont="1" applyFill="1"/>
    <xf numFmtId="44" fontId="11" fillId="0" borderId="0" xfId="3" applyNumberFormat="1" applyFont="1" applyFill="1"/>
    <xf numFmtId="0" fontId="11" fillId="0" borderId="1" xfId="3" applyFont="1" applyFill="1" applyBorder="1"/>
    <xf numFmtId="43" fontId="11" fillId="0" borderId="1" xfId="4" applyFont="1" applyFill="1" applyBorder="1"/>
    <xf numFmtId="43" fontId="11" fillId="0" borderId="0" xfId="4" applyNumberFormat="1" applyFont="1" applyFill="1"/>
    <xf numFmtId="165" fontId="15" fillId="0" borderId="0" xfId="3" applyNumberFormat="1" applyFont="1" applyFill="1"/>
    <xf numFmtId="0" fontId="11" fillId="0" borderId="0" xfId="3" applyFont="1" applyFill="1" applyBorder="1"/>
    <xf numFmtId="43" fontId="16" fillId="0" borderId="0" xfId="4" applyFont="1" applyFill="1" applyBorder="1" applyAlignment="1">
      <alignment horizontal="center" vertical="top"/>
    </xf>
    <xf numFmtId="43" fontId="17" fillId="0" borderId="0" xfId="4" applyFont="1" applyFill="1" applyBorder="1" applyAlignment="1">
      <alignment horizontal="center" vertical="top"/>
    </xf>
    <xf numFmtId="0" fontId="16" fillId="0" borderId="0" xfId="3" applyFont="1" applyFill="1" applyBorder="1" applyAlignment="1">
      <alignment horizontal="center" vertical="top"/>
    </xf>
    <xf numFmtId="0" fontId="9" fillId="0" borderId="0" xfId="3" applyFill="1" applyBorder="1"/>
    <xf numFmtId="165" fontId="17" fillId="0" borderId="1" xfId="3" applyNumberFormat="1" applyFont="1" applyFill="1" applyBorder="1" applyAlignment="1">
      <alignment horizontal="right" vertical="top"/>
    </xf>
    <xf numFmtId="43" fontId="17" fillId="0" borderId="1" xfId="4" applyFont="1" applyFill="1" applyBorder="1" applyAlignment="1">
      <alignment horizontal="left" vertical="top" wrapText="1"/>
    </xf>
    <xf numFmtId="0" fontId="17" fillId="0" borderId="0" xfId="3" applyFont="1" applyFill="1" applyBorder="1" applyAlignment="1">
      <alignment horizontal="left" vertical="top" wrapText="1"/>
    </xf>
    <xf numFmtId="165" fontId="11" fillId="0" borderId="0" xfId="3" applyNumberFormat="1" applyFont="1" applyFill="1" applyBorder="1"/>
    <xf numFmtId="165" fontId="9" fillId="0" borderId="0" xfId="3" applyNumberFormat="1" applyFill="1" applyBorder="1"/>
    <xf numFmtId="165" fontId="17" fillId="0" borderId="0" xfId="3" applyNumberFormat="1" applyFont="1" applyFill="1" applyBorder="1" applyAlignment="1">
      <alignment horizontal="right" vertical="top"/>
    </xf>
    <xf numFmtId="43" fontId="17" fillId="0" borderId="0" xfId="4" applyFont="1" applyFill="1" applyBorder="1" applyAlignment="1">
      <alignment horizontal="left" vertical="top" wrapText="1"/>
    </xf>
    <xf numFmtId="43" fontId="17" fillId="0" borderId="0" xfId="4" applyFont="1" applyFill="1" applyBorder="1" applyAlignment="1">
      <alignment horizontal="right" vertical="top"/>
    </xf>
    <xf numFmtId="0" fontId="9" fillId="0" borderId="1" xfId="3" applyFill="1" applyBorder="1" applyAlignment="1">
      <alignment horizontal="center"/>
    </xf>
    <xf numFmtId="0" fontId="9" fillId="0" borderId="1" xfId="3" applyFont="1" applyFill="1" applyBorder="1" applyAlignment="1">
      <alignment horizontal="center"/>
    </xf>
    <xf numFmtId="43" fontId="0" fillId="0" borderId="1" xfId="4" applyFont="1" applyFill="1" applyBorder="1" applyAlignment="1">
      <alignment horizontal="center"/>
    </xf>
    <xf numFmtId="0" fontId="9" fillId="0" borderId="0" xfId="3" applyAlignment="1">
      <alignment horizontal="center"/>
    </xf>
    <xf numFmtId="0" fontId="9" fillId="0" borderId="0" xfId="3" applyFont="1" applyFill="1" applyAlignment="1">
      <alignment horizontal="center"/>
    </xf>
    <xf numFmtId="0" fontId="9" fillId="0" borderId="0" xfId="3" applyFill="1" applyAlignment="1">
      <alignment horizontal="center"/>
    </xf>
    <xf numFmtId="43" fontId="0" fillId="0" borderId="0" xfId="4" applyFont="1" applyFill="1" applyAlignment="1">
      <alignment horizontal="center"/>
    </xf>
    <xf numFmtId="17" fontId="9" fillId="0" borderId="0" xfId="3" quotePrefix="1" applyNumberFormat="1" applyFill="1" applyAlignment="1">
      <alignment horizontal="left"/>
    </xf>
    <xf numFmtId="165" fontId="9" fillId="0" borderId="1" xfId="3" applyNumberFormat="1" applyFont="1" applyFill="1" applyBorder="1"/>
    <xf numFmtId="0" fontId="9" fillId="0" borderId="0" xfId="3" quotePrefix="1" applyFill="1" applyAlignment="1">
      <alignment horizontal="center"/>
    </xf>
    <xf numFmtId="165" fontId="15" fillId="0" borderId="0" xfId="3" quotePrefix="1" applyNumberFormat="1" applyFont="1" applyFill="1" applyAlignment="1">
      <alignment horizontal="center"/>
    </xf>
    <xf numFmtId="9" fontId="9" fillId="0" borderId="0" xfId="2" applyFont="1" applyFill="1"/>
    <xf numFmtId="10" fontId="9" fillId="0" borderId="0" xfId="2" applyNumberFormat="1" applyFont="1" applyFill="1"/>
    <xf numFmtId="43" fontId="9" fillId="0" borderId="0" xfId="1" quotePrefix="1" applyFill="1" applyAlignment="1">
      <alignment horizontal="center"/>
    </xf>
    <xf numFmtId="0" fontId="9" fillId="0" borderId="0" xfId="3" quotePrefix="1" applyFont="1" applyFill="1" applyAlignment="1">
      <alignment horizontal="center"/>
    </xf>
    <xf numFmtId="0" fontId="9" fillId="0" borderId="0" xfId="0" applyFont="1"/>
    <xf numFmtId="0" fontId="9" fillId="0" borderId="0" xfId="0" quotePrefix="1" applyFont="1" applyAlignment="1">
      <alignment horizontal="center"/>
    </xf>
    <xf numFmtId="0" fontId="17" fillId="0" borderId="0" xfId="3" quotePrefix="1" applyFont="1" applyFill="1" applyBorder="1" applyAlignment="1">
      <alignment horizontal="right" vertical="top" wrapText="1"/>
    </xf>
    <xf numFmtId="43" fontId="9" fillId="0" borderId="0" xfId="3" applyNumberFormat="1" applyFill="1"/>
    <xf numFmtId="43" fontId="9" fillId="0" borderId="0" xfId="1" applyFill="1"/>
    <xf numFmtId="43" fontId="9" fillId="0" borderId="1" xfId="1" applyFill="1" applyBorder="1"/>
    <xf numFmtId="43" fontId="9" fillId="0" borderId="1" xfId="3" applyNumberFormat="1" applyFill="1" applyBorder="1"/>
    <xf numFmtId="0" fontId="9" fillId="0" borderId="0" xfId="3" applyFill="1" applyAlignment="1">
      <alignment horizontal="right"/>
    </xf>
    <xf numFmtId="0" fontId="9" fillId="0" borderId="0" xfId="3" quotePrefix="1" applyFill="1" applyAlignment="1">
      <alignment horizontal="right"/>
    </xf>
    <xf numFmtId="0" fontId="9" fillId="0" borderId="2" xfId="3" applyFont="1" applyFill="1" applyBorder="1"/>
    <xf numFmtId="43" fontId="9" fillId="0" borderId="3" xfId="3" applyNumberFormat="1" applyFill="1" applyBorder="1"/>
    <xf numFmtId="43" fontId="9" fillId="0" borderId="4" xfId="3" applyNumberFormat="1" applyFill="1" applyBorder="1"/>
    <xf numFmtId="0" fontId="9" fillId="0" borderId="5" xfId="3" applyFont="1" applyFill="1" applyBorder="1"/>
    <xf numFmtId="43" fontId="9" fillId="0" borderId="0" xfId="3" applyNumberFormat="1" applyFill="1" applyBorder="1"/>
    <xf numFmtId="43" fontId="9" fillId="0" borderId="6" xfId="3" applyNumberFormat="1" applyFill="1" applyBorder="1"/>
    <xf numFmtId="43" fontId="9" fillId="0" borderId="8" xfId="3" applyNumberFormat="1" applyFill="1" applyBorder="1"/>
    <xf numFmtId="0" fontId="9" fillId="0" borderId="7" xfId="3" applyFont="1" applyFill="1" applyBorder="1"/>
    <xf numFmtId="43" fontId="0" fillId="0" borderId="0" xfId="1" applyFont="1" applyBorder="1"/>
    <xf numFmtId="0" fontId="0" fillId="0" borderId="9" xfId="0" applyBorder="1"/>
    <xf numFmtId="0" fontId="0" fillId="0" borderId="11" xfId="0" applyBorder="1"/>
    <xf numFmtId="43" fontId="0" fillId="0" borderId="12" xfId="1" applyFont="1" applyBorder="1"/>
    <xf numFmtId="43" fontId="0" fillId="0" borderId="13" xfId="1" applyFont="1" applyBorder="1"/>
    <xf numFmtId="39" fontId="0" fillId="0" borderId="1" xfId="0" applyNumberFormat="1" applyBorder="1"/>
    <xf numFmtId="0" fontId="0" fillId="2" borderId="14" xfId="0" applyFill="1" applyBorder="1"/>
    <xf numFmtId="0" fontId="0" fillId="2" borderId="15" xfId="0" applyFill="1" applyBorder="1"/>
    <xf numFmtId="0" fontId="0" fillId="2" borderId="16" xfId="0" applyFill="1" applyBorder="1"/>
    <xf numFmtId="0" fontId="0" fillId="0" borderId="0" xfId="0" applyBorder="1" applyAlignment="1">
      <alignment horizontal="center"/>
    </xf>
    <xf numFmtId="0" fontId="0" fillId="0" borderId="0" xfId="0" applyBorder="1"/>
    <xf numFmtId="0" fontId="0" fillId="2" borderId="0" xfId="0" applyFill="1" applyBorder="1"/>
    <xf numFmtId="39" fontId="0" fillId="0" borderId="0" xfId="0" applyNumberFormat="1" applyBorder="1"/>
    <xf numFmtId="0" fontId="0" fillId="2" borderId="18" xfId="0" applyFill="1" applyBorder="1"/>
    <xf numFmtId="0" fontId="0" fillId="2" borderId="9" xfId="0" applyFill="1" applyBorder="1"/>
    <xf numFmtId="0" fontId="0" fillId="2" borderId="10" xfId="0" applyFill="1" applyBorder="1"/>
    <xf numFmtId="0" fontId="11" fillId="2" borderId="11" xfId="0" applyFont="1" applyFill="1" applyBorder="1"/>
    <xf numFmtId="0" fontId="0" fillId="0" borderId="19" xfId="0" applyBorder="1" applyAlignment="1">
      <alignment horizontal="center"/>
    </xf>
    <xf numFmtId="0" fontId="0" fillId="0" borderId="13" xfId="0" applyBorder="1" applyAlignment="1">
      <alignment horizontal="center"/>
    </xf>
    <xf numFmtId="39" fontId="0" fillId="0" borderId="12" xfId="0" applyNumberFormat="1" applyBorder="1"/>
    <xf numFmtId="39" fontId="0" fillId="0" borderId="13" xfId="0" applyNumberFormat="1" applyBorder="1"/>
    <xf numFmtId="0" fontId="11" fillId="0" borderId="0" xfId="0" applyFont="1" applyBorder="1" applyAlignment="1">
      <alignment horizontal="center"/>
    </xf>
    <xf numFmtId="0" fontId="11" fillId="2" borderId="18" xfId="0" applyFont="1" applyFill="1" applyBorder="1"/>
    <xf numFmtId="0" fontId="11" fillId="2" borderId="9" xfId="0" applyFont="1" applyFill="1" applyBorder="1"/>
    <xf numFmtId="0" fontId="11" fillId="0" borderId="11" xfId="0" applyFont="1" applyBorder="1" applyAlignment="1">
      <alignment horizontal="center"/>
    </xf>
    <xf numFmtId="43" fontId="0" fillId="2" borderId="17" xfId="1" applyFont="1" applyFill="1" applyBorder="1"/>
    <xf numFmtId="0" fontId="0" fillId="0" borderId="9" xfId="0" applyBorder="1" applyAlignment="1">
      <alignment horizontal="center"/>
    </xf>
    <xf numFmtId="0" fontId="0" fillId="0" borderId="10" xfId="0" applyBorder="1" applyAlignment="1">
      <alignment horizontal="center"/>
    </xf>
    <xf numFmtId="0" fontId="0" fillId="0" borderId="13" xfId="0" applyFill="1" applyBorder="1" applyAlignment="1">
      <alignment horizontal="center"/>
    </xf>
    <xf numFmtId="0" fontId="0" fillId="2" borderId="12" xfId="0" quotePrefix="1" applyFill="1" applyBorder="1" applyAlignment="1">
      <alignment horizontal="center"/>
    </xf>
    <xf numFmtId="43" fontId="0" fillId="0" borderId="0" xfId="1" quotePrefix="1" applyFont="1" applyAlignment="1">
      <alignment horizontal="center"/>
    </xf>
    <xf numFmtId="39" fontId="0" fillId="2" borderId="15" xfId="0" applyNumberFormat="1" applyFill="1" applyBorder="1"/>
    <xf numFmtId="43" fontId="0" fillId="2" borderId="15" xfId="0" applyNumberFormat="1" applyFill="1" applyBorder="1"/>
    <xf numFmtId="39" fontId="0" fillId="2" borderId="16" xfId="0" applyNumberFormat="1" applyFill="1" applyBorder="1"/>
    <xf numFmtId="43" fontId="0" fillId="0" borderId="0" xfId="1" quotePrefix="1" applyFont="1"/>
    <xf numFmtId="0" fontId="0" fillId="0" borderId="9" xfId="0" quotePrefix="1" applyBorder="1" applyAlignment="1">
      <alignment horizontal="center"/>
    </xf>
    <xf numFmtId="43" fontId="0" fillId="0" borderId="0" xfId="1" quotePrefix="1" applyFont="1" applyBorder="1"/>
    <xf numFmtId="39" fontId="0" fillId="0" borderId="0" xfId="0" quotePrefix="1" applyNumberFormat="1" applyBorder="1"/>
    <xf numFmtId="0" fontId="0" fillId="2" borderId="9" xfId="0" quotePrefix="1" applyFill="1" applyBorder="1"/>
    <xf numFmtId="39" fontId="0" fillId="2" borderId="15" xfId="0" quotePrefix="1" applyNumberFormat="1" applyFill="1" applyBorder="1"/>
    <xf numFmtId="43" fontId="0" fillId="2" borderId="15" xfId="0" quotePrefix="1" applyNumberFormat="1" applyFill="1" applyBorder="1"/>
    <xf numFmtId="0" fontId="0" fillId="2" borderId="12" xfId="0" applyFill="1" applyBorder="1"/>
    <xf numFmtId="0" fontId="9" fillId="0" borderId="0" xfId="3" quotePrefix="1" applyFill="1"/>
    <xf numFmtId="0" fontId="11" fillId="0" borderId="0" xfId="0" quotePrefix="1" applyFont="1" applyFill="1" applyAlignment="1">
      <alignment horizontal="center"/>
    </xf>
    <xf numFmtId="0" fontId="11" fillId="0" borderId="0" xfId="0" applyFont="1" applyFill="1" applyBorder="1"/>
    <xf numFmtId="9" fontId="0" fillId="0" borderId="0" xfId="2" applyFont="1"/>
    <xf numFmtId="39" fontId="0" fillId="0" borderId="0" xfId="0" applyNumberFormat="1"/>
    <xf numFmtId="0" fontId="11" fillId="0" borderId="0" xfId="0" quotePrefix="1" applyFont="1" applyFill="1"/>
    <xf numFmtId="43" fontId="11" fillId="0" borderId="0" xfId="1" quotePrefix="1" applyFont="1" applyFill="1"/>
    <xf numFmtId="43" fontId="11" fillId="0" borderId="0" xfId="1" quotePrefix="1" applyFont="1" applyFill="1" applyAlignment="1">
      <alignment horizontal="center"/>
    </xf>
    <xf numFmtId="43" fontId="11" fillId="0" borderId="22" xfId="0" applyNumberFormat="1" applyFont="1" applyFill="1" applyBorder="1" applyProtection="1"/>
    <xf numFmtId="165" fontId="15" fillId="0" borderId="23" xfId="3" quotePrefix="1" applyNumberFormat="1" applyFont="1" applyFill="1" applyBorder="1" applyAlignment="1">
      <alignment horizontal="center"/>
    </xf>
    <xf numFmtId="165" fontId="9" fillId="0" borderId="23" xfId="3" applyNumberFormat="1" applyFont="1" applyFill="1" applyBorder="1"/>
    <xf numFmtId="165" fontId="9" fillId="0" borderId="24" xfId="3" applyNumberFormat="1" applyFont="1" applyFill="1" applyBorder="1"/>
    <xf numFmtId="43" fontId="11" fillId="0" borderId="17" xfId="3" applyNumberFormat="1" applyFont="1" applyFill="1" applyBorder="1"/>
    <xf numFmtId="43" fontId="0" fillId="0" borderId="23" xfId="0" applyNumberFormat="1" applyFill="1" applyBorder="1" applyProtection="1"/>
    <xf numFmtId="43" fontId="0" fillId="0" borderId="24" xfId="0" applyNumberFormat="1" applyFill="1" applyBorder="1" applyProtection="1"/>
    <xf numFmtId="0" fontId="0" fillId="0" borderId="17" xfId="0" quotePrefix="1" applyFill="1" applyBorder="1" applyAlignment="1">
      <alignment horizontal="center"/>
    </xf>
    <xf numFmtId="9" fontId="9" fillId="0" borderId="0" xfId="2" quotePrefix="1" applyNumberFormat="1" applyFont="1" applyFill="1"/>
    <xf numFmtId="0" fontId="0" fillId="2" borderId="0" xfId="0" applyFill="1"/>
    <xf numFmtId="43" fontId="0" fillId="2" borderId="0" xfId="1" applyFont="1" applyFill="1" applyAlignment="1">
      <alignment horizontal="center"/>
    </xf>
    <xf numFmtId="39" fontId="0" fillId="2" borderId="0" xfId="0" applyNumberFormat="1" applyFill="1" applyProtection="1"/>
    <xf numFmtId="9" fontId="0" fillId="2" borderId="0" xfId="2" applyFont="1" applyFill="1"/>
    <xf numFmtId="43" fontId="0" fillId="2" borderId="0" xfId="1" applyFont="1" applyFill="1"/>
    <xf numFmtId="39" fontId="0" fillId="2" borderId="0" xfId="0" applyNumberFormat="1" applyFill="1"/>
    <xf numFmtId="0" fontId="11" fillId="2" borderId="0" xfId="3" applyFont="1" applyFill="1" applyBorder="1"/>
    <xf numFmtId="0" fontId="17" fillId="2" borderId="0" xfId="3" applyFont="1" applyFill="1" applyBorder="1" applyAlignment="1">
      <alignment horizontal="left" vertical="top" wrapText="1"/>
    </xf>
    <xf numFmtId="43" fontId="17" fillId="2" borderId="0" xfId="4" applyFont="1" applyFill="1" applyBorder="1" applyAlignment="1">
      <alignment horizontal="left" vertical="top" wrapText="1"/>
    </xf>
    <xf numFmtId="165" fontId="17" fillId="2" borderId="0" xfId="3" applyNumberFormat="1" applyFont="1" applyFill="1" applyBorder="1" applyAlignment="1">
      <alignment horizontal="right" vertical="top"/>
    </xf>
    <xf numFmtId="165" fontId="11" fillId="2" borderId="0" xfId="3" applyNumberFormat="1" applyFont="1" applyFill="1" applyBorder="1"/>
    <xf numFmtId="43" fontId="11" fillId="2" borderId="0" xfId="1" applyFont="1" applyFill="1"/>
    <xf numFmtId="0" fontId="9" fillId="2" borderId="0" xfId="3" applyFill="1"/>
    <xf numFmtId="0" fontId="22" fillId="0" borderId="0" xfId="7" applyFont="1" applyBorder="1" applyAlignment="1">
      <alignment wrapText="1"/>
    </xf>
    <xf numFmtId="0" fontId="20" fillId="0" borderId="0" xfId="7" applyFill="1" applyBorder="1"/>
    <xf numFmtId="0" fontId="20" fillId="0" borderId="0" xfId="7" applyBorder="1"/>
    <xf numFmtId="0" fontId="22" fillId="0" borderId="0" xfId="7" applyNumberFormat="1" applyFont="1" applyBorder="1" applyAlignment="1">
      <alignment horizontal="center"/>
    </xf>
    <xf numFmtId="3" fontId="20" fillId="0" borderId="0" xfId="7" applyNumberFormat="1" applyBorder="1"/>
    <xf numFmtId="0" fontId="20" fillId="0" borderId="0" xfId="7" applyFont="1" applyBorder="1" applyAlignment="1"/>
    <xf numFmtId="0" fontId="20" fillId="0" borderId="0" xfId="7" applyFont="1" applyBorder="1" applyAlignment="1">
      <alignment wrapText="1"/>
    </xf>
    <xf numFmtId="0" fontId="23" fillId="0" borderId="0" xfId="7" applyFont="1" applyFill="1" applyAlignment="1">
      <alignment horizontal="left" wrapText="1"/>
    </xf>
    <xf numFmtId="0" fontId="20" fillId="0" borderId="0" xfId="7" applyBorder="1" applyAlignment="1">
      <alignment horizontal="center"/>
    </xf>
    <xf numFmtId="0" fontId="20" fillId="0" borderId="0" xfId="7" applyFill="1" applyBorder="1" applyAlignment="1">
      <alignment wrapText="1"/>
    </xf>
    <xf numFmtId="3" fontId="0" fillId="0" borderId="0" xfId="8" applyNumberFormat="1" applyFont="1" applyBorder="1"/>
    <xf numFmtId="0" fontId="9" fillId="0" borderId="0" xfId="7" applyFont="1" applyFill="1" applyBorder="1" applyAlignment="1">
      <alignment wrapText="1"/>
    </xf>
    <xf numFmtId="0" fontId="20" fillId="0" borderId="0" xfId="7" applyBorder="1" applyAlignment="1">
      <alignment wrapText="1"/>
    </xf>
    <xf numFmtId="0" fontId="20" fillId="0" borderId="0" xfId="7" applyBorder="1" applyAlignment="1"/>
    <xf numFmtId="0" fontId="20" fillId="2" borderId="0" xfId="7" applyFill="1" applyBorder="1" applyAlignment="1">
      <alignment horizontal="center"/>
    </xf>
    <xf numFmtId="0" fontId="20" fillId="2" borderId="0" xfId="7" applyFill="1" applyBorder="1"/>
    <xf numFmtId="0" fontId="9" fillId="2" borderId="0" xfId="7" applyFont="1" applyFill="1" applyBorder="1" applyAlignment="1">
      <alignment wrapText="1"/>
    </xf>
    <xf numFmtId="0" fontId="20" fillId="2" borderId="0" xfId="7" applyFont="1" applyFill="1" applyBorder="1" applyAlignment="1">
      <alignment wrapText="1"/>
    </xf>
    <xf numFmtId="0" fontId="20" fillId="2" borderId="0" xfId="7" applyFont="1" applyFill="1" applyBorder="1" applyAlignment="1">
      <alignment horizontal="center" wrapText="1"/>
    </xf>
    <xf numFmtId="0" fontId="20" fillId="2" borderId="0" xfId="7" applyFill="1" applyBorder="1" applyAlignment="1"/>
    <xf numFmtId="0" fontId="20" fillId="2" borderId="0" xfId="7" applyFill="1" applyBorder="1" applyAlignment="1">
      <alignment wrapText="1"/>
    </xf>
    <xf numFmtId="0" fontId="22" fillId="2" borderId="0" xfId="7" applyNumberFormat="1" applyFont="1" applyFill="1" applyBorder="1" applyAlignment="1">
      <alignment horizontal="center"/>
    </xf>
    <xf numFmtId="3" fontId="20" fillId="2" borderId="0" xfId="7" applyNumberFormat="1" applyFill="1" applyBorder="1"/>
    <xf numFmtId="0" fontId="22" fillId="2" borderId="0" xfId="7" applyFont="1" applyFill="1" applyBorder="1" applyAlignment="1">
      <alignment wrapText="1"/>
    </xf>
    <xf numFmtId="3" fontId="23" fillId="0" borderId="0" xfId="7" applyNumberFormat="1" applyFont="1" applyFill="1" applyAlignment="1">
      <alignment horizontal="left" wrapText="1"/>
    </xf>
    <xf numFmtId="0" fontId="9" fillId="2" borderId="0" xfId="7" applyFont="1" applyFill="1" applyBorder="1" applyAlignment="1">
      <alignment horizontal="left" wrapText="1"/>
    </xf>
    <xf numFmtId="0" fontId="9" fillId="2" borderId="0" xfId="7" applyFont="1" applyFill="1" applyBorder="1" applyAlignment="1">
      <alignment horizontal="center" wrapText="1"/>
    </xf>
    <xf numFmtId="0" fontId="9" fillId="0" borderId="0" xfId="7" applyFont="1" applyBorder="1" applyAlignment="1">
      <alignment horizontal="left" wrapText="1"/>
    </xf>
    <xf numFmtId="0" fontId="20" fillId="0" borderId="0" xfId="7" applyFont="1" applyBorder="1" applyAlignment="1">
      <alignment horizontal="left"/>
    </xf>
    <xf numFmtId="0" fontId="24" fillId="0" borderId="0" xfId="7" applyFont="1" applyBorder="1" applyAlignment="1"/>
    <xf numFmtId="0" fontId="9" fillId="0" borderId="0" xfId="0" applyFont="1" applyFill="1" applyBorder="1" applyAlignment="1">
      <alignment wrapText="1"/>
    </xf>
    <xf numFmtId="0" fontId="9" fillId="0" borderId="0" xfId="0" applyFont="1" applyBorder="1" applyAlignment="1">
      <alignment wrapText="1"/>
    </xf>
    <xf numFmtId="0" fontId="9" fillId="0" borderId="0" xfId="0" applyFont="1" applyBorder="1" applyAlignment="1">
      <alignment horizontal="left" wrapText="1"/>
    </xf>
    <xf numFmtId="0" fontId="9" fillId="0" borderId="0" xfId="0" applyFont="1" applyBorder="1" applyAlignment="1">
      <alignment horizontal="center" wrapText="1"/>
    </xf>
    <xf numFmtId="0" fontId="0" fillId="0" borderId="0" xfId="0" applyFill="1" applyBorder="1" applyAlignment="1"/>
    <xf numFmtId="0" fontId="0" fillId="0" borderId="0" xfId="0" applyFill="1" applyBorder="1" applyAlignment="1">
      <alignment wrapText="1"/>
    </xf>
    <xf numFmtId="0" fontId="22" fillId="0" borderId="0" xfId="0" applyNumberFormat="1" applyFont="1" applyBorder="1" applyAlignment="1">
      <alignment horizontal="center"/>
    </xf>
    <xf numFmtId="3" fontId="0" fillId="0" borderId="0" xfId="0" applyNumberFormat="1" applyBorder="1"/>
    <xf numFmtId="3" fontId="20" fillId="3" borderId="0" xfId="7" applyNumberFormat="1" applyFill="1" applyBorder="1"/>
    <xf numFmtId="43" fontId="20" fillId="0" borderId="0" xfId="1" applyFont="1" applyBorder="1" applyAlignment="1">
      <alignment horizontal="center"/>
    </xf>
    <xf numFmtId="43" fontId="9" fillId="0" borderId="0" xfId="1" applyFont="1" applyFill="1" applyBorder="1" applyAlignment="1">
      <alignment wrapText="1"/>
    </xf>
    <xf numFmtId="43" fontId="20" fillId="0" borderId="0" xfId="1" applyFont="1" applyBorder="1" applyAlignment="1">
      <alignment wrapText="1"/>
    </xf>
    <xf numFmtId="43" fontId="20" fillId="0" borderId="0" xfId="1" applyFont="1" applyBorder="1"/>
    <xf numFmtId="43" fontId="20" fillId="0" borderId="0" xfId="1" applyFont="1" applyFill="1" applyBorder="1" applyAlignment="1">
      <alignment wrapText="1"/>
    </xf>
    <xf numFmtId="43" fontId="20" fillId="0" borderId="0" xfId="1" applyFont="1" applyFill="1" applyBorder="1"/>
    <xf numFmtId="43" fontId="20" fillId="0" borderId="0" xfId="7" applyNumberFormat="1" applyBorder="1"/>
    <xf numFmtId="10" fontId="24" fillId="0" borderId="0" xfId="2" applyNumberFormat="1" applyFont="1" applyBorder="1" applyAlignment="1"/>
    <xf numFmtId="0" fontId="9" fillId="2" borderId="0" xfId="3" applyFill="1" applyBorder="1"/>
    <xf numFmtId="43" fontId="0" fillId="4" borderId="0" xfId="1" applyFont="1" applyFill="1"/>
    <xf numFmtId="0" fontId="0" fillId="4" borderId="0" xfId="0" applyFill="1"/>
    <xf numFmtId="0" fontId="11" fillId="4" borderId="0" xfId="3" applyFont="1" applyFill="1" applyBorder="1"/>
    <xf numFmtId="0" fontId="17" fillId="4" borderId="0" xfId="3" applyFont="1" applyFill="1" applyBorder="1" applyAlignment="1">
      <alignment horizontal="left" vertical="top" wrapText="1"/>
    </xf>
    <xf numFmtId="165" fontId="17" fillId="4" borderId="0" xfId="3" applyNumberFormat="1" applyFont="1" applyFill="1" applyBorder="1" applyAlignment="1">
      <alignment horizontal="right" vertical="top"/>
    </xf>
    <xf numFmtId="165" fontId="11" fillId="4" borderId="0" xfId="3" applyNumberFormat="1" applyFont="1" applyFill="1" applyBorder="1"/>
    <xf numFmtId="0" fontId="9" fillId="4" borderId="0" xfId="3" applyFill="1" applyBorder="1"/>
    <xf numFmtId="0" fontId="0" fillId="4" borderId="0" xfId="0" applyFill="1" applyAlignment="1">
      <alignment horizontal="center"/>
    </xf>
    <xf numFmtId="43" fontId="0" fillId="4" borderId="0" xfId="1" applyFont="1" applyFill="1" applyAlignment="1">
      <alignment horizontal="center"/>
    </xf>
    <xf numFmtId="39" fontId="0" fillId="4" borderId="0" xfId="0" applyNumberFormat="1" applyFill="1" applyProtection="1"/>
    <xf numFmtId="9" fontId="0" fillId="4" borderId="0" xfId="2" applyFont="1" applyFill="1"/>
    <xf numFmtId="39" fontId="0" fillId="4" borderId="0" xfId="0" applyNumberFormat="1" applyFill="1"/>
    <xf numFmtId="43" fontId="0" fillId="5" borderId="0" xfId="1" applyFont="1" applyFill="1"/>
    <xf numFmtId="0" fontId="0" fillId="5" borderId="0" xfId="0" applyFill="1"/>
    <xf numFmtId="0" fontId="0" fillId="5" borderId="0" xfId="0" applyFill="1" applyAlignment="1">
      <alignment horizontal="center"/>
    </xf>
    <xf numFmtId="43" fontId="0" fillId="5" borderId="0" xfId="1" applyFont="1" applyFill="1" applyAlignment="1">
      <alignment horizontal="center"/>
    </xf>
    <xf numFmtId="39" fontId="0" fillId="5" borderId="0" xfId="0" applyNumberFormat="1" applyFill="1" applyProtection="1"/>
    <xf numFmtId="9" fontId="0" fillId="5" borderId="0" xfId="2" applyFont="1" applyFill="1"/>
    <xf numFmtId="39" fontId="0" fillId="5" borderId="0" xfId="0" applyNumberFormat="1" applyFill="1"/>
    <xf numFmtId="43" fontId="0" fillId="0" borderId="0" xfId="1" applyNumberFormat="1" applyFont="1" applyFill="1" applyAlignment="1">
      <alignment horizontal="center"/>
    </xf>
    <xf numFmtId="166" fontId="0" fillId="0" borderId="0" xfId="1" applyNumberFormat="1" applyFont="1"/>
    <xf numFmtId="166" fontId="0" fillId="0" borderId="0" xfId="0" applyNumberFormat="1"/>
    <xf numFmtId="43" fontId="17" fillId="4" borderId="0" xfId="1" applyFont="1" applyFill="1" applyBorder="1" applyAlignment="1">
      <alignment horizontal="left" vertical="top" wrapText="1"/>
    </xf>
    <xf numFmtId="43" fontId="11" fillId="4" borderId="0" xfId="1" applyFont="1" applyFill="1" applyBorder="1"/>
    <xf numFmtId="0" fontId="8" fillId="0" borderId="0" xfId="9"/>
    <xf numFmtId="43" fontId="0" fillId="0" borderId="0" xfId="10" applyFont="1"/>
    <xf numFmtId="43" fontId="8" fillId="0" borderId="0" xfId="9" applyNumberFormat="1"/>
    <xf numFmtId="43" fontId="20" fillId="2" borderId="0" xfId="1" applyFont="1" applyFill="1" applyBorder="1"/>
    <xf numFmtId="43" fontId="8" fillId="0" borderId="0" xfId="1" applyFont="1"/>
    <xf numFmtId="43" fontId="11" fillId="0" borderId="0" xfId="3" applyNumberFormat="1" applyFont="1" applyFill="1"/>
    <xf numFmtId="4" fontId="11" fillId="0" borderId="0" xfId="3" applyNumberFormat="1" applyFont="1" applyFill="1"/>
    <xf numFmtId="43" fontId="0" fillId="0" borderId="0" xfId="0" quotePrefix="1" applyNumberFormat="1" applyFill="1" applyAlignment="1" applyProtection="1">
      <alignment horizontal="center"/>
    </xf>
    <xf numFmtId="43" fontId="20" fillId="2" borderId="0" xfId="7" applyNumberFormat="1" applyFont="1" applyFill="1" applyBorder="1" applyAlignment="1">
      <alignment wrapText="1"/>
    </xf>
    <xf numFmtId="43" fontId="20" fillId="2" borderId="0" xfId="1" applyFont="1" applyFill="1" applyBorder="1" applyAlignment="1">
      <alignment wrapText="1"/>
    </xf>
    <xf numFmtId="0" fontId="9" fillId="0" borderId="0" xfId="7" quotePrefix="1" applyFont="1" applyBorder="1"/>
    <xf numFmtId="43" fontId="20" fillId="2" borderId="0" xfId="1" applyFont="1" applyFill="1" applyBorder="1" applyAlignment="1">
      <alignment horizontal="center"/>
    </xf>
    <xf numFmtId="0" fontId="7" fillId="0" borderId="0" xfId="9" applyFont="1"/>
    <xf numFmtId="0" fontId="7" fillId="0" borderId="1" xfId="9" applyFont="1" applyBorder="1" applyAlignment="1">
      <alignment horizontal="center"/>
    </xf>
    <xf numFmtId="43" fontId="9" fillId="0" borderId="0" xfId="7" applyNumberFormat="1" applyFont="1" applyFill="1" applyBorder="1" applyAlignment="1">
      <alignment wrapText="1"/>
    </xf>
    <xf numFmtId="43" fontId="20" fillId="0" borderId="0" xfId="1" applyFont="1" applyFill="1" applyBorder="1" applyAlignment="1">
      <alignment horizontal="center"/>
    </xf>
    <xf numFmtId="43" fontId="9" fillId="0" borderId="0" xfId="1" applyFont="1" applyFill="1" applyBorder="1" applyAlignment="1">
      <alignment horizontal="center"/>
    </xf>
    <xf numFmtId="0" fontId="9" fillId="2" borderId="0" xfId="7" applyFont="1" applyFill="1" applyBorder="1"/>
    <xf numFmtId="3" fontId="9" fillId="2" borderId="0" xfId="7" applyNumberFormat="1" applyFont="1" applyFill="1" applyBorder="1"/>
    <xf numFmtId="43" fontId="9" fillId="2" borderId="0" xfId="1" applyFont="1" applyFill="1" applyBorder="1"/>
    <xf numFmtId="43" fontId="0" fillId="6" borderId="20" xfId="1" applyFont="1" applyFill="1" applyBorder="1"/>
    <xf numFmtId="39" fontId="0" fillId="6" borderId="21" xfId="0" applyNumberFormat="1" applyFill="1" applyBorder="1"/>
    <xf numFmtId="0" fontId="0" fillId="6" borderId="0" xfId="0" applyFill="1"/>
    <xf numFmtId="43" fontId="0" fillId="6" borderId="0" xfId="1" applyFont="1" applyFill="1"/>
    <xf numFmtId="43" fontId="0" fillId="6" borderId="0" xfId="0" applyNumberFormat="1" applyFill="1"/>
    <xf numFmtId="43" fontId="11" fillId="6" borderId="0" xfId="0" applyNumberFormat="1" applyFont="1" applyFill="1" applyBorder="1" applyProtection="1"/>
    <xf numFmtId="10" fontId="20" fillId="0" borderId="0" xfId="2" applyNumberFormat="1" applyFont="1" applyBorder="1"/>
    <xf numFmtId="10" fontId="9" fillId="0" borderId="0" xfId="7" applyNumberFormat="1" applyFont="1" applyBorder="1" applyAlignment="1">
      <alignment horizontal="left"/>
    </xf>
    <xf numFmtId="0" fontId="9" fillId="0" borderId="0" xfId="7" applyFont="1" applyBorder="1" applyAlignment="1">
      <alignment horizontal="center" wrapText="1"/>
    </xf>
    <xf numFmtId="43" fontId="24" fillId="0" borderId="0" xfId="1" applyFont="1" applyBorder="1" applyAlignment="1">
      <alignment horizontal="center"/>
    </xf>
    <xf numFmtId="0" fontId="6" fillId="0" borderId="0" xfId="9" applyFont="1"/>
    <xf numFmtId="0" fontId="11" fillId="2" borderId="0" xfId="0" applyFont="1" applyFill="1"/>
    <xf numFmtId="43" fontId="0" fillId="2" borderId="0" xfId="4" applyFont="1" applyFill="1"/>
    <xf numFmtId="43" fontId="11" fillId="0" borderId="0" xfId="0" applyNumberFormat="1" applyFont="1" applyFill="1" applyBorder="1" applyProtection="1"/>
    <xf numFmtId="43" fontId="15" fillId="0" borderId="0" xfId="3" applyNumberFormat="1" applyFont="1" applyFill="1"/>
    <xf numFmtId="0" fontId="11" fillId="6" borderId="0" xfId="3" applyFont="1" applyFill="1" applyBorder="1"/>
    <xf numFmtId="0" fontId="17" fillId="6" borderId="0" xfId="3" applyFont="1" applyFill="1" applyBorder="1" applyAlignment="1">
      <alignment horizontal="left" vertical="top" wrapText="1"/>
    </xf>
    <xf numFmtId="0" fontId="17" fillId="6" borderId="0" xfId="3" quotePrefix="1" applyFont="1" applyFill="1" applyBorder="1" applyAlignment="1">
      <alignment horizontal="right" vertical="top" wrapText="1"/>
    </xf>
    <xf numFmtId="43" fontId="17" fillId="6" borderId="0" xfId="4" applyFont="1" applyFill="1" applyBorder="1" applyAlignment="1">
      <alignment horizontal="left" vertical="top" wrapText="1"/>
    </xf>
    <xf numFmtId="165" fontId="17" fillId="6" borderId="1" xfId="3" applyNumberFormat="1" applyFont="1" applyFill="1" applyBorder="1" applyAlignment="1">
      <alignment horizontal="right" vertical="top"/>
    </xf>
    <xf numFmtId="165" fontId="11" fillId="6" borderId="1" xfId="3" applyNumberFormat="1" applyFont="1" applyFill="1" applyBorder="1"/>
    <xf numFmtId="168" fontId="11" fillId="0" borderId="0" xfId="3" applyNumberFormat="1" applyFont="1" applyFill="1" applyAlignment="1">
      <alignment horizontal="center"/>
    </xf>
    <xf numFmtId="43" fontId="0" fillId="2" borderId="0" xfId="0" applyNumberFormat="1" applyFill="1" applyProtection="1"/>
    <xf numFmtId="43" fontId="0" fillId="2" borderId="0" xfId="1" applyNumberFormat="1" applyFont="1" applyFill="1" applyAlignment="1">
      <alignment horizontal="center"/>
    </xf>
    <xf numFmtId="0" fontId="11" fillId="2" borderId="0" xfId="0" applyFont="1" applyFill="1" applyAlignment="1">
      <alignment horizontal="center"/>
    </xf>
    <xf numFmtId="43" fontId="11" fillId="0" borderId="0" xfId="1" applyFont="1" applyFill="1" applyBorder="1"/>
    <xf numFmtId="167" fontId="11" fillId="4" borderId="0" xfId="3" applyNumberFormat="1" applyFont="1" applyFill="1" applyBorder="1"/>
    <xf numFmtId="4" fontId="11" fillId="4" borderId="0" xfId="3" applyNumberFormat="1" applyFont="1" applyFill="1" applyBorder="1"/>
    <xf numFmtId="43" fontId="11" fillId="0" borderId="0" xfId="0" applyNumberFormat="1" applyFont="1"/>
    <xf numFmtId="0" fontId="5" fillId="0" borderId="0" xfId="9" applyFont="1"/>
    <xf numFmtId="43" fontId="26" fillId="0" borderId="0" xfId="1" applyFont="1" applyFill="1"/>
    <xf numFmtId="0" fontId="25" fillId="0" borderId="0" xfId="0" applyFont="1" applyFill="1" applyBorder="1"/>
    <xf numFmtId="0" fontId="25" fillId="0" borderId="15" xfId="0" applyFont="1" applyFill="1" applyBorder="1"/>
    <xf numFmtId="0" fontId="0" fillId="0" borderId="11" xfId="0" applyFill="1" applyBorder="1"/>
    <xf numFmtId="15" fontId="0" fillId="0" borderId="0" xfId="0" applyNumberFormat="1" applyFill="1" applyBorder="1"/>
    <xf numFmtId="0" fontId="11" fillId="0" borderId="12" xfId="0" applyFont="1" applyFill="1" applyBorder="1"/>
    <xf numFmtId="0" fontId="25" fillId="0" borderId="11" xfId="0" applyFont="1" applyFill="1" applyBorder="1"/>
    <xf numFmtId="43" fontId="0" fillId="0" borderId="0" xfId="1" applyFont="1" applyFill="1" applyBorder="1"/>
    <xf numFmtId="43" fontId="11" fillId="0" borderId="12" xfId="1" applyFont="1" applyFill="1" applyBorder="1"/>
    <xf numFmtId="43" fontId="0" fillId="0" borderId="12" xfId="1" applyFont="1" applyFill="1" applyBorder="1"/>
    <xf numFmtId="43" fontId="25" fillId="0" borderId="0" xfId="1" applyFont="1" applyFill="1" applyBorder="1"/>
    <xf numFmtId="43" fontId="25" fillId="0" borderId="12" xfId="1" applyFont="1" applyFill="1" applyBorder="1"/>
    <xf numFmtId="0" fontId="0" fillId="0" borderId="12" xfId="0" applyFill="1" applyBorder="1"/>
    <xf numFmtId="0" fontId="25" fillId="0" borderId="12" xfId="0" applyFont="1" applyFill="1" applyBorder="1"/>
    <xf numFmtId="0" fontId="0" fillId="0" borderId="14" xfId="0" applyFill="1" applyBorder="1"/>
    <xf numFmtId="43" fontId="25" fillId="0" borderId="16" xfId="0" applyNumberFormat="1" applyFont="1" applyFill="1" applyBorder="1"/>
    <xf numFmtId="0" fontId="25" fillId="0" borderId="18" xfId="0" applyFont="1" applyFill="1" applyBorder="1"/>
    <xf numFmtId="0" fontId="25" fillId="0" borderId="9" xfId="0" applyFont="1" applyBorder="1" applyAlignment="1">
      <alignment horizontal="center"/>
    </xf>
    <xf numFmtId="0" fontId="25" fillId="0" borderId="10" xfId="0" applyFont="1" applyFill="1" applyBorder="1" applyAlignment="1">
      <alignment horizontal="center"/>
    </xf>
    <xf numFmtId="0" fontId="0" fillId="0" borderId="15" xfId="0" applyFill="1" applyBorder="1"/>
    <xf numFmtId="0" fontId="0" fillId="0" borderId="16" xfId="0" applyFill="1" applyBorder="1"/>
    <xf numFmtId="0" fontId="25" fillId="7" borderId="25" xfId="0" applyFont="1" applyFill="1" applyBorder="1"/>
    <xf numFmtId="0" fontId="25" fillId="7" borderId="26" xfId="0" applyFont="1" applyFill="1" applyBorder="1" applyAlignment="1">
      <alignment horizontal="center"/>
    </xf>
    <xf numFmtId="15" fontId="25" fillId="7" borderId="26" xfId="0" quotePrefix="1" applyNumberFormat="1" applyFont="1" applyFill="1" applyBorder="1" applyAlignment="1">
      <alignment horizontal="center"/>
    </xf>
    <xf numFmtId="0" fontId="25" fillId="7" borderId="27" xfId="0" applyFont="1" applyFill="1" applyBorder="1" applyAlignment="1">
      <alignment horizontal="center"/>
    </xf>
    <xf numFmtId="0" fontId="11" fillId="0" borderId="0" xfId="0" applyFont="1" applyFill="1" applyAlignment="1">
      <alignment horizontal="center"/>
    </xf>
    <xf numFmtId="0" fontId="11" fillId="0" borderId="0" xfId="0" applyFont="1" applyFill="1" applyBorder="1" applyAlignment="1">
      <alignment horizontal="center"/>
    </xf>
    <xf numFmtId="0" fontId="11" fillId="7" borderId="0" xfId="0" applyFont="1" applyFill="1" applyAlignment="1">
      <alignment horizontal="center"/>
    </xf>
    <xf numFmtId="0" fontId="0" fillId="7" borderId="0" xfId="0" applyFill="1" applyAlignment="1">
      <alignment horizontal="center"/>
    </xf>
    <xf numFmtId="0" fontId="11" fillId="7" borderId="11" xfId="0" applyFont="1" applyFill="1" applyBorder="1" applyAlignment="1">
      <alignment horizontal="center"/>
    </xf>
    <xf numFmtId="0" fontId="11" fillId="7" borderId="0" xfId="0" applyFont="1" applyFill="1" applyBorder="1" applyAlignment="1">
      <alignment horizontal="center"/>
    </xf>
    <xf numFmtId="0" fontId="11" fillId="0" borderId="12" xfId="0" applyFont="1" applyFill="1" applyBorder="1" applyAlignment="1">
      <alignment horizontal="center"/>
    </xf>
    <xf numFmtId="0" fontId="0" fillId="7" borderId="11" xfId="0" applyFill="1" applyBorder="1" applyAlignment="1">
      <alignment horizontal="center"/>
    </xf>
    <xf numFmtId="0" fontId="0" fillId="7" borderId="0" xfId="0" applyFill="1" applyBorder="1" applyAlignment="1">
      <alignment horizontal="center"/>
    </xf>
    <xf numFmtId="0" fontId="0" fillId="0" borderId="12" xfId="0" applyFill="1" applyBorder="1" applyAlignment="1">
      <alignment horizontal="center"/>
    </xf>
    <xf numFmtId="9" fontId="0" fillId="7" borderId="11" xfId="0" applyNumberFormat="1" applyFill="1" applyBorder="1" applyAlignment="1">
      <alignment horizontal="center"/>
    </xf>
    <xf numFmtId="169" fontId="0" fillId="7" borderId="11" xfId="2" applyNumberFormat="1" applyFont="1" applyFill="1" applyBorder="1" applyAlignment="1">
      <alignment horizontal="center"/>
    </xf>
    <xf numFmtId="169" fontId="0" fillId="7" borderId="14" xfId="2" applyNumberFormat="1" applyFont="1" applyFill="1" applyBorder="1" applyAlignment="1">
      <alignment horizontal="center"/>
    </xf>
    <xf numFmtId="0" fontId="0" fillId="7" borderId="15" xfId="0" applyFill="1" applyBorder="1" applyAlignment="1">
      <alignment horizontal="center"/>
    </xf>
    <xf numFmtId="0" fontId="0" fillId="0" borderId="16" xfId="0" applyFill="1" applyBorder="1" applyAlignment="1">
      <alignment horizontal="center"/>
    </xf>
    <xf numFmtId="0" fontId="11" fillId="0" borderId="11" xfId="0" applyFont="1" applyFill="1" applyBorder="1" applyAlignment="1">
      <alignment horizontal="center"/>
    </xf>
    <xf numFmtId="0" fontId="0" fillId="0" borderId="11" xfId="0" applyFill="1" applyBorder="1" applyAlignment="1">
      <alignment horizontal="center"/>
    </xf>
    <xf numFmtId="169" fontId="0" fillId="0" borderId="11" xfId="0" applyNumberFormat="1" applyFill="1" applyBorder="1" applyAlignment="1">
      <alignment horizontal="center"/>
    </xf>
    <xf numFmtId="169" fontId="0" fillId="0" borderId="14" xfId="0" applyNumberFormat="1" applyFill="1" applyBorder="1" applyAlignment="1">
      <alignment horizontal="center"/>
    </xf>
    <xf numFmtId="0" fontId="11" fillId="0" borderId="0" xfId="0" applyFont="1" applyFill="1" applyAlignment="1">
      <alignment horizontal="left"/>
    </xf>
    <xf numFmtId="0" fontId="0" fillId="0" borderId="0" xfId="0" applyFill="1" applyAlignment="1">
      <alignment horizontal="left"/>
    </xf>
    <xf numFmtId="43" fontId="0" fillId="7" borderId="0" xfId="0" applyNumberFormat="1" applyFill="1" applyAlignment="1">
      <alignment horizontal="center"/>
    </xf>
    <xf numFmtId="44" fontId="0" fillId="7" borderId="0" xfId="11" applyFont="1" applyFill="1" applyAlignment="1">
      <alignment horizontal="center"/>
    </xf>
    <xf numFmtId="44" fontId="0" fillId="0" borderId="0" xfId="11" applyFont="1" applyFill="1" applyAlignment="1">
      <alignment horizontal="center"/>
    </xf>
    <xf numFmtId="43" fontId="11" fillId="0" borderId="0" xfId="0" applyNumberFormat="1" applyFont="1" applyFill="1" applyAlignment="1">
      <alignment horizontal="center"/>
    </xf>
    <xf numFmtId="39" fontId="0" fillId="8" borderId="0" xfId="0" applyNumberFormat="1" applyFill="1" applyProtection="1"/>
    <xf numFmtId="43" fontId="17" fillId="0" borderId="0" xfId="1" applyFont="1" applyFill="1" applyBorder="1" applyAlignment="1">
      <alignment horizontal="left" vertical="top" wrapText="1"/>
    </xf>
    <xf numFmtId="43" fontId="17" fillId="0" borderId="0" xfId="1" applyFont="1" applyFill="1" applyBorder="1" applyAlignment="1">
      <alignment horizontal="right" vertical="top"/>
    </xf>
    <xf numFmtId="43" fontId="9" fillId="0" borderId="0" xfId="1" applyFill="1" applyBorder="1"/>
    <xf numFmtId="0" fontId="32" fillId="0" borderId="0" xfId="0" applyFont="1" applyAlignment="1">
      <alignment vertical="center"/>
    </xf>
    <xf numFmtId="0" fontId="31" fillId="0" borderId="0" xfId="0" applyFont="1" applyAlignment="1">
      <alignment vertical="center"/>
    </xf>
    <xf numFmtId="0" fontId="33" fillId="0" borderId="0" xfId="0" applyFont="1" applyAlignment="1">
      <alignment vertical="center"/>
    </xf>
    <xf numFmtId="0" fontId="31" fillId="0" borderId="0" xfId="0" applyFont="1" applyAlignment="1">
      <alignment horizontal="left" vertical="center" indent="4"/>
    </xf>
    <xf numFmtId="0" fontId="32" fillId="0" borderId="0" xfId="0" applyFont="1" applyAlignment="1">
      <alignment horizontal="left" vertical="center" indent="4"/>
    </xf>
    <xf numFmtId="0" fontId="35" fillId="0" borderId="0" xfId="0" applyFont="1" applyAlignment="1">
      <alignment horizontal="left" vertical="center" indent="6"/>
    </xf>
    <xf numFmtId="0" fontId="35" fillId="0" borderId="0" xfId="0" applyFont="1" applyAlignment="1">
      <alignment horizontal="left" vertical="center" indent="8"/>
    </xf>
    <xf numFmtId="0" fontId="37" fillId="0" borderId="0" xfId="0" applyFont="1" applyAlignment="1">
      <alignment vertical="center"/>
    </xf>
    <xf numFmtId="0" fontId="38" fillId="0" borderId="0" xfId="0" applyFont="1" applyAlignment="1">
      <alignment vertical="center"/>
    </xf>
    <xf numFmtId="7" fontId="0" fillId="0" borderId="0" xfId="1" applyNumberFormat="1" applyFont="1"/>
    <xf numFmtId="0" fontId="3" fillId="0" borderId="0" xfId="9" applyFont="1"/>
    <xf numFmtId="0" fontId="3" fillId="0" borderId="0" xfId="29"/>
    <xf numFmtId="172" fontId="3" fillId="0" borderId="0" xfId="29" applyNumberFormat="1"/>
    <xf numFmtId="10" fontId="3" fillId="0" borderId="0" xfId="29" applyNumberFormat="1"/>
    <xf numFmtId="42" fontId="3" fillId="0" borderId="0" xfId="29" applyNumberFormat="1"/>
    <xf numFmtId="5" fontId="3" fillId="0" borderId="0" xfId="29" applyNumberFormat="1"/>
    <xf numFmtId="0" fontId="2" fillId="0" borderId="0" xfId="9" applyFont="1"/>
    <xf numFmtId="0" fontId="2" fillId="2" borderId="0" xfId="9" applyFont="1" applyFill="1"/>
    <xf numFmtId="43" fontId="17" fillId="4" borderId="0" xfId="4" applyFont="1" applyFill="1" applyBorder="1" applyAlignment="1">
      <alignment horizontal="left" vertical="top" wrapText="1"/>
    </xf>
    <xf numFmtId="43" fontId="0" fillId="0" borderId="1" xfId="1" applyNumberFormat="1" applyFont="1" applyFill="1" applyBorder="1" applyAlignment="1">
      <alignment horizontal="center"/>
    </xf>
    <xf numFmtId="43" fontId="11" fillId="0" borderId="1" xfId="1" applyFont="1" applyFill="1" applyBorder="1"/>
    <xf numFmtId="39" fontId="11" fillId="0" borderId="0" xfId="4" applyNumberFormat="1" applyFont="1" applyFill="1"/>
    <xf numFmtId="43" fontId="11" fillId="0" borderId="1" xfId="4" applyNumberFormat="1" applyFont="1" applyFill="1" applyBorder="1"/>
    <xf numFmtId="43" fontId="15" fillId="4" borderId="0" xfId="1" applyFont="1" applyFill="1" applyBorder="1"/>
    <xf numFmtId="0" fontId="11" fillId="12" borderId="0" xfId="3" applyFont="1" applyFill="1" applyBorder="1"/>
    <xf numFmtId="0" fontId="17" fillId="12" borderId="0" xfId="3" applyFont="1" applyFill="1" applyBorder="1" applyAlignment="1">
      <alignment horizontal="left" vertical="top" wrapText="1"/>
    </xf>
    <xf numFmtId="43" fontId="11" fillId="12" borderId="0" xfId="4" applyFont="1" applyFill="1"/>
    <xf numFmtId="0" fontId="9" fillId="12" borderId="0" xfId="3" applyFill="1"/>
    <xf numFmtId="0" fontId="9" fillId="12" borderId="0" xfId="3" applyFont="1" applyFill="1"/>
    <xf numFmtId="2" fontId="0" fillId="2" borderId="0" xfId="0" applyNumberFormat="1" applyFill="1"/>
    <xf numFmtId="0" fontId="0" fillId="2" borderId="0" xfId="0" applyFill="1" applyAlignment="1">
      <alignment horizontal="center"/>
    </xf>
    <xf numFmtId="0" fontId="0" fillId="0" borderId="0" xfId="0" applyFill="1" applyAlignment="1">
      <alignment horizontal="center" wrapText="1"/>
    </xf>
    <xf numFmtId="0" fontId="0" fillId="0" borderId="0" xfId="0" applyFill="1" applyAlignment="1">
      <alignment wrapText="1"/>
    </xf>
    <xf numFmtId="0" fontId="11" fillId="0" borderId="0" xfId="0" applyFont="1" applyFill="1" applyAlignment="1">
      <alignment horizontal="center" wrapText="1"/>
    </xf>
    <xf numFmtId="43" fontId="12" fillId="0" borderId="0" xfId="1" applyNumberFormat="1" applyFont="1" applyFill="1" applyAlignment="1">
      <alignment horizontal="center" wrapText="1"/>
    </xf>
    <xf numFmtId="43" fontId="0" fillId="0" borderId="0" xfId="0" applyNumberFormat="1" applyFill="1" applyAlignment="1" applyProtection="1">
      <alignment wrapText="1"/>
    </xf>
    <xf numFmtId="43" fontId="12" fillId="0" borderId="0" xfId="0" applyNumberFormat="1" applyFont="1" applyFill="1" applyAlignment="1" applyProtection="1">
      <alignment wrapText="1"/>
    </xf>
    <xf numFmtId="43" fontId="0" fillId="0" borderId="0" xfId="1" applyFont="1" applyFill="1" applyAlignment="1">
      <alignment wrapText="1"/>
    </xf>
    <xf numFmtId="0" fontId="11" fillId="0" borderId="0" xfId="0" applyFont="1" applyFill="1" applyAlignment="1">
      <alignment wrapText="1"/>
    </xf>
    <xf numFmtId="43" fontId="12" fillId="2" borderId="0" xfId="0" applyNumberFormat="1" applyFont="1" applyFill="1" applyProtection="1"/>
    <xf numFmtId="43" fontId="11" fillId="0" borderId="0" xfId="1" applyFont="1" applyFill="1" applyAlignment="1">
      <alignment horizontal="center"/>
    </xf>
    <xf numFmtId="0" fontId="11" fillId="6" borderId="0" xfId="0" applyFont="1" applyFill="1"/>
    <xf numFmtId="0" fontId="0" fillId="6" borderId="0" xfId="0" applyFill="1" applyAlignment="1">
      <alignment horizontal="center"/>
    </xf>
    <xf numFmtId="43" fontId="0" fillId="6" borderId="0" xfId="1" applyFont="1" applyFill="1" applyAlignment="1">
      <alignment horizontal="center"/>
    </xf>
    <xf numFmtId="39" fontId="0" fillId="6" borderId="0" xfId="0" applyNumberFormat="1" applyFill="1" applyProtection="1"/>
    <xf numFmtId="9" fontId="0" fillId="6" borderId="0" xfId="2" applyFont="1" applyFill="1"/>
    <xf numFmtId="39" fontId="0" fillId="6" borderId="0" xfId="0" applyNumberFormat="1" applyFill="1"/>
    <xf numFmtId="0" fontId="11" fillId="2" borderId="0" xfId="0" applyFont="1" applyFill="1" applyAlignment="1">
      <alignment wrapText="1"/>
    </xf>
    <xf numFmtId="0" fontId="0" fillId="0" borderId="0" xfId="0" applyAlignment="1">
      <alignment horizontal="center" wrapText="1"/>
    </xf>
    <xf numFmtId="164" fontId="11" fillId="0" borderId="0" xfId="0" quotePrefix="1" applyNumberFormat="1" applyFont="1" applyAlignment="1">
      <alignment horizontal="center" wrapText="1"/>
    </xf>
    <xf numFmtId="0" fontId="0" fillId="0" borderId="0" xfId="0" applyAlignment="1">
      <alignment wrapText="1"/>
    </xf>
    <xf numFmtId="0" fontId="0" fillId="0" borderId="1" xfId="0" applyBorder="1" applyAlignment="1">
      <alignment horizontal="center" wrapText="1"/>
    </xf>
    <xf numFmtId="0" fontId="0" fillId="2" borderId="0" xfId="0" applyFill="1" applyAlignment="1">
      <alignment wrapText="1"/>
    </xf>
    <xf numFmtId="0" fontId="0" fillId="5" borderId="0" xfId="0" applyFill="1" applyAlignment="1">
      <alignment wrapText="1"/>
    </xf>
    <xf numFmtId="0" fontId="11" fillId="0" borderId="0" xfId="0" applyFont="1" applyAlignment="1">
      <alignment wrapText="1"/>
    </xf>
    <xf numFmtId="0" fontId="11" fillId="0" borderId="0" xfId="0" quotePrefix="1" applyFont="1" applyAlignment="1">
      <alignment wrapText="1"/>
    </xf>
    <xf numFmtId="39" fontId="11" fillId="0" borderId="0" xfId="0" applyNumberFormat="1" applyFont="1" applyFill="1" applyProtection="1"/>
    <xf numFmtId="9" fontId="11" fillId="0" borderId="0" xfId="2" applyFont="1" applyFill="1"/>
    <xf numFmtId="3" fontId="0" fillId="0" borderId="0" xfId="0" applyNumberFormat="1" applyFill="1" applyAlignment="1">
      <alignment horizontal="center"/>
    </xf>
    <xf numFmtId="0" fontId="11" fillId="5" borderId="0" xfId="0" applyFont="1" applyFill="1" applyAlignment="1">
      <alignment horizontal="center"/>
    </xf>
    <xf numFmtId="0" fontId="11" fillId="5" borderId="0" xfId="0" applyFont="1" applyFill="1" applyAlignment="1">
      <alignment wrapText="1"/>
    </xf>
    <xf numFmtId="169" fontId="0" fillId="0" borderId="0" xfId="2" applyNumberFormat="1" applyFont="1" applyFill="1"/>
    <xf numFmtId="0" fontId="11" fillId="13" borderId="0" xfId="0" applyFont="1" applyFill="1" applyAlignment="1">
      <alignment horizontal="center"/>
    </xf>
    <xf numFmtId="0" fontId="11" fillId="4" borderId="0" xfId="0" applyFont="1" applyFill="1" applyAlignment="1">
      <alignment wrapText="1"/>
    </xf>
    <xf numFmtId="0" fontId="0" fillId="13" borderId="0" xfId="0" applyFill="1" applyAlignment="1">
      <alignment horizontal="center"/>
    </xf>
    <xf numFmtId="43" fontId="11" fillId="0" borderId="0" xfId="0" applyNumberFormat="1" applyFont="1" applyFill="1" applyProtection="1"/>
    <xf numFmtId="43" fontId="11" fillId="2" borderId="0" xfId="0" applyNumberFormat="1" applyFont="1" applyFill="1" applyProtection="1"/>
    <xf numFmtId="9" fontId="11" fillId="6" borderId="0" xfId="0" quotePrefix="1" applyNumberFormat="1" applyFont="1" applyFill="1"/>
    <xf numFmtId="169" fontId="0" fillId="2" borderId="0" xfId="2" applyNumberFormat="1" applyFont="1" applyFill="1"/>
    <xf numFmtId="43" fontId="11" fillId="6" borderId="0" xfId="1" applyFont="1" applyFill="1"/>
    <xf numFmtId="0" fontId="0" fillId="6" borderId="0" xfId="0" applyFill="1" applyAlignment="1">
      <alignment wrapText="1"/>
    </xf>
    <xf numFmtId="2" fontId="0" fillId="6" borderId="0" xfId="0" applyNumberFormat="1" applyFill="1"/>
    <xf numFmtId="0" fontId="12" fillId="2" borderId="0" xfId="0" applyFont="1" applyFill="1" applyAlignment="1">
      <alignment horizontal="center"/>
    </xf>
    <xf numFmtId="9" fontId="0" fillId="2" borderId="0" xfId="2" applyNumberFormat="1" applyFont="1" applyFill="1"/>
    <xf numFmtId="0" fontId="11" fillId="6" borderId="0" xfId="0" applyFont="1" applyFill="1" applyAlignment="1">
      <alignment wrapText="1"/>
    </xf>
    <xf numFmtId="165" fontId="17" fillId="14" borderId="0" xfId="3" applyNumberFormat="1" applyFont="1" applyFill="1" applyBorder="1" applyAlignment="1">
      <alignment horizontal="right" vertical="top"/>
    </xf>
    <xf numFmtId="43" fontId="0" fillId="4" borderId="0" xfId="4" applyFont="1" applyFill="1"/>
    <xf numFmtId="165" fontId="9" fillId="2" borderId="0" xfId="3" applyNumberFormat="1" applyFill="1" applyBorder="1"/>
    <xf numFmtId="43" fontId="9" fillId="2" borderId="0" xfId="1" applyFill="1" applyBorder="1"/>
    <xf numFmtId="165" fontId="9" fillId="4" borderId="0" xfId="3" applyNumberFormat="1" applyFill="1" applyBorder="1"/>
    <xf numFmtId="43" fontId="9" fillId="4" borderId="0" xfId="1" applyFill="1" applyBorder="1"/>
    <xf numFmtId="165" fontId="17" fillId="6" borderId="0" xfId="3" applyNumberFormat="1" applyFont="1" applyFill="1" applyBorder="1" applyAlignment="1">
      <alignment horizontal="right" vertical="top"/>
    </xf>
    <xf numFmtId="43" fontId="17" fillId="2" borderId="0" xfId="4" applyFont="1" applyFill="1" applyBorder="1" applyAlignment="1">
      <alignment horizontal="right" vertical="top"/>
    </xf>
    <xf numFmtId="0" fontId="0" fillId="2" borderId="0" xfId="0" applyFill="1" applyAlignment="1">
      <alignment horizontal="center"/>
    </xf>
    <xf numFmtId="4" fontId="11" fillId="0" borderId="0" xfId="3" applyNumberFormat="1" applyFont="1" applyFill="1" applyBorder="1"/>
    <xf numFmtId="0" fontId="17" fillId="13" borderId="0" xfId="3" applyFont="1" applyFill="1" applyBorder="1" applyAlignment="1">
      <alignment horizontal="left" vertical="top" wrapText="1"/>
    </xf>
    <xf numFmtId="0" fontId="0" fillId="2" borderId="0" xfId="0" applyFill="1" applyAlignment="1">
      <alignment horizontal="center"/>
    </xf>
    <xf numFmtId="43" fontId="17" fillId="12" borderId="0" xfId="4" applyFont="1" applyFill="1" applyBorder="1" applyAlignment="1">
      <alignment horizontal="left" vertical="top" wrapText="1"/>
    </xf>
    <xf numFmtId="165" fontId="17" fillId="12" borderId="0" xfId="3" applyNumberFormat="1" applyFont="1" applyFill="1" applyBorder="1" applyAlignment="1">
      <alignment horizontal="right" vertical="top"/>
    </xf>
    <xf numFmtId="165" fontId="11" fillId="12" borderId="0" xfId="3" applyNumberFormat="1" applyFont="1" applyFill="1" applyBorder="1"/>
    <xf numFmtId="0" fontId="9" fillId="12" borderId="0" xfId="3" applyFill="1" applyBorder="1"/>
    <xf numFmtId="43" fontId="0" fillId="4" borderId="0" xfId="10" applyFont="1" applyFill="1"/>
    <xf numFmtId="0" fontId="8" fillId="4" borderId="0" xfId="9" applyFill="1"/>
    <xf numFmtId="0" fontId="2" fillId="4" borderId="0" xfId="9" applyFont="1" applyFill="1"/>
    <xf numFmtId="172" fontId="3" fillId="4" borderId="0" xfId="29" applyNumberFormat="1" applyFill="1"/>
    <xf numFmtId="0" fontId="3" fillId="4" borderId="0" xfId="29" applyFill="1"/>
    <xf numFmtId="10" fontId="3" fillId="4" borderId="0" xfId="29" applyNumberFormat="1" applyFill="1"/>
    <xf numFmtId="42" fontId="3" fillId="4" borderId="0" xfId="29" applyNumberFormat="1" applyFill="1"/>
    <xf numFmtId="5" fontId="3" fillId="4" borderId="0" xfId="29" applyNumberFormat="1" applyFill="1"/>
    <xf numFmtId="0" fontId="11" fillId="0" borderId="0" xfId="0" applyFont="1" applyFill="1" applyBorder="1" applyAlignment="1">
      <alignment wrapText="1"/>
    </xf>
    <xf numFmtId="0" fontId="0" fillId="2" borderId="0" xfId="0" applyFill="1" applyAlignment="1">
      <alignment horizontal="center"/>
    </xf>
    <xf numFmtId="0" fontId="0" fillId="2" borderId="0" xfId="0" applyFill="1" applyBorder="1" applyAlignment="1">
      <alignment horizontal="center"/>
    </xf>
    <xf numFmtId="0" fontId="0" fillId="2" borderId="12" xfId="0" applyFill="1" applyBorder="1" applyAlignment="1">
      <alignment horizontal="center"/>
    </xf>
    <xf numFmtId="0" fontId="0" fillId="2" borderId="0" xfId="0" applyFill="1" applyAlignment="1">
      <alignment horizontal="center"/>
    </xf>
    <xf numFmtId="0" fontId="0" fillId="15" borderId="0" xfId="0" applyFill="1"/>
    <xf numFmtId="39" fontId="11" fillId="15" borderId="0" xfId="0" applyNumberFormat="1" applyFont="1" applyFill="1" applyProtection="1"/>
    <xf numFmtId="39" fontId="0" fillId="15" borderId="0" xfId="0" applyNumberFormat="1" applyFill="1" applyProtection="1"/>
    <xf numFmtId="0" fontId="11" fillId="15" borderId="0" xfId="0" applyFont="1" applyFill="1" applyAlignment="1">
      <alignment wrapText="1"/>
    </xf>
    <xf numFmtId="2" fontId="0" fillId="15" borderId="0" xfId="0" applyNumberFormat="1" applyFill="1"/>
    <xf numFmtId="0" fontId="0" fillId="0" borderId="0" xfId="0" applyFill="1" applyAlignment="1">
      <alignment horizontal="center"/>
    </xf>
    <xf numFmtId="0" fontId="0" fillId="15" borderId="0" xfId="0" applyFill="1"/>
    <xf numFmtId="39" fontId="0" fillId="15" borderId="0" xfId="0" applyNumberFormat="1" applyFill="1" applyProtection="1"/>
    <xf numFmtId="0" fontId="11" fillId="7" borderId="18" xfId="0" applyFont="1" applyFill="1" applyBorder="1" applyAlignment="1">
      <alignment horizontal="center"/>
    </xf>
    <xf numFmtId="0" fontId="11" fillId="7" borderId="9" xfId="0" applyFont="1" applyFill="1" applyBorder="1" applyAlignment="1">
      <alignment horizontal="center"/>
    </xf>
    <xf numFmtId="0" fontId="11" fillId="0" borderId="18" xfId="0" applyFont="1" applyFill="1" applyBorder="1" applyAlignment="1">
      <alignment horizontal="center"/>
    </xf>
    <xf numFmtId="0" fontId="11" fillId="0" borderId="10" xfId="0" applyFont="1" applyFill="1" applyBorder="1" applyAlignment="1">
      <alignment horizontal="center"/>
    </xf>
    <xf numFmtId="15" fontId="25" fillId="0" borderId="9" xfId="0" quotePrefix="1" applyNumberFormat="1" applyFont="1" applyFill="1" applyBorder="1" applyAlignment="1">
      <alignment horizontal="center"/>
    </xf>
    <xf numFmtId="0" fontId="0" fillId="2" borderId="0" xfId="0" applyFill="1" applyAlignment="1">
      <alignment horizontal="center"/>
    </xf>
    <xf numFmtId="0" fontId="0" fillId="11" borderId="0" xfId="0" applyFill="1" applyAlignment="1">
      <alignment horizontal="center"/>
    </xf>
    <xf numFmtId="0" fontId="21" fillId="0" borderId="0" xfId="7" applyFont="1" applyBorder="1" applyAlignment="1">
      <alignment horizontal="center"/>
    </xf>
    <xf numFmtId="0" fontId="22" fillId="0" borderId="0" xfId="7" applyFont="1" applyFill="1" applyBorder="1" applyAlignment="1">
      <alignment horizontal="center" wrapText="1"/>
    </xf>
    <xf numFmtId="0" fontId="3" fillId="0" borderId="0" xfId="18" applyAlignment="1">
      <alignment horizontal="left"/>
    </xf>
  </cellXfs>
  <cellStyles count="40">
    <cellStyle name="Comma" xfId="1" builtinId="3"/>
    <cellStyle name="Comma 2" xfId="4"/>
    <cellStyle name="Comma 2 2" xfId="22"/>
    <cellStyle name="Comma 3" xfId="8"/>
    <cellStyle name="Comma 3 2" xfId="15"/>
    <cellStyle name="Comma 4" xfId="10"/>
    <cellStyle name="Comma 4 2" xfId="17"/>
    <cellStyle name="Comma 4 2 2" xfId="35"/>
    <cellStyle name="Comma 4 3" xfId="32"/>
    <cellStyle name="Comma 5" xfId="19"/>
    <cellStyle name="Comma 5 2" xfId="37"/>
    <cellStyle name="Currency" xfId="11" builtinId="4"/>
    <cellStyle name="Currency 2" xfId="5"/>
    <cellStyle name="Currency 3" xfId="28"/>
    <cellStyle name="Currency 4" xfId="20"/>
    <cellStyle name="Currency 4 2" xfId="38"/>
    <cellStyle name="Currency 5" xfId="33"/>
    <cellStyle name="Grey" xfId="23"/>
    <cellStyle name="Input [yellow]" xfId="24"/>
    <cellStyle name="Normal" xfId="0" builtinId="0"/>
    <cellStyle name="Normal - Style1" xfId="25"/>
    <cellStyle name="Normal 2" xfId="3"/>
    <cellStyle name="Normal 2 2" xfId="26"/>
    <cellStyle name="Normal 3" xfId="7"/>
    <cellStyle name="Normal 3 2" xfId="14"/>
    <cellStyle name="Normal 3 3" xfId="21"/>
    <cellStyle name="Normal 4" xfId="9"/>
    <cellStyle name="Normal 4 2" xfId="16"/>
    <cellStyle name="Normal 4 2 2" xfId="34"/>
    <cellStyle name="Normal 4 3" xfId="31"/>
    <cellStyle name="Normal 5" xfId="12"/>
    <cellStyle name="Normal 6" xfId="18"/>
    <cellStyle name="Normal 6 2" xfId="36"/>
    <cellStyle name="Normal 7" xfId="29"/>
    <cellStyle name="Normal 7 2" xfId="39"/>
    <cellStyle name="Percent" xfId="2" builtinId="5"/>
    <cellStyle name="Percent [2]" xfId="27"/>
    <cellStyle name="Percent 2" xfId="6"/>
    <cellStyle name="Percent 3" xfId="13"/>
    <cellStyle name="Percent 4" xfId="3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119"/>
  <sheetViews>
    <sheetView topLeftCell="A31" zoomScaleNormal="100" workbookViewId="0">
      <selection activeCell="K17" sqref="K17"/>
    </sheetView>
  </sheetViews>
  <sheetFormatPr defaultRowHeight="15"/>
  <cols>
    <col min="1" max="1" width="3.109375" style="6" customWidth="1"/>
    <col min="2" max="2" width="44.44140625" style="6" bestFit="1" customWidth="1"/>
    <col min="3" max="3" width="16" style="6" bestFit="1" customWidth="1"/>
    <col min="4" max="5" width="13.5546875" style="6" bestFit="1" customWidth="1"/>
    <col min="6" max="6" width="14.5546875" style="6" bestFit="1" customWidth="1"/>
    <col min="7" max="7" width="8.88671875" style="5"/>
    <col min="8" max="8" width="18.5546875" style="5" customWidth="1"/>
    <col min="9" max="9" width="13.5546875" style="5" bestFit="1" customWidth="1"/>
    <col min="10" max="10" width="11.21875" style="5" customWidth="1"/>
    <col min="11" max="11" width="8.88671875" style="5"/>
    <col min="12" max="16384" width="8.88671875" style="6"/>
  </cols>
  <sheetData>
    <row r="1" spans="1:12" s="305" customFormat="1" ht="16.5" thickBot="1">
      <c r="A1" s="325"/>
      <c r="B1" s="326" t="s">
        <v>6</v>
      </c>
      <c r="C1" s="326" t="s">
        <v>1166</v>
      </c>
      <c r="D1" s="327" t="s">
        <v>1301</v>
      </c>
      <c r="E1" s="327" t="s">
        <v>1280</v>
      </c>
      <c r="F1" s="328" t="s">
        <v>1161</v>
      </c>
      <c r="G1" s="329" t="s">
        <v>272</v>
      </c>
      <c r="H1" s="470" t="s">
        <v>1170</v>
      </c>
      <c r="I1" s="471"/>
      <c r="J1" s="472" t="s">
        <v>1172</v>
      </c>
      <c r="K1" s="473"/>
      <c r="L1" s="6"/>
    </row>
    <row r="2" spans="1:12">
      <c r="A2" s="307"/>
      <c r="B2" s="119"/>
      <c r="C2" s="119"/>
      <c r="D2" s="308"/>
      <c r="E2" s="308"/>
      <c r="F2" s="309"/>
      <c r="H2" s="333" t="s">
        <v>1171</v>
      </c>
      <c r="I2" s="334" t="s">
        <v>1169</v>
      </c>
      <c r="J2" s="344" t="s">
        <v>1171</v>
      </c>
      <c r="K2" s="335" t="s">
        <v>1173</v>
      </c>
      <c r="L2" s="330" t="s">
        <v>1174</v>
      </c>
    </row>
    <row r="3" spans="1:12" ht="15.75">
      <c r="A3" s="310" t="s">
        <v>1165</v>
      </c>
      <c r="B3" s="119"/>
      <c r="C3" s="119"/>
      <c r="D3" s="311"/>
      <c r="E3" s="311"/>
      <c r="F3" s="312"/>
      <c r="H3" s="336"/>
      <c r="I3" s="337"/>
      <c r="J3" s="345"/>
      <c r="K3" s="338"/>
    </row>
    <row r="4" spans="1:12">
      <c r="A4" s="307"/>
      <c r="B4" s="154" t="s">
        <v>1678</v>
      </c>
      <c r="C4" s="330">
        <v>120</v>
      </c>
      <c r="D4" s="311">
        <v>7932352.0300000003</v>
      </c>
      <c r="E4" s="311">
        <v>0</v>
      </c>
      <c r="F4" s="313">
        <f>D4-E4</f>
        <v>7932352.0300000003</v>
      </c>
      <c r="G4" s="5">
        <v>13.29</v>
      </c>
      <c r="H4" s="340">
        <f>ROUND(I4/(I4+K4),2)</f>
        <v>1</v>
      </c>
      <c r="I4" s="337">
        <v>13.29</v>
      </c>
      <c r="J4" s="346">
        <f>1-H4</f>
        <v>0</v>
      </c>
      <c r="K4" s="338">
        <f>+G4-I4</f>
        <v>0</v>
      </c>
      <c r="L4" s="15"/>
    </row>
    <row r="5" spans="1:12">
      <c r="A5" s="307"/>
      <c r="B5" s="154" t="s">
        <v>1438</v>
      </c>
      <c r="C5" s="330">
        <v>122</v>
      </c>
      <c r="D5" s="311">
        <v>192776.55</v>
      </c>
      <c r="E5" s="311">
        <v>0</v>
      </c>
      <c r="F5" s="313">
        <f t="shared" ref="F5" si="0">D5-E5</f>
        <v>192776.55</v>
      </c>
      <c r="G5" s="5">
        <v>0.1</v>
      </c>
      <c r="H5" s="340">
        <f t="shared" ref="H5" si="1">ROUND(I5/(I5+K5),2)</f>
        <v>0</v>
      </c>
      <c r="I5" s="337">
        <v>0</v>
      </c>
      <c r="J5" s="346">
        <f t="shared" ref="J5" si="2">1-H5</f>
        <v>1</v>
      </c>
      <c r="K5" s="338">
        <f t="shared" ref="K5" si="3">+G5-I5</f>
        <v>0.1</v>
      </c>
      <c r="L5" s="15"/>
    </row>
    <row r="6" spans="1:12">
      <c r="A6" s="307"/>
      <c r="B6" s="154" t="s">
        <v>1538</v>
      </c>
      <c r="C6" s="21">
        <v>607</v>
      </c>
      <c r="D6" s="311">
        <v>25634.25</v>
      </c>
      <c r="E6" s="299">
        <v>0</v>
      </c>
      <c r="F6" s="313">
        <f>D6-E6</f>
        <v>25634.25</v>
      </c>
      <c r="G6" s="444">
        <v>0.15</v>
      </c>
      <c r="H6" s="339">
        <v>0</v>
      </c>
      <c r="I6" s="337">
        <v>0</v>
      </c>
      <c r="J6" s="346">
        <f>1-H6</f>
        <v>1</v>
      </c>
      <c r="K6" s="338">
        <f>+G6-I6</f>
        <v>0.15</v>
      </c>
      <c r="L6" s="15"/>
    </row>
    <row r="7" spans="1:12">
      <c r="A7" s="307"/>
      <c r="B7" s="154" t="s">
        <v>1670</v>
      </c>
      <c r="C7" s="21">
        <v>608</v>
      </c>
      <c r="D7" s="311">
        <v>22557.55</v>
      </c>
      <c r="E7" s="299">
        <v>0</v>
      </c>
      <c r="F7" s="313">
        <f t="shared" ref="F7:F11" si="4">D7-E7</f>
        <v>22557.55</v>
      </c>
      <c r="G7" s="444">
        <v>0.25</v>
      </c>
      <c r="H7" s="339">
        <v>0</v>
      </c>
      <c r="I7" s="337">
        <v>0</v>
      </c>
      <c r="J7" s="346">
        <f t="shared" ref="J7:J14" si="5">1-H7</f>
        <v>1</v>
      </c>
      <c r="K7" s="338">
        <f t="shared" ref="K7:K14" si="6">+G7-I7</f>
        <v>0.25</v>
      </c>
      <c r="L7" s="15"/>
    </row>
    <row r="8" spans="1:12">
      <c r="A8" s="307"/>
      <c r="B8" s="154" t="s">
        <v>1671</v>
      </c>
      <c r="C8" s="21">
        <v>609</v>
      </c>
      <c r="D8" s="311">
        <v>73669.94</v>
      </c>
      <c r="E8" s="299">
        <v>0</v>
      </c>
      <c r="F8" s="313">
        <f t="shared" si="4"/>
        <v>73669.94</v>
      </c>
      <c r="G8" s="444">
        <v>0.93</v>
      </c>
      <c r="H8" s="339">
        <v>0</v>
      </c>
      <c r="I8" s="337">
        <v>0</v>
      </c>
      <c r="J8" s="346">
        <f t="shared" si="5"/>
        <v>1</v>
      </c>
      <c r="K8" s="338">
        <f t="shared" si="6"/>
        <v>0.93</v>
      </c>
      <c r="L8" s="15"/>
    </row>
    <row r="9" spans="1:12">
      <c r="A9" s="307"/>
      <c r="B9" s="154" t="s">
        <v>1672</v>
      </c>
      <c r="C9" s="21">
        <v>610</v>
      </c>
      <c r="D9" s="311">
        <v>284702.33</v>
      </c>
      <c r="E9" s="299">
        <v>0</v>
      </c>
      <c r="F9" s="313">
        <f t="shared" si="4"/>
        <v>284702.33</v>
      </c>
      <c r="G9" s="444">
        <v>2.85</v>
      </c>
      <c r="H9" s="339">
        <v>0</v>
      </c>
      <c r="I9" s="337">
        <v>0</v>
      </c>
      <c r="J9" s="346">
        <f t="shared" si="5"/>
        <v>1</v>
      </c>
      <c r="K9" s="338">
        <f t="shared" si="6"/>
        <v>2.85</v>
      </c>
      <c r="L9" s="15"/>
    </row>
    <row r="10" spans="1:12">
      <c r="A10" s="307"/>
      <c r="B10" s="154" t="s">
        <v>1542</v>
      </c>
      <c r="C10" s="21">
        <v>611</v>
      </c>
      <c r="D10" s="311">
        <v>568849.31000000006</v>
      </c>
      <c r="E10" s="299">
        <v>0</v>
      </c>
      <c r="F10" s="313">
        <f t="shared" si="4"/>
        <v>568849.31000000006</v>
      </c>
      <c r="G10" s="444">
        <v>7.96</v>
      </c>
      <c r="H10" s="339">
        <v>0</v>
      </c>
      <c r="I10" s="337">
        <v>0</v>
      </c>
      <c r="J10" s="346">
        <f t="shared" si="5"/>
        <v>1</v>
      </c>
      <c r="K10" s="338">
        <f t="shared" si="6"/>
        <v>7.96</v>
      </c>
      <c r="L10" s="15"/>
    </row>
    <row r="11" spans="1:12">
      <c r="A11" s="307"/>
      <c r="B11" s="154" t="s">
        <v>1543</v>
      </c>
      <c r="C11" s="21">
        <v>612</v>
      </c>
      <c r="D11" s="311">
        <v>194179.20000000001</v>
      </c>
      <c r="E11" s="299">
        <v>0</v>
      </c>
      <c r="F11" s="313">
        <f t="shared" si="4"/>
        <v>194179.20000000001</v>
      </c>
      <c r="G11" s="444">
        <v>0.74</v>
      </c>
      <c r="H11" s="339">
        <v>0</v>
      </c>
      <c r="I11" s="337">
        <v>0</v>
      </c>
      <c r="J11" s="346">
        <f t="shared" si="5"/>
        <v>1</v>
      </c>
      <c r="K11" s="338">
        <f t="shared" si="6"/>
        <v>0.74</v>
      </c>
      <c r="L11" s="15"/>
    </row>
    <row r="12" spans="1:12">
      <c r="A12" s="307"/>
      <c r="B12" s="154" t="s">
        <v>1673</v>
      </c>
      <c r="C12" s="21">
        <v>613</v>
      </c>
      <c r="D12" s="311">
        <v>213087.14</v>
      </c>
      <c r="E12" s="299">
        <v>0</v>
      </c>
      <c r="F12" s="313">
        <f t="shared" ref="F12:F14" si="7">D12-E12</f>
        <v>213087.14</v>
      </c>
      <c r="G12" s="444">
        <v>4.09</v>
      </c>
      <c r="H12" s="339">
        <v>0</v>
      </c>
      <c r="I12" s="337">
        <v>0</v>
      </c>
      <c r="J12" s="346">
        <f t="shared" si="5"/>
        <v>1</v>
      </c>
      <c r="K12" s="338">
        <f t="shared" si="6"/>
        <v>4.09</v>
      </c>
      <c r="L12" s="15"/>
    </row>
    <row r="13" spans="1:12">
      <c r="A13" s="307"/>
      <c r="B13" s="154" t="s">
        <v>1545</v>
      </c>
      <c r="C13" s="21">
        <v>614</v>
      </c>
      <c r="D13" s="311">
        <v>440902.14</v>
      </c>
      <c r="E13" s="299">
        <v>0</v>
      </c>
      <c r="F13" s="313">
        <f t="shared" si="7"/>
        <v>440902.14</v>
      </c>
      <c r="G13" s="444">
        <v>3.97</v>
      </c>
      <c r="H13" s="339">
        <v>0</v>
      </c>
      <c r="I13" s="337">
        <v>0</v>
      </c>
      <c r="J13" s="346">
        <f t="shared" si="5"/>
        <v>1</v>
      </c>
      <c r="K13" s="338">
        <f t="shared" si="6"/>
        <v>3.97</v>
      </c>
      <c r="L13" s="15"/>
    </row>
    <row r="14" spans="1:12">
      <c r="A14" s="307"/>
      <c r="B14" s="154" t="s">
        <v>1546</v>
      </c>
      <c r="C14" s="21">
        <v>615</v>
      </c>
      <c r="D14" s="311">
        <v>759260.46</v>
      </c>
      <c r="E14" s="299">
        <v>0</v>
      </c>
      <c r="F14" s="313">
        <f t="shared" si="7"/>
        <v>759260.46</v>
      </c>
      <c r="G14" s="444">
        <v>6.44</v>
      </c>
      <c r="H14" s="339">
        <v>0</v>
      </c>
      <c r="I14" s="337">
        <v>0</v>
      </c>
      <c r="J14" s="346">
        <f t="shared" si="5"/>
        <v>1</v>
      </c>
      <c r="K14" s="338">
        <f t="shared" si="6"/>
        <v>6.44</v>
      </c>
      <c r="L14" s="15"/>
    </row>
    <row r="15" spans="1:12">
      <c r="A15" s="307"/>
      <c r="B15" s="119"/>
      <c r="C15" s="119"/>
      <c r="D15" s="311"/>
      <c r="E15" s="311"/>
      <c r="F15" s="312"/>
      <c r="H15" s="336"/>
      <c r="I15" s="337"/>
      <c r="J15" s="345"/>
      <c r="K15" s="338"/>
    </row>
    <row r="16" spans="1:12" ht="15.75">
      <c r="A16" s="310" t="s">
        <v>1669</v>
      </c>
      <c r="B16" s="119"/>
      <c r="C16" s="119"/>
      <c r="D16" s="311"/>
      <c r="E16" s="311"/>
      <c r="F16" s="312"/>
      <c r="H16" s="336"/>
      <c r="I16" s="337"/>
      <c r="J16" s="345"/>
      <c r="K16" s="338"/>
    </row>
    <row r="17" spans="1:11">
      <c r="A17" s="307"/>
      <c r="B17" s="154"/>
      <c r="C17" s="330"/>
      <c r="D17" s="311"/>
      <c r="E17" s="311"/>
      <c r="F17" s="313"/>
      <c r="H17" s="340"/>
      <c r="I17" s="337"/>
      <c r="J17" s="346"/>
      <c r="K17" s="338"/>
    </row>
    <row r="18" spans="1:11">
      <c r="A18" s="307"/>
      <c r="B18" s="154" t="s">
        <v>15</v>
      </c>
      <c r="C18" s="330">
        <v>5</v>
      </c>
      <c r="D18" s="311">
        <v>191123.42</v>
      </c>
      <c r="E18" s="311">
        <v>184350.46</v>
      </c>
      <c r="F18" s="313">
        <f t="shared" ref="F18:F19" si="8">D18-E18</f>
        <v>6772.960000000021</v>
      </c>
      <c r="G18" s="5">
        <v>9.14</v>
      </c>
      <c r="H18" s="340">
        <f>ROUND(I18/(I18+K18),2)</f>
        <v>1</v>
      </c>
      <c r="I18" s="337">
        <v>9.14</v>
      </c>
      <c r="J18" s="346">
        <f>1-H18</f>
        <v>0</v>
      </c>
      <c r="K18" s="338">
        <f>+G18-I18</f>
        <v>0</v>
      </c>
    </row>
    <row r="19" spans="1:11">
      <c r="A19" s="307"/>
      <c r="B19" s="154" t="s">
        <v>1321</v>
      </c>
      <c r="C19" s="330">
        <v>10</v>
      </c>
      <c r="D19" s="311">
        <v>329266.19</v>
      </c>
      <c r="E19" s="311">
        <v>321245.45</v>
      </c>
      <c r="F19" s="313">
        <f t="shared" si="8"/>
        <v>8020.7399999999907</v>
      </c>
      <c r="G19" s="5">
        <v>9.1199999999999992</v>
      </c>
      <c r="H19" s="340">
        <f t="shared" ref="H19" si="9">ROUND(I19/(I19+K19),2)</f>
        <v>1</v>
      </c>
      <c r="I19" s="337">
        <v>9.1199999999999992</v>
      </c>
      <c r="J19" s="346">
        <f t="shared" ref="J19" si="10">1-H19</f>
        <v>0</v>
      </c>
      <c r="K19" s="338">
        <f>+G19-I19</f>
        <v>0</v>
      </c>
    </row>
    <row r="20" spans="1:11">
      <c r="A20" s="307"/>
      <c r="B20" s="154" t="s">
        <v>1677</v>
      </c>
      <c r="C20" s="330" t="s">
        <v>1583</v>
      </c>
      <c r="D20" s="311">
        <v>1458150.97</v>
      </c>
      <c r="E20" s="311">
        <v>111238.18</v>
      </c>
      <c r="F20" s="313">
        <f t="shared" ref="F20:F36" si="11">D20-E20</f>
        <v>1346912.79</v>
      </c>
      <c r="G20" s="444">
        <v>6.68</v>
      </c>
      <c r="H20" s="340">
        <f t="shared" ref="H20:H36" si="12">ROUND(I20/(I20+K20),2)</f>
        <v>0.99</v>
      </c>
      <c r="I20" s="459">
        <v>6.6</v>
      </c>
      <c r="J20" s="346">
        <f t="shared" ref="J20:J36" si="13">1-H20</f>
        <v>1.0000000000000009E-2</v>
      </c>
      <c r="K20" s="338">
        <f t="shared" ref="K20:K36" si="14">+G20-I20</f>
        <v>8.0000000000000071E-2</v>
      </c>
    </row>
    <row r="21" spans="1:11">
      <c r="A21" s="307"/>
      <c r="B21" s="154" t="s">
        <v>1322</v>
      </c>
      <c r="C21" s="330" t="s">
        <v>1309</v>
      </c>
      <c r="D21" s="311">
        <v>351605.6</v>
      </c>
      <c r="E21" s="311">
        <v>344282.28</v>
      </c>
      <c r="F21" s="313">
        <f t="shared" si="11"/>
        <v>7323.3199999999488</v>
      </c>
      <c r="G21" s="5">
        <v>15.33</v>
      </c>
      <c r="H21" s="340">
        <f t="shared" si="12"/>
        <v>1</v>
      </c>
      <c r="I21" s="337">
        <v>15.33</v>
      </c>
      <c r="J21" s="346">
        <f t="shared" si="13"/>
        <v>0</v>
      </c>
      <c r="K21" s="338">
        <f t="shared" si="14"/>
        <v>0</v>
      </c>
    </row>
    <row r="22" spans="1:11" ht="30">
      <c r="A22" s="307"/>
      <c r="B22" s="457" t="s">
        <v>1679</v>
      </c>
      <c r="C22" s="330" t="s">
        <v>1259</v>
      </c>
      <c r="D22" s="311">
        <v>1145220.71</v>
      </c>
      <c r="E22" s="311">
        <v>596969.59</v>
      </c>
      <c r="F22" s="313">
        <f t="shared" ref="F22" si="15">D22-E22</f>
        <v>548251.12</v>
      </c>
      <c r="G22" s="444">
        <v>8.6</v>
      </c>
      <c r="H22" s="340">
        <f t="shared" ref="H22" si="16">ROUND(I22/(I22+K22),2)</f>
        <v>0.97</v>
      </c>
      <c r="I22" s="459">
        <v>8.32</v>
      </c>
      <c r="J22" s="346">
        <f t="shared" ref="J22" si="17">1-H22</f>
        <v>3.0000000000000027E-2</v>
      </c>
      <c r="K22" s="338">
        <f t="shared" ref="K22" si="18">+G22-I22</f>
        <v>0.27999999999999936</v>
      </c>
    </row>
    <row r="23" spans="1:11">
      <c r="A23" s="307"/>
      <c r="B23" s="457"/>
      <c r="C23" s="330"/>
      <c r="D23" s="311"/>
      <c r="E23" s="311"/>
      <c r="F23" s="313"/>
      <c r="H23" s="340"/>
      <c r="I23" s="337"/>
      <c r="J23" s="346"/>
      <c r="K23" s="338"/>
    </row>
    <row r="24" spans="1:11">
      <c r="A24" s="307"/>
      <c r="B24" s="457" t="s">
        <v>1332</v>
      </c>
      <c r="C24" s="330" t="s">
        <v>20</v>
      </c>
      <c r="D24" s="311">
        <v>15514.13</v>
      </c>
      <c r="E24" s="311">
        <v>1488.79</v>
      </c>
      <c r="F24" s="313">
        <f t="shared" ref="F24" si="19">D24-E24</f>
        <v>14025.34</v>
      </c>
      <c r="G24" s="5">
        <v>0.06</v>
      </c>
      <c r="H24" s="340">
        <f t="shared" ref="H24" si="20">ROUND(I24/(I24+K24),2)</f>
        <v>0</v>
      </c>
      <c r="I24" s="337">
        <v>0</v>
      </c>
      <c r="J24" s="346">
        <f t="shared" ref="J24" si="21">1-H24</f>
        <v>1</v>
      </c>
      <c r="K24" s="338">
        <f t="shared" ref="K24" si="22">+G24-I24</f>
        <v>0.06</v>
      </c>
    </row>
    <row r="25" spans="1:11" ht="30">
      <c r="A25" s="307"/>
      <c r="B25" s="457" t="s">
        <v>1340</v>
      </c>
      <c r="C25" s="330" t="s">
        <v>1607</v>
      </c>
      <c r="D25" s="311">
        <v>717086.84</v>
      </c>
      <c r="E25" s="311">
        <v>654073.79</v>
      </c>
      <c r="F25" s="313">
        <f t="shared" ref="F25" si="23">D25-E25</f>
        <v>63013.04999999993</v>
      </c>
      <c r="G25" s="444">
        <v>14.84</v>
      </c>
      <c r="H25" s="340">
        <f t="shared" ref="H25" si="24">ROUND(I25/(I25+K25),2)</f>
        <v>0.99</v>
      </c>
      <c r="I25" s="459">
        <v>14.66</v>
      </c>
      <c r="J25" s="346">
        <f t="shared" ref="J25" si="25">1-H25</f>
        <v>1.0000000000000009E-2</v>
      </c>
      <c r="K25" s="338">
        <f t="shared" ref="K25" si="26">+G25-I25</f>
        <v>0.17999999999999972</v>
      </c>
    </row>
    <row r="26" spans="1:11">
      <c r="A26" s="307"/>
      <c r="B26" s="457" t="s">
        <v>1680</v>
      </c>
      <c r="C26" s="330" t="s">
        <v>1344</v>
      </c>
      <c r="D26" s="311">
        <v>213535.04</v>
      </c>
      <c r="E26" s="311">
        <v>208421.86</v>
      </c>
      <c r="F26" s="313">
        <f t="shared" ref="F26" si="27">D26-E26</f>
        <v>5113.1800000000221</v>
      </c>
      <c r="G26" s="5">
        <v>11.03</v>
      </c>
      <c r="H26" s="340">
        <f t="shared" ref="H26" si="28">ROUND(I26/(I26+K26),2)</f>
        <v>0.99</v>
      </c>
      <c r="I26" s="337">
        <v>10.93</v>
      </c>
      <c r="J26" s="346">
        <f t="shared" ref="J26" si="29">1-H26</f>
        <v>1.0000000000000009E-2</v>
      </c>
      <c r="K26" s="338">
        <f t="shared" ref="K26" si="30">+G26-I26</f>
        <v>9.9999999999999645E-2</v>
      </c>
    </row>
    <row r="27" spans="1:11">
      <c r="A27" s="307"/>
      <c r="B27" s="154" t="s">
        <v>1674</v>
      </c>
      <c r="C27" s="330" t="s">
        <v>1345</v>
      </c>
      <c r="D27" s="311">
        <v>377707.61</v>
      </c>
      <c r="E27" s="311">
        <v>369780.99</v>
      </c>
      <c r="F27" s="313">
        <f t="shared" si="11"/>
        <v>7926.6199999999953</v>
      </c>
      <c r="G27" s="444">
        <v>17.73</v>
      </c>
      <c r="H27" s="340">
        <f t="shared" si="12"/>
        <v>1</v>
      </c>
      <c r="I27" s="459">
        <v>17.7</v>
      </c>
      <c r="J27" s="346">
        <f t="shared" si="13"/>
        <v>0</v>
      </c>
      <c r="K27" s="338">
        <f t="shared" si="14"/>
        <v>3.0000000000001137E-2</v>
      </c>
    </row>
    <row r="28" spans="1:11">
      <c r="A28" s="307"/>
      <c r="B28" s="457" t="s">
        <v>1352</v>
      </c>
      <c r="C28" s="330" t="s">
        <v>1351</v>
      </c>
      <c r="D28" s="311">
        <v>297651.27</v>
      </c>
      <c r="E28" s="311">
        <v>294788.42</v>
      </c>
      <c r="F28" s="313">
        <f t="shared" ref="F28" si="31">D28-E28</f>
        <v>2862.8500000000349</v>
      </c>
      <c r="G28" s="5">
        <v>17.36</v>
      </c>
      <c r="H28" s="340">
        <f t="shared" ref="H28" si="32">ROUND(I28/(I28+K28),2)</f>
        <v>1</v>
      </c>
      <c r="I28" s="337">
        <v>17.309999999999999</v>
      </c>
      <c r="J28" s="346">
        <f t="shared" ref="J28" si="33">1-H28</f>
        <v>0</v>
      </c>
      <c r="K28" s="338">
        <f t="shared" ref="K28" si="34">+G28-I28</f>
        <v>5.0000000000000711E-2</v>
      </c>
    </row>
    <row r="29" spans="1:11">
      <c r="A29" s="307"/>
      <c r="B29" s="457" t="s">
        <v>1354</v>
      </c>
      <c r="C29" s="330" t="s">
        <v>1353</v>
      </c>
      <c r="D29" s="311">
        <v>427577.58</v>
      </c>
      <c r="E29" s="311">
        <v>423785.87</v>
      </c>
      <c r="F29" s="313">
        <f t="shared" ref="F29" si="35">D29-E29</f>
        <v>3791.710000000021</v>
      </c>
      <c r="G29" s="5">
        <v>20.77</v>
      </c>
      <c r="H29" s="340">
        <f t="shared" ref="H29" si="36">ROUND(I29/(I29+K29),2)</f>
        <v>0.87</v>
      </c>
      <c r="I29" s="337">
        <v>18.07</v>
      </c>
      <c r="J29" s="346">
        <f t="shared" ref="J29" si="37">1-H29</f>
        <v>0.13</v>
      </c>
      <c r="K29" s="338">
        <f t="shared" ref="K29" si="38">+G29-I29</f>
        <v>2.6999999999999993</v>
      </c>
    </row>
    <row r="30" spans="1:11">
      <c r="A30" s="307"/>
      <c r="B30" s="457" t="s">
        <v>1357</v>
      </c>
      <c r="C30" s="330" t="s">
        <v>1356</v>
      </c>
      <c r="D30" s="311">
        <v>258257.12</v>
      </c>
      <c r="E30" s="311">
        <v>252323.71</v>
      </c>
      <c r="F30" s="313">
        <f t="shared" ref="F30" si="39">D30-E30</f>
        <v>5933.4100000000035</v>
      </c>
      <c r="G30" s="5">
        <v>8.69</v>
      </c>
      <c r="H30" s="340">
        <f t="shared" ref="H30" si="40">ROUND(I30/(I30+K30),2)</f>
        <v>0.92</v>
      </c>
      <c r="I30" s="337">
        <v>7.97</v>
      </c>
      <c r="J30" s="346">
        <f t="shared" ref="J30" si="41">1-H30</f>
        <v>7.999999999999996E-2</v>
      </c>
      <c r="K30" s="338">
        <f t="shared" ref="K30" si="42">+G30-I30</f>
        <v>0.71999999999999975</v>
      </c>
    </row>
    <row r="31" spans="1:11">
      <c r="A31" s="307"/>
      <c r="B31" s="457" t="s">
        <v>1358</v>
      </c>
      <c r="C31" s="330" t="s">
        <v>191</v>
      </c>
      <c r="D31" s="311">
        <v>410114.72</v>
      </c>
      <c r="E31" s="311">
        <v>388115.84</v>
      </c>
      <c r="F31" s="313">
        <f t="shared" ref="F31" si="43">D31-E31</f>
        <v>21998.879999999946</v>
      </c>
      <c r="G31" s="5">
        <v>12.7</v>
      </c>
      <c r="H31" s="340">
        <f t="shared" ref="H31" si="44">ROUND(I31/(I31+K31),2)</f>
        <v>1</v>
      </c>
      <c r="I31" s="337">
        <v>12.7</v>
      </c>
      <c r="J31" s="346">
        <f t="shared" ref="J31" si="45">1-H31</f>
        <v>0</v>
      </c>
      <c r="K31" s="338">
        <f t="shared" ref="K31" si="46">+G31-I31</f>
        <v>0</v>
      </c>
    </row>
    <row r="32" spans="1:11">
      <c r="A32" s="307"/>
      <c r="B32" s="154" t="s">
        <v>1363</v>
      </c>
      <c r="C32" s="330" t="s">
        <v>30</v>
      </c>
      <c r="D32" s="311">
        <v>164603.67000000001</v>
      </c>
      <c r="E32" s="311">
        <v>162018.29999999999</v>
      </c>
      <c r="F32" s="313">
        <f t="shared" si="11"/>
        <v>2585.3700000000244</v>
      </c>
      <c r="G32" s="5">
        <v>7.22</v>
      </c>
      <c r="H32" s="340">
        <f t="shared" si="12"/>
        <v>0</v>
      </c>
      <c r="I32" s="337">
        <v>0</v>
      </c>
      <c r="J32" s="346">
        <f t="shared" si="13"/>
        <v>1</v>
      </c>
      <c r="K32" s="338">
        <f t="shared" si="14"/>
        <v>7.22</v>
      </c>
    </row>
    <row r="33" spans="1:12">
      <c r="A33" s="307"/>
      <c r="B33" s="457" t="s">
        <v>1375</v>
      </c>
      <c r="C33" s="330" t="s">
        <v>205</v>
      </c>
      <c r="D33" s="311">
        <v>165817.62</v>
      </c>
      <c r="E33" s="311">
        <v>159112.63</v>
      </c>
      <c r="F33" s="313">
        <f t="shared" ref="F33" si="47">D33-E33</f>
        <v>6704.9899999999907</v>
      </c>
      <c r="G33" s="5">
        <v>10.73</v>
      </c>
      <c r="H33" s="340">
        <f t="shared" ref="H33" si="48">ROUND(I33/(I33+K33),2)</f>
        <v>0.99</v>
      </c>
      <c r="I33" s="337">
        <v>10.67</v>
      </c>
      <c r="J33" s="346">
        <f t="shared" ref="J33" si="49">1-H33</f>
        <v>1.0000000000000009E-2</v>
      </c>
      <c r="K33" s="338">
        <f t="shared" ref="K33" si="50">+G33-I33</f>
        <v>6.0000000000000497E-2</v>
      </c>
    </row>
    <row r="34" spans="1:12">
      <c r="A34" s="307"/>
      <c r="B34" s="154" t="s">
        <v>1378</v>
      </c>
      <c r="C34" s="330">
        <v>50</v>
      </c>
      <c r="D34" s="311">
        <v>246144.47</v>
      </c>
      <c r="E34" s="311">
        <v>219039.93</v>
      </c>
      <c r="F34" s="313">
        <f t="shared" si="11"/>
        <v>27104.540000000008</v>
      </c>
      <c r="G34" s="5">
        <v>12.54</v>
      </c>
      <c r="H34" s="340">
        <f t="shared" si="12"/>
        <v>1</v>
      </c>
      <c r="I34" s="337">
        <v>12.54</v>
      </c>
      <c r="J34" s="346">
        <f t="shared" si="13"/>
        <v>0</v>
      </c>
      <c r="K34" s="338">
        <f t="shared" si="14"/>
        <v>0</v>
      </c>
    </row>
    <row r="35" spans="1:12" ht="30">
      <c r="A35" s="307"/>
      <c r="B35" s="457" t="s">
        <v>1681</v>
      </c>
      <c r="C35" s="330" t="s">
        <v>208</v>
      </c>
      <c r="D35" s="311">
        <v>817423.73</v>
      </c>
      <c r="E35" s="311">
        <v>813281.6</v>
      </c>
      <c r="F35" s="313">
        <f t="shared" ref="F35" si="51">D35-E35</f>
        <v>4142.1300000000047</v>
      </c>
      <c r="G35" s="5">
        <v>14.34</v>
      </c>
      <c r="H35" s="340">
        <f t="shared" ref="H35" si="52">ROUND(I35/(I35+K35),2)</f>
        <v>0.97</v>
      </c>
      <c r="I35" s="337">
        <v>13.86</v>
      </c>
      <c r="J35" s="346">
        <f t="shared" ref="J35" si="53">1-H35</f>
        <v>3.0000000000000027E-2</v>
      </c>
      <c r="K35" s="338">
        <f t="shared" ref="K35" si="54">+G35-I35</f>
        <v>0.48000000000000043</v>
      </c>
    </row>
    <row r="36" spans="1:12">
      <c r="A36" s="307"/>
      <c r="B36" s="154" t="s">
        <v>1393</v>
      </c>
      <c r="C36" s="330">
        <v>62</v>
      </c>
      <c r="D36" s="311">
        <v>425857.86</v>
      </c>
      <c r="E36" s="311">
        <v>426596.39</v>
      </c>
      <c r="F36" s="313">
        <f t="shared" si="11"/>
        <v>-738.53000000002794</v>
      </c>
      <c r="G36" s="5">
        <v>8.92</v>
      </c>
      <c r="H36" s="340">
        <f t="shared" si="12"/>
        <v>1</v>
      </c>
      <c r="I36" s="337">
        <v>8.92</v>
      </c>
      <c r="J36" s="346">
        <f t="shared" si="13"/>
        <v>0</v>
      </c>
      <c r="K36" s="338">
        <f t="shared" si="14"/>
        <v>0</v>
      </c>
    </row>
    <row r="37" spans="1:12">
      <c r="A37" s="307"/>
      <c r="B37" s="457" t="s">
        <v>1682</v>
      </c>
      <c r="C37" s="330" t="s">
        <v>1394</v>
      </c>
      <c r="D37" s="311">
        <v>208644.18</v>
      </c>
      <c r="E37" s="311">
        <v>202874.43</v>
      </c>
      <c r="F37" s="313">
        <f t="shared" ref="F37" si="55">D37-E37</f>
        <v>5769.75</v>
      </c>
      <c r="G37" s="444">
        <v>11.4</v>
      </c>
      <c r="H37" s="340">
        <f t="shared" ref="H37" si="56">ROUND(I37/(I37+K37),2)</f>
        <v>1</v>
      </c>
      <c r="I37" s="459">
        <v>11.4</v>
      </c>
      <c r="J37" s="346">
        <f t="shared" ref="J37" si="57">1-H37</f>
        <v>0</v>
      </c>
      <c r="K37" s="338">
        <f t="shared" ref="K37" si="58">+G37-I37</f>
        <v>0</v>
      </c>
    </row>
    <row r="38" spans="1:12">
      <c r="A38" s="307"/>
      <c r="B38" s="154" t="s">
        <v>1675</v>
      </c>
      <c r="C38" s="330">
        <v>64</v>
      </c>
      <c r="D38" s="311">
        <v>2142529.71</v>
      </c>
      <c r="E38" s="311">
        <v>2118292.09</v>
      </c>
      <c r="F38" s="313">
        <f t="shared" ref="F38:F46" si="59">D38-E38</f>
        <v>24237.620000000112</v>
      </c>
      <c r="G38" s="5">
        <v>10.36</v>
      </c>
      <c r="H38" s="340">
        <f t="shared" ref="H38:H46" si="60">ROUND(I38/(I38+K38),2)</f>
        <v>1</v>
      </c>
      <c r="I38" s="337">
        <v>10.36</v>
      </c>
      <c r="J38" s="346">
        <f t="shared" ref="J38:J46" si="61">1-H38</f>
        <v>0</v>
      </c>
      <c r="K38" s="338">
        <f t="shared" ref="K38:K46" si="62">+G38-I38</f>
        <v>0</v>
      </c>
    </row>
    <row r="39" spans="1:12">
      <c r="A39" s="307"/>
      <c r="B39" s="154" t="s">
        <v>1398</v>
      </c>
      <c r="C39" s="330">
        <v>65</v>
      </c>
      <c r="D39" s="311">
        <v>161995.93</v>
      </c>
      <c r="E39" s="311">
        <v>155645.82</v>
      </c>
      <c r="F39" s="313">
        <f t="shared" si="59"/>
        <v>6350.109999999986</v>
      </c>
      <c r="G39" s="467">
        <v>3.26</v>
      </c>
      <c r="H39" s="340">
        <f t="shared" si="60"/>
        <v>0</v>
      </c>
      <c r="I39" s="337">
        <v>0</v>
      </c>
      <c r="J39" s="346">
        <f t="shared" si="61"/>
        <v>1</v>
      </c>
      <c r="K39" s="338">
        <f t="shared" si="62"/>
        <v>3.26</v>
      </c>
    </row>
    <row r="40" spans="1:12">
      <c r="A40" s="307"/>
      <c r="B40" s="154" t="s">
        <v>49</v>
      </c>
      <c r="C40" s="330">
        <v>68</v>
      </c>
      <c r="D40" s="311">
        <v>31634.75</v>
      </c>
      <c r="E40" s="311">
        <v>29251.86</v>
      </c>
      <c r="F40" s="313">
        <f t="shared" si="59"/>
        <v>2382.8899999999994</v>
      </c>
      <c r="G40" s="5">
        <v>2.0699999999999998</v>
      </c>
      <c r="H40" s="340">
        <f t="shared" si="60"/>
        <v>0</v>
      </c>
      <c r="I40" s="337">
        <v>0</v>
      </c>
      <c r="J40" s="346">
        <f t="shared" si="61"/>
        <v>1</v>
      </c>
      <c r="K40" s="338">
        <f t="shared" si="62"/>
        <v>2.0699999999999998</v>
      </c>
    </row>
    <row r="41" spans="1:12">
      <c r="A41" s="307"/>
      <c r="B41" s="154" t="s">
        <v>1676</v>
      </c>
      <c r="C41" s="330" t="s">
        <v>1400</v>
      </c>
      <c r="D41" s="311">
        <v>202859.81</v>
      </c>
      <c r="E41" s="311">
        <v>108701.56</v>
      </c>
      <c r="F41" s="313">
        <f t="shared" si="59"/>
        <v>94158.25</v>
      </c>
      <c r="G41" s="444">
        <v>7.97</v>
      </c>
      <c r="H41" s="340">
        <f t="shared" si="60"/>
        <v>0.99</v>
      </c>
      <c r="I41" s="459">
        <v>7.93</v>
      </c>
      <c r="J41" s="346">
        <f t="shared" si="61"/>
        <v>1.0000000000000009E-2</v>
      </c>
      <c r="K41" s="460">
        <f t="shared" si="62"/>
        <v>4.0000000000000036E-2</v>
      </c>
    </row>
    <row r="42" spans="1:12" ht="30">
      <c r="A42" s="307"/>
      <c r="B42" s="457" t="s">
        <v>1403</v>
      </c>
      <c r="C42" s="330" t="s">
        <v>1402</v>
      </c>
      <c r="D42" s="311">
        <v>945704.93</v>
      </c>
      <c r="E42" s="311">
        <v>487306.35</v>
      </c>
      <c r="F42" s="313">
        <f t="shared" ref="F42" si="63">D42-E42</f>
        <v>458398.58000000007</v>
      </c>
      <c r="G42" s="5">
        <v>13.31</v>
      </c>
      <c r="H42" s="340">
        <f t="shared" ref="H42" si="64">ROUND(I42/(I42+K42),2)</f>
        <v>1</v>
      </c>
      <c r="I42" s="337">
        <v>13.27</v>
      </c>
      <c r="J42" s="346">
        <f t="shared" ref="J42" si="65">1-H42</f>
        <v>0</v>
      </c>
      <c r="K42" s="338">
        <f t="shared" ref="K42" si="66">+G42-I42</f>
        <v>4.0000000000000924E-2</v>
      </c>
    </row>
    <row r="43" spans="1:12" ht="30">
      <c r="A43" s="307"/>
      <c r="B43" s="457" t="s">
        <v>1683</v>
      </c>
      <c r="C43" s="330" t="s">
        <v>160</v>
      </c>
      <c r="D43" s="311">
        <v>282720.99</v>
      </c>
      <c r="E43" s="311">
        <v>278469.53999999998</v>
      </c>
      <c r="F43" s="313">
        <f t="shared" ref="F43" si="67">D43-E43</f>
        <v>4251.4500000000116</v>
      </c>
      <c r="G43" s="5">
        <v>8.17</v>
      </c>
      <c r="H43" s="340">
        <f t="shared" ref="H43" si="68">ROUND(I43/(I43+K43),2)</f>
        <v>1</v>
      </c>
      <c r="I43" s="337">
        <v>8.14</v>
      </c>
      <c r="J43" s="346">
        <f t="shared" ref="J43" si="69">1-H43</f>
        <v>0</v>
      </c>
      <c r="K43" s="338">
        <f t="shared" ref="K43" si="70">+G43-I43</f>
        <v>2.9999999999999361E-2</v>
      </c>
    </row>
    <row r="44" spans="1:12" ht="45">
      <c r="A44" s="307"/>
      <c r="B44" s="457" t="s">
        <v>1405</v>
      </c>
      <c r="C44" s="330" t="s">
        <v>1595</v>
      </c>
      <c r="D44" s="311">
        <v>286229.73</v>
      </c>
      <c r="E44" s="311">
        <v>136181.62</v>
      </c>
      <c r="F44" s="313">
        <f t="shared" si="59"/>
        <v>150048.10999999999</v>
      </c>
      <c r="G44" s="5">
        <v>4.54</v>
      </c>
      <c r="H44" s="340">
        <f t="shared" si="60"/>
        <v>1</v>
      </c>
      <c r="I44" s="337">
        <v>4.54</v>
      </c>
      <c r="J44" s="346">
        <f t="shared" si="61"/>
        <v>0</v>
      </c>
      <c r="K44" s="338">
        <f t="shared" si="62"/>
        <v>0</v>
      </c>
    </row>
    <row r="45" spans="1:12">
      <c r="A45" s="307"/>
      <c r="B45" s="154" t="s">
        <v>59</v>
      </c>
      <c r="C45" s="330">
        <v>83</v>
      </c>
      <c r="D45" s="311">
        <v>155751.01999999999</v>
      </c>
      <c r="E45" s="311">
        <v>125972.64</v>
      </c>
      <c r="F45" s="313">
        <f t="shared" si="59"/>
        <v>29778.37999999999</v>
      </c>
      <c r="G45" s="5">
        <v>3.07</v>
      </c>
      <c r="H45" s="340">
        <f t="shared" si="60"/>
        <v>0</v>
      </c>
      <c r="I45" s="337">
        <v>0</v>
      </c>
      <c r="J45" s="346">
        <f t="shared" si="61"/>
        <v>1</v>
      </c>
      <c r="K45" s="338">
        <f t="shared" si="62"/>
        <v>3.07</v>
      </c>
    </row>
    <row r="46" spans="1:12">
      <c r="A46" s="307"/>
      <c r="B46" s="154" t="s">
        <v>1412</v>
      </c>
      <c r="C46" s="330">
        <v>86</v>
      </c>
      <c r="D46" s="311">
        <v>297244.08</v>
      </c>
      <c r="E46" s="311">
        <v>288849.78000000003</v>
      </c>
      <c r="F46" s="313">
        <f t="shared" si="59"/>
        <v>8394.2999999999884</v>
      </c>
      <c r="G46" s="444">
        <v>8.81</v>
      </c>
      <c r="H46" s="340">
        <f t="shared" si="60"/>
        <v>0.95</v>
      </c>
      <c r="I46" s="337">
        <v>8.34</v>
      </c>
      <c r="J46" s="346">
        <f t="shared" si="61"/>
        <v>5.0000000000000044E-2</v>
      </c>
      <c r="K46" s="338">
        <f t="shared" si="62"/>
        <v>0.47000000000000064</v>
      </c>
    </row>
    <row r="47" spans="1:12">
      <c r="A47" s="307"/>
      <c r="B47" s="154" t="s">
        <v>1414</v>
      </c>
      <c r="C47" s="330">
        <v>89</v>
      </c>
      <c r="D47" s="311">
        <v>3572446.75</v>
      </c>
      <c r="E47" s="311">
        <v>860276.79</v>
      </c>
      <c r="F47" s="313">
        <f>D47-E47</f>
        <v>2712169.96</v>
      </c>
      <c r="G47" s="444">
        <v>9.68</v>
      </c>
      <c r="H47" s="340">
        <f t="shared" ref="H47:H52" si="71">ROUND(I47/(I47+K47),2)</f>
        <v>0</v>
      </c>
      <c r="I47" s="337">
        <v>0</v>
      </c>
      <c r="J47" s="346">
        <f t="shared" ref="J47:J49" si="72">1-H47</f>
        <v>1</v>
      </c>
      <c r="K47" s="338">
        <f t="shared" ref="K47:K56" si="73">+G47-I47</f>
        <v>9.68</v>
      </c>
      <c r="L47" s="15"/>
    </row>
    <row r="48" spans="1:12">
      <c r="A48" s="307"/>
      <c r="B48" s="154" t="s">
        <v>1599</v>
      </c>
      <c r="C48" s="21">
        <v>115</v>
      </c>
      <c r="D48" s="311">
        <v>97397.75</v>
      </c>
      <c r="E48" s="311">
        <v>89547.73</v>
      </c>
      <c r="F48" s="313">
        <f t="shared" ref="F48:F54" si="74">D48-E48</f>
        <v>7850.0200000000041</v>
      </c>
      <c r="G48" s="5">
        <v>3.91</v>
      </c>
      <c r="H48" s="340">
        <f t="shared" si="71"/>
        <v>0</v>
      </c>
      <c r="I48" s="337">
        <v>0</v>
      </c>
      <c r="J48" s="346">
        <f t="shared" si="72"/>
        <v>1</v>
      </c>
      <c r="K48" s="338">
        <f t="shared" si="73"/>
        <v>3.91</v>
      </c>
    </row>
    <row r="49" spans="1:12">
      <c r="A49" s="307"/>
      <c r="B49" s="154" t="s">
        <v>1440</v>
      </c>
      <c r="C49" s="330">
        <v>162</v>
      </c>
      <c r="D49" s="311">
        <v>1023079.81</v>
      </c>
      <c r="E49" s="311">
        <v>986940.67</v>
      </c>
      <c r="F49" s="313">
        <f t="shared" si="74"/>
        <v>36139.140000000014</v>
      </c>
      <c r="G49" s="5">
        <v>33.840000000000003</v>
      </c>
      <c r="H49" s="340">
        <f t="shared" si="71"/>
        <v>1</v>
      </c>
      <c r="I49" s="337">
        <v>33.840000000000003</v>
      </c>
      <c r="J49" s="346">
        <f t="shared" si="72"/>
        <v>0</v>
      </c>
      <c r="K49" s="338">
        <f t="shared" si="73"/>
        <v>0</v>
      </c>
    </row>
    <row r="50" spans="1:12">
      <c r="A50" s="307"/>
      <c r="B50" s="154" t="s">
        <v>1443</v>
      </c>
      <c r="C50" s="330">
        <v>165</v>
      </c>
      <c r="D50" s="311">
        <v>2238817.6800000002</v>
      </c>
      <c r="E50" s="311">
        <v>1257480.1100000001</v>
      </c>
      <c r="F50" s="313">
        <f t="shared" si="74"/>
        <v>981337.57000000007</v>
      </c>
      <c r="G50" s="5">
        <v>28.43</v>
      </c>
      <c r="H50" s="340">
        <f t="shared" si="71"/>
        <v>1</v>
      </c>
      <c r="I50" s="337">
        <v>28.43</v>
      </c>
      <c r="J50" s="346">
        <f t="shared" ref="J50" si="75">1-H50</f>
        <v>0</v>
      </c>
      <c r="K50" s="338">
        <f t="shared" si="73"/>
        <v>0</v>
      </c>
    </row>
    <row r="51" spans="1:12">
      <c r="A51" s="307"/>
      <c r="B51" s="154" t="s">
        <v>1449</v>
      </c>
      <c r="C51" s="21">
        <v>169</v>
      </c>
      <c r="D51" s="311">
        <v>1541630.8</v>
      </c>
      <c r="E51" s="311">
        <v>382185.34</v>
      </c>
      <c r="F51" s="313">
        <f t="shared" si="74"/>
        <v>1159445.46</v>
      </c>
      <c r="G51" s="458">
        <v>4.5199999999999996</v>
      </c>
      <c r="H51" s="340">
        <f t="shared" si="71"/>
        <v>1</v>
      </c>
      <c r="I51" s="459">
        <v>4.5199999999999996</v>
      </c>
      <c r="J51" s="346">
        <f t="shared" ref="J51" si="76">1-H51</f>
        <v>0</v>
      </c>
      <c r="K51" s="338">
        <f t="shared" si="73"/>
        <v>0</v>
      </c>
    </row>
    <row r="52" spans="1:12">
      <c r="A52" s="307"/>
      <c r="B52" s="154" t="s">
        <v>1449</v>
      </c>
      <c r="C52" s="330">
        <v>170</v>
      </c>
      <c r="D52" s="311">
        <v>1647079.09</v>
      </c>
      <c r="E52" s="311">
        <v>306318.83</v>
      </c>
      <c r="F52" s="313">
        <f t="shared" si="74"/>
        <v>1340760.26</v>
      </c>
      <c r="G52" s="458">
        <v>4.54</v>
      </c>
      <c r="H52" s="340">
        <f t="shared" si="71"/>
        <v>1</v>
      </c>
      <c r="I52" s="459">
        <v>4.54</v>
      </c>
      <c r="J52" s="346">
        <f t="shared" ref="J52:J54" si="77">1-H52</f>
        <v>0</v>
      </c>
      <c r="K52" s="338">
        <f t="shared" si="73"/>
        <v>0</v>
      </c>
    </row>
    <row r="53" spans="1:12">
      <c r="A53" s="307"/>
      <c r="B53" s="154" t="s">
        <v>1459</v>
      </c>
      <c r="C53" s="330">
        <v>180</v>
      </c>
      <c r="D53" s="311">
        <v>10261378.27</v>
      </c>
      <c r="E53" s="311">
        <v>10478986.84</v>
      </c>
      <c r="F53" s="313">
        <f t="shared" ref="F53" si="78">D53-E53</f>
        <v>-217608.5700000003</v>
      </c>
      <c r="G53" s="298">
        <v>19.600000000000001</v>
      </c>
      <c r="H53" s="340">
        <f t="shared" ref="H53:H55" si="79">ROUND(I53/(I53+K53),2)</f>
        <v>1</v>
      </c>
      <c r="I53" s="459">
        <v>19.600000000000001</v>
      </c>
      <c r="J53" s="346">
        <f t="shared" ref="J53" si="80">1-H53</f>
        <v>0</v>
      </c>
      <c r="K53" s="338">
        <f t="shared" ref="K53" si="81">+G53-I53</f>
        <v>0</v>
      </c>
    </row>
    <row r="54" spans="1:12">
      <c r="A54" s="307"/>
      <c r="B54" s="154" t="s">
        <v>1462</v>
      </c>
      <c r="C54" s="330">
        <v>184</v>
      </c>
      <c r="D54" s="311">
        <v>19142.3</v>
      </c>
      <c r="E54" s="311">
        <v>0</v>
      </c>
      <c r="F54" s="313">
        <f t="shared" si="74"/>
        <v>19142.3</v>
      </c>
      <c r="G54" s="461">
        <v>0.39</v>
      </c>
      <c r="H54" s="340">
        <v>0</v>
      </c>
      <c r="I54" s="459">
        <v>0.39</v>
      </c>
      <c r="J54" s="346">
        <f t="shared" si="77"/>
        <v>1</v>
      </c>
      <c r="K54" s="338">
        <f t="shared" si="73"/>
        <v>0</v>
      </c>
    </row>
    <row r="55" spans="1:12" ht="30">
      <c r="A55" s="307"/>
      <c r="B55" s="457" t="s">
        <v>1684</v>
      </c>
      <c r="C55" s="330" t="s">
        <v>215</v>
      </c>
      <c r="D55" s="311">
        <v>3877203.76</v>
      </c>
      <c r="E55" s="311">
        <v>3880856.54</v>
      </c>
      <c r="F55" s="313">
        <f t="shared" ref="F55" si="82">D55-E55</f>
        <v>-3652.7800000002608</v>
      </c>
      <c r="G55" s="5">
        <v>26.61</v>
      </c>
      <c r="H55" s="340">
        <f t="shared" si="79"/>
        <v>1</v>
      </c>
      <c r="I55" s="337">
        <v>26.61</v>
      </c>
      <c r="J55" s="346">
        <f t="shared" ref="J55" si="83">1-H55</f>
        <v>0</v>
      </c>
      <c r="K55" s="338">
        <f t="shared" ref="K55" si="84">+G55-I55</f>
        <v>0</v>
      </c>
    </row>
    <row r="56" spans="1:12">
      <c r="A56" s="307"/>
      <c r="B56" s="154" t="s">
        <v>139</v>
      </c>
      <c r="C56" s="330">
        <v>544</v>
      </c>
      <c r="D56" s="311">
        <v>0</v>
      </c>
      <c r="E56" s="311">
        <v>122746.05</v>
      </c>
      <c r="F56" s="313">
        <f>+D56-E56</f>
        <v>-122746.05</v>
      </c>
      <c r="G56" s="5">
        <v>0</v>
      </c>
      <c r="H56" s="340">
        <v>0</v>
      </c>
      <c r="I56" s="337">
        <v>0</v>
      </c>
      <c r="J56" s="346">
        <f t="shared" ref="J56" si="85">1-H56</f>
        <v>1</v>
      </c>
      <c r="K56" s="338">
        <f t="shared" si="73"/>
        <v>0</v>
      </c>
    </row>
    <row r="57" spans="1:12" ht="15.75" thickBot="1">
      <c r="A57" s="307"/>
      <c r="B57" s="390" t="s">
        <v>892</v>
      </c>
      <c r="C57" s="21"/>
      <c r="D57" s="311">
        <v>20970330.18</v>
      </c>
      <c r="E57" s="311">
        <v>20976270.18</v>
      </c>
      <c r="F57" s="313">
        <f>+D57-E57</f>
        <v>-5940</v>
      </c>
      <c r="G57" s="329"/>
      <c r="H57" s="341"/>
      <c r="I57" s="342"/>
      <c r="J57" s="347"/>
      <c r="K57" s="343"/>
      <c r="L57" s="15"/>
    </row>
    <row r="58" spans="1:12">
      <c r="A58" s="307"/>
      <c r="B58" s="42"/>
      <c r="C58" s="42"/>
      <c r="D58" s="311"/>
      <c r="E58" s="311"/>
      <c r="F58" s="313"/>
    </row>
    <row r="59" spans="1:12" ht="15.75">
      <c r="A59" s="307"/>
      <c r="B59" s="305" t="s">
        <v>1162</v>
      </c>
      <c r="C59" s="305"/>
      <c r="D59" s="314"/>
      <c r="E59" s="314"/>
      <c r="F59" s="315">
        <f>SUM(F4:F57)</f>
        <v>19480382.120000008</v>
      </c>
    </row>
    <row r="60" spans="1:12">
      <c r="A60" s="307"/>
      <c r="B60" s="42"/>
      <c r="C60" s="42"/>
      <c r="D60" s="42"/>
      <c r="E60" s="42"/>
      <c r="F60" s="316"/>
    </row>
    <row r="61" spans="1:12" ht="15.75">
      <c r="A61" s="307"/>
      <c r="B61" s="305" t="s">
        <v>1279</v>
      </c>
      <c r="C61" s="305"/>
      <c r="D61" s="305"/>
      <c r="E61" s="305"/>
      <c r="F61" s="315">
        <v>189202265.40000001</v>
      </c>
    </row>
    <row r="62" spans="1:12" ht="15.75">
      <c r="A62" s="307"/>
      <c r="B62" s="305" t="s">
        <v>1302</v>
      </c>
      <c r="C62" s="305"/>
      <c r="D62" s="305"/>
      <c r="E62" s="305"/>
      <c r="F62" s="315">
        <f>+'MISO Lines DECEMBER 2016'!I272</f>
        <v>208682647.52300006</v>
      </c>
    </row>
    <row r="63" spans="1:12" ht="15.75">
      <c r="A63" s="307"/>
      <c r="B63" s="305" t="s">
        <v>1303</v>
      </c>
      <c r="C63" s="305"/>
      <c r="D63" s="305"/>
      <c r="E63" s="305"/>
      <c r="F63" s="315">
        <f>+F62-F61</f>
        <v>19480382.123000056</v>
      </c>
    </row>
    <row r="64" spans="1:12" ht="15.75">
      <c r="A64" s="307"/>
      <c r="B64" s="305"/>
      <c r="C64" s="305"/>
      <c r="D64" s="305"/>
      <c r="E64" s="305"/>
      <c r="F64" s="317"/>
    </row>
    <row r="65" spans="1:10" ht="16.5" thickBot="1">
      <c r="A65" s="318"/>
      <c r="B65" s="306" t="s">
        <v>1163</v>
      </c>
      <c r="C65" s="306"/>
      <c r="D65" s="306"/>
      <c r="E65" s="306"/>
      <c r="F65" s="319">
        <f>F59-F63</f>
        <v>-3.0000470578670502E-3</v>
      </c>
    </row>
    <row r="66" spans="1:10" ht="16.5" thickBot="1">
      <c r="A66" s="325"/>
      <c r="B66" s="326" t="s">
        <v>6</v>
      </c>
      <c r="C66" s="326" t="s">
        <v>1166</v>
      </c>
      <c r="D66" s="327" t="s">
        <v>1301</v>
      </c>
      <c r="E66" s="327" t="s">
        <v>1280</v>
      </c>
      <c r="F66" s="328" t="s">
        <v>1161</v>
      </c>
      <c r="H66" s="331" t="s">
        <v>1175</v>
      </c>
      <c r="I66" s="329" t="s">
        <v>1176</v>
      </c>
      <c r="J66" s="348" t="s">
        <v>1174</v>
      </c>
    </row>
    <row r="67" spans="1:10" ht="15.75">
      <c r="A67" s="320"/>
      <c r="B67" s="321"/>
      <c r="C67" s="321"/>
      <c r="D67" s="474" t="s">
        <v>1291</v>
      </c>
      <c r="E67" s="474"/>
      <c r="F67" s="322"/>
      <c r="H67" s="332"/>
      <c r="J67" s="349"/>
    </row>
    <row r="68" spans="1:10" ht="15.75">
      <c r="A68" s="310" t="s">
        <v>1167</v>
      </c>
      <c r="B68" s="42"/>
      <c r="C68" s="42"/>
      <c r="D68" s="42"/>
      <c r="E68" s="42"/>
      <c r="F68" s="316"/>
      <c r="H68" s="332"/>
      <c r="J68" s="349"/>
    </row>
    <row r="69" spans="1:10" ht="15.75">
      <c r="A69" s="307"/>
      <c r="B69" s="72" t="s">
        <v>1613</v>
      </c>
      <c r="C69" s="65" t="s">
        <v>1612</v>
      </c>
      <c r="D69" s="311">
        <v>60152.3</v>
      </c>
      <c r="E69" s="311">
        <v>0</v>
      </c>
      <c r="F69" s="313">
        <f t="shared" ref="F69" si="86">D69-E69</f>
        <v>60152.3</v>
      </c>
      <c r="G69" s="329" t="s">
        <v>1686</v>
      </c>
      <c r="H69" s="350">
        <f t="shared" ref="H69" si="87">D69-I69</f>
        <v>60152.3</v>
      </c>
      <c r="I69" s="353"/>
      <c r="J69" s="348" t="s">
        <v>1687</v>
      </c>
    </row>
    <row r="70" spans="1:10" ht="15.75">
      <c r="A70" s="307"/>
      <c r="B70" s="72" t="s">
        <v>1616</v>
      </c>
      <c r="C70" s="65" t="s">
        <v>1615</v>
      </c>
      <c r="D70" s="311">
        <v>59377.09</v>
      </c>
      <c r="E70" s="311"/>
      <c r="F70" s="313">
        <f t="shared" ref="F70:F77" si="88">D70-E70</f>
        <v>59377.09</v>
      </c>
      <c r="G70" s="329" t="s">
        <v>1686</v>
      </c>
      <c r="H70" s="350">
        <f t="shared" ref="H70:H77" si="89">D70-I70</f>
        <v>59377.09</v>
      </c>
      <c r="I70" s="353"/>
      <c r="J70" s="348" t="s">
        <v>1687</v>
      </c>
    </row>
    <row r="71" spans="1:10" ht="15.75">
      <c r="A71" s="307"/>
      <c r="B71" s="72" t="s">
        <v>1618</v>
      </c>
      <c r="C71" s="65" t="s">
        <v>1617</v>
      </c>
      <c r="D71" s="311">
        <v>94155.86</v>
      </c>
      <c r="E71" s="311">
        <v>0</v>
      </c>
      <c r="F71" s="313">
        <f t="shared" si="88"/>
        <v>94155.86</v>
      </c>
      <c r="G71" s="329" t="s">
        <v>1686</v>
      </c>
      <c r="H71" s="350">
        <f t="shared" si="89"/>
        <v>94155.86</v>
      </c>
      <c r="I71" s="353"/>
      <c r="J71" s="348" t="s">
        <v>1687</v>
      </c>
    </row>
    <row r="72" spans="1:10" ht="15.75">
      <c r="A72" s="307"/>
      <c r="B72" s="72" t="s">
        <v>1620</v>
      </c>
      <c r="C72" s="65" t="s">
        <v>1619</v>
      </c>
      <c r="D72" s="311">
        <v>22114.5</v>
      </c>
      <c r="E72" s="311"/>
      <c r="F72" s="313">
        <f t="shared" si="88"/>
        <v>22114.5</v>
      </c>
      <c r="G72" s="329" t="s">
        <v>1686</v>
      </c>
      <c r="H72" s="350">
        <f t="shared" si="89"/>
        <v>22114.5</v>
      </c>
      <c r="I72" s="353"/>
      <c r="J72" s="348" t="s">
        <v>1687</v>
      </c>
    </row>
    <row r="73" spans="1:10" ht="15.75">
      <c r="A73" s="307"/>
      <c r="B73" s="72" t="s">
        <v>1622</v>
      </c>
      <c r="C73" s="65" t="s">
        <v>1621</v>
      </c>
      <c r="D73" s="311">
        <v>235153.11</v>
      </c>
      <c r="E73" s="311"/>
      <c r="F73" s="313">
        <f t="shared" si="88"/>
        <v>235153.11</v>
      </c>
      <c r="G73" s="329" t="s">
        <v>1686</v>
      </c>
      <c r="H73" s="350">
        <f t="shared" si="89"/>
        <v>235153.11</v>
      </c>
      <c r="I73" s="353"/>
      <c r="J73" s="348" t="s">
        <v>1687</v>
      </c>
    </row>
    <row r="74" spans="1:10" ht="15.75">
      <c r="A74" s="307"/>
      <c r="B74" s="72" t="s">
        <v>1690</v>
      </c>
      <c r="C74" s="65" t="s">
        <v>610</v>
      </c>
      <c r="D74" s="311">
        <v>436137.75</v>
      </c>
      <c r="E74" s="311">
        <v>11347.23</v>
      </c>
      <c r="F74" s="313">
        <f t="shared" si="88"/>
        <v>424790.52</v>
      </c>
      <c r="G74" s="329" t="s">
        <v>1686</v>
      </c>
      <c r="H74" s="350">
        <f t="shared" si="89"/>
        <v>436137.75</v>
      </c>
      <c r="I74" s="353"/>
      <c r="J74" s="348" t="s">
        <v>1687</v>
      </c>
    </row>
    <row r="75" spans="1:10" ht="15.75">
      <c r="A75" s="307"/>
      <c r="B75" s="72" t="s">
        <v>1624</v>
      </c>
      <c r="C75" s="65" t="s">
        <v>1623</v>
      </c>
      <c r="D75" s="311">
        <v>104572.29</v>
      </c>
      <c r="E75" s="311"/>
      <c r="F75" s="313">
        <f t="shared" si="88"/>
        <v>104572.29</v>
      </c>
      <c r="G75" s="329" t="s">
        <v>1686</v>
      </c>
      <c r="H75" s="350">
        <f t="shared" si="89"/>
        <v>104572.29</v>
      </c>
      <c r="I75" s="353"/>
      <c r="J75" s="348" t="s">
        <v>1687</v>
      </c>
    </row>
    <row r="76" spans="1:10" ht="15.75">
      <c r="A76" s="307"/>
      <c r="B76" s="72" t="s">
        <v>1626</v>
      </c>
      <c r="C76" s="65" t="s">
        <v>1625</v>
      </c>
      <c r="D76" s="311">
        <v>650311.6</v>
      </c>
      <c r="E76" s="311"/>
      <c r="F76" s="313">
        <f t="shared" si="88"/>
        <v>650311.6</v>
      </c>
      <c r="G76" s="329" t="s">
        <v>1686</v>
      </c>
      <c r="H76" s="350">
        <f t="shared" si="89"/>
        <v>650311.6</v>
      </c>
      <c r="I76" s="353"/>
      <c r="J76" s="348" t="s">
        <v>1687</v>
      </c>
    </row>
    <row r="77" spans="1:10" ht="15.75">
      <c r="A77" s="307"/>
      <c r="B77" s="72" t="s">
        <v>1628</v>
      </c>
      <c r="C77" s="65" t="s">
        <v>1627</v>
      </c>
      <c r="D77" s="311">
        <v>120150.75</v>
      </c>
      <c r="E77" s="311"/>
      <c r="F77" s="313">
        <f t="shared" si="88"/>
        <v>120150.75</v>
      </c>
      <c r="G77" s="329" t="s">
        <v>1686</v>
      </c>
      <c r="H77" s="350">
        <f t="shared" si="89"/>
        <v>120150.75</v>
      </c>
      <c r="I77" s="353"/>
      <c r="J77" s="348" t="s">
        <v>1687</v>
      </c>
    </row>
    <row r="78" spans="1:10">
      <c r="A78" s="307"/>
      <c r="B78" s="42"/>
      <c r="C78" s="42"/>
      <c r="D78" s="311"/>
      <c r="E78" s="311"/>
      <c r="F78" s="313"/>
      <c r="H78" s="332"/>
      <c r="J78" s="349"/>
    </row>
    <row r="79" spans="1:10" ht="15.75">
      <c r="A79" s="310" t="s">
        <v>1698</v>
      </c>
      <c r="B79" s="42"/>
      <c r="C79" s="42"/>
      <c r="D79" s="311"/>
      <c r="E79" s="311"/>
      <c r="F79" s="313"/>
      <c r="H79" s="332"/>
      <c r="J79" s="349"/>
    </row>
    <row r="80" spans="1:10" ht="15.75">
      <c r="A80" s="307"/>
      <c r="B80" s="72" t="s">
        <v>762</v>
      </c>
      <c r="C80" s="65" t="s">
        <v>763</v>
      </c>
      <c r="D80" s="311">
        <v>42688.29</v>
      </c>
      <c r="E80" s="311">
        <v>9968.9500000000007</v>
      </c>
      <c r="F80" s="313">
        <f t="shared" ref="F80:F110" si="90">D80-E80</f>
        <v>32719.34</v>
      </c>
      <c r="G80" s="329" t="s">
        <v>1293</v>
      </c>
      <c r="H80" s="351">
        <f t="shared" ref="H80:H109" si="91">D80-I80</f>
        <v>0</v>
      </c>
      <c r="I80" s="352">
        <v>42688.29</v>
      </c>
      <c r="J80" s="348" t="s">
        <v>1688</v>
      </c>
    </row>
    <row r="81" spans="1:10" ht="15.75">
      <c r="A81" s="307"/>
      <c r="B81" s="72" t="s">
        <v>735</v>
      </c>
      <c r="C81" s="65" t="s">
        <v>736</v>
      </c>
      <c r="D81" s="311">
        <v>8364.2000000000007</v>
      </c>
      <c r="E81" s="311">
        <v>11410.22</v>
      </c>
      <c r="F81" s="313">
        <f t="shared" si="90"/>
        <v>-3046.0199999999986</v>
      </c>
      <c r="G81" s="329" t="s">
        <v>1294</v>
      </c>
      <c r="H81" s="351">
        <f t="shared" si="91"/>
        <v>0</v>
      </c>
      <c r="I81" s="352">
        <v>8364.2000000000007</v>
      </c>
      <c r="J81" s="348" t="s">
        <v>1689</v>
      </c>
    </row>
    <row r="82" spans="1:10" ht="15.75">
      <c r="A82" s="307"/>
      <c r="B82" s="72" t="s">
        <v>597</v>
      </c>
      <c r="C82" s="65" t="s">
        <v>598</v>
      </c>
      <c r="D82" s="311">
        <v>29495.4</v>
      </c>
      <c r="E82" s="311">
        <v>23772.799999999999</v>
      </c>
      <c r="F82" s="313">
        <f t="shared" si="90"/>
        <v>5722.6000000000022</v>
      </c>
      <c r="G82" s="329" t="s">
        <v>1293</v>
      </c>
      <c r="H82" s="351">
        <f t="shared" si="91"/>
        <v>11358.2</v>
      </c>
      <c r="I82" s="352">
        <v>18137.2</v>
      </c>
      <c r="J82" s="348" t="s">
        <v>1688</v>
      </c>
    </row>
    <row r="83" spans="1:10" ht="15.75">
      <c r="A83" s="307"/>
      <c r="B83" s="72" t="s">
        <v>1714</v>
      </c>
      <c r="C83" s="65" t="s">
        <v>1082</v>
      </c>
      <c r="D83" s="311">
        <v>39841.949999999997</v>
      </c>
      <c r="E83" s="311">
        <v>39722.67</v>
      </c>
      <c r="F83" s="313">
        <f t="shared" si="90"/>
        <v>119.27999999999884</v>
      </c>
      <c r="G83" s="329" t="s">
        <v>1292</v>
      </c>
      <c r="H83" s="351">
        <f t="shared" si="91"/>
        <v>0</v>
      </c>
      <c r="I83" s="352">
        <v>39841.949999999997</v>
      </c>
      <c r="J83" s="348" t="s">
        <v>1692</v>
      </c>
    </row>
    <row r="84" spans="1:10" ht="15.75">
      <c r="A84" s="307"/>
      <c r="B84" s="72" t="s">
        <v>1691</v>
      </c>
      <c r="C84" s="65" t="s">
        <v>523</v>
      </c>
      <c r="D84" s="311">
        <v>213631.31</v>
      </c>
      <c r="E84" s="311">
        <v>206742.03</v>
      </c>
      <c r="F84" s="313">
        <f t="shared" si="90"/>
        <v>6889.2799999999988</v>
      </c>
      <c r="G84" s="329" t="s">
        <v>1292</v>
      </c>
      <c r="H84" s="351">
        <f t="shared" si="91"/>
        <v>213631.31</v>
      </c>
      <c r="I84" s="352"/>
      <c r="J84" s="348" t="s">
        <v>1692</v>
      </c>
    </row>
    <row r="85" spans="1:10" ht="15.75">
      <c r="A85" s="307"/>
      <c r="B85" s="72" t="s">
        <v>504</v>
      </c>
      <c r="C85" s="65" t="s">
        <v>505</v>
      </c>
      <c r="D85" s="311">
        <v>115237.82</v>
      </c>
      <c r="E85" s="311">
        <v>63675.87</v>
      </c>
      <c r="F85" s="313">
        <f t="shared" si="90"/>
        <v>51561.950000000004</v>
      </c>
      <c r="G85" s="329" t="s">
        <v>1292</v>
      </c>
      <c r="H85" s="351">
        <f t="shared" si="91"/>
        <v>0</v>
      </c>
      <c r="I85" s="352">
        <v>115237.82</v>
      </c>
      <c r="J85" s="348" t="s">
        <v>1692</v>
      </c>
    </row>
    <row r="86" spans="1:10" ht="15.75">
      <c r="A86" s="307"/>
      <c r="B86" s="72" t="s">
        <v>1270</v>
      </c>
      <c r="C86" s="65" t="s">
        <v>1716</v>
      </c>
      <c r="D86" s="311">
        <v>46998.2</v>
      </c>
      <c r="E86" s="311">
        <v>46998.06</v>
      </c>
      <c r="F86" s="313">
        <f t="shared" si="90"/>
        <v>0.13999999999941792</v>
      </c>
      <c r="G86" s="329" t="s">
        <v>1295</v>
      </c>
      <c r="H86" s="351">
        <f t="shared" ref="H86" si="92">D86-I86</f>
        <v>0</v>
      </c>
      <c r="I86" s="352">
        <v>46998.2</v>
      </c>
      <c r="J86" s="348" t="s">
        <v>1717</v>
      </c>
    </row>
    <row r="87" spans="1:10" ht="15.75">
      <c r="A87" s="307"/>
      <c r="B87" s="72" t="s">
        <v>1638</v>
      </c>
      <c r="C87" s="65" t="s">
        <v>415</v>
      </c>
      <c r="D87" s="311">
        <v>160351.89000000001</v>
      </c>
      <c r="E87" s="311">
        <v>103253.6</v>
      </c>
      <c r="F87" s="313">
        <f t="shared" si="90"/>
        <v>57098.290000000008</v>
      </c>
      <c r="G87" s="329" t="s">
        <v>1292</v>
      </c>
      <c r="H87" s="351">
        <f t="shared" si="91"/>
        <v>0</v>
      </c>
      <c r="I87" s="352">
        <v>160351.89000000001</v>
      </c>
      <c r="J87" s="348" t="s">
        <v>1692</v>
      </c>
    </row>
    <row r="88" spans="1:10" ht="15.75">
      <c r="A88" s="307"/>
      <c r="B88" s="72" t="s">
        <v>1693</v>
      </c>
      <c r="C88" s="65" t="s">
        <v>829</v>
      </c>
      <c r="D88" s="311">
        <v>8931731.8800000008</v>
      </c>
      <c r="E88" s="311">
        <v>8914261.4600000009</v>
      </c>
      <c r="F88" s="313">
        <f t="shared" si="90"/>
        <v>17470.419999999925</v>
      </c>
      <c r="G88" s="329" t="s">
        <v>1292</v>
      </c>
      <c r="H88" s="351">
        <f t="shared" si="91"/>
        <v>8931731.8800000008</v>
      </c>
      <c r="I88" s="352"/>
      <c r="J88" s="348" t="s">
        <v>1692</v>
      </c>
    </row>
    <row r="89" spans="1:10" ht="15.75">
      <c r="A89" s="307"/>
      <c r="B89" s="72" t="s">
        <v>1694</v>
      </c>
      <c r="C89" s="65" t="s">
        <v>744</v>
      </c>
      <c r="D89" s="311">
        <v>0</v>
      </c>
      <c r="E89" s="311">
        <v>9408.81</v>
      </c>
      <c r="F89" s="313">
        <f t="shared" si="90"/>
        <v>-9408.81</v>
      </c>
      <c r="G89" s="329" t="s">
        <v>1294</v>
      </c>
      <c r="H89" s="351">
        <f t="shared" si="91"/>
        <v>0</v>
      </c>
      <c r="I89" s="352"/>
      <c r="J89" s="348" t="s">
        <v>1689</v>
      </c>
    </row>
    <row r="90" spans="1:10" ht="15.75">
      <c r="A90" s="307"/>
      <c r="B90" s="72" t="s">
        <v>1695</v>
      </c>
      <c r="C90" s="65" t="s">
        <v>724</v>
      </c>
      <c r="D90" s="311">
        <v>77764.73</v>
      </c>
      <c r="E90" s="311">
        <v>62939.38</v>
      </c>
      <c r="F90" s="313">
        <f t="shared" si="90"/>
        <v>14825.349999999999</v>
      </c>
      <c r="G90" s="329" t="s">
        <v>1292</v>
      </c>
      <c r="H90" s="351">
        <f t="shared" si="91"/>
        <v>53996.479999999996</v>
      </c>
      <c r="I90" s="352">
        <v>23768.25</v>
      </c>
      <c r="J90" s="348" t="s">
        <v>1692</v>
      </c>
    </row>
    <row r="91" spans="1:10" ht="15.75">
      <c r="A91" s="307"/>
      <c r="B91" s="72" t="s">
        <v>671</v>
      </c>
      <c r="C91" s="65" t="s">
        <v>672</v>
      </c>
      <c r="D91" s="311">
        <v>21044.77</v>
      </c>
      <c r="E91" s="311">
        <v>8489.6</v>
      </c>
      <c r="F91" s="313">
        <f t="shared" si="90"/>
        <v>12555.17</v>
      </c>
      <c r="G91" s="329" t="s">
        <v>1292</v>
      </c>
      <c r="H91" s="351">
        <f t="shared" si="91"/>
        <v>0</v>
      </c>
      <c r="I91" s="352">
        <v>21044.77</v>
      </c>
      <c r="J91" s="348" t="s">
        <v>1692</v>
      </c>
    </row>
    <row r="92" spans="1:10" ht="15.75">
      <c r="A92" s="307"/>
      <c r="B92" s="72" t="s">
        <v>1696</v>
      </c>
      <c r="C92" s="65" t="s">
        <v>670</v>
      </c>
      <c r="D92" s="311">
        <v>2400001.19</v>
      </c>
      <c r="E92" s="311">
        <v>2346655.9500000002</v>
      </c>
      <c r="F92" s="313">
        <f t="shared" si="90"/>
        <v>53345.239999999758</v>
      </c>
      <c r="G92" s="329" t="s">
        <v>1292</v>
      </c>
      <c r="H92" s="351">
        <f t="shared" si="91"/>
        <v>2400001.19</v>
      </c>
      <c r="I92" s="352"/>
      <c r="J92" s="348" t="s">
        <v>1692</v>
      </c>
    </row>
    <row r="93" spans="1:10" ht="15.75">
      <c r="A93" s="307"/>
      <c r="B93" s="72" t="s">
        <v>1697</v>
      </c>
      <c r="C93" s="65" t="s">
        <v>664</v>
      </c>
      <c r="D93" s="311">
        <v>3353995.03</v>
      </c>
      <c r="E93" s="311">
        <v>3337755.01</v>
      </c>
      <c r="F93" s="313">
        <f t="shared" si="90"/>
        <v>16240.020000000019</v>
      </c>
      <c r="G93" s="329" t="s">
        <v>1292</v>
      </c>
      <c r="H93" s="351">
        <f t="shared" si="91"/>
        <v>3338449.6799999997</v>
      </c>
      <c r="I93" s="352">
        <v>15545.35</v>
      </c>
      <c r="J93" s="348" t="s">
        <v>1692</v>
      </c>
    </row>
    <row r="94" spans="1:10" ht="15.75">
      <c r="A94" s="307"/>
      <c r="B94" s="72" t="s">
        <v>685</v>
      </c>
      <c r="C94" s="65" t="s">
        <v>686</v>
      </c>
      <c r="D94" s="311">
        <v>189273.12</v>
      </c>
      <c r="E94" s="311">
        <v>1965.28</v>
      </c>
      <c r="F94" s="313">
        <f t="shared" si="90"/>
        <v>187307.84</v>
      </c>
      <c r="G94" s="329" t="s">
        <v>1292</v>
      </c>
      <c r="H94" s="351">
        <f t="shared" si="91"/>
        <v>0</v>
      </c>
      <c r="I94" s="352">
        <v>189273.12</v>
      </c>
      <c r="J94" s="348" t="s">
        <v>1692</v>
      </c>
    </row>
    <row r="95" spans="1:10" ht="15.75">
      <c r="A95" s="307"/>
      <c r="B95" s="72" t="s">
        <v>1699</v>
      </c>
      <c r="C95" s="65" t="s">
        <v>600</v>
      </c>
      <c r="D95" s="311">
        <v>2344799.0499999998</v>
      </c>
      <c r="E95" s="311">
        <v>2356226.37</v>
      </c>
      <c r="F95" s="313">
        <f t="shared" si="90"/>
        <v>-11427.320000000298</v>
      </c>
      <c r="G95" s="329" t="s">
        <v>1294</v>
      </c>
      <c r="H95" s="351">
        <f t="shared" si="91"/>
        <v>2335996.3099999996</v>
      </c>
      <c r="I95" s="352">
        <v>8802.74</v>
      </c>
      <c r="J95" s="348" t="s">
        <v>1692</v>
      </c>
    </row>
    <row r="96" spans="1:10" ht="15.75">
      <c r="A96" s="307"/>
      <c r="B96" s="72" t="s">
        <v>1700</v>
      </c>
      <c r="C96" s="65" t="s">
        <v>586</v>
      </c>
      <c r="D96" s="311">
        <v>7675445.6799999997</v>
      </c>
      <c r="E96" s="311">
        <v>7642632.7800000003</v>
      </c>
      <c r="F96" s="313">
        <f t="shared" si="90"/>
        <v>32812.899999999441</v>
      </c>
      <c r="G96" s="329" t="s">
        <v>1292</v>
      </c>
      <c r="H96" s="351">
        <f t="shared" si="91"/>
        <v>7660950.6600000001</v>
      </c>
      <c r="I96" s="352">
        <v>14495.02</v>
      </c>
      <c r="J96" s="348" t="s">
        <v>1692</v>
      </c>
    </row>
    <row r="97" spans="1:10" ht="15.75">
      <c r="A97" s="307"/>
      <c r="B97" s="72" t="s">
        <v>1701</v>
      </c>
      <c r="C97" s="65" t="s">
        <v>549</v>
      </c>
      <c r="D97" s="311">
        <v>15737249.130000001</v>
      </c>
      <c r="E97" s="311">
        <v>15696859.800000001</v>
      </c>
      <c r="F97" s="313">
        <f t="shared" si="90"/>
        <v>40389.330000000075</v>
      </c>
      <c r="G97" s="329" t="s">
        <v>1292</v>
      </c>
      <c r="H97" s="351">
        <f t="shared" si="91"/>
        <v>15737249.130000001</v>
      </c>
      <c r="I97" s="352"/>
      <c r="J97" s="348" t="s">
        <v>1692</v>
      </c>
    </row>
    <row r="98" spans="1:10" ht="15.75">
      <c r="A98" s="307"/>
      <c r="B98" s="72" t="s">
        <v>1702</v>
      </c>
      <c r="C98" s="65" t="s">
        <v>545</v>
      </c>
      <c r="D98" s="311">
        <v>6092852.7699999996</v>
      </c>
      <c r="E98" s="299">
        <v>5990863.7999999998</v>
      </c>
      <c r="F98" s="313">
        <f t="shared" si="90"/>
        <v>101988.96999999974</v>
      </c>
      <c r="G98" s="329" t="s">
        <v>1292</v>
      </c>
      <c r="H98" s="351">
        <f t="shared" si="91"/>
        <v>6092852.7699999996</v>
      </c>
      <c r="I98" s="352"/>
      <c r="J98" s="348" t="s">
        <v>1692</v>
      </c>
    </row>
    <row r="99" spans="1:10" ht="15.75">
      <c r="A99" s="307"/>
      <c r="B99" s="72" t="s">
        <v>1703</v>
      </c>
      <c r="C99" s="65" t="s">
        <v>519</v>
      </c>
      <c r="D99" s="311">
        <v>23700.19</v>
      </c>
      <c r="E99" s="299">
        <v>23682.79</v>
      </c>
      <c r="F99" s="313">
        <f t="shared" si="90"/>
        <v>17.399999999997817</v>
      </c>
      <c r="G99" s="329" t="s">
        <v>1292</v>
      </c>
      <c r="H99" s="351">
        <f t="shared" si="91"/>
        <v>0</v>
      </c>
      <c r="I99" s="352">
        <v>23700.19</v>
      </c>
      <c r="J99" s="348" t="s">
        <v>1692</v>
      </c>
    </row>
    <row r="100" spans="1:10" ht="15.75">
      <c r="A100" s="307"/>
      <c r="B100" s="72" t="s">
        <v>1704</v>
      </c>
      <c r="C100" s="65" t="s">
        <v>1705</v>
      </c>
      <c r="D100" s="311">
        <v>3389609.11</v>
      </c>
      <c r="E100" s="299">
        <v>3381506.79</v>
      </c>
      <c r="F100" s="313">
        <f t="shared" si="90"/>
        <v>8102.3199999998324</v>
      </c>
      <c r="G100" s="329" t="s">
        <v>1292</v>
      </c>
      <c r="H100" s="351">
        <f t="shared" ref="H100:H104" si="93">D100-I100</f>
        <v>3389609.11</v>
      </c>
      <c r="I100" s="352"/>
      <c r="J100" s="348" t="s">
        <v>1692</v>
      </c>
    </row>
    <row r="101" spans="1:10" ht="15.75">
      <c r="A101" s="307"/>
      <c r="B101" s="72" t="s">
        <v>1706</v>
      </c>
      <c r="C101" s="65" t="s">
        <v>469</v>
      </c>
      <c r="D101" s="311">
        <v>3947552.96</v>
      </c>
      <c r="E101" s="299">
        <v>3983214.39</v>
      </c>
      <c r="F101" s="313">
        <f t="shared" si="90"/>
        <v>-35661.430000000168</v>
      </c>
      <c r="G101" s="329" t="s">
        <v>1294</v>
      </c>
      <c r="H101" s="351">
        <f t="shared" si="93"/>
        <v>3947552.96</v>
      </c>
      <c r="I101" s="352"/>
      <c r="J101" s="348" t="s">
        <v>1689</v>
      </c>
    </row>
    <row r="102" spans="1:10" ht="15.75">
      <c r="A102" s="307"/>
      <c r="B102" s="72" t="s">
        <v>1707</v>
      </c>
      <c r="C102" s="65" t="s">
        <v>461</v>
      </c>
      <c r="D102" s="311">
        <v>8710554.5500000007</v>
      </c>
      <c r="E102" s="299">
        <v>8621691.0800000001</v>
      </c>
      <c r="F102" s="313">
        <f t="shared" si="90"/>
        <v>88863.470000000671</v>
      </c>
      <c r="G102" s="329" t="s">
        <v>1292</v>
      </c>
      <c r="H102" s="351">
        <f t="shared" si="93"/>
        <v>8710554.5500000007</v>
      </c>
      <c r="I102" s="352"/>
      <c r="J102" s="348" t="s">
        <v>1692</v>
      </c>
    </row>
    <row r="103" spans="1:10" ht="15.75">
      <c r="A103" s="307"/>
      <c r="B103" s="72" t="s">
        <v>1708</v>
      </c>
      <c r="C103" s="65" t="s">
        <v>419</v>
      </c>
      <c r="D103" s="311">
        <v>496450.47</v>
      </c>
      <c r="E103" s="299">
        <v>510611.11</v>
      </c>
      <c r="F103" s="313">
        <f t="shared" si="90"/>
        <v>-14160.640000000014</v>
      </c>
      <c r="G103" s="329" t="s">
        <v>1294</v>
      </c>
      <c r="H103" s="351">
        <f t="shared" si="93"/>
        <v>496450.47</v>
      </c>
      <c r="I103" s="352"/>
      <c r="J103" s="348" t="s">
        <v>1689</v>
      </c>
    </row>
    <row r="104" spans="1:10" ht="15.75">
      <c r="A104" s="307"/>
      <c r="B104" s="72" t="s">
        <v>1709</v>
      </c>
      <c r="C104" s="65" t="s">
        <v>417</v>
      </c>
      <c r="D104" s="311">
        <v>7317409.6200000001</v>
      </c>
      <c r="E104" s="299">
        <v>7313756.8399999999</v>
      </c>
      <c r="F104" s="313">
        <f t="shared" si="90"/>
        <v>3652.7800000002608</v>
      </c>
      <c r="G104" s="329" t="s">
        <v>1292</v>
      </c>
      <c r="H104" s="351">
        <f t="shared" si="93"/>
        <v>7317409.6200000001</v>
      </c>
      <c r="I104" s="352"/>
      <c r="J104" s="348" t="s">
        <v>1692</v>
      </c>
    </row>
    <row r="105" spans="1:10" ht="15.75">
      <c r="A105" s="307"/>
      <c r="B105" s="72" t="s">
        <v>1710</v>
      </c>
      <c r="C105" s="65" t="s">
        <v>1271</v>
      </c>
      <c r="D105" s="311">
        <v>4807452.59</v>
      </c>
      <c r="E105" s="311">
        <v>4581350.2699999996</v>
      </c>
      <c r="F105" s="313">
        <f t="shared" si="90"/>
        <v>226102.3200000003</v>
      </c>
      <c r="G105" s="329" t="s">
        <v>1292</v>
      </c>
      <c r="H105" s="351">
        <f t="shared" si="91"/>
        <v>4807452.59</v>
      </c>
      <c r="I105" s="352"/>
      <c r="J105" s="348" t="s">
        <v>1692</v>
      </c>
    </row>
    <row r="106" spans="1:10" ht="15.75">
      <c r="A106" s="307"/>
      <c r="B106" s="72" t="s">
        <v>1711</v>
      </c>
      <c r="C106" s="65" t="s">
        <v>381</v>
      </c>
      <c r="D106" s="311">
        <v>0</v>
      </c>
      <c r="E106" s="311">
        <v>11274.08</v>
      </c>
      <c r="F106" s="313">
        <f t="shared" si="90"/>
        <v>-11274.08</v>
      </c>
      <c r="G106" s="329" t="s">
        <v>1294</v>
      </c>
      <c r="H106" s="351">
        <f t="shared" si="91"/>
        <v>0</v>
      </c>
      <c r="I106" s="352"/>
      <c r="J106" s="348" t="s">
        <v>1689</v>
      </c>
    </row>
    <row r="107" spans="1:10" ht="15.75">
      <c r="A107" s="307"/>
      <c r="B107" s="72" t="s">
        <v>1712</v>
      </c>
      <c r="C107" s="65" t="s">
        <v>373</v>
      </c>
      <c r="D107" s="311">
        <v>3912416.65</v>
      </c>
      <c r="E107" s="311">
        <v>3874754.96</v>
      </c>
      <c r="F107" s="313">
        <f t="shared" si="90"/>
        <v>37661.689999999944</v>
      </c>
      <c r="G107" s="329" t="s">
        <v>1292</v>
      </c>
      <c r="H107" s="351">
        <f t="shared" si="91"/>
        <v>3912416.65</v>
      </c>
      <c r="I107" s="352"/>
      <c r="J107" s="348" t="s">
        <v>1692</v>
      </c>
    </row>
    <row r="108" spans="1:10" ht="15.75">
      <c r="A108" s="307"/>
      <c r="B108" s="72" t="s">
        <v>1713</v>
      </c>
      <c r="C108" s="65" t="s">
        <v>311</v>
      </c>
      <c r="D108" s="311">
        <v>6554783.1399999997</v>
      </c>
      <c r="E108" s="311">
        <v>6538234.4400000004</v>
      </c>
      <c r="F108" s="313">
        <f t="shared" si="90"/>
        <v>16548.699999999255</v>
      </c>
      <c r="G108" s="329" t="s">
        <v>1292</v>
      </c>
      <c r="H108" s="351">
        <f t="shared" si="91"/>
        <v>6554783.1399999997</v>
      </c>
      <c r="I108" s="352"/>
      <c r="J108" s="348" t="s">
        <v>1692</v>
      </c>
    </row>
    <row r="109" spans="1:10" ht="15.75">
      <c r="A109" s="307"/>
      <c r="B109" s="72" t="s">
        <v>1715</v>
      </c>
      <c r="C109" s="65" t="s">
        <v>301</v>
      </c>
      <c r="D109" s="311">
        <v>890289.04</v>
      </c>
      <c r="E109" s="311">
        <v>32230.17</v>
      </c>
      <c r="F109" s="313">
        <f t="shared" si="90"/>
        <v>858058.87</v>
      </c>
      <c r="G109" s="329" t="s">
        <v>1292</v>
      </c>
      <c r="H109" s="351">
        <f t="shared" si="91"/>
        <v>890289.04</v>
      </c>
      <c r="I109" s="352"/>
      <c r="J109" s="348" t="s">
        <v>1692</v>
      </c>
    </row>
    <row r="110" spans="1:10" ht="15.75">
      <c r="A110" s="307"/>
      <c r="B110" s="72"/>
      <c r="C110" s="42"/>
      <c r="D110" s="311"/>
      <c r="E110" s="311"/>
      <c r="F110" s="313">
        <f t="shared" si="90"/>
        <v>0</v>
      </c>
      <c r="G110" s="329" t="s">
        <v>1295</v>
      </c>
      <c r="J110" s="349"/>
    </row>
    <row r="111" spans="1:10" ht="15.75">
      <c r="A111" s="307"/>
      <c r="B111" s="72"/>
      <c r="C111" s="42"/>
      <c r="D111" s="311"/>
      <c r="E111" s="311"/>
      <c r="F111" s="313"/>
      <c r="J111" s="349"/>
    </row>
    <row r="112" spans="1:10" ht="15.75">
      <c r="A112" s="307"/>
      <c r="B112" s="305" t="s">
        <v>1164</v>
      </c>
      <c r="C112" s="305"/>
      <c r="D112" s="314"/>
      <c r="E112" s="314"/>
      <c r="F112" s="315">
        <f>SUM(F69:F110)</f>
        <v>3555853.3899999987</v>
      </c>
      <c r="H112" s="348" t="s">
        <v>1296</v>
      </c>
      <c r="J112" s="349"/>
    </row>
    <row r="113" spans="1:10">
      <c r="A113" s="307"/>
      <c r="B113" s="42"/>
      <c r="C113" s="42"/>
      <c r="D113" s="311"/>
      <c r="E113" s="311"/>
      <c r="F113" s="313"/>
      <c r="H113" s="15" t="s">
        <v>1685</v>
      </c>
      <c r="J113" s="349"/>
    </row>
    <row r="114" spans="1:10" ht="15.75">
      <c r="A114" s="307"/>
      <c r="B114" s="305" t="s">
        <v>1284</v>
      </c>
      <c r="C114" s="305"/>
      <c r="D114" s="314"/>
      <c r="E114" s="314"/>
      <c r="F114" s="315">
        <v>158399425.15000001</v>
      </c>
      <c r="H114" s="348" t="s">
        <v>1297</v>
      </c>
      <c r="J114" s="349"/>
    </row>
    <row r="115" spans="1:10" ht="15.75">
      <c r="A115" s="307"/>
      <c r="B115" s="305" t="s">
        <v>1304</v>
      </c>
      <c r="C115" s="305"/>
      <c r="D115" s="314"/>
      <c r="E115" s="314"/>
      <c r="F115" s="315">
        <f>+'MISO Stations December 2016'!G345</f>
        <v>161955278.53999999</v>
      </c>
      <c r="H115" s="348" t="s">
        <v>1298</v>
      </c>
      <c r="J115" s="349"/>
    </row>
    <row r="116" spans="1:10" ht="15.75">
      <c r="A116" s="307"/>
      <c r="B116" s="305" t="s">
        <v>1305</v>
      </c>
      <c r="C116" s="305"/>
      <c r="D116" s="314"/>
      <c r="E116" s="314"/>
      <c r="F116" s="315">
        <f>F115-F114</f>
        <v>3555853.3899999857</v>
      </c>
      <c r="H116" s="348" t="s">
        <v>1299</v>
      </c>
      <c r="J116" s="349"/>
    </row>
    <row r="117" spans="1:10" ht="15.75">
      <c r="A117" s="307"/>
      <c r="B117" s="305"/>
      <c r="C117" s="305"/>
      <c r="D117" s="314"/>
      <c r="E117" s="314"/>
      <c r="F117" s="315"/>
      <c r="H117" s="348" t="s">
        <v>1300</v>
      </c>
      <c r="J117" s="349"/>
    </row>
    <row r="118" spans="1:10" ht="15.75">
      <c r="A118" s="307"/>
      <c r="B118" s="305" t="s">
        <v>1163</v>
      </c>
      <c r="C118" s="305"/>
      <c r="D118" s="314"/>
      <c r="E118" s="314"/>
      <c r="F118" s="315">
        <f>F112-F116</f>
        <v>1.3038516044616699E-8</v>
      </c>
      <c r="J118" s="349"/>
    </row>
    <row r="119" spans="1:10" ht="15.75" thickBot="1">
      <c r="A119" s="318"/>
      <c r="B119" s="323"/>
      <c r="C119" s="323"/>
      <c r="D119" s="323"/>
      <c r="E119" s="323"/>
      <c r="F119" s="324"/>
    </row>
  </sheetData>
  <mergeCells count="3">
    <mergeCell ref="H1:I1"/>
    <mergeCell ref="J1:K1"/>
    <mergeCell ref="D67:E67"/>
  </mergeCells>
  <pageMargins left="0.7" right="0.7" top="0.75" bottom="0.75" header="0.3" footer="0.3"/>
  <pageSetup scale="41" fitToHeight="0"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J79"/>
  <sheetViews>
    <sheetView topLeftCell="A4" workbookViewId="0">
      <selection activeCell="D18" sqref="D18:D34"/>
    </sheetView>
  </sheetViews>
  <sheetFormatPr defaultRowHeight="15.75"/>
  <cols>
    <col min="1" max="1" width="8.88671875" style="254"/>
    <col min="2" max="2" width="18.33203125" style="254" customWidth="1"/>
    <col min="3" max="3" width="13.5546875" style="255" bestFit="1" customWidth="1"/>
    <col min="4" max="4" width="12.33203125" style="254" customWidth="1"/>
    <col min="5" max="5" width="12.5546875" style="254" customWidth="1"/>
    <col min="6" max="8" width="8.88671875" style="254"/>
    <col min="9" max="9" width="78.77734375" style="254" customWidth="1"/>
    <col min="10" max="16384" width="8.88671875" style="254"/>
  </cols>
  <sheetData>
    <row r="1" spans="1:7">
      <c r="A1" s="254" t="s">
        <v>1107</v>
      </c>
      <c r="C1" s="255" t="s">
        <v>1108</v>
      </c>
      <c r="E1" s="267" t="s">
        <v>202</v>
      </c>
    </row>
    <row r="2" spans="1:7">
      <c r="A2" s="254">
        <v>245358</v>
      </c>
      <c r="B2" s="254" t="s">
        <v>1109</v>
      </c>
      <c r="C2" s="255">
        <v>222644.1</v>
      </c>
      <c r="E2" s="256">
        <f>+C2</f>
        <v>222644.1</v>
      </c>
      <c r="G2" s="303"/>
    </row>
    <row r="3" spans="1:7">
      <c r="A3" s="254">
        <v>245359</v>
      </c>
      <c r="B3" s="254" t="s">
        <v>1110</v>
      </c>
      <c r="C3" s="255">
        <v>1543016.04</v>
      </c>
      <c r="G3" s="303"/>
    </row>
    <row r="4" spans="1:7">
      <c r="A4" s="254">
        <v>245360</v>
      </c>
      <c r="B4" s="254" t="s">
        <v>1111</v>
      </c>
      <c r="C4" s="255">
        <v>228710.77</v>
      </c>
      <c r="E4" s="256">
        <f>+C4</f>
        <v>228710.77</v>
      </c>
      <c r="G4" s="303"/>
    </row>
    <row r="5" spans="1:7">
      <c r="A5" s="254">
        <v>245361</v>
      </c>
      <c r="B5" s="254" t="s">
        <v>1112</v>
      </c>
      <c r="C5" s="255">
        <v>103591.35</v>
      </c>
      <c r="E5" s="256">
        <f>+C5</f>
        <v>103591.35</v>
      </c>
      <c r="G5" s="303"/>
    </row>
    <row r="6" spans="1:7">
      <c r="A6" s="254">
        <v>245362</v>
      </c>
      <c r="B6" s="254" t="s">
        <v>1113</v>
      </c>
      <c r="C6" s="255">
        <v>58326.89</v>
      </c>
      <c r="E6" s="256">
        <f>+C6</f>
        <v>58326.89</v>
      </c>
      <c r="G6" s="303"/>
    </row>
    <row r="7" spans="1:7">
      <c r="A7" s="254">
        <v>245363</v>
      </c>
      <c r="B7" s="254" t="s">
        <v>1114</v>
      </c>
      <c r="C7" s="255">
        <v>2371767.81</v>
      </c>
      <c r="G7" s="303"/>
    </row>
    <row r="8" spans="1:7">
      <c r="A8" s="254">
        <v>245364</v>
      </c>
      <c r="B8" s="254" t="s">
        <v>1115</v>
      </c>
      <c r="C8" s="255">
        <v>69576.27</v>
      </c>
      <c r="G8" s="303"/>
    </row>
    <row r="9" spans="1:7">
      <c r="A9" s="254">
        <v>245365</v>
      </c>
      <c r="B9" s="254" t="s">
        <v>1116</v>
      </c>
      <c r="C9" s="255">
        <v>563223.11</v>
      </c>
      <c r="E9" s="256">
        <f>+C9</f>
        <v>563223.11</v>
      </c>
      <c r="G9" s="303"/>
    </row>
    <row r="10" spans="1:7">
      <c r="A10" s="254">
        <v>245366</v>
      </c>
      <c r="B10" s="254" t="s">
        <v>1117</v>
      </c>
      <c r="C10" s="255">
        <v>491417.23</v>
      </c>
      <c r="D10" s="256">
        <f>SUM(C2:C10)</f>
        <v>5652273.5700000003</v>
      </c>
      <c r="G10" s="303"/>
    </row>
    <row r="12" spans="1:7">
      <c r="A12" s="254">
        <v>245492</v>
      </c>
      <c r="B12" s="254" t="s">
        <v>1118</v>
      </c>
      <c r="C12" s="255">
        <v>11071.59</v>
      </c>
      <c r="G12" s="303"/>
    </row>
    <row r="13" spans="1:7">
      <c r="A13" s="254">
        <v>245493</v>
      </c>
      <c r="B13" s="254" t="s">
        <v>1118</v>
      </c>
      <c r="C13" s="255">
        <v>1062.8699999999999</v>
      </c>
      <c r="G13" s="303"/>
    </row>
    <row r="14" spans="1:7">
      <c r="A14" s="254">
        <v>245494</v>
      </c>
      <c r="B14" s="254" t="s">
        <v>1118</v>
      </c>
      <c r="C14" s="255">
        <v>553.58000000000004</v>
      </c>
      <c r="G14" s="303"/>
    </row>
    <row r="15" spans="1:7">
      <c r="A15" s="254">
        <v>245495</v>
      </c>
      <c r="B15" s="254" t="s">
        <v>1118</v>
      </c>
      <c r="C15" s="255">
        <v>590.48</v>
      </c>
      <c r="G15" s="303"/>
    </row>
    <row r="16" spans="1:7">
      <c r="A16" s="254">
        <v>245496</v>
      </c>
      <c r="B16" s="254" t="s">
        <v>1118</v>
      </c>
      <c r="C16" s="255">
        <v>18006.849999999999</v>
      </c>
      <c r="G16" s="303"/>
    </row>
    <row r="17" spans="1:7">
      <c r="A17" s="254">
        <v>245497</v>
      </c>
      <c r="B17" s="254" t="s">
        <v>1118</v>
      </c>
      <c r="C17" s="255">
        <v>275.31</v>
      </c>
      <c r="G17" s="303"/>
    </row>
    <row r="18" spans="1:7">
      <c r="A18" s="254">
        <v>245498</v>
      </c>
      <c r="B18" s="254" t="s">
        <v>1118</v>
      </c>
      <c r="C18" s="255">
        <v>6652.92</v>
      </c>
      <c r="D18" s="256">
        <f>SUM(C12:C18)</f>
        <v>38213.599999999999</v>
      </c>
      <c r="G18" s="303"/>
    </row>
    <row r="19" spans="1:7">
      <c r="A19" s="254">
        <v>245499</v>
      </c>
      <c r="B19" s="254" t="s">
        <v>1119</v>
      </c>
      <c r="C19" s="255">
        <v>22143.19</v>
      </c>
      <c r="G19" s="303"/>
    </row>
    <row r="20" spans="1:7">
      <c r="A20" s="254">
        <v>245500</v>
      </c>
      <c r="B20" s="254" t="s">
        <v>1119</v>
      </c>
      <c r="C20" s="255">
        <v>13285.91</v>
      </c>
      <c r="G20" s="303"/>
    </row>
    <row r="21" spans="1:7">
      <c r="A21" s="254">
        <v>245501</v>
      </c>
      <c r="B21" s="254" t="s">
        <v>1119</v>
      </c>
      <c r="C21" s="255">
        <v>1062.8699999999999</v>
      </c>
      <c r="G21" s="303"/>
    </row>
    <row r="22" spans="1:7">
      <c r="A22" s="254">
        <v>245502</v>
      </c>
      <c r="B22" s="254" t="s">
        <v>1119</v>
      </c>
      <c r="C22" s="255">
        <v>4982.22</v>
      </c>
      <c r="G22" s="303"/>
    </row>
    <row r="23" spans="1:7">
      <c r="A23" s="254">
        <v>245503</v>
      </c>
      <c r="B23" s="254" t="s">
        <v>1119</v>
      </c>
      <c r="C23" s="255">
        <v>1771.45</v>
      </c>
      <c r="G23" s="303"/>
    </row>
    <row r="24" spans="1:7">
      <c r="A24" s="254">
        <v>245504</v>
      </c>
      <c r="B24" s="254" t="s">
        <v>1119</v>
      </c>
      <c r="C24" s="255">
        <v>18175.13</v>
      </c>
      <c r="G24" s="303"/>
    </row>
    <row r="25" spans="1:7">
      <c r="A25" s="254">
        <v>245505</v>
      </c>
      <c r="B25" s="254" t="s">
        <v>1119</v>
      </c>
      <c r="C25" s="255">
        <v>383.08</v>
      </c>
      <c r="D25" s="256">
        <f>SUM(C19:C25)</f>
        <v>61803.850000000006</v>
      </c>
      <c r="G25" s="303"/>
    </row>
    <row r="26" spans="1:7">
      <c r="A26" s="254">
        <v>245506</v>
      </c>
      <c r="B26" s="254" t="s">
        <v>1120</v>
      </c>
      <c r="C26" s="255">
        <v>19928.87</v>
      </c>
      <c r="G26" s="303"/>
    </row>
    <row r="27" spans="1:7">
      <c r="A27" s="254">
        <v>245507</v>
      </c>
      <c r="B27" s="254" t="s">
        <v>1120</v>
      </c>
      <c r="C27" s="255">
        <v>7381.06</v>
      </c>
      <c r="G27" s="303"/>
    </row>
    <row r="28" spans="1:7">
      <c r="A28" s="254">
        <v>245508</v>
      </c>
      <c r="B28" s="254" t="s">
        <v>1120</v>
      </c>
      <c r="C28" s="255">
        <v>19928.87</v>
      </c>
      <c r="G28" s="303"/>
    </row>
    <row r="29" spans="1:7">
      <c r="A29" s="254">
        <v>245509</v>
      </c>
      <c r="B29" s="254" t="s">
        <v>1120</v>
      </c>
      <c r="C29" s="255">
        <v>2480.04</v>
      </c>
      <c r="G29" s="303"/>
    </row>
    <row r="30" spans="1:7">
      <c r="A30" s="254">
        <v>245510</v>
      </c>
      <c r="B30" s="254" t="s">
        <v>1120</v>
      </c>
      <c r="C30" s="255">
        <v>553.58000000000004</v>
      </c>
      <c r="G30" s="303"/>
    </row>
    <row r="31" spans="1:7">
      <c r="A31" s="254">
        <v>245511</v>
      </c>
      <c r="B31" s="254" t="s">
        <v>1120</v>
      </c>
      <c r="C31" s="255">
        <v>2361.94</v>
      </c>
      <c r="G31" s="303"/>
    </row>
    <row r="32" spans="1:7">
      <c r="A32" s="254">
        <v>245512</v>
      </c>
      <c r="B32" s="254" t="s">
        <v>1120</v>
      </c>
      <c r="C32" s="255">
        <v>62842.36</v>
      </c>
      <c r="G32" s="303"/>
    </row>
    <row r="33" spans="1:10">
      <c r="A33" s="254">
        <v>245513</v>
      </c>
      <c r="B33" s="254" t="s">
        <v>1120</v>
      </c>
      <c r="C33" s="255">
        <v>1475.47</v>
      </c>
      <c r="G33" s="303"/>
    </row>
    <row r="34" spans="1:10">
      <c r="A34" s="254">
        <v>245514</v>
      </c>
      <c r="B34" s="254" t="s">
        <v>1120</v>
      </c>
      <c r="C34" s="255">
        <v>7855.3</v>
      </c>
      <c r="D34" s="256">
        <f>SUM(C26:C34)</f>
        <v>124807.49</v>
      </c>
      <c r="G34" s="303"/>
    </row>
    <row r="35" spans="1:10">
      <c r="A35" s="254">
        <v>245515</v>
      </c>
      <c r="B35" s="254" t="s">
        <v>1121</v>
      </c>
      <c r="C35" s="255">
        <v>716976.83</v>
      </c>
      <c r="G35" s="303"/>
    </row>
    <row r="36" spans="1:10">
      <c r="A36" s="254">
        <v>245516</v>
      </c>
      <c r="B36" s="254" t="s">
        <v>1121</v>
      </c>
      <c r="C36" s="255">
        <v>16030.37</v>
      </c>
      <c r="G36" s="303"/>
    </row>
    <row r="37" spans="1:10">
      <c r="A37" s="254">
        <v>245517</v>
      </c>
      <c r="B37" s="254" t="s">
        <v>1121</v>
      </c>
      <c r="C37" s="255">
        <v>1001898.32</v>
      </c>
      <c r="G37" s="303"/>
    </row>
    <row r="38" spans="1:10">
      <c r="A38" s="254">
        <v>245518</v>
      </c>
      <c r="B38" s="254" t="s">
        <v>1121</v>
      </c>
      <c r="C38" s="255">
        <v>349901.04</v>
      </c>
      <c r="G38" s="303"/>
    </row>
    <row r="39" spans="1:10">
      <c r="A39" s="254">
        <v>245519</v>
      </c>
      <c r="B39" s="254" t="s">
        <v>1121</v>
      </c>
      <c r="C39" s="255">
        <v>2698272.94</v>
      </c>
      <c r="E39" s="258">
        <f>+C39*0.25</f>
        <v>674568.23499999999</v>
      </c>
      <c r="F39" s="284" t="s">
        <v>1141</v>
      </c>
      <c r="J39" s="303"/>
    </row>
    <row r="40" spans="1:10">
      <c r="A40" s="254">
        <v>245520</v>
      </c>
      <c r="B40" s="254" t="s">
        <v>1121</v>
      </c>
      <c r="C40" s="255">
        <v>2101800.9700000002</v>
      </c>
      <c r="E40" s="256">
        <f>+C40</f>
        <v>2101800.9700000002</v>
      </c>
      <c r="F40" s="284" t="s">
        <v>1142</v>
      </c>
      <c r="J40" s="303"/>
    </row>
    <row r="41" spans="1:10">
      <c r="A41" s="254">
        <v>245521</v>
      </c>
      <c r="B41" s="254" t="s">
        <v>1121</v>
      </c>
      <c r="C41" s="255">
        <v>2817631.76</v>
      </c>
      <c r="E41" s="256">
        <f>+C41</f>
        <v>2817631.76</v>
      </c>
      <c r="F41" s="284" t="s">
        <v>1143</v>
      </c>
      <c r="J41" s="303"/>
    </row>
    <row r="42" spans="1:10">
      <c r="A42" s="254">
        <v>245522</v>
      </c>
      <c r="B42" s="254" t="s">
        <v>1121</v>
      </c>
      <c r="C42" s="255">
        <v>1408815.87</v>
      </c>
      <c r="E42" s="256">
        <f>+C42</f>
        <v>1408815.87</v>
      </c>
      <c r="F42" s="284" t="s">
        <v>1144</v>
      </c>
      <c r="J42" s="303"/>
    </row>
    <row r="43" spans="1:10">
      <c r="A43" s="254">
        <v>245523</v>
      </c>
      <c r="B43" s="254" t="s">
        <v>1121</v>
      </c>
      <c r="C43" s="255">
        <v>30745.040000000001</v>
      </c>
      <c r="J43" s="303"/>
    </row>
    <row r="44" spans="1:10">
      <c r="A44" s="254">
        <v>245524</v>
      </c>
      <c r="B44" s="254" t="s">
        <v>1121</v>
      </c>
      <c r="C44" s="255">
        <v>126823.3</v>
      </c>
      <c r="J44" s="303"/>
    </row>
    <row r="45" spans="1:10">
      <c r="A45" s="254">
        <v>245525</v>
      </c>
      <c r="B45" s="254" t="s">
        <v>1121</v>
      </c>
      <c r="C45" s="255">
        <v>229744.67</v>
      </c>
      <c r="J45" s="303"/>
    </row>
    <row r="46" spans="1:10">
      <c r="A46" s="450">
        <v>245526</v>
      </c>
      <c r="B46" s="254" t="s">
        <v>1121</v>
      </c>
      <c r="C46" s="449">
        <v>1594934.15</v>
      </c>
      <c r="D46" s="256">
        <f>SUM(C12:C46)</f>
        <v>13318400.199999999</v>
      </c>
      <c r="F46" s="451" t="s">
        <v>1639</v>
      </c>
      <c r="G46" s="450"/>
      <c r="H46" s="450"/>
      <c r="J46" s="303"/>
    </row>
    <row r="48" spans="1:10">
      <c r="C48" s="255">
        <f>SUM(C2:C47)</f>
        <v>18970673.770000003</v>
      </c>
      <c r="D48" s="256">
        <f>+D10+D46</f>
        <v>18970673.77</v>
      </c>
      <c r="E48" s="256">
        <f>SUM(E2:E46)</f>
        <v>8179313.0550000006</v>
      </c>
    </row>
    <row r="49" spans="1:9">
      <c r="D49" s="266" t="s">
        <v>1127</v>
      </c>
      <c r="E49" s="266" t="s">
        <v>202</v>
      </c>
    </row>
    <row r="51" spans="1:9">
      <c r="A51" s="368" t="s">
        <v>1237</v>
      </c>
      <c r="C51" s="255">
        <v>0</v>
      </c>
      <c r="D51" s="258">
        <v>0</v>
      </c>
      <c r="E51" s="258">
        <v>0</v>
      </c>
      <c r="F51" s="374" t="s">
        <v>1256</v>
      </c>
    </row>
    <row r="52" spans="1:9">
      <c r="D52" s="368"/>
      <c r="E52" s="368" t="s">
        <v>202</v>
      </c>
    </row>
    <row r="54" spans="1:9">
      <c r="A54" s="266" t="s">
        <v>1128</v>
      </c>
      <c r="B54" s="374" t="s">
        <v>1287</v>
      </c>
    </row>
    <row r="56" spans="1:9">
      <c r="A56" s="368" t="s">
        <v>1238</v>
      </c>
      <c r="B56" s="368" t="s">
        <v>1255</v>
      </c>
    </row>
    <row r="57" spans="1:9" ht="15.75" customHeight="1">
      <c r="B57" s="479" t="s">
        <v>1239</v>
      </c>
      <c r="C57" s="479"/>
      <c r="D57" s="479"/>
      <c r="E57" s="479"/>
      <c r="F57" s="479"/>
      <c r="G57" s="479"/>
      <c r="H57" s="479"/>
      <c r="I57" s="479"/>
    </row>
    <row r="58" spans="1:9" ht="15">
      <c r="B58" s="479" t="s">
        <v>1240</v>
      </c>
      <c r="C58" s="479"/>
      <c r="D58" s="479"/>
      <c r="E58" s="479"/>
      <c r="F58" s="479"/>
      <c r="G58" s="479"/>
      <c r="H58" s="479"/>
      <c r="I58" s="479"/>
    </row>
    <row r="59" spans="1:9" ht="15">
      <c r="B59" s="479" t="s">
        <v>1241</v>
      </c>
      <c r="C59" s="479"/>
      <c r="D59" s="479"/>
      <c r="E59" s="479"/>
      <c r="F59" s="479"/>
      <c r="G59" s="479"/>
      <c r="H59" s="479"/>
      <c r="I59" s="479"/>
    </row>
    <row r="60" spans="1:9" ht="15">
      <c r="B60" s="479" t="s">
        <v>1242</v>
      </c>
      <c r="C60" s="479"/>
      <c r="D60" s="479"/>
      <c r="E60" s="479"/>
      <c r="F60" s="479"/>
      <c r="G60" s="479"/>
      <c r="H60" s="479"/>
      <c r="I60" s="479"/>
    </row>
    <row r="61" spans="1:9" ht="15">
      <c r="B61" s="479" t="s">
        <v>1243</v>
      </c>
      <c r="C61" s="479"/>
      <c r="D61" s="479"/>
      <c r="E61" s="479"/>
      <c r="F61" s="479"/>
      <c r="G61" s="479"/>
      <c r="H61" s="479"/>
      <c r="I61" s="479"/>
    </row>
    <row r="63" spans="1:9" ht="15">
      <c r="C63" s="452">
        <v>19000674</v>
      </c>
      <c r="D63" s="453" t="s">
        <v>1244</v>
      </c>
      <c r="E63" s="450"/>
      <c r="F63" s="450"/>
      <c r="G63" s="450"/>
      <c r="H63" s="450"/>
    </row>
    <row r="64" spans="1:9" ht="15">
      <c r="C64" s="452">
        <v>284761418</v>
      </c>
      <c r="D64" s="453" t="s">
        <v>1245</v>
      </c>
      <c r="E64" s="450"/>
      <c r="F64" s="450"/>
      <c r="G64" s="450"/>
      <c r="H64" s="450"/>
    </row>
    <row r="65" spans="2:9" ht="15">
      <c r="B65" s="451" t="s">
        <v>1640</v>
      </c>
      <c r="C65" s="454">
        <v>6.6724888973547669E-2</v>
      </c>
      <c r="D65" s="453" t="s">
        <v>1246</v>
      </c>
      <c r="E65" s="450"/>
      <c r="F65" s="450"/>
      <c r="G65" s="450"/>
      <c r="H65" s="450"/>
    </row>
    <row r="66" spans="2:9">
      <c r="B66" s="451" t="s">
        <v>1641</v>
      </c>
      <c r="C66" s="449"/>
      <c r="D66" s="450"/>
      <c r="E66" s="450"/>
      <c r="F66" s="450"/>
      <c r="G66" s="450"/>
      <c r="H66" s="450"/>
    </row>
    <row r="67" spans="2:9">
      <c r="B67" s="451" t="s">
        <v>1642</v>
      </c>
      <c r="C67" s="449"/>
      <c r="D67" s="450"/>
      <c r="E67" s="450"/>
      <c r="F67" s="450"/>
      <c r="G67" s="450"/>
      <c r="H67" s="450"/>
    </row>
    <row r="68" spans="2:9" ht="15">
      <c r="B68" s="451" t="s">
        <v>1643</v>
      </c>
      <c r="C68" s="455">
        <v>0</v>
      </c>
      <c r="D68" s="453" t="s">
        <v>1247</v>
      </c>
      <c r="E68" s="450"/>
      <c r="F68" s="450"/>
      <c r="G68" s="450"/>
      <c r="H68" s="450"/>
      <c r="I68" s="375" t="s">
        <v>1257</v>
      </c>
    </row>
    <row r="69" spans="2:9" ht="15">
      <c r="C69" s="454">
        <v>6.6724888973547669E-2</v>
      </c>
      <c r="D69" s="453" t="s">
        <v>1248</v>
      </c>
      <c r="E69" s="450"/>
      <c r="F69" s="450"/>
      <c r="G69" s="450"/>
      <c r="H69" s="450"/>
    </row>
    <row r="70" spans="2:9" ht="15">
      <c r="C70" s="456">
        <v>0</v>
      </c>
      <c r="D70" s="453" t="s">
        <v>1249</v>
      </c>
      <c r="E70" s="450"/>
      <c r="F70" s="450"/>
      <c r="G70" s="450"/>
      <c r="H70" s="450"/>
    </row>
    <row r="71" spans="2:9" ht="15">
      <c r="C71" s="455">
        <v>0</v>
      </c>
      <c r="D71" s="453" t="s">
        <v>1250</v>
      </c>
      <c r="E71" s="450"/>
      <c r="F71" s="450"/>
      <c r="G71" s="450"/>
      <c r="H71" s="450"/>
    </row>
    <row r="72" spans="2:9">
      <c r="C72" s="449"/>
      <c r="D72" s="450"/>
      <c r="E72" s="450"/>
      <c r="F72" s="450"/>
      <c r="G72" s="450"/>
      <c r="H72" s="450"/>
    </row>
    <row r="73" spans="2:9">
      <c r="C73" s="449"/>
      <c r="D73" s="450"/>
      <c r="E73" s="450"/>
      <c r="F73" s="450"/>
      <c r="G73" s="450"/>
      <c r="H73" s="450"/>
    </row>
    <row r="74" spans="2:9" ht="15">
      <c r="C74" s="453" t="s">
        <v>1251</v>
      </c>
      <c r="D74" s="453"/>
      <c r="E74" s="450"/>
      <c r="F74" s="450"/>
      <c r="G74" s="450"/>
      <c r="H74" s="450"/>
    </row>
    <row r="75" spans="2:9" ht="15">
      <c r="C75" s="453" t="s">
        <v>1252</v>
      </c>
      <c r="D75" s="453"/>
      <c r="E75" s="450"/>
      <c r="F75" s="450"/>
      <c r="G75" s="450"/>
      <c r="H75" s="450"/>
    </row>
    <row r="76" spans="2:9" ht="15">
      <c r="C76" s="453" t="s">
        <v>1253</v>
      </c>
      <c r="D76" s="453"/>
      <c r="E76" s="450"/>
      <c r="F76" s="450"/>
      <c r="G76" s="450"/>
      <c r="H76" s="450"/>
    </row>
    <row r="77" spans="2:9" ht="15">
      <c r="C77" s="452">
        <v>19000674</v>
      </c>
      <c r="D77" s="453"/>
      <c r="E77" s="450"/>
      <c r="F77" s="450"/>
      <c r="G77" s="450"/>
      <c r="H77" s="450"/>
    </row>
    <row r="78" spans="2:9" ht="15">
      <c r="C78" s="453">
        <v>6.9199999999999998E-2</v>
      </c>
      <c r="D78" s="453" t="s">
        <v>1254</v>
      </c>
      <c r="E78" s="450"/>
      <c r="F78" s="450"/>
      <c r="G78" s="450"/>
      <c r="H78" s="450"/>
    </row>
    <row r="79" spans="2:9" ht="15">
      <c r="C79" s="452">
        <v>1314846.6407999999</v>
      </c>
      <c r="D79" s="453"/>
      <c r="E79" s="450"/>
      <c r="F79" s="450"/>
      <c r="G79" s="450"/>
      <c r="H79" s="450"/>
    </row>
  </sheetData>
  <mergeCells count="5">
    <mergeCell ref="B57:I57"/>
    <mergeCell ref="B58:I58"/>
    <mergeCell ref="B59:I59"/>
    <mergeCell ref="B60:I60"/>
    <mergeCell ref="B61:I61"/>
  </mergeCells>
  <pageMargins left="0.7" right="0.7" top="0.75" bottom="0.75" header="0.3" footer="0.3"/>
  <pageSetup scale="60"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59"/>
  <sheetViews>
    <sheetView workbookViewId="0">
      <selection activeCell="A18" sqref="A18"/>
    </sheetView>
  </sheetViews>
  <sheetFormatPr defaultRowHeight="15"/>
  <sheetData>
    <row r="1" spans="1:1">
      <c r="A1" t="s">
        <v>231</v>
      </c>
    </row>
    <row r="3" spans="1:1">
      <c r="A3" t="s">
        <v>232</v>
      </c>
    </row>
    <row r="4" spans="1:1">
      <c r="A4" t="s">
        <v>233</v>
      </c>
    </row>
    <row r="6" spans="1:1">
      <c r="A6" t="s">
        <v>253</v>
      </c>
    </row>
    <row r="7" spans="1:1">
      <c r="A7" t="s">
        <v>254</v>
      </c>
    </row>
    <row r="8" spans="1:1">
      <c r="A8" t="s">
        <v>255</v>
      </c>
    </row>
    <row r="9" spans="1:1">
      <c r="A9" t="s">
        <v>256</v>
      </c>
    </row>
    <row r="10" spans="1:1">
      <c r="A10" t="s">
        <v>257</v>
      </c>
    </row>
    <row r="12" spans="1:1">
      <c r="A12" t="s">
        <v>234</v>
      </c>
    </row>
    <row r="14" spans="1:1">
      <c r="A14" t="s">
        <v>235</v>
      </c>
    </row>
    <row r="16" spans="1:1">
      <c r="A16" t="s">
        <v>236</v>
      </c>
    </row>
    <row r="18" spans="1:1">
      <c r="A18" t="s">
        <v>237</v>
      </c>
    </row>
    <row r="20" spans="1:1">
      <c r="A20" t="s">
        <v>238</v>
      </c>
    </row>
    <row r="23" spans="1:1">
      <c r="A23" t="s">
        <v>239</v>
      </c>
    </row>
    <row r="25" spans="1:1">
      <c r="A25" t="s">
        <v>240</v>
      </c>
    </row>
    <row r="26" spans="1:1">
      <c r="A26" t="s">
        <v>241</v>
      </c>
    </row>
    <row r="28" spans="1:1">
      <c r="A28" t="s">
        <v>242</v>
      </c>
    </row>
    <row r="30" spans="1:1">
      <c r="A30" t="s">
        <v>258</v>
      </c>
    </row>
    <row r="31" spans="1:1">
      <c r="A31" t="s">
        <v>259</v>
      </c>
    </row>
    <row r="32" spans="1:1">
      <c r="A32" t="s">
        <v>260</v>
      </c>
    </row>
    <row r="33" spans="1:1">
      <c r="A33" t="s">
        <v>261</v>
      </c>
    </row>
    <row r="34" spans="1:1">
      <c r="A34" t="s">
        <v>262</v>
      </c>
    </row>
    <row r="35" spans="1:1">
      <c r="A35" t="s">
        <v>263</v>
      </c>
    </row>
    <row r="37" spans="1:1">
      <c r="A37" t="s">
        <v>243</v>
      </c>
    </row>
    <row r="39" spans="1:1">
      <c r="A39" t="s">
        <v>244</v>
      </c>
    </row>
    <row r="41" spans="1:1">
      <c r="A41" t="s">
        <v>245</v>
      </c>
    </row>
    <row r="43" spans="1:1">
      <c r="A43" t="s">
        <v>246</v>
      </c>
    </row>
    <row r="45" spans="1:1">
      <c r="A45" t="s">
        <v>247</v>
      </c>
    </row>
    <row r="47" spans="1:1">
      <c r="A47" t="s">
        <v>248</v>
      </c>
    </row>
    <row r="49" spans="1:1">
      <c r="A49" t="s">
        <v>249</v>
      </c>
    </row>
    <row r="51" spans="1:1">
      <c r="A51" t="s">
        <v>233</v>
      </c>
    </row>
    <row r="52" spans="1:1">
      <c r="A52" t="s">
        <v>250</v>
      </c>
    </row>
    <row r="53" spans="1:1">
      <c r="A53" t="s">
        <v>251</v>
      </c>
    </row>
    <row r="55" spans="1:1">
      <c r="A55" t="s">
        <v>196</v>
      </c>
    </row>
    <row r="59" spans="1:1">
      <c r="A59" t="s">
        <v>252</v>
      </c>
    </row>
  </sheetData>
  <pageMargins left="0.7" right="0.7" top="0.75" bottom="0.7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51"/>
  <sheetViews>
    <sheetView topLeftCell="A7" workbookViewId="0">
      <selection activeCell="D40" sqref="D40"/>
    </sheetView>
  </sheetViews>
  <sheetFormatPr defaultRowHeight="15"/>
  <sheetData>
    <row r="1" spans="1:1">
      <c r="A1" s="358" t="s">
        <v>1177</v>
      </c>
    </row>
    <row r="2" spans="1:1">
      <c r="A2" s="358" t="s">
        <v>1178</v>
      </c>
    </row>
    <row r="3" spans="1:1">
      <c r="A3" s="358"/>
    </row>
    <row r="4" spans="1:1">
      <c r="A4" s="358" t="s">
        <v>1179</v>
      </c>
    </row>
    <row r="5" spans="1:1">
      <c r="A5" s="358" t="s">
        <v>1180</v>
      </c>
    </row>
    <row r="6" spans="1:1">
      <c r="A6" s="358"/>
    </row>
    <row r="7" spans="1:1">
      <c r="A7" s="358" t="s">
        <v>1181</v>
      </c>
    </row>
    <row r="8" spans="1:1">
      <c r="A8" s="358"/>
    </row>
    <row r="9" spans="1:1">
      <c r="A9" s="358" t="s">
        <v>1182</v>
      </c>
    </row>
    <row r="10" spans="1:1">
      <c r="A10" s="358"/>
    </row>
    <row r="11" spans="1:1">
      <c r="A11" s="358" t="s">
        <v>233</v>
      </c>
    </row>
    <row r="12" spans="1:1">
      <c r="A12" s="358"/>
    </row>
    <row r="13" spans="1:1">
      <c r="A13" s="360" t="s">
        <v>1183</v>
      </c>
    </row>
    <row r="14" spans="1:1">
      <c r="A14" s="360" t="s">
        <v>1184</v>
      </c>
    </row>
    <row r="15" spans="1:1">
      <c r="A15" s="360" t="s">
        <v>1185</v>
      </c>
    </row>
    <row r="16" spans="1:1">
      <c r="A16" s="360" t="s">
        <v>1186</v>
      </c>
    </row>
    <row r="17" spans="1:1">
      <c r="A17" s="359"/>
    </row>
    <row r="18" spans="1:1">
      <c r="A18" s="359" t="s">
        <v>234</v>
      </c>
    </row>
    <row r="19" spans="1:1">
      <c r="A19" s="359"/>
    </row>
    <row r="20" spans="1:1">
      <c r="A20" s="359" t="s">
        <v>1187</v>
      </c>
    </row>
    <row r="21" spans="1:1">
      <c r="A21" s="359"/>
    </row>
    <row r="22" spans="1:1">
      <c r="A22" s="359" t="s">
        <v>1029</v>
      </c>
    </row>
    <row r="23" spans="1:1">
      <c r="A23" s="361" t="s">
        <v>1188</v>
      </c>
    </row>
    <row r="24" spans="1:1">
      <c r="A24" s="361" t="s">
        <v>1189</v>
      </c>
    </row>
    <row r="25" spans="1:1">
      <c r="A25" s="361" t="s">
        <v>1190</v>
      </c>
    </row>
    <row r="26" spans="1:1">
      <c r="A26" s="362" t="s">
        <v>1191</v>
      </c>
    </row>
    <row r="27" spans="1:1">
      <c r="A27" s="358" t="s">
        <v>1192</v>
      </c>
    </row>
    <row r="28" spans="1:1">
      <c r="A28" s="363" t="s">
        <v>1193</v>
      </c>
    </row>
    <row r="29" spans="1:1">
      <c r="A29" s="364" t="s">
        <v>1194</v>
      </c>
    </row>
    <row r="30" spans="1:1">
      <c r="A30" s="364" t="s">
        <v>1195</v>
      </c>
    </row>
    <row r="31" spans="1:1">
      <c r="A31" s="364" t="s">
        <v>1196</v>
      </c>
    </row>
    <row r="32" spans="1:1">
      <c r="A32" s="359" t="s">
        <v>1197</v>
      </c>
    </row>
    <row r="33" spans="1:1">
      <c r="A33" s="361" t="s">
        <v>1198</v>
      </c>
    </row>
    <row r="34" spans="1:1">
      <c r="A34" s="362" t="s">
        <v>1199</v>
      </c>
    </row>
    <row r="35" spans="1:1">
      <c r="A35" s="362" t="s">
        <v>1200</v>
      </c>
    </row>
    <row r="36" spans="1:1">
      <c r="A36" s="359"/>
    </row>
    <row r="37" spans="1:1">
      <c r="A37" s="359" t="s">
        <v>1201</v>
      </c>
    </row>
    <row r="38" spans="1:1">
      <c r="A38" s="359"/>
    </row>
    <row r="39" spans="1:1">
      <c r="A39" s="359" t="s">
        <v>1202</v>
      </c>
    </row>
    <row r="40" spans="1:1">
      <c r="A40" s="359" t="s">
        <v>1203</v>
      </c>
    </row>
    <row r="41" spans="1:1">
      <c r="A41" s="359"/>
    </row>
    <row r="42" spans="1:1">
      <c r="A42" s="359"/>
    </row>
    <row r="43" spans="1:1">
      <c r="A43" s="359"/>
    </row>
    <row r="44" spans="1:1">
      <c r="A44" s="359"/>
    </row>
    <row r="45" spans="1:1">
      <c r="A45" s="359"/>
    </row>
    <row r="46" spans="1:1" ht="18.75">
      <c r="A46" s="365" t="s">
        <v>1204</v>
      </c>
    </row>
    <row r="47" spans="1:1">
      <c r="A47" s="366" t="s">
        <v>880</v>
      </c>
    </row>
    <row r="48" spans="1:1">
      <c r="A48" s="366" t="s">
        <v>1205</v>
      </c>
    </row>
    <row r="49" spans="1:1">
      <c r="A49" s="366" t="s">
        <v>1206</v>
      </c>
    </row>
    <row r="50" spans="1:1">
      <c r="A50" s="366" t="s">
        <v>1207</v>
      </c>
    </row>
    <row r="51" spans="1:1">
      <c r="A51" s="359"/>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62"/>
  <sheetViews>
    <sheetView topLeftCell="A7" workbookViewId="0">
      <selection activeCell="J24" sqref="J24"/>
    </sheetView>
  </sheetViews>
  <sheetFormatPr defaultRowHeight="15"/>
  <sheetData>
    <row r="1" spans="1:1">
      <c r="A1" s="358" t="s">
        <v>1208</v>
      </c>
    </row>
    <row r="2" spans="1:1">
      <c r="A2" s="358"/>
    </row>
    <row r="3" spans="1:1">
      <c r="A3" s="358" t="s">
        <v>1203</v>
      </c>
    </row>
    <row r="4" spans="1:1">
      <c r="A4" s="358"/>
    </row>
    <row r="5" spans="1:1" ht="18.75">
      <c r="A5" s="365" t="s">
        <v>1204</v>
      </c>
    </row>
    <row r="6" spans="1:1">
      <c r="A6" s="366" t="s">
        <v>880</v>
      </c>
    </row>
    <row r="7" spans="1:1">
      <c r="A7" s="366" t="s">
        <v>1205</v>
      </c>
    </row>
    <row r="8" spans="1:1">
      <c r="A8" s="366" t="s">
        <v>1206</v>
      </c>
    </row>
    <row r="9" spans="1:1">
      <c r="A9" s="366" t="s">
        <v>1207</v>
      </c>
    </row>
    <row r="10" spans="1:1">
      <c r="A10" s="358"/>
    </row>
    <row r="11" spans="1:1">
      <c r="A11" s="360" t="s">
        <v>1209</v>
      </c>
    </row>
    <row r="12" spans="1:1">
      <c r="A12" s="360" t="s">
        <v>1210</v>
      </c>
    </row>
    <row r="13" spans="1:1">
      <c r="A13" s="360" t="s">
        <v>1211</v>
      </c>
    </row>
    <row r="14" spans="1:1">
      <c r="A14" s="360" t="s">
        <v>1212</v>
      </c>
    </row>
    <row r="15" spans="1:1">
      <c r="A15" s="359"/>
    </row>
    <row r="16" spans="1:1">
      <c r="A16" s="358" t="s">
        <v>1213</v>
      </c>
    </row>
    <row r="17" spans="1:1">
      <c r="A17" s="358"/>
    </row>
    <row r="18" spans="1:1">
      <c r="A18" s="358" t="s">
        <v>1214</v>
      </c>
    </row>
    <row r="19" spans="1:1">
      <c r="A19" s="358" t="s">
        <v>1215</v>
      </c>
    </row>
    <row r="20" spans="1:1">
      <c r="A20" s="358" t="s">
        <v>1216</v>
      </c>
    </row>
    <row r="21" spans="1:1">
      <c r="A21" s="358" t="s">
        <v>1217</v>
      </c>
    </row>
    <row r="22" spans="1:1">
      <c r="A22" s="358" t="s">
        <v>1218</v>
      </c>
    </row>
    <row r="23" spans="1:1">
      <c r="A23" s="358" t="s">
        <v>1219</v>
      </c>
    </row>
    <row r="24" spans="1:1">
      <c r="A24" s="358" t="s">
        <v>1220</v>
      </c>
    </row>
    <row r="25" spans="1:1">
      <c r="A25" s="358" t="s">
        <v>1221</v>
      </c>
    </row>
    <row r="26" spans="1:1">
      <c r="A26" s="358" t="s">
        <v>1222</v>
      </c>
    </row>
    <row r="27" spans="1:1">
      <c r="A27" s="358"/>
    </row>
    <row r="28" spans="1:1">
      <c r="A28" s="358"/>
    </row>
    <row r="29" spans="1:1">
      <c r="A29" s="358"/>
    </row>
    <row r="30" spans="1:1">
      <c r="A30" s="360" t="s">
        <v>1183</v>
      </c>
    </row>
    <row r="31" spans="1:1">
      <c r="A31" s="360" t="s">
        <v>1223</v>
      </c>
    </row>
    <row r="32" spans="1:1">
      <c r="A32" s="360" t="s">
        <v>1224</v>
      </c>
    </row>
    <row r="33" spans="1:1">
      <c r="A33" s="360" t="s">
        <v>1212</v>
      </c>
    </row>
    <row r="34" spans="1:1">
      <c r="A34" s="359"/>
    </row>
    <row r="35" spans="1:1">
      <c r="A35" s="358" t="s">
        <v>1225</v>
      </c>
    </row>
    <row r="36" spans="1:1">
      <c r="A36" s="358"/>
    </row>
    <row r="37" spans="1:1">
      <c r="A37" s="358" t="s">
        <v>1226</v>
      </c>
    </row>
    <row r="38" spans="1:1">
      <c r="A38" s="358"/>
    </row>
    <row r="39" spans="1:1">
      <c r="A39" s="358" t="s">
        <v>1202</v>
      </c>
    </row>
    <row r="40" spans="1:1">
      <c r="A40" s="358" t="s">
        <v>1203</v>
      </c>
    </row>
    <row r="41" spans="1:1">
      <c r="A41" s="358"/>
    </row>
    <row r="42" spans="1:1" ht="18.75">
      <c r="A42" s="365" t="s">
        <v>1204</v>
      </c>
    </row>
    <row r="43" spans="1:1">
      <c r="A43" s="366" t="s">
        <v>880</v>
      </c>
    </row>
    <row r="44" spans="1:1">
      <c r="A44" s="366" t="s">
        <v>1205</v>
      </c>
    </row>
    <row r="45" spans="1:1">
      <c r="A45" s="366" t="s">
        <v>1206</v>
      </c>
    </row>
    <row r="46" spans="1:1">
      <c r="A46" s="366" t="s">
        <v>1207</v>
      </c>
    </row>
    <row r="47" spans="1:1">
      <c r="A47" s="358"/>
    </row>
    <row r="48" spans="1:1">
      <c r="A48" s="360" t="s">
        <v>1209</v>
      </c>
    </row>
    <row r="49" spans="1:1">
      <c r="A49" s="360" t="s">
        <v>1227</v>
      </c>
    </row>
    <row r="50" spans="1:1">
      <c r="A50" s="360" t="s">
        <v>1211</v>
      </c>
    </row>
    <row r="51" spans="1:1">
      <c r="A51" s="360" t="s">
        <v>1228</v>
      </c>
    </row>
    <row r="52" spans="1:1">
      <c r="A52" s="359"/>
    </row>
    <row r="53" spans="1:1">
      <c r="A53" s="359" t="s">
        <v>1229</v>
      </c>
    </row>
    <row r="54" spans="1:1">
      <c r="A54" s="359"/>
    </row>
    <row r="55" spans="1:1">
      <c r="A55" s="359" t="s">
        <v>1230</v>
      </c>
    </row>
    <row r="56" spans="1:1">
      <c r="A56" s="359" t="s">
        <v>1231</v>
      </c>
    </row>
    <row r="57" spans="1:1">
      <c r="A57" s="359"/>
    </row>
    <row r="58" spans="1:1">
      <c r="A58" s="359" t="s">
        <v>1232</v>
      </c>
    </row>
    <row r="59" spans="1:1">
      <c r="A59" s="359"/>
    </row>
    <row r="60" spans="1:1">
      <c r="A60" s="359" t="s">
        <v>1233</v>
      </c>
    </row>
    <row r="61" spans="1:1">
      <c r="A61" s="359"/>
    </row>
    <row r="62" spans="1:1">
      <c r="A62" s="359" t="s">
        <v>1234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A1:N74"/>
  <sheetViews>
    <sheetView workbookViewId="0">
      <selection activeCell="M15" sqref="M15"/>
    </sheetView>
  </sheetViews>
  <sheetFormatPr defaultRowHeight="15"/>
  <cols>
    <col min="1" max="1" width="20.77734375" customWidth="1"/>
    <col min="2" max="2" width="2.88671875" customWidth="1"/>
    <col min="3" max="3" width="15.77734375" customWidth="1"/>
    <col min="4" max="4" width="3.77734375" customWidth="1"/>
    <col min="5" max="5" width="15.77734375" customWidth="1"/>
    <col min="6" max="6" width="4.33203125" customWidth="1"/>
    <col min="7" max="7" width="15.77734375" customWidth="1"/>
    <col min="8" max="8" width="3.77734375" customWidth="1"/>
    <col min="12" max="12" width="15" style="7" bestFit="1" customWidth="1"/>
    <col min="13" max="13" width="14.5546875" style="7" bestFit="1" customWidth="1"/>
  </cols>
  <sheetData>
    <row r="1" spans="1:14">
      <c r="A1" t="s">
        <v>270</v>
      </c>
    </row>
    <row r="3" spans="1:14">
      <c r="E3" s="1" t="s">
        <v>240</v>
      </c>
      <c r="F3" s="1"/>
      <c r="G3" s="1" t="s">
        <v>240</v>
      </c>
    </row>
    <row r="4" spans="1:14">
      <c r="A4" s="4" t="s">
        <v>915</v>
      </c>
      <c r="B4" s="4"/>
      <c r="C4" s="34" t="s">
        <v>273</v>
      </c>
      <c r="D4" s="34"/>
      <c r="E4" s="4" t="s">
        <v>202</v>
      </c>
      <c r="F4" s="4"/>
      <c r="G4" s="4" t="s">
        <v>204</v>
      </c>
    </row>
    <row r="5" spans="1:14">
      <c r="A5" t="s">
        <v>227</v>
      </c>
      <c r="C5" s="7">
        <f>+'MISO Lines DECEMBER 2016'!I274+'MISO Lines DECEMBER 2016'!I269</f>
        <v>161958483.65000004</v>
      </c>
      <c r="D5" s="140" t="s">
        <v>903</v>
      </c>
      <c r="E5" s="7">
        <f>+'MISO Lines DECEMBER 2016'!N274</f>
        <v>15292893.310871691</v>
      </c>
      <c r="F5" s="140" t="s">
        <v>904</v>
      </c>
      <c r="G5" s="7">
        <f>+C5-E5</f>
        <v>146665590.33912835</v>
      </c>
      <c r="H5" s="140"/>
    </row>
    <row r="6" spans="1:14">
      <c r="A6" t="s">
        <v>228</v>
      </c>
      <c r="C6" s="7">
        <f>+'MISO Lines DECEMBER 2016'!I275</f>
        <v>20139298.580000002</v>
      </c>
      <c r="D6" s="140" t="s">
        <v>905</v>
      </c>
      <c r="E6" s="7">
        <f>+'MISO Lines DECEMBER 2016'!N275</f>
        <v>16139593.220000003</v>
      </c>
      <c r="F6" s="140" t="s">
        <v>906</v>
      </c>
      <c r="G6" s="7">
        <f t="shared" ref="G6:G7" si="0">+C6-E6</f>
        <v>3999705.3599999994</v>
      </c>
      <c r="H6" s="140"/>
    </row>
    <row r="7" spans="1:14">
      <c r="A7" t="s">
        <v>895</v>
      </c>
      <c r="C7" s="50">
        <f>+'MISO Lines DECEMBER 2016'!I276</f>
        <v>26584865.293000005</v>
      </c>
      <c r="D7" s="140" t="s">
        <v>907</v>
      </c>
      <c r="E7" s="50">
        <f>+'MISO Lines DECEMBER 2016'!N276</f>
        <v>26584865.293000005</v>
      </c>
      <c r="F7" s="140" t="s">
        <v>908</v>
      </c>
      <c r="G7" s="50">
        <f t="shared" si="0"/>
        <v>0</v>
      </c>
      <c r="H7" s="140"/>
      <c r="L7" s="7">
        <f>+C8+C15+C17</f>
        <v>374150550.67300004</v>
      </c>
    </row>
    <row r="8" spans="1:14">
      <c r="A8" s="49" t="s">
        <v>272</v>
      </c>
      <c r="B8" s="49"/>
      <c r="C8" s="7">
        <f>SUM(C5:C7)</f>
        <v>208682647.52300006</v>
      </c>
      <c r="D8" s="140"/>
      <c r="E8" s="7">
        <f t="shared" ref="E8:G8" si="1">SUM(E5:E7)</f>
        <v>58017351.823871702</v>
      </c>
      <c r="F8" s="140"/>
      <c r="G8" s="7">
        <f t="shared" si="1"/>
        <v>150665295.69912833</v>
      </c>
      <c r="H8" s="140"/>
      <c r="L8" s="7">
        <v>374150550.67000002</v>
      </c>
      <c r="N8" s="32" t="s">
        <v>196</v>
      </c>
    </row>
    <row r="9" spans="1:14">
      <c r="L9" s="7">
        <f>+L7-L8</f>
        <v>3.0000209808349609E-3</v>
      </c>
      <c r="M9" s="7">
        <f>+L9+M15</f>
        <v>0</v>
      </c>
    </row>
    <row r="10" spans="1:14">
      <c r="E10" s="1" t="s">
        <v>240</v>
      </c>
      <c r="F10" s="1"/>
      <c r="G10" s="1" t="s">
        <v>240</v>
      </c>
    </row>
    <row r="11" spans="1:14">
      <c r="A11" s="4" t="s">
        <v>916</v>
      </c>
      <c r="B11" s="119"/>
      <c r="C11" s="34" t="s">
        <v>273</v>
      </c>
      <c r="D11" s="34"/>
      <c r="E11" s="4" t="s">
        <v>202</v>
      </c>
      <c r="F11" s="4"/>
      <c r="G11" s="4" t="s">
        <v>204</v>
      </c>
    </row>
    <row r="12" spans="1:14">
      <c r="A12" t="s">
        <v>227</v>
      </c>
      <c r="C12" s="7">
        <f>+'MISO Stations December 2016'!G348+'MISO Stations December 2016'!H356</f>
        <v>136801631.35826397</v>
      </c>
      <c r="D12" s="140" t="s">
        <v>909</v>
      </c>
      <c r="E12" s="7">
        <f>+'MISO Stations December 2016'!I362</f>
        <v>10920159.909999996</v>
      </c>
      <c r="F12" s="140" t="s">
        <v>910</v>
      </c>
      <c r="G12" s="7">
        <f>+C12-E12</f>
        <v>125881471.44826397</v>
      </c>
      <c r="H12" s="140"/>
    </row>
    <row r="13" spans="1:14">
      <c r="A13" t="s">
        <v>228</v>
      </c>
      <c r="C13" s="7">
        <f>+'MISO Stations December 2016'!G349+'MISO Stations December 2016'!H357</f>
        <v>21573196.021736007</v>
      </c>
      <c r="D13" s="140" t="s">
        <v>911</v>
      </c>
      <c r="E13" s="7">
        <f>+'MISO Stations December 2016'!I363</f>
        <v>4009317.9500000011</v>
      </c>
      <c r="F13" s="140" t="s">
        <v>912</v>
      </c>
      <c r="G13" s="7">
        <f t="shared" ref="G13:G14" si="2">+C13-E13</f>
        <v>17563878.071736008</v>
      </c>
      <c r="H13" s="140"/>
      <c r="L13" s="367">
        <f>SUM('SMEPA Lines DECEMBER 2016'!E279:H279)</f>
        <v>208296366.11000001</v>
      </c>
      <c r="M13" s="7">
        <f>2354218.37+41631974.88+118355366.7</f>
        <v>162341559.94999999</v>
      </c>
    </row>
    <row r="14" spans="1:14">
      <c r="A14" t="s">
        <v>895</v>
      </c>
      <c r="C14" s="50">
        <f>+'MISO Stations December 2016'!G350</f>
        <v>3580451.1599999988</v>
      </c>
      <c r="D14" s="140" t="s">
        <v>913</v>
      </c>
      <c r="E14" s="50">
        <f>+'MISO Stations December 2016'!I364</f>
        <v>3580451.1599999988</v>
      </c>
      <c r="F14" s="140" t="s">
        <v>914</v>
      </c>
      <c r="G14" s="50">
        <f t="shared" si="2"/>
        <v>0</v>
      </c>
      <c r="H14" s="140"/>
      <c r="L14" s="7">
        <f>+L13-C8</f>
        <v>-386281.41300004721</v>
      </c>
      <c r="M14" s="7">
        <f>+M13-C15</f>
        <v>386281.41000002623</v>
      </c>
    </row>
    <row r="15" spans="1:14">
      <c r="A15" s="49" t="s">
        <v>272</v>
      </c>
      <c r="B15" s="49"/>
      <c r="C15" s="7">
        <f>SUM(C12:C14)</f>
        <v>161955278.53999996</v>
      </c>
      <c r="D15" s="140"/>
      <c r="E15" s="7">
        <f t="shared" ref="E15:G15" si="3">SUM(E12:E14)</f>
        <v>18509929.019999996</v>
      </c>
      <c r="F15" s="140"/>
      <c r="G15" s="7">
        <f t="shared" si="3"/>
        <v>143445349.51999998</v>
      </c>
      <c r="H15" s="140"/>
      <c r="M15" s="7">
        <f>+M14+L14</f>
        <v>-3.0000209808349609E-3</v>
      </c>
    </row>
    <row r="17" spans="1:13">
      <c r="A17" s="32" t="s">
        <v>888</v>
      </c>
      <c r="B17" s="32"/>
      <c r="C17" s="7">
        <v>3512624.61</v>
      </c>
      <c r="D17" s="144" t="s">
        <v>221</v>
      </c>
      <c r="E17" s="7">
        <v>3512624.61</v>
      </c>
      <c r="F17" s="7"/>
      <c r="G17" s="7">
        <f>+C17-E17</f>
        <v>0</v>
      </c>
    </row>
    <row r="18" spans="1:13">
      <c r="A18" s="32" t="s">
        <v>889</v>
      </c>
      <c r="B18" s="32"/>
    </row>
    <row r="19" spans="1:13">
      <c r="A19" s="32"/>
      <c r="B19" s="32"/>
    </row>
    <row r="20" spans="1:13">
      <c r="A20" s="32" t="s">
        <v>918</v>
      </c>
      <c r="B20" s="32"/>
      <c r="C20" s="7">
        <f>+'Batesville 2016 Trans'!D48+'Batesville 2016 Trans'!C51</f>
        <v>18970673.77</v>
      </c>
      <c r="D20" s="25" t="s">
        <v>223</v>
      </c>
      <c r="E20" s="7">
        <f>+'Batesville 2015 Trans'!E48+'Batesville 2015 Trans'!E51</f>
        <v>8179313.0550000006</v>
      </c>
      <c r="F20" t="s">
        <v>1122</v>
      </c>
      <c r="G20" s="7">
        <f>+C20-E20</f>
        <v>10791360.715</v>
      </c>
      <c r="I20" s="302" t="s">
        <v>196</v>
      </c>
    </row>
    <row r="21" spans="1:13">
      <c r="A21" s="32" t="s">
        <v>889</v>
      </c>
      <c r="B21" s="32"/>
    </row>
    <row r="22" spans="1:13" s="6" customFormat="1" ht="15.75" thickBot="1">
      <c r="A22" s="15"/>
      <c r="B22" s="15"/>
      <c r="L22" s="16"/>
      <c r="M22" s="16"/>
    </row>
    <row r="23" spans="1:13">
      <c r="A23" s="132" t="s">
        <v>898</v>
      </c>
      <c r="B23" s="133"/>
      <c r="C23" s="145"/>
      <c r="D23" s="111"/>
      <c r="E23" s="136" t="s">
        <v>240</v>
      </c>
      <c r="F23" s="136"/>
      <c r="G23" s="137" t="s">
        <v>240</v>
      </c>
    </row>
    <row r="24" spans="1:13">
      <c r="A24" s="134" t="s">
        <v>273</v>
      </c>
      <c r="B24" s="131"/>
      <c r="C24" s="34" t="s">
        <v>273</v>
      </c>
      <c r="D24" s="34"/>
      <c r="E24" s="4" t="s">
        <v>202</v>
      </c>
      <c r="F24" s="4"/>
      <c r="G24" s="128" t="s">
        <v>204</v>
      </c>
    </row>
    <row r="25" spans="1:13">
      <c r="A25" s="112" t="s">
        <v>227</v>
      </c>
      <c r="B25" s="120"/>
      <c r="C25" s="110">
        <f>+C5+C12</f>
        <v>298760115.00826401</v>
      </c>
      <c r="D25" s="146" t="s">
        <v>224</v>
      </c>
      <c r="E25" s="110">
        <f>+E5+E12</f>
        <v>26213053.220871687</v>
      </c>
      <c r="F25" s="146" t="s">
        <v>224</v>
      </c>
      <c r="G25" s="113">
        <f>+C25-E25</f>
        <v>272547061.78739232</v>
      </c>
      <c r="H25" s="146"/>
    </row>
    <row r="26" spans="1:13">
      <c r="A26" s="112" t="s">
        <v>228</v>
      </c>
      <c r="B26" s="120"/>
      <c r="C26" s="110">
        <f>+C6+C13+C17+C20</f>
        <v>64195792.981736004</v>
      </c>
      <c r="D26" s="146" t="s">
        <v>224</v>
      </c>
      <c r="E26" s="110">
        <f>+E6+E13+E17+E20</f>
        <v>31840848.835000001</v>
      </c>
      <c r="F26" s="146" t="s">
        <v>224</v>
      </c>
      <c r="G26" s="113">
        <f t="shared" ref="G26:G27" si="4">+C26-E26</f>
        <v>32354944.146736003</v>
      </c>
      <c r="H26" s="146"/>
      <c r="J26" s="6"/>
    </row>
    <row r="27" spans="1:13">
      <c r="A27" s="112" t="s">
        <v>895</v>
      </c>
      <c r="B27" s="120"/>
      <c r="C27" s="50">
        <f>+C7+C14</f>
        <v>30165316.453000005</v>
      </c>
      <c r="D27" s="146" t="s">
        <v>224</v>
      </c>
      <c r="E27" s="50">
        <f>+E7+E14</f>
        <v>30165316.453000005</v>
      </c>
      <c r="F27" s="146" t="s">
        <v>224</v>
      </c>
      <c r="G27" s="114">
        <f t="shared" si="4"/>
        <v>0</v>
      </c>
      <c r="H27" s="146"/>
    </row>
    <row r="28" spans="1:13">
      <c r="A28" s="112"/>
      <c r="B28" s="120"/>
      <c r="C28" s="110">
        <f>SUM(C25:C27)</f>
        <v>393121224.44300002</v>
      </c>
      <c r="D28" s="146"/>
      <c r="E28" s="135">
        <f>SUM(E25:E27)</f>
        <v>88219218.508871689</v>
      </c>
      <c r="F28" s="146" t="s">
        <v>226</v>
      </c>
      <c r="G28" s="113">
        <f t="shared" ref="G28" si="5">SUM(G25:G27)</f>
        <v>304902005.93412834</v>
      </c>
      <c r="H28" s="146"/>
    </row>
    <row r="29" spans="1:13" ht="15.75" thickBot="1">
      <c r="A29" s="116" t="s">
        <v>897</v>
      </c>
      <c r="B29" s="117"/>
      <c r="C29" s="117"/>
      <c r="D29" s="117"/>
      <c r="E29" s="117"/>
      <c r="F29" s="117"/>
      <c r="G29" s="118"/>
    </row>
    <row r="31" spans="1:13" ht="15.75" thickBot="1"/>
    <row r="32" spans="1:13">
      <c r="A32" s="123" t="s">
        <v>900</v>
      </c>
      <c r="B32" s="124"/>
      <c r="C32" s="124"/>
      <c r="D32" s="124"/>
      <c r="E32" s="124"/>
      <c r="F32" s="148" t="s">
        <v>230</v>
      </c>
      <c r="G32" s="125"/>
    </row>
    <row r="33" spans="1:7">
      <c r="A33" s="126" t="s">
        <v>899</v>
      </c>
      <c r="B33" s="121"/>
      <c r="C33" s="121"/>
      <c r="D33" s="121"/>
      <c r="E33" s="121"/>
      <c r="F33" s="121"/>
      <c r="G33" s="139"/>
    </row>
    <row r="34" spans="1:7">
      <c r="A34" s="127" t="s">
        <v>891</v>
      </c>
      <c r="B34" s="119"/>
      <c r="C34" s="4" t="s">
        <v>271</v>
      </c>
      <c r="D34" s="119"/>
      <c r="E34" s="4" t="s">
        <v>274</v>
      </c>
      <c r="F34" s="119"/>
      <c r="G34" s="138" t="s">
        <v>272</v>
      </c>
    </row>
    <row r="35" spans="1:7">
      <c r="A35" s="112" t="s">
        <v>227</v>
      </c>
      <c r="B35" s="120"/>
      <c r="C35" s="122">
        <f>SUM('MISO Lines DECEMBER 2016'!I111:I269)</f>
        <v>161958483.65000004</v>
      </c>
      <c r="D35" s="147" t="s">
        <v>921</v>
      </c>
      <c r="E35" s="110">
        <f>SUM('MISO Stations December 2016'!G206:G343)+'MISO Stations December 2016'!H356+'MISO Stations December 2016'!I356</f>
        <v>136801631.35826397</v>
      </c>
      <c r="F35" s="146" t="s">
        <v>922</v>
      </c>
      <c r="G35" s="129">
        <f>+C35+E35</f>
        <v>298760115.00826401</v>
      </c>
    </row>
    <row r="36" spans="1:7">
      <c r="A36" s="112" t="s">
        <v>228</v>
      </c>
      <c r="B36" s="120"/>
      <c r="C36" s="122">
        <f>SUM('MISO Lines DECEMBER 2016'!I10:I64)+'Batesville 2016 Trans'!D18+'Batesville 2016 Trans'!D25+'Batesville 2016 Trans'!D34</f>
        <v>20364123.520000003</v>
      </c>
      <c r="D36" s="147" t="s">
        <v>923</v>
      </c>
      <c r="E36" s="110">
        <f>SUM('MISO Stations December 2016'!G9:G180)+'MISO Stations December 2016'!H357+'MISO Stations December 2016'!I357+C17+C20-'Batesville 2016 Trans'!D18-'Batesville 2016 Trans'!D25-'Batesville 2016 Trans'!D34</f>
        <v>43831669.461736001</v>
      </c>
      <c r="F36" s="146" t="s">
        <v>924</v>
      </c>
      <c r="G36" s="129">
        <f>+C36+E36</f>
        <v>64195792.981736004</v>
      </c>
    </row>
    <row r="37" spans="1:7">
      <c r="A37" s="112" t="s">
        <v>894</v>
      </c>
      <c r="B37" s="120"/>
      <c r="C37" s="122">
        <f>SUM('MISO Lines DECEMBER 2016'!I96:I110)</f>
        <v>12564714.532999998</v>
      </c>
      <c r="D37" s="147" t="s">
        <v>925</v>
      </c>
      <c r="E37" s="110">
        <f>SUM('MISO Stations December 2016'!G192:G205)</f>
        <v>1233102.6599999999</v>
      </c>
      <c r="F37" s="146" t="s">
        <v>926</v>
      </c>
      <c r="G37" s="129">
        <f>+C37+E37</f>
        <v>13797817.192999998</v>
      </c>
    </row>
    <row r="38" spans="1:7">
      <c r="A38" s="112" t="s">
        <v>901</v>
      </c>
      <c r="B38" s="120"/>
      <c r="C38" s="115">
        <f>SUM('MISO Lines DECEMBER 2016'!I65:I95)</f>
        <v>14020150.76</v>
      </c>
      <c r="D38" s="147" t="s">
        <v>927</v>
      </c>
      <c r="E38" s="50">
        <f>SUM('MISO Stations December 2016'!G181:G191)</f>
        <v>2347348.4999999995</v>
      </c>
      <c r="F38" s="146" t="s">
        <v>928</v>
      </c>
      <c r="G38" s="130">
        <f>+C38+E38</f>
        <v>16367499.26</v>
      </c>
    </row>
    <row r="39" spans="1:7">
      <c r="A39" s="112"/>
      <c r="B39" s="120"/>
      <c r="C39" s="122">
        <f>SUM(C35:C38)</f>
        <v>208907472.46300003</v>
      </c>
      <c r="D39" s="122"/>
      <c r="E39" s="110">
        <f>SUM(E35:E38)</f>
        <v>184213751.97999996</v>
      </c>
      <c r="F39" s="110"/>
      <c r="G39" s="129">
        <f>SUM(G35:G38)</f>
        <v>393121224.44300002</v>
      </c>
    </row>
    <row r="40" spans="1:7">
      <c r="A40" s="126" t="s">
        <v>929</v>
      </c>
      <c r="B40" s="121"/>
      <c r="C40" s="121"/>
      <c r="D40" s="121"/>
      <c r="E40" s="121"/>
      <c r="F40" s="121"/>
      <c r="G40" s="151"/>
    </row>
    <row r="41" spans="1:7" ht="15.75" thickBot="1">
      <c r="A41" s="116" t="s">
        <v>902</v>
      </c>
      <c r="B41" s="117"/>
      <c r="C41" s="141">
        <f>+C39-C38</f>
        <v>194887321.70300004</v>
      </c>
      <c r="D41" s="149" t="s">
        <v>886</v>
      </c>
      <c r="E41" s="142">
        <f>+E39-E38</f>
        <v>181866403.47999996</v>
      </c>
      <c r="F41" s="150" t="s">
        <v>886</v>
      </c>
      <c r="G41" s="143">
        <f>+G39-G38</f>
        <v>376753725.18300003</v>
      </c>
    </row>
    <row r="42" spans="1:7">
      <c r="E42" s="27"/>
      <c r="F42" s="27"/>
    </row>
    <row r="43" spans="1:7">
      <c r="E43" s="27"/>
      <c r="F43" s="27"/>
      <c r="G43" s="156"/>
    </row>
    <row r="44" spans="1:7">
      <c r="E44" s="27"/>
      <c r="F44" s="27"/>
    </row>
    <row r="45" spans="1:7">
      <c r="A45" s="25" t="s">
        <v>220</v>
      </c>
      <c r="B45" s="32" t="s">
        <v>1645</v>
      </c>
      <c r="E45" s="27"/>
      <c r="F45" s="27"/>
    </row>
    <row r="46" spans="1:7">
      <c r="A46" s="25" t="s">
        <v>903</v>
      </c>
      <c r="B46" s="32" t="s">
        <v>1646</v>
      </c>
      <c r="E46" s="27"/>
      <c r="F46" s="27"/>
    </row>
    <row r="47" spans="1:7">
      <c r="A47" s="25" t="s">
        <v>904</v>
      </c>
      <c r="B47" s="32" t="s">
        <v>1647</v>
      </c>
      <c r="E47" s="27"/>
      <c r="F47" s="27"/>
    </row>
    <row r="48" spans="1:7">
      <c r="A48" s="25" t="s">
        <v>905</v>
      </c>
      <c r="B48" s="32" t="s">
        <v>1648</v>
      </c>
      <c r="E48" s="27"/>
      <c r="F48" s="27"/>
    </row>
    <row r="49" spans="1:6">
      <c r="A49" s="25" t="s">
        <v>906</v>
      </c>
      <c r="B49" s="32" t="s">
        <v>1649</v>
      </c>
      <c r="E49" s="27"/>
      <c r="F49" s="27"/>
    </row>
    <row r="50" spans="1:6">
      <c r="A50" s="25" t="s">
        <v>907</v>
      </c>
      <c r="B50" s="32" t="s">
        <v>1650</v>
      </c>
      <c r="E50" s="27"/>
      <c r="F50" s="27"/>
    </row>
    <row r="51" spans="1:6">
      <c r="A51" s="25" t="s">
        <v>908</v>
      </c>
      <c r="B51" s="32" t="s">
        <v>1651</v>
      </c>
      <c r="E51" s="27"/>
      <c r="F51" s="27"/>
    </row>
    <row r="52" spans="1:6">
      <c r="A52" s="25" t="s">
        <v>219</v>
      </c>
      <c r="B52" s="32" t="s">
        <v>1652</v>
      </c>
      <c r="E52" s="27"/>
      <c r="F52" s="27"/>
    </row>
    <row r="53" spans="1:6">
      <c r="A53" s="25" t="s">
        <v>909</v>
      </c>
      <c r="B53" s="32" t="s">
        <v>1653</v>
      </c>
      <c r="E53" s="27"/>
      <c r="F53" s="27"/>
    </row>
    <row r="54" spans="1:6">
      <c r="A54" s="25" t="s">
        <v>910</v>
      </c>
      <c r="B54" s="32" t="s">
        <v>1654</v>
      </c>
      <c r="E54" s="27"/>
      <c r="F54" s="27"/>
    </row>
    <row r="55" spans="1:6">
      <c r="A55" s="25" t="s">
        <v>911</v>
      </c>
      <c r="B55" s="32" t="s">
        <v>1655</v>
      </c>
      <c r="E55" s="27"/>
      <c r="F55" s="27"/>
    </row>
    <row r="56" spans="1:6">
      <c r="A56" s="25" t="s">
        <v>912</v>
      </c>
      <c r="B56" s="32" t="s">
        <v>1656</v>
      </c>
      <c r="E56" s="27"/>
      <c r="F56" s="27"/>
    </row>
    <row r="57" spans="1:6">
      <c r="A57" s="25" t="s">
        <v>913</v>
      </c>
      <c r="B57" s="32" t="s">
        <v>1657</v>
      </c>
      <c r="E57" s="27"/>
      <c r="F57" s="27"/>
    </row>
    <row r="58" spans="1:6">
      <c r="A58" s="25" t="s">
        <v>914</v>
      </c>
      <c r="B58" s="32" t="s">
        <v>1658</v>
      </c>
      <c r="E58" s="27"/>
      <c r="F58" s="27"/>
    </row>
    <row r="59" spans="1:6">
      <c r="A59" s="25" t="s">
        <v>221</v>
      </c>
      <c r="B59" t="s">
        <v>917</v>
      </c>
      <c r="E59" s="27"/>
      <c r="F59" s="27"/>
    </row>
    <row r="60" spans="1:6">
      <c r="A60" s="25" t="s">
        <v>223</v>
      </c>
      <c r="B60" s="32" t="s">
        <v>1644</v>
      </c>
      <c r="E60" s="27"/>
      <c r="F60" s="27"/>
    </row>
    <row r="61" spans="1:6">
      <c r="A61" s="25" t="s">
        <v>1122</v>
      </c>
      <c r="B61" s="32" t="s">
        <v>1659</v>
      </c>
      <c r="E61" s="27"/>
      <c r="F61" s="27"/>
    </row>
    <row r="62" spans="1:6">
      <c r="A62" s="25" t="s">
        <v>224</v>
      </c>
      <c r="B62" t="s">
        <v>919</v>
      </c>
      <c r="E62" s="27"/>
      <c r="F62" s="27"/>
    </row>
    <row r="63" spans="1:6">
      <c r="A63" s="25" t="s">
        <v>226</v>
      </c>
      <c r="B63" t="s">
        <v>920</v>
      </c>
    </row>
    <row r="64" spans="1:6">
      <c r="A64" s="25" t="s">
        <v>230</v>
      </c>
      <c r="B64" t="s">
        <v>899</v>
      </c>
    </row>
    <row r="65" spans="1:2">
      <c r="A65" s="25" t="s">
        <v>921</v>
      </c>
      <c r="B65" s="32" t="s">
        <v>1660</v>
      </c>
    </row>
    <row r="66" spans="1:2">
      <c r="A66" s="25" t="s">
        <v>922</v>
      </c>
      <c r="B66" s="32" t="s">
        <v>1661</v>
      </c>
    </row>
    <row r="67" spans="1:2">
      <c r="A67" s="25" t="s">
        <v>923</v>
      </c>
      <c r="B67" s="32" t="s">
        <v>1662</v>
      </c>
    </row>
    <row r="68" spans="1:2">
      <c r="A68" s="25" t="s">
        <v>924</v>
      </c>
      <c r="B68" s="32" t="s">
        <v>1663</v>
      </c>
    </row>
    <row r="69" spans="1:2">
      <c r="A69" s="25"/>
      <c r="B69" s="30" t="s">
        <v>1664</v>
      </c>
    </row>
    <row r="70" spans="1:2">
      <c r="A70" s="25" t="s">
        <v>925</v>
      </c>
      <c r="B70" s="32" t="s">
        <v>1665</v>
      </c>
    </row>
    <row r="71" spans="1:2">
      <c r="A71" s="25" t="s">
        <v>926</v>
      </c>
      <c r="B71" s="32" t="s">
        <v>1666</v>
      </c>
    </row>
    <row r="72" spans="1:2">
      <c r="A72" s="25" t="s">
        <v>927</v>
      </c>
      <c r="B72" s="32" t="s">
        <v>1667</v>
      </c>
    </row>
    <row r="73" spans="1:2">
      <c r="A73" s="25" t="s">
        <v>928</v>
      </c>
      <c r="B73" s="32" t="s">
        <v>1668</v>
      </c>
    </row>
    <row r="74" spans="1:2">
      <c r="A74" s="25" t="s">
        <v>886</v>
      </c>
      <c r="B74" s="154" t="s">
        <v>930</v>
      </c>
    </row>
  </sheetData>
  <pageMargins left="0.7" right="0.7" top="0.75" bottom="0.75" header="0.3" footer="0.3"/>
  <pageSetup scale="51"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305"/>
  <sheetViews>
    <sheetView zoomScale="87" zoomScaleNormal="87" zoomScaleSheetLayoutView="100" workbookViewId="0">
      <pane ySplit="6" topLeftCell="A153" activePane="bottomLeft" state="frozen"/>
      <selection pane="bottomLeft" activeCell="C164" sqref="C164"/>
    </sheetView>
  </sheetViews>
  <sheetFormatPr defaultColWidth="9.77734375" defaultRowHeight="15"/>
  <cols>
    <col min="1" max="1" width="4.5546875" bestFit="1" customWidth="1"/>
    <col min="2" max="2" width="9.5546875" customWidth="1"/>
    <col min="3" max="3" width="43.21875" customWidth="1"/>
    <col min="4" max="4" width="14.33203125" bestFit="1" customWidth="1"/>
    <col min="5" max="5" width="15.6640625" style="7" customWidth="1"/>
    <col min="6" max="6" width="11.77734375" bestFit="1" customWidth="1"/>
    <col min="7" max="7" width="14.44140625" bestFit="1" customWidth="1"/>
    <col min="8" max="8" width="15.33203125" customWidth="1"/>
    <col min="9" max="9" width="15.77734375" customWidth="1"/>
    <col min="10" max="10" width="20.6640625" customWidth="1"/>
    <col min="11" max="11" width="14" style="7" bestFit="1" customWidth="1"/>
    <col min="13" max="14" width="14" bestFit="1" customWidth="1"/>
  </cols>
  <sheetData>
    <row r="1" spans="1:11">
      <c r="A1" s="1"/>
      <c r="B1" s="1"/>
      <c r="C1" s="1" t="s">
        <v>0</v>
      </c>
      <c r="G1" s="475" t="s">
        <v>1307</v>
      </c>
      <c r="H1" s="475"/>
    </row>
    <row r="2" spans="1:11">
      <c r="A2" s="11"/>
      <c r="B2" s="11"/>
      <c r="C2" s="11" t="s">
        <v>1306</v>
      </c>
      <c r="G2" s="476" t="s">
        <v>1308</v>
      </c>
      <c r="H2" s="476"/>
    </row>
    <row r="3" spans="1:11">
      <c r="B3" s="1" t="s">
        <v>187</v>
      </c>
    </row>
    <row r="4" spans="1:11">
      <c r="B4" s="1" t="s">
        <v>188</v>
      </c>
      <c r="F4" s="1" t="s">
        <v>1</v>
      </c>
      <c r="G4" s="1" t="s">
        <v>2</v>
      </c>
      <c r="H4" s="1" t="s">
        <v>3</v>
      </c>
      <c r="I4" s="1" t="s">
        <v>156</v>
      </c>
    </row>
    <row r="5" spans="1:11">
      <c r="A5" s="1" t="s">
        <v>179</v>
      </c>
      <c r="B5" s="1" t="s">
        <v>189</v>
      </c>
      <c r="E5" s="8" t="s">
        <v>159</v>
      </c>
      <c r="F5" s="1" t="s">
        <v>4</v>
      </c>
      <c r="G5" s="1" t="s">
        <v>4</v>
      </c>
      <c r="H5" s="1" t="s">
        <v>5</v>
      </c>
      <c r="I5" s="1" t="s">
        <v>157</v>
      </c>
    </row>
    <row r="6" spans="1:11">
      <c r="A6" s="4" t="s">
        <v>180</v>
      </c>
      <c r="B6" s="4" t="s">
        <v>182</v>
      </c>
      <c r="C6" s="4" t="s">
        <v>6</v>
      </c>
      <c r="D6" s="4" t="s">
        <v>7</v>
      </c>
      <c r="E6" s="9" t="s">
        <v>158</v>
      </c>
      <c r="F6" s="4" t="s">
        <v>8</v>
      </c>
      <c r="G6" s="4" t="s">
        <v>9</v>
      </c>
      <c r="H6" s="4" t="s">
        <v>10</v>
      </c>
      <c r="I6" s="4" t="s">
        <v>155</v>
      </c>
      <c r="J6" s="4" t="s">
        <v>11</v>
      </c>
    </row>
    <row r="7" spans="1:11">
      <c r="E7" s="250"/>
      <c r="F7" s="251"/>
      <c r="G7" s="251"/>
      <c r="H7" s="251"/>
      <c r="I7" s="251"/>
      <c r="J7" s="251"/>
    </row>
    <row r="8" spans="1:11" s="6" customFormat="1">
      <c r="A8" s="5">
        <v>69</v>
      </c>
      <c r="B8" s="5" t="s">
        <v>183</v>
      </c>
      <c r="C8" s="390" t="s">
        <v>1311</v>
      </c>
      <c r="D8" s="5" t="s">
        <v>1282</v>
      </c>
      <c r="E8" s="249"/>
      <c r="F8" s="17"/>
      <c r="G8" s="17">
        <v>330496.34000000003</v>
      </c>
      <c r="H8" s="17">
        <v>220971.86</v>
      </c>
      <c r="I8" s="17"/>
      <c r="J8" s="17">
        <f t="shared" ref="J8:J74" si="0">SUM(E8:I8)</f>
        <v>551468.19999999995</v>
      </c>
      <c r="K8" s="16"/>
    </row>
    <row r="9" spans="1:11" s="6" customFormat="1">
      <c r="A9" s="5">
        <v>69</v>
      </c>
      <c r="B9" s="5" t="s">
        <v>183</v>
      </c>
      <c r="C9" s="390" t="s">
        <v>1312</v>
      </c>
      <c r="D9" s="5" t="s">
        <v>1314</v>
      </c>
      <c r="E9" s="249"/>
      <c r="F9" s="17"/>
      <c r="G9" s="17">
        <f>821457.88+393763.26</f>
        <v>1215221.1400000001</v>
      </c>
      <c r="H9" s="17">
        <f>934215.01+350483.72</f>
        <v>1284698.73</v>
      </c>
      <c r="I9" s="17"/>
      <c r="J9" s="17">
        <f t="shared" si="0"/>
        <v>2499919.87</v>
      </c>
      <c r="K9" s="16"/>
    </row>
    <row r="10" spans="1:11" s="6" customFormat="1">
      <c r="A10" s="5">
        <v>69</v>
      </c>
      <c r="B10" s="5" t="s">
        <v>183</v>
      </c>
      <c r="C10" s="390" t="s">
        <v>1313</v>
      </c>
      <c r="D10" s="5" t="s">
        <v>13</v>
      </c>
      <c r="E10" s="249"/>
      <c r="F10" s="17"/>
      <c r="G10" s="17">
        <v>1402261.68</v>
      </c>
      <c r="H10" s="17">
        <v>1494132.55</v>
      </c>
      <c r="I10" s="17"/>
      <c r="J10" s="17">
        <f t="shared" si="0"/>
        <v>2896394.23</v>
      </c>
      <c r="K10" s="16"/>
    </row>
    <row r="11" spans="1:11" s="6" customFormat="1">
      <c r="A11" s="5">
        <v>69</v>
      </c>
      <c r="B11" s="5" t="s">
        <v>183</v>
      </c>
      <c r="C11" s="390" t="s">
        <v>14</v>
      </c>
      <c r="D11" s="5" t="s">
        <v>1315</v>
      </c>
      <c r="E11" s="249"/>
      <c r="F11" s="17">
        <v>3997.73</v>
      </c>
      <c r="G11" s="17">
        <f>273947.51+3580.33</f>
        <v>277527.84000000003</v>
      </c>
      <c r="H11" s="17">
        <f>287454.45+510.82</f>
        <v>287965.27</v>
      </c>
      <c r="I11" s="17">
        <v>2983.41</v>
      </c>
      <c r="J11" s="17">
        <f t="shared" si="0"/>
        <v>572474.25000000012</v>
      </c>
      <c r="K11" s="16"/>
    </row>
    <row r="12" spans="1:11" s="6" customFormat="1">
      <c r="A12" s="5">
        <v>69</v>
      </c>
      <c r="B12" s="5" t="s">
        <v>183</v>
      </c>
      <c r="C12" s="390" t="s">
        <v>15</v>
      </c>
      <c r="D12" s="5" t="s">
        <v>16</v>
      </c>
      <c r="E12" s="249"/>
      <c r="F12" s="17">
        <v>2572</v>
      </c>
      <c r="G12" s="296">
        <v>101558.17</v>
      </c>
      <c r="H12" s="296">
        <v>86993.25</v>
      </c>
      <c r="I12" s="17"/>
      <c r="J12" s="17">
        <f t="shared" si="0"/>
        <v>191123.41999999998</v>
      </c>
      <c r="K12" s="16">
        <f>191123.42-184350.46</f>
        <v>6772.960000000021</v>
      </c>
    </row>
    <row r="13" spans="1:11" s="6" customFormat="1" ht="30">
      <c r="A13" s="5">
        <v>69</v>
      </c>
      <c r="B13" s="5" t="s">
        <v>183</v>
      </c>
      <c r="C13" s="390" t="s">
        <v>1317</v>
      </c>
      <c r="D13" s="5" t="s">
        <v>1316</v>
      </c>
      <c r="E13" s="249"/>
      <c r="F13" s="17">
        <v>3160.12</v>
      </c>
      <c r="G13" s="17">
        <f>194332.57+20535.15</f>
        <v>214867.72</v>
      </c>
      <c r="H13" s="17">
        <f>92369.75+5676.58</f>
        <v>98046.33</v>
      </c>
      <c r="I13" s="17"/>
      <c r="J13" s="17">
        <f t="shared" si="0"/>
        <v>316074.17</v>
      </c>
      <c r="K13" s="16"/>
    </row>
    <row r="14" spans="1:11" s="6" customFormat="1" ht="30">
      <c r="A14" s="5">
        <v>69</v>
      </c>
      <c r="B14" s="5" t="s">
        <v>183</v>
      </c>
      <c r="C14" s="396" t="s">
        <v>1324</v>
      </c>
      <c r="D14" s="329" t="s">
        <v>1578</v>
      </c>
      <c r="E14" s="249">
        <v>116458.3</v>
      </c>
      <c r="F14" s="17"/>
      <c r="G14" s="17">
        <v>407506.18</v>
      </c>
      <c r="H14" s="17">
        <v>818719.37</v>
      </c>
      <c r="I14" s="17"/>
      <c r="J14" s="17">
        <f t="shared" si="0"/>
        <v>1342683.85</v>
      </c>
      <c r="K14" s="16"/>
    </row>
    <row r="15" spans="1:11" s="6" customFormat="1">
      <c r="A15" s="5">
        <v>69</v>
      </c>
      <c r="B15" s="5" t="s">
        <v>183</v>
      </c>
      <c r="C15" s="390" t="s">
        <v>1318</v>
      </c>
      <c r="D15" s="329" t="s">
        <v>1335</v>
      </c>
      <c r="E15" s="249"/>
      <c r="F15" s="17"/>
      <c r="G15" s="17">
        <v>248147.42</v>
      </c>
      <c r="H15" s="17">
        <v>88776.54</v>
      </c>
      <c r="I15" s="17"/>
      <c r="J15" s="17">
        <f t="shared" si="0"/>
        <v>336923.96</v>
      </c>
      <c r="K15" s="16"/>
    </row>
    <row r="16" spans="1:11" s="6" customFormat="1">
      <c r="A16" s="5">
        <v>69</v>
      </c>
      <c r="B16" s="5" t="s">
        <v>183</v>
      </c>
      <c r="C16" s="390" t="s">
        <v>1319</v>
      </c>
      <c r="D16" s="5" t="s">
        <v>1320</v>
      </c>
      <c r="E16" s="249"/>
      <c r="F16" s="17">
        <v>3405.24</v>
      </c>
      <c r="G16" s="17">
        <v>22910.46</v>
      </c>
      <c r="H16" s="17">
        <v>53829.51</v>
      </c>
      <c r="I16" s="17"/>
      <c r="J16" s="17">
        <f t="shared" si="0"/>
        <v>80145.209999999992</v>
      </c>
      <c r="K16" s="16"/>
    </row>
    <row r="17" spans="1:11" s="6" customFormat="1">
      <c r="A17" s="5">
        <v>69</v>
      </c>
      <c r="B17" s="5" t="s">
        <v>183</v>
      </c>
      <c r="C17" s="390" t="s">
        <v>1321</v>
      </c>
      <c r="D17" s="5" t="s">
        <v>17</v>
      </c>
      <c r="E17" s="249"/>
      <c r="F17" s="17"/>
      <c r="G17" s="296">
        <v>236900.49</v>
      </c>
      <c r="H17" s="296">
        <v>92365.7</v>
      </c>
      <c r="I17" s="17"/>
      <c r="J17" s="17">
        <f t="shared" si="0"/>
        <v>329266.19</v>
      </c>
      <c r="K17" s="16">
        <f>329266.19-321245.45</f>
        <v>8020.7399999999907</v>
      </c>
    </row>
    <row r="18" spans="1:11" s="6" customFormat="1">
      <c r="A18" s="5">
        <v>69</v>
      </c>
      <c r="B18" s="5" t="s">
        <v>183</v>
      </c>
      <c r="C18" s="390" t="s">
        <v>18</v>
      </c>
      <c r="D18" s="329" t="s">
        <v>1583</v>
      </c>
      <c r="E18" s="249"/>
      <c r="F18" s="17"/>
      <c r="G18" s="296">
        <v>460517.74</v>
      </c>
      <c r="H18" s="296">
        <v>997633.23</v>
      </c>
      <c r="I18" s="17"/>
      <c r="J18" s="17">
        <f t="shared" si="0"/>
        <v>1458150.97</v>
      </c>
      <c r="K18" s="16">
        <f>1458150.97-111238.18</f>
        <v>1346912.79</v>
      </c>
    </row>
    <row r="19" spans="1:11" s="6" customFormat="1">
      <c r="A19" s="5">
        <v>69</v>
      </c>
      <c r="B19" s="5" t="s">
        <v>183</v>
      </c>
      <c r="C19" s="390" t="s">
        <v>1322</v>
      </c>
      <c r="D19" s="5" t="s">
        <v>1309</v>
      </c>
      <c r="E19" s="249"/>
      <c r="F19" s="17"/>
      <c r="G19" s="296">
        <v>188037.22</v>
      </c>
      <c r="H19" s="296">
        <v>163568.38</v>
      </c>
      <c r="I19" s="17"/>
      <c r="J19" s="17">
        <f t="shared" si="0"/>
        <v>351605.6</v>
      </c>
      <c r="K19" s="16">
        <f>351605.6-344282.28</f>
        <v>7323.3199999999488</v>
      </c>
    </row>
    <row r="20" spans="1:11" s="6" customFormat="1" ht="30">
      <c r="A20" s="5">
        <v>69</v>
      </c>
      <c r="B20" s="5" t="s">
        <v>183</v>
      </c>
      <c r="C20" s="390" t="s">
        <v>1323</v>
      </c>
      <c r="D20" s="5" t="s">
        <v>1259</v>
      </c>
      <c r="E20" s="249">
        <v>16335.43</v>
      </c>
      <c r="F20" s="17"/>
      <c r="G20" s="296">
        <f>127305.62+301762.71+70362.27</f>
        <v>499430.60000000003</v>
      </c>
      <c r="H20" s="296">
        <f>180361.55+438325.92+10767.21</f>
        <v>629454.67999999993</v>
      </c>
      <c r="I20" s="17">
        <v>3611.6</v>
      </c>
      <c r="J20" s="17">
        <f t="shared" si="0"/>
        <v>1148832.31</v>
      </c>
      <c r="K20" s="16">
        <f>311278.77+756424.06+81129.48-600581.19</f>
        <v>548251.12000000011</v>
      </c>
    </row>
    <row r="21" spans="1:11" s="390" customFormat="1" ht="30">
      <c r="A21" s="389">
        <v>69</v>
      </c>
      <c r="B21" s="389" t="s">
        <v>183</v>
      </c>
      <c r="C21" s="396" t="s">
        <v>1325</v>
      </c>
      <c r="D21" s="391" t="s">
        <v>1260</v>
      </c>
      <c r="E21" s="392"/>
      <c r="F21" s="393">
        <v>3696.64</v>
      </c>
      <c r="G21" s="393">
        <f>139314.64+40615</f>
        <v>179929.64</v>
      </c>
      <c r="H21" s="394">
        <f>93248.68+27209.43+17900.39</f>
        <v>138358.5</v>
      </c>
      <c r="I21" s="393">
        <v>2605.1</v>
      </c>
      <c r="J21" s="393">
        <f t="shared" si="0"/>
        <v>324589.88</v>
      </c>
      <c r="K21" s="395"/>
    </row>
    <row r="22" spans="1:11" s="6" customFormat="1">
      <c r="A22" s="5">
        <v>69</v>
      </c>
      <c r="B22" s="5" t="s">
        <v>183</v>
      </c>
      <c r="C22" s="396" t="s">
        <v>1326</v>
      </c>
      <c r="D22" s="329" t="s">
        <v>1281</v>
      </c>
      <c r="E22" s="249"/>
      <c r="F22" s="17"/>
      <c r="G22" s="17">
        <v>199220.34</v>
      </c>
      <c r="H22" s="17">
        <v>109345.4</v>
      </c>
      <c r="I22" s="17"/>
      <c r="J22" s="17">
        <f t="shared" si="0"/>
        <v>308565.74</v>
      </c>
      <c r="K22" s="16"/>
    </row>
    <row r="23" spans="1:11" s="6" customFormat="1">
      <c r="A23" s="5">
        <v>69</v>
      </c>
      <c r="B23" s="5" t="s">
        <v>183</v>
      </c>
      <c r="C23" s="396" t="s">
        <v>1327</v>
      </c>
      <c r="D23" s="5">
        <v>17</v>
      </c>
      <c r="E23" s="249"/>
      <c r="F23" s="17"/>
      <c r="G23" s="17">
        <v>7978.77</v>
      </c>
      <c r="H23" s="17">
        <v>17153.009999999998</v>
      </c>
      <c r="I23" s="17"/>
      <c r="J23" s="17">
        <f t="shared" si="0"/>
        <v>25131.78</v>
      </c>
      <c r="K23" s="16"/>
    </row>
    <row r="24" spans="1:11" s="6" customFormat="1" ht="30">
      <c r="A24" s="5">
        <v>69</v>
      </c>
      <c r="B24" s="5" t="s">
        <v>183</v>
      </c>
      <c r="C24" s="396" t="s">
        <v>1328</v>
      </c>
      <c r="D24" s="5" t="s">
        <v>1310</v>
      </c>
      <c r="E24" s="249"/>
      <c r="F24" s="17"/>
      <c r="G24" s="17">
        <v>302105.49</v>
      </c>
      <c r="H24" s="17">
        <v>143198.34</v>
      </c>
      <c r="I24" s="17"/>
      <c r="J24" s="17">
        <f t="shared" si="0"/>
        <v>445303.82999999996</v>
      </c>
      <c r="K24" s="16"/>
    </row>
    <row r="25" spans="1:11" s="6" customFormat="1">
      <c r="A25" s="5">
        <v>69</v>
      </c>
      <c r="B25" s="5" t="s">
        <v>183</v>
      </c>
      <c r="C25" s="396" t="s">
        <v>1329</v>
      </c>
      <c r="D25" s="5" t="s">
        <v>154</v>
      </c>
      <c r="E25" s="249"/>
      <c r="F25" s="17"/>
      <c r="G25" s="17">
        <v>12316.98</v>
      </c>
      <c r="H25" s="17">
        <v>49713.86</v>
      </c>
      <c r="I25" s="17">
        <v>2605.1</v>
      </c>
      <c r="J25" s="17">
        <f t="shared" si="0"/>
        <v>64635.939999999995</v>
      </c>
      <c r="K25" s="16"/>
    </row>
    <row r="26" spans="1:11" s="6" customFormat="1">
      <c r="A26" s="5">
        <v>69</v>
      </c>
      <c r="B26" s="5" t="s">
        <v>183</v>
      </c>
      <c r="C26" s="396" t="s">
        <v>1330</v>
      </c>
      <c r="D26" s="329" t="s">
        <v>1283</v>
      </c>
      <c r="E26" s="249"/>
      <c r="F26" s="17"/>
      <c r="G26" s="17">
        <f>103475.91+2240.31</f>
        <v>105716.22</v>
      </c>
      <c r="H26" s="17">
        <f>84839.65+2201.32</f>
        <v>87040.97</v>
      </c>
      <c r="I26" s="17"/>
      <c r="J26" s="17">
        <f t="shared" si="0"/>
        <v>192757.19</v>
      </c>
      <c r="K26" s="16"/>
    </row>
    <row r="27" spans="1:11" s="6" customFormat="1">
      <c r="A27" s="5">
        <v>69</v>
      </c>
      <c r="B27" s="5" t="s">
        <v>183</v>
      </c>
      <c r="C27" s="396" t="s">
        <v>1331</v>
      </c>
      <c r="D27" s="5" t="s">
        <v>19</v>
      </c>
      <c r="E27" s="249"/>
      <c r="F27" s="17"/>
      <c r="G27" s="17">
        <f>129436.93</f>
        <v>129436.93</v>
      </c>
      <c r="H27" s="17">
        <f>235895.95</f>
        <v>235895.95</v>
      </c>
      <c r="I27" s="17"/>
      <c r="J27" s="17">
        <f t="shared" si="0"/>
        <v>365332.88</v>
      </c>
      <c r="K27" s="16"/>
    </row>
    <row r="28" spans="1:11" s="6" customFormat="1">
      <c r="A28" s="5">
        <v>69</v>
      </c>
      <c r="B28" s="5" t="s">
        <v>183</v>
      </c>
      <c r="C28" s="396" t="s">
        <v>1332</v>
      </c>
      <c r="D28" s="5" t="s">
        <v>20</v>
      </c>
      <c r="E28" s="249"/>
      <c r="F28" s="17"/>
      <c r="G28" s="296">
        <v>9458.81</v>
      </c>
      <c r="H28" s="296">
        <v>6055.32</v>
      </c>
      <c r="I28" s="17"/>
      <c r="J28" s="17">
        <f t="shared" si="0"/>
        <v>15514.13</v>
      </c>
      <c r="K28" s="16">
        <f>15514.13-1488.79</f>
        <v>14025.34</v>
      </c>
    </row>
    <row r="29" spans="1:11" s="6" customFormat="1">
      <c r="A29" s="5">
        <v>69</v>
      </c>
      <c r="B29" s="5" t="s">
        <v>183</v>
      </c>
      <c r="C29" s="396" t="s">
        <v>1333</v>
      </c>
      <c r="D29" s="5" t="s">
        <v>21</v>
      </c>
      <c r="E29" s="249"/>
      <c r="F29" s="17"/>
      <c r="G29" s="17">
        <f>210698.95+3395.99-1777.19</f>
        <v>212317.75</v>
      </c>
      <c r="H29" s="17">
        <f>403021.75+1271.2-771.9</f>
        <v>403521.05</v>
      </c>
      <c r="I29" s="17"/>
      <c r="J29" s="17">
        <f t="shared" si="0"/>
        <v>615838.80000000005</v>
      </c>
      <c r="K29" s="16"/>
    </row>
    <row r="30" spans="1:11" s="6" customFormat="1" ht="30">
      <c r="A30" s="5">
        <v>69</v>
      </c>
      <c r="B30" s="5" t="s">
        <v>183</v>
      </c>
      <c r="C30" s="396" t="s">
        <v>1334</v>
      </c>
      <c r="D30" s="329" t="s">
        <v>1336</v>
      </c>
      <c r="E30" s="249"/>
      <c r="F30" s="17"/>
      <c r="G30" s="17">
        <f>39902.15+4078.48-1066.99</f>
        <v>42913.640000000007</v>
      </c>
      <c r="H30" s="17">
        <f>24801.01+420.41-63.22</f>
        <v>25158.199999999997</v>
      </c>
      <c r="I30" s="17"/>
      <c r="J30" s="17">
        <f t="shared" si="0"/>
        <v>68071.839999999997</v>
      </c>
      <c r="K30" s="16"/>
    </row>
    <row r="31" spans="1:11" s="6" customFormat="1" ht="30">
      <c r="A31" s="5">
        <v>69</v>
      </c>
      <c r="B31" s="5" t="s">
        <v>183</v>
      </c>
      <c r="C31" s="396" t="s">
        <v>1338</v>
      </c>
      <c r="D31" s="329" t="s">
        <v>1337</v>
      </c>
      <c r="E31" s="249"/>
      <c r="F31" s="17">
        <v>4752.3599999999997</v>
      </c>
      <c r="G31" s="17">
        <v>177856.36</v>
      </c>
      <c r="H31" s="17">
        <v>181153.42</v>
      </c>
      <c r="I31" s="17"/>
      <c r="J31" s="17">
        <f t="shared" si="0"/>
        <v>363762.14</v>
      </c>
      <c r="K31" s="16"/>
    </row>
    <row r="32" spans="1:11" s="6" customFormat="1">
      <c r="A32" s="5">
        <v>69</v>
      </c>
      <c r="B32" s="5" t="s">
        <v>183</v>
      </c>
      <c r="C32" s="390" t="s">
        <v>22</v>
      </c>
      <c r="D32" s="5" t="s">
        <v>23</v>
      </c>
      <c r="E32" s="249"/>
      <c r="F32" s="17">
        <v>2679.65</v>
      </c>
      <c r="G32" s="17">
        <v>88644.23</v>
      </c>
      <c r="H32" s="17">
        <v>100054.42</v>
      </c>
      <c r="I32" s="17"/>
      <c r="J32" s="17">
        <f t="shared" si="0"/>
        <v>191378.3</v>
      </c>
      <c r="K32" s="16"/>
    </row>
    <row r="33" spans="1:11" s="6" customFormat="1">
      <c r="A33" s="5">
        <v>69</v>
      </c>
      <c r="B33" s="5" t="s">
        <v>183</v>
      </c>
      <c r="C33" s="396" t="s">
        <v>1339</v>
      </c>
      <c r="D33" s="5" t="s">
        <v>24</v>
      </c>
      <c r="E33" s="249"/>
      <c r="F33" s="17"/>
      <c r="G33" s="17">
        <v>68755.31</v>
      </c>
      <c r="H33" s="17">
        <v>42624.71</v>
      </c>
      <c r="I33" s="17"/>
      <c r="J33" s="17">
        <f t="shared" si="0"/>
        <v>111380.01999999999</v>
      </c>
      <c r="K33" s="16"/>
    </row>
    <row r="34" spans="1:11" s="6" customFormat="1" ht="30">
      <c r="A34" s="5">
        <v>69</v>
      </c>
      <c r="B34" s="5" t="s">
        <v>183</v>
      </c>
      <c r="C34" s="396" t="s">
        <v>1340</v>
      </c>
      <c r="D34" s="329" t="s">
        <v>1607</v>
      </c>
      <c r="E34" s="249">
        <f>55095.65+9246.25</f>
        <v>64341.9</v>
      </c>
      <c r="F34" s="17"/>
      <c r="G34" s="296">
        <f>305210.71+50289.47</f>
        <v>355500.18000000005</v>
      </c>
      <c r="H34" s="296">
        <f>225606.46+71638.3</f>
        <v>297244.76</v>
      </c>
      <c r="I34" s="17"/>
      <c r="J34" s="17">
        <f t="shared" si="0"/>
        <v>717086.84000000008</v>
      </c>
      <c r="K34" s="16">
        <f>540063.42+177023.42-654079.79</f>
        <v>63007.050000000047</v>
      </c>
    </row>
    <row r="35" spans="1:11" s="6" customFormat="1" ht="30">
      <c r="A35" s="5">
        <v>69</v>
      </c>
      <c r="B35" s="5" t="s">
        <v>183</v>
      </c>
      <c r="C35" s="396" t="s">
        <v>1342</v>
      </c>
      <c r="D35" s="329" t="s">
        <v>1341</v>
      </c>
      <c r="E35" s="249"/>
      <c r="F35" s="17">
        <v>3405.2</v>
      </c>
      <c r="G35" s="17">
        <v>88314.98</v>
      </c>
      <c r="H35" s="17">
        <v>77166.679999999993</v>
      </c>
      <c r="I35" s="17">
        <v>3759.17</v>
      </c>
      <c r="J35" s="17">
        <f t="shared" si="0"/>
        <v>172646.03</v>
      </c>
      <c r="K35" s="16"/>
    </row>
    <row r="36" spans="1:11" s="6" customFormat="1" ht="30">
      <c r="A36" s="5">
        <v>69</v>
      </c>
      <c r="B36" s="5" t="s">
        <v>183</v>
      </c>
      <c r="C36" s="396" t="s">
        <v>1343</v>
      </c>
      <c r="D36" s="329" t="s">
        <v>1344</v>
      </c>
      <c r="E36" s="249"/>
      <c r="F36" s="17">
        <v>3682.04</v>
      </c>
      <c r="G36" s="296">
        <v>93933.22</v>
      </c>
      <c r="H36" s="296">
        <v>115919.78</v>
      </c>
      <c r="I36" s="17"/>
      <c r="J36" s="17">
        <f t="shared" si="0"/>
        <v>213535.03999999998</v>
      </c>
      <c r="K36" s="16">
        <f>213535.04-208421.86</f>
        <v>5113.1800000000221</v>
      </c>
    </row>
    <row r="37" spans="1:11" s="6" customFormat="1" ht="30">
      <c r="A37" s="5">
        <v>69</v>
      </c>
      <c r="B37" s="5" t="s">
        <v>183</v>
      </c>
      <c r="C37" s="396" t="s">
        <v>1346</v>
      </c>
      <c r="D37" s="329" t="s">
        <v>1345</v>
      </c>
      <c r="E37" s="249"/>
      <c r="F37" s="17">
        <v>2666.08</v>
      </c>
      <c r="G37" s="296">
        <f>210135.12+4853.8</f>
        <v>214988.91999999998</v>
      </c>
      <c r="H37" s="296">
        <f>155847.04+4205.57</f>
        <v>160052.61000000002</v>
      </c>
      <c r="I37" s="17"/>
      <c r="J37" s="17">
        <f t="shared" si="0"/>
        <v>377707.61</v>
      </c>
      <c r="K37" s="16">
        <f>368648.24+9059.37-369780.99</f>
        <v>7926.6199999999953</v>
      </c>
    </row>
    <row r="38" spans="1:11" s="6" customFormat="1" ht="30">
      <c r="A38" s="5">
        <v>69</v>
      </c>
      <c r="B38" s="5" t="s">
        <v>183</v>
      </c>
      <c r="C38" s="396" t="s">
        <v>1348</v>
      </c>
      <c r="D38" s="329" t="s">
        <v>1347</v>
      </c>
      <c r="E38" s="249"/>
      <c r="F38" s="17"/>
      <c r="G38" s="17">
        <v>134978.69</v>
      </c>
      <c r="H38" s="17">
        <v>71402.66</v>
      </c>
      <c r="I38" s="17"/>
      <c r="J38" s="17">
        <f t="shared" si="0"/>
        <v>206381.35</v>
      </c>
      <c r="K38" s="16"/>
    </row>
    <row r="39" spans="1:11" s="6" customFormat="1">
      <c r="A39" s="5">
        <v>69</v>
      </c>
      <c r="B39" s="5" t="s">
        <v>183</v>
      </c>
      <c r="C39" s="396" t="s">
        <v>1349</v>
      </c>
      <c r="D39" s="329" t="s">
        <v>1350</v>
      </c>
      <c r="E39" s="249"/>
      <c r="F39" s="17"/>
      <c r="G39" s="17">
        <v>121356.43</v>
      </c>
      <c r="H39" s="17">
        <v>135700.79</v>
      </c>
      <c r="I39" s="17">
        <v>6579.74</v>
      </c>
      <c r="J39" s="17">
        <f t="shared" si="0"/>
        <v>263636.96000000002</v>
      </c>
      <c r="K39" s="16"/>
    </row>
    <row r="40" spans="1:11" s="6" customFormat="1">
      <c r="A40" s="5">
        <v>69</v>
      </c>
      <c r="B40" s="5" t="s">
        <v>183</v>
      </c>
      <c r="C40" s="396" t="s">
        <v>1352</v>
      </c>
      <c r="D40" s="329" t="s">
        <v>1351</v>
      </c>
      <c r="E40" s="249"/>
      <c r="F40" s="17">
        <v>3040.05</v>
      </c>
      <c r="G40" s="296">
        <v>159954.45000000001</v>
      </c>
      <c r="H40" s="296">
        <v>134656.76999999999</v>
      </c>
      <c r="I40" s="17"/>
      <c r="J40" s="17">
        <f t="shared" si="0"/>
        <v>297651.27</v>
      </c>
      <c r="K40" s="16">
        <f>297651.27-294788.42</f>
        <v>2862.8500000000349</v>
      </c>
    </row>
    <row r="41" spans="1:11" s="6" customFormat="1">
      <c r="A41" s="5">
        <v>69</v>
      </c>
      <c r="B41" s="5" t="s">
        <v>183</v>
      </c>
      <c r="C41" s="396" t="s">
        <v>1354</v>
      </c>
      <c r="D41" s="329" t="s">
        <v>1353</v>
      </c>
      <c r="E41" s="249"/>
      <c r="F41" s="17">
        <v>2640.54</v>
      </c>
      <c r="G41" s="296">
        <v>221167.44</v>
      </c>
      <c r="H41" s="296">
        <v>203769.60000000001</v>
      </c>
      <c r="I41" s="17">
        <v>6416.4</v>
      </c>
      <c r="J41" s="17">
        <f t="shared" si="0"/>
        <v>433993.98000000004</v>
      </c>
      <c r="K41" s="16">
        <f>433993.98-430202.27</f>
        <v>3791.7099999999627</v>
      </c>
    </row>
    <row r="42" spans="1:11" s="6" customFormat="1" ht="30">
      <c r="A42" s="5">
        <v>69</v>
      </c>
      <c r="B42" s="5" t="s">
        <v>183</v>
      </c>
      <c r="C42" s="396" t="s">
        <v>1355</v>
      </c>
      <c r="D42" s="329" t="s">
        <v>1236</v>
      </c>
      <c r="E42" s="249"/>
      <c r="F42" s="17">
        <v>4542.9799999999996</v>
      </c>
      <c r="G42" s="17">
        <f>284174.47+70479.05+100977.83</f>
        <v>455631.35</v>
      </c>
      <c r="H42" s="17">
        <f>194835.24+14126.22+38452.22</f>
        <v>247413.68</v>
      </c>
      <c r="I42" s="17">
        <v>3299.88</v>
      </c>
      <c r="J42" s="17">
        <f t="shared" si="0"/>
        <v>710887.89</v>
      </c>
      <c r="K42" s="16"/>
    </row>
    <row r="43" spans="1:11" s="6" customFormat="1">
      <c r="A43" s="5">
        <v>69</v>
      </c>
      <c r="B43" s="5" t="s">
        <v>183</v>
      </c>
      <c r="C43" s="396" t="s">
        <v>1357</v>
      </c>
      <c r="D43" s="329" t="s">
        <v>1356</v>
      </c>
      <c r="E43" s="249"/>
      <c r="F43" s="17"/>
      <c r="G43" s="17">
        <v>167273.25</v>
      </c>
      <c r="H43" s="17">
        <v>90983.87</v>
      </c>
      <c r="I43" s="17"/>
      <c r="J43" s="17">
        <f t="shared" si="0"/>
        <v>258257.12</v>
      </c>
      <c r="K43" s="16">
        <f>258257.12-252323.71</f>
        <v>5933.4100000000035</v>
      </c>
    </row>
    <row r="44" spans="1:11" s="6" customFormat="1" ht="30" customHeight="1">
      <c r="A44" s="5">
        <v>69</v>
      </c>
      <c r="B44" s="5" t="s">
        <v>183</v>
      </c>
      <c r="C44" s="396" t="s">
        <v>1358</v>
      </c>
      <c r="D44" s="14" t="s">
        <v>191</v>
      </c>
      <c r="E44" s="249"/>
      <c r="F44" s="17">
        <v>5333.69</v>
      </c>
      <c r="G44" s="296">
        <f>232974.22+4238.5</f>
        <v>237212.72</v>
      </c>
      <c r="H44" s="296">
        <f>166671.64+896.67</f>
        <v>167568.31000000003</v>
      </c>
      <c r="I44" s="17"/>
      <c r="J44" s="17">
        <f t="shared" si="0"/>
        <v>410114.72000000003</v>
      </c>
      <c r="K44" s="16">
        <f>404979.55+5135.17-388115.84</f>
        <v>21998.879999999946</v>
      </c>
    </row>
    <row r="45" spans="1:11" s="6" customFormat="1">
      <c r="A45" s="5">
        <v>69</v>
      </c>
      <c r="B45" s="14" t="s">
        <v>183</v>
      </c>
      <c r="C45" s="396" t="s">
        <v>1359</v>
      </c>
      <c r="D45" s="14" t="s">
        <v>190</v>
      </c>
      <c r="E45" s="249"/>
      <c r="F45" s="17"/>
      <c r="G45" s="17">
        <v>30421.37</v>
      </c>
      <c r="H45" s="17">
        <v>20083.14</v>
      </c>
      <c r="I45" s="17"/>
      <c r="J45" s="17">
        <f t="shared" si="0"/>
        <v>50504.509999999995</v>
      </c>
      <c r="K45" s="16"/>
    </row>
    <row r="46" spans="1:11" s="6" customFormat="1">
      <c r="A46" s="5">
        <v>69</v>
      </c>
      <c r="B46" s="5" t="s">
        <v>183</v>
      </c>
      <c r="C46" s="396" t="s">
        <v>1361</v>
      </c>
      <c r="D46" s="329" t="s">
        <v>1360</v>
      </c>
      <c r="E46" s="249"/>
      <c r="F46" s="17">
        <v>2749.04</v>
      </c>
      <c r="G46" s="17">
        <v>2659084.6</v>
      </c>
      <c r="H46" s="17">
        <v>2201107.4700000002</v>
      </c>
      <c r="I46" s="17"/>
      <c r="J46" s="17">
        <f t="shared" si="0"/>
        <v>4862941.1100000003</v>
      </c>
      <c r="K46" s="16"/>
    </row>
    <row r="47" spans="1:11" s="6" customFormat="1">
      <c r="A47" s="5">
        <v>69</v>
      </c>
      <c r="B47" s="5" t="s">
        <v>183</v>
      </c>
      <c r="C47" s="390" t="s">
        <v>25</v>
      </c>
      <c r="D47" s="5" t="s">
        <v>26</v>
      </c>
      <c r="E47" s="249"/>
      <c r="F47" s="17">
        <v>2858.49</v>
      </c>
      <c r="G47" s="17">
        <v>722323.35</v>
      </c>
      <c r="H47" s="17">
        <v>833113.2</v>
      </c>
      <c r="I47" s="17"/>
      <c r="J47" s="17">
        <f t="shared" si="0"/>
        <v>1558295.04</v>
      </c>
      <c r="K47" s="16"/>
    </row>
    <row r="48" spans="1:11" s="6" customFormat="1">
      <c r="A48" s="5">
        <v>69</v>
      </c>
      <c r="B48" s="5" t="s">
        <v>183</v>
      </c>
      <c r="C48" s="390" t="s">
        <v>27</v>
      </c>
      <c r="D48" s="5" t="s">
        <v>28</v>
      </c>
      <c r="E48" s="249"/>
      <c r="F48" s="17"/>
      <c r="G48" s="17">
        <v>39484.68</v>
      </c>
      <c r="H48" s="17">
        <v>37705.78</v>
      </c>
      <c r="I48" s="17"/>
      <c r="J48" s="17">
        <f t="shared" si="0"/>
        <v>77190.459999999992</v>
      </c>
      <c r="K48" s="16"/>
    </row>
    <row r="49" spans="1:11" s="6" customFormat="1">
      <c r="A49" s="5">
        <v>69</v>
      </c>
      <c r="B49" s="5" t="s">
        <v>183</v>
      </c>
      <c r="C49" s="396" t="s">
        <v>1362</v>
      </c>
      <c r="D49" s="5" t="s">
        <v>29</v>
      </c>
      <c r="E49" s="249"/>
      <c r="F49" s="17"/>
      <c r="G49" s="17">
        <v>60859.26</v>
      </c>
      <c r="H49" s="17">
        <v>91702.34</v>
      </c>
      <c r="I49" s="17"/>
      <c r="J49" s="17">
        <f t="shared" si="0"/>
        <v>152561.60000000001</v>
      </c>
      <c r="K49" s="16"/>
    </row>
    <row r="50" spans="1:11" s="6" customFormat="1">
      <c r="A50" s="5">
        <v>69</v>
      </c>
      <c r="B50" s="5" t="s">
        <v>183</v>
      </c>
      <c r="C50" s="396" t="s">
        <v>1363</v>
      </c>
      <c r="D50" s="5" t="s">
        <v>30</v>
      </c>
      <c r="E50" s="249"/>
      <c r="F50" s="17">
        <v>1717.66</v>
      </c>
      <c r="G50" s="296">
        <v>78743.45</v>
      </c>
      <c r="H50" s="296">
        <v>84142.56</v>
      </c>
      <c r="I50" s="17"/>
      <c r="J50" s="17">
        <f t="shared" si="0"/>
        <v>164603.66999999998</v>
      </c>
      <c r="K50" s="16">
        <f>164603.67-162018.3</f>
        <v>2585.3700000000244</v>
      </c>
    </row>
    <row r="51" spans="1:11" s="6" customFormat="1">
      <c r="A51" s="5">
        <v>69</v>
      </c>
      <c r="B51" s="5" t="s">
        <v>183</v>
      </c>
      <c r="C51" s="396" t="s">
        <v>1364</v>
      </c>
      <c r="D51" s="5" t="s">
        <v>31</v>
      </c>
      <c r="E51" s="249"/>
      <c r="F51" s="17"/>
      <c r="G51" s="17">
        <v>1556689.79</v>
      </c>
      <c r="H51" s="17">
        <v>1713482.09</v>
      </c>
      <c r="I51" s="17"/>
      <c r="J51" s="17">
        <f t="shared" si="0"/>
        <v>3270171.88</v>
      </c>
      <c r="K51" s="16"/>
    </row>
    <row r="52" spans="1:11" s="6" customFormat="1" ht="30">
      <c r="A52" s="5">
        <v>69</v>
      </c>
      <c r="B52" s="5" t="s">
        <v>183</v>
      </c>
      <c r="C52" s="396" t="s">
        <v>1366</v>
      </c>
      <c r="D52" s="329" t="s">
        <v>1365</v>
      </c>
      <c r="E52" s="249"/>
      <c r="F52" s="17">
        <v>10471.67</v>
      </c>
      <c r="G52" s="17">
        <v>398157.73</v>
      </c>
      <c r="H52" s="17">
        <v>204394.29</v>
      </c>
      <c r="I52" s="296">
        <v>1866.03</v>
      </c>
      <c r="J52" s="17">
        <f t="shared" si="0"/>
        <v>614889.72</v>
      </c>
      <c r="K52" s="16">
        <f>614889.72-614933.7</f>
        <v>-43.979999999981374</v>
      </c>
    </row>
    <row r="53" spans="1:11" s="6" customFormat="1" ht="30">
      <c r="A53" s="5">
        <v>69</v>
      </c>
      <c r="B53" s="5" t="s">
        <v>183</v>
      </c>
      <c r="C53" s="396" t="s">
        <v>1367</v>
      </c>
      <c r="D53" s="5" t="s">
        <v>32</v>
      </c>
      <c r="E53" s="249"/>
      <c r="F53" s="17"/>
      <c r="G53" s="17">
        <v>198229.76000000001</v>
      </c>
      <c r="H53" s="17">
        <v>105076.61</v>
      </c>
      <c r="I53" s="17"/>
      <c r="J53" s="17">
        <f t="shared" si="0"/>
        <v>303306.37</v>
      </c>
      <c r="K53" s="16"/>
    </row>
    <row r="54" spans="1:11" s="6" customFormat="1" ht="30" customHeight="1">
      <c r="A54" s="5">
        <v>69</v>
      </c>
      <c r="B54" s="5" t="s">
        <v>183</v>
      </c>
      <c r="C54" s="396" t="s">
        <v>1368</v>
      </c>
      <c r="D54" s="5" t="s">
        <v>151</v>
      </c>
      <c r="E54" s="249"/>
      <c r="F54" s="17"/>
      <c r="G54" s="17">
        <v>142873.46</v>
      </c>
      <c r="H54" s="17">
        <v>85285.82</v>
      </c>
      <c r="I54" s="17"/>
      <c r="J54" s="17">
        <f t="shared" si="0"/>
        <v>228159.28</v>
      </c>
      <c r="K54" s="16"/>
    </row>
    <row r="55" spans="1:11" s="6" customFormat="1">
      <c r="A55" s="5">
        <v>69</v>
      </c>
      <c r="B55" s="5" t="s">
        <v>183</v>
      </c>
      <c r="C55" s="390" t="s">
        <v>149</v>
      </c>
      <c r="D55" s="5" t="s">
        <v>150</v>
      </c>
      <c r="E55" s="249"/>
      <c r="F55" s="17"/>
      <c r="G55" s="17">
        <v>19080.099999999999</v>
      </c>
      <c r="H55" s="17">
        <v>80822.84</v>
      </c>
      <c r="I55" s="17">
        <v>2605.1</v>
      </c>
      <c r="J55" s="17">
        <f t="shared" si="0"/>
        <v>102508.04000000001</v>
      </c>
      <c r="K55" s="16"/>
    </row>
    <row r="56" spans="1:11" s="6" customFormat="1">
      <c r="A56" s="5">
        <v>69</v>
      </c>
      <c r="B56" s="5" t="s">
        <v>183</v>
      </c>
      <c r="C56" s="396" t="s">
        <v>1369</v>
      </c>
      <c r="D56" s="5">
        <v>42</v>
      </c>
      <c r="E56" s="249"/>
      <c r="F56" s="17">
        <v>3499.41</v>
      </c>
      <c r="G56" s="17">
        <v>91974.87</v>
      </c>
      <c r="H56" s="17">
        <v>106589.92</v>
      </c>
      <c r="I56" s="17"/>
      <c r="J56" s="17">
        <f t="shared" si="0"/>
        <v>202064.2</v>
      </c>
      <c r="K56" s="16"/>
    </row>
    <row r="57" spans="1:11" s="6" customFormat="1">
      <c r="A57" s="5">
        <v>69</v>
      </c>
      <c r="B57" s="5" t="s">
        <v>183</v>
      </c>
      <c r="C57" s="396" t="s">
        <v>1370</v>
      </c>
      <c r="D57" s="5" t="s">
        <v>33</v>
      </c>
      <c r="E57" s="249"/>
      <c r="F57" s="17"/>
      <c r="G57" s="17">
        <v>144832.93</v>
      </c>
      <c r="H57" s="17">
        <v>94220.44</v>
      </c>
      <c r="I57" s="17"/>
      <c r="J57" s="17">
        <f t="shared" si="0"/>
        <v>239053.37</v>
      </c>
      <c r="K57" s="16"/>
    </row>
    <row r="58" spans="1:11" s="6" customFormat="1">
      <c r="A58" s="5">
        <v>69</v>
      </c>
      <c r="B58" s="5" t="s">
        <v>183</v>
      </c>
      <c r="C58" s="396" t="s">
        <v>1371</v>
      </c>
      <c r="D58" s="329" t="s">
        <v>1372</v>
      </c>
      <c r="E58" s="249"/>
      <c r="F58" s="17">
        <f>3459.86</f>
        <v>3459.86</v>
      </c>
      <c r="G58" s="17">
        <v>114375.94</v>
      </c>
      <c r="H58" s="17">
        <v>108690.54</v>
      </c>
      <c r="I58" s="17"/>
      <c r="J58" s="17">
        <f t="shared" si="0"/>
        <v>226526.34</v>
      </c>
      <c r="K58" s="16"/>
    </row>
    <row r="59" spans="1:11" s="6" customFormat="1">
      <c r="A59" s="5">
        <v>69</v>
      </c>
      <c r="B59" s="5" t="s">
        <v>183</v>
      </c>
      <c r="C59" s="396" t="s">
        <v>1374</v>
      </c>
      <c r="D59" s="329" t="s">
        <v>1373</v>
      </c>
      <c r="E59" s="249"/>
      <c r="F59" s="17">
        <v>3090.75</v>
      </c>
      <c r="G59" s="17">
        <f>252801.53+13267.68-1557.37</f>
        <v>264511.84000000003</v>
      </c>
      <c r="H59" s="17">
        <f>146230.56+3955.57-250.14</f>
        <v>149935.99</v>
      </c>
      <c r="I59" s="17"/>
      <c r="J59" s="17">
        <f t="shared" si="0"/>
        <v>417538.58</v>
      </c>
      <c r="K59" s="16"/>
    </row>
    <row r="60" spans="1:11" s="6" customFormat="1">
      <c r="A60" s="5">
        <v>69</v>
      </c>
      <c r="B60" s="5" t="s">
        <v>183</v>
      </c>
      <c r="C60" s="396" t="s">
        <v>1375</v>
      </c>
      <c r="D60" s="5" t="s">
        <v>205</v>
      </c>
      <c r="E60" s="249"/>
      <c r="F60" s="17">
        <v>2664.88</v>
      </c>
      <c r="G60" s="296">
        <v>72823.960000000006</v>
      </c>
      <c r="H60" s="296">
        <v>90328.78</v>
      </c>
      <c r="I60" s="17"/>
      <c r="J60" s="17">
        <f t="shared" si="0"/>
        <v>165817.62</v>
      </c>
      <c r="K60" s="16">
        <f>165817.62-159112.63</f>
        <v>6704.9899999999907</v>
      </c>
    </row>
    <row r="61" spans="1:11" s="6" customFormat="1">
      <c r="A61" s="5">
        <v>69</v>
      </c>
      <c r="B61" s="5" t="s">
        <v>183</v>
      </c>
      <c r="C61" s="390" t="s">
        <v>34</v>
      </c>
      <c r="D61" s="5" t="s">
        <v>35</v>
      </c>
      <c r="E61" s="249"/>
      <c r="F61" s="17">
        <v>3016.56</v>
      </c>
      <c r="G61" s="17">
        <f>93493.89+5645.91+10225.77-475.44-676.43-332.33</f>
        <v>107881.37000000001</v>
      </c>
      <c r="H61" s="17">
        <f>103460.03+2879.42+465.61-319.81-36.21</f>
        <v>106449.04</v>
      </c>
      <c r="I61" s="17"/>
      <c r="J61" s="17">
        <f t="shared" si="0"/>
        <v>217346.97</v>
      </c>
      <c r="K61" s="16"/>
    </row>
    <row r="62" spans="1:11" s="6" customFormat="1">
      <c r="A62" s="5">
        <v>69</v>
      </c>
      <c r="B62" s="5" t="s">
        <v>183</v>
      </c>
      <c r="C62" s="396" t="s">
        <v>1376</v>
      </c>
      <c r="D62" s="5" t="s">
        <v>173</v>
      </c>
      <c r="E62" s="249"/>
      <c r="F62" s="17"/>
      <c r="G62" s="17">
        <v>9491.6299999999992</v>
      </c>
      <c r="H62" s="17">
        <v>69009.259999999995</v>
      </c>
      <c r="I62" s="17">
        <v>6588.2</v>
      </c>
      <c r="J62" s="17">
        <f t="shared" si="0"/>
        <v>85089.09</v>
      </c>
      <c r="K62" s="16"/>
    </row>
    <row r="63" spans="1:11" s="6" customFormat="1">
      <c r="A63" s="5">
        <v>69</v>
      </c>
      <c r="B63" s="5" t="s">
        <v>183</v>
      </c>
      <c r="C63" s="390" t="s">
        <v>36</v>
      </c>
      <c r="D63" s="5">
        <v>48</v>
      </c>
      <c r="E63" s="249"/>
      <c r="F63" s="17"/>
      <c r="G63" s="17">
        <v>123933.87</v>
      </c>
      <c r="H63" s="17">
        <v>64366.92</v>
      </c>
      <c r="I63" s="17"/>
      <c r="J63" s="17">
        <f t="shared" si="0"/>
        <v>188300.78999999998</v>
      </c>
      <c r="K63" s="16"/>
    </row>
    <row r="64" spans="1:11" s="6" customFormat="1">
      <c r="A64" s="5">
        <v>69</v>
      </c>
      <c r="B64" s="5" t="s">
        <v>183</v>
      </c>
      <c r="C64" s="396" t="s">
        <v>1377</v>
      </c>
      <c r="D64" s="5" t="s">
        <v>37</v>
      </c>
      <c r="E64" s="249"/>
      <c r="F64" s="17"/>
      <c r="G64" s="17">
        <v>72594.59</v>
      </c>
      <c r="H64" s="17">
        <v>53363.54</v>
      </c>
      <c r="I64" s="17"/>
      <c r="J64" s="17">
        <f t="shared" si="0"/>
        <v>125958.13</v>
      </c>
      <c r="K64" s="16"/>
    </row>
    <row r="65" spans="1:11" s="6" customFormat="1">
      <c r="A65" s="5">
        <v>69</v>
      </c>
      <c r="B65" s="5" t="s">
        <v>183</v>
      </c>
      <c r="C65" s="396" t="s">
        <v>1378</v>
      </c>
      <c r="D65" s="5" t="s">
        <v>38</v>
      </c>
      <c r="E65" s="249"/>
      <c r="F65" s="17"/>
      <c r="G65" s="296">
        <v>147779.10999999999</v>
      </c>
      <c r="H65" s="296">
        <v>98365.36</v>
      </c>
      <c r="I65" s="17"/>
      <c r="J65" s="17">
        <f t="shared" si="0"/>
        <v>246144.46999999997</v>
      </c>
      <c r="K65" s="16">
        <f>246144.47-219039.93</f>
        <v>27104.540000000008</v>
      </c>
    </row>
    <row r="66" spans="1:11" s="6" customFormat="1" ht="30">
      <c r="A66" s="5">
        <v>69</v>
      </c>
      <c r="B66" s="5" t="s">
        <v>183</v>
      </c>
      <c r="C66" s="396" t="s">
        <v>1379</v>
      </c>
      <c r="D66" s="5" t="s">
        <v>206</v>
      </c>
      <c r="E66" s="249"/>
      <c r="F66" s="17">
        <v>2422.02</v>
      </c>
      <c r="G66" s="17">
        <v>64998.92</v>
      </c>
      <c r="H66" s="17">
        <v>71209.27</v>
      </c>
      <c r="I66" s="17">
        <v>2605.1</v>
      </c>
      <c r="J66" s="17">
        <f t="shared" si="0"/>
        <v>141235.31000000003</v>
      </c>
      <c r="K66" s="16"/>
    </row>
    <row r="67" spans="1:11" s="6" customFormat="1">
      <c r="A67" s="5">
        <v>69</v>
      </c>
      <c r="B67" s="5" t="s">
        <v>183</v>
      </c>
      <c r="C67" s="396" t="s">
        <v>1380</v>
      </c>
      <c r="D67" s="5" t="s">
        <v>207</v>
      </c>
      <c r="E67" s="249">
        <v>403697.56</v>
      </c>
      <c r="F67" s="17"/>
      <c r="G67" s="17">
        <v>738752.86</v>
      </c>
      <c r="H67" s="17">
        <v>782395.33</v>
      </c>
      <c r="I67" s="17"/>
      <c r="J67" s="17">
        <f t="shared" si="0"/>
        <v>1924845.75</v>
      </c>
      <c r="K67" s="16"/>
    </row>
    <row r="68" spans="1:11" s="6" customFormat="1" ht="30">
      <c r="A68" s="5">
        <v>69</v>
      </c>
      <c r="B68" s="5" t="s">
        <v>183</v>
      </c>
      <c r="C68" s="396" t="s">
        <v>1382</v>
      </c>
      <c r="D68" s="329" t="s">
        <v>1381</v>
      </c>
      <c r="E68" s="249"/>
      <c r="F68" s="17">
        <v>6036.16</v>
      </c>
      <c r="G68" s="17">
        <v>531255.06999999995</v>
      </c>
      <c r="H68" s="17">
        <v>451342.49</v>
      </c>
      <c r="I68" s="17"/>
      <c r="J68" s="17">
        <f t="shared" si="0"/>
        <v>988633.72</v>
      </c>
      <c r="K68" s="16"/>
    </row>
    <row r="69" spans="1:11" s="6" customFormat="1">
      <c r="A69" s="5">
        <v>69</v>
      </c>
      <c r="B69" s="5" t="s">
        <v>183</v>
      </c>
      <c r="C69" s="396" t="s">
        <v>1383</v>
      </c>
      <c r="D69" s="5">
        <v>54</v>
      </c>
      <c r="E69" s="249"/>
      <c r="F69" s="17"/>
      <c r="G69" s="17">
        <v>210266.7</v>
      </c>
      <c r="H69" s="17">
        <v>128069.75999999999</v>
      </c>
      <c r="I69" s="17"/>
      <c r="J69" s="17">
        <f t="shared" si="0"/>
        <v>338336.46</v>
      </c>
      <c r="K69" s="16"/>
    </row>
    <row r="70" spans="1:11" s="6" customFormat="1">
      <c r="A70" s="5">
        <v>69</v>
      </c>
      <c r="B70" s="14" t="s">
        <v>183</v>
      </c>
      <c r="C70" s="396" t="s">
        <v>1384</v>
      </c>
      <c r="D70" s="14" t="s">
        <v>192</v>
      </c>
      <c r="E70" s="249"/>
      <c r="F70" s="17"/>
      <c r="G70" s="17"/>
      <c r="H70" s="17">
        <v>133.97999999999999</v>
      </c>
      <c r="I70" s="17"/>
      <c r="J70" s="17">
        <f t="shared" si="0"/>
        <v>133.97999999999999</v>
      </c>
      <c r="K70" s="16"/>
    </row>
    <row r="71" spans="1:11" s="6" customFormat="1">
      <c r="A71" s="5">
        <v>69</v>
      </c>
      <c r="B71" s="14" t="s">
        <v>183</v>
      </c>
      <c r="C71" s="396" t="s">
        <v>1384</v>
      </c>
      <c r="D71" s="14" t="s">
        <v>193</v>
      </c>
      <c r="E71" s="249"/>
      <c r="F71" s="17"/>
      <c r="G71" s="17">
        <v>37759.03</v>
      </c>
      <c r="H71" s="17">
        <v>26734.46</v>
      </c>
      <c r="I71" s="17"/>
      <c r="J71" s="17">
        <f t="shared" si="0"/>
        <v>64493.49</v>
      </c>
      <c r="K71" s="16"/>
    </row>
    <row r="72" spans="1:11" s="6" customFormat="1">
      <c r="A72" s="5">
        <v>69</v>
      </c>
      <c r="B72" s="5" t="s">
        <v>183</v>
      </c>
      <c r="C72" s="396" t="s">
        <v>1385</v>
      </c>
      <c r="D72" s="329" t="s">
        <v>1386</v>
      </c>
      <c r="E72" s="249"/>
      <c r="F72" s="17">
        <v>2941.23</v>
      </c>
      <c r="G72" s="17">
        <v>204505.27</v>
      </c>
      <c r="H72" s="17">
        <v>224663.47</v>
      </c>
      <c r="I72" s="17">
        <v>2826.29</v>
      </c>
      <c r="J72" s="17">
        <f t="shared" si="0"/>
        <v>434936.25999999995</v>
      </c>
      <c r="K72" s="16"/>
    </row>
    <row r="73" spans="1:11" s="6" customFormat="1">
      <c r="A73" s="5">
        <v>69</v>
      </c>
      <c r="B73" s="5" t="s">
        <v>183</v>
      </c>
      <c r="C73" s="396" t="s">
        <v>1387</v>
      </c>
      <c r="D73" s="5" t="s">
        <v>39</v>
      </c>
      <c r="E73" s="249"/>
      <c r="F73" s="17"/>
      <c r="G73" s="17">
        <v>82473.69</v>
      </c>
      <c r="H73" s="17">
        <v>46734.66</v>
      </c>
      <c r="I73" s="17"/>
      <c r="J73" s="17">
        <f t="shared" si="0"/>
        <v>129208.35</v>
      </c>
      <c r="K73" s="16"/>
    </row>
    <row r="74" spans="1:11" s="6" customFormat="1">
      <c r="A74" s="5">
        <v>69</v>
      </c>
      <c r="B74" s="5" t="s">
        <v>183</v>
      </c>
      <c r="C74" s="396" t="s">
        <v>1388</v>
      </c>
      <c r="D74" s="5" t="s">
        <v>40</v>
      </c>
      <c r="E74" s="249"/>
      <c r="F74" s="17"/>
      <c r="G74" s="17">
        <v>65844.67</v>
      </c>
      <c r="H74" s="17">
        <v>43853.279999999999</v>
      </c>
      <c r="I74" s="17"/>
      <c r="J74" s="17">
        <f t="shared" si="0"/>
        <v>109697.95</v>
      </c>
      <c r="K74" s="16"/>
    </row>
    <row r="75" spans="1:11" s="6" customFormat="1">
      <c r="A75" s="5">
        <v>69</v>
      </c>
      <c r="B75" s="5" t="s">
        <v>183</v>
      </c>
      <c r="C75" s="396" t="s">
        <v>1389</v>
      </c>
      <c r="D75" s="5" t="s">
        <v>41</v>
      </c>
      <c r="E75" s="249"/>
      <c r="F75" s="17"/>
      <c r="G75" s="17">
        <f>116067.08+7333.27-2762.28-70.66</f>
        <v>120567.41</v>
      </c>
      <c r="H75" s="17">
        <f>77799.04+253.73+648.57+36.6-171.44-67.88</f>
        <v>78498.62</v>
      </c>
      <c r="I75" s="17"/>
      <c r="J75" s="17">
        <f t="shared" ref="J75:J78" si="1">SUM(E75:I75)</f>
        <v>199066.03</v>
      </c>
      <c r="K75" s="16"/>
    </row>
    <row r="76" spans="1:11" s="6" customFormat="1">
      <c r="A76" s="5">
        <v>69</v>
      </c>
      <c r="B76" s="5" t="s">
        <v>183</v>
      </c>
      <c r="C76" s="396" t="s">
        <v>1593</v>
      </c>
      <c r="D76" s="329" t="s">
        <v>1592</v>
      </c>
      <c r="E76" s="249"/>
      <c r="F76" s="17"/>
      <c r="G76" s="17">
        <v>258483.87</v>
      </c>
      <c r="H76" s="17">
        <v>94509.24</v>
      </c>
      <c r="I76" s="17"/>
      <c r="J76" s="17">
        <f t="shared" si="1"/>
        <v>352993.11</v>
      </c>
      <c r="K76" s="16"/>
    </row>
    <row r="77" spans="1:11" s="6" customFormat="1" ht="30">
      <c r="A77" s="5">
        <v>69</v>
      </c>
      <c r="B77" s="5" t="s">
        <v>183</v>
      </c>
      <c r="C77" s="396" t="s">
        <v>1391</v>
      </c>
      <c r="D77" s="5" t="s">
        <v>208</v>
      </c>
      <c r="E77" s="249"/>
      <c r="F77" s="17">
        <v>6791.95</v>
      </c>
      <c r="G77" s="296">
        <v>398657.94</v>
      </c>
      <c r="H77" s="296">
        <v>411973.84</v>
      </c>
      <c r="I77" s="17">
        <v>2605.1</v>
      </c>
      <c r="J77" s="17">
        <f t="shared" si="1"/>
        <v>820028.83</v>
      </c>
      <c r="K77" s="16">
        <f>820028.83-815886.7</f>
        <v>4142.1300000000047</v>
      </c>
    </row>
    <row r="78" spans="1:11" s="6" customFormat="1" ht="30">
      <c r="A78" s="5">
        <v>69</v>
      </c>
      <c r="B78" s="5" t="s">
        <v>183</v>
      </c>
      <c r="C78" s="396" t="s">
        <v>1392</v>
      </c>
      <c r="D78" s="5" t="s">
        <v>42</v>
      </c>
      <c r="E78" s="249">
        <v>16542.060000000001</v>
      </c>
      <c r="F78" s="17"/>
      <c r="G78" s="17">
        <v>1087928.54</v>
      </c>
      <c r="H78" s="17">
        <v>1738046.08</v>
      </c>
      <c r="I78" s="17">
        <v>3723.25</v>
      </c>
      <c r="J78" s="17">
        <f t="shared" si="1"/>
        <v>2846239.93</v>
      </c>
      <c r="K78" s="16"/>
    </row>
    <row r="79" spans="1:11" s="6" customFormat="1">
      <c r="A79" s="5">
        <v>69</v>
      </c>
      <c r="B79" s="5" t="s">
        <v>183</v>
      </c>
      <c r="C79" s="396" t="s">
        <v>1393</v>
      </c>
      <c r="D79" s="13">
        <v>62</v>
      </c>
      <c r="E79" s="249"/>
      <c r="F79" s="17">
        <v>6145.57</v>
      </c>
      <c r="G79" s="296">
        <v>222014.57</v>
      </c>
      <c r="H79" s="296">
        <v>197697.72</v>
      </c>
      <c r="I79" s="17"/>
      <c r="J79" s="17">
        <f>SUM(E79:I79)</f>
        <v>425857.86</v>
      </c>
      <c r="K79" s="16">
        <f>425857.86-426596.39</f>
        <v>-738.53000000002794</v>
      </c>
    </row>
    <row r="80" spans="1:11" s="6" customFormat="1">
      <c r="A80" s="5">
        <v>69</v>
      </c>
      <c r="B80" s="14" t="s">
        <v>183</v>
      </c>
      <c r="C80" s="396" t="s">
        <v>1395</v>
      </c>
      <c r="D80" s="14" t="s">
        <v>1394</v>
      </c>
      <c r="E80" s="249"/>
      <c r="F80" s="17"/>
      <c r="G80" s="296">
        <v>118927.8</v>
      </c>
      <c r="H80" s="296">
        <v>89716.38</v>
      </c>
      <c r="I80" s="17"/>
      <c r="J80" s="17">
        <f>SUM(E80:I80)</f>
        <v>208644.18</v>
      </c>
      <c r="K80" s="16">
        <f>208644.18-202874.43</f>
        <v>5769.75</v>
      </c>
    </row>
    <row r="81" spans="1:11" s="6" customFormat="1">
      <c r="A81" s="5">
        <v>69</v>
      </c>
      <c r="B81" s="14" t="s">
        <v>183</v>
      </c>
      <c r="C81" s="396" t="s">
        <v>1396</v>
      </c>
      <c r="D81" s="14" t="s">
        <v>194</v>
      </c>
      <c r="E81" s="249">
        <v>13150</v>
      </c>
      <c r="F81" s="17"/>
      <c r="G81" s="17">
        <v>108960.55</v>
      </c>
      <c r="H81" s="17">
        <v>69845.210000000006</v>
      </c>
      <c r="I81" s="17"/>
      <c r="J81" s="17">
        <f>SUM(E81:I81)</f>
        <v>191955.76</v>
      </c>
      <c r="K81" s="16"/>
    </row>
    <row r="82" spans="1:11" s="6" customFormat="1">
      <c r="A82" s="5">
        <v>69</v>
      </c>
      <c r="B82" s="5" t="s">
        <v>183</v>
      </c>
      <c r="C82" s="396" t="s">
        <v>1397</v>
      </c>
      <c r="D82" s="5" t="s">
        <v>43</v>
      </c>
      <c r="E82" s="249"/>
      <c r="F82" s="17"/>
      <c r="G82" s="296">
        <v>1291138.5900000001</v>
      </c>
      <c r="H82" s="296">
        <v>851391.12</v>
      </c>
      <c r="I82" s="17"/>
      <c r="J82" s="17">
        <f t="shared" ref="J82:J166" si="2">SUM(E82:I82)</f>
        <v>2142529.71</v>
      </c>
      <c r="K82" s="16">
        <f>2142529.71-2118292.09</f>
        <v>24237.620000000112</v>
      </c>
    </row>
    <row r="83" spans="1:11" s="6" customFormat="1">
      <c r="A83" s="5">
        <v>69</v>
      </c>
      <c r="B83" s="5" t="s">
        <v>183</v>
      </c>
      <c r="C83" s="396" t="s">
        <v>1398</v>
      </c>
      <c r="D83" s="5" t="s">
        <v>44</v>
      </c>
      <c r="E83" s="249">
        <v>9246.25</v>
      </c>
      <c r="F83" s="17"/>
      <c r="G83" s="296">
        <v>79944.639999999999</v>
      </c>
      <c r="H83" s="296">
        <v>72805.039999999994</v>
      </c>
      <c r="I83" s="17">
        <v>2605.1</v>
      </c>
      <c r="J83" s="17">
        <f t="shared" si="2"/>
        <v>164601.03</v>
      </c>
      <c r="K83" s="16">
        <f>164601.03-158250.92</f>
        <v>6350.109999999986</v>
      </c>
    </row>
    <row r="84" spans="1:11" s="6" customFormat="1">
      <c r="A84" s="5">
        <v>69</v>
      </c>
      <c r="B84" s="5" t="s">
        <v>183</v>
      </c>
      <c r="C84" s="390" t="s">
        <v>45</v>
      </c>
      <c r="D84" s="5" t="s">
        <v>46</v>
      </c>
      <c r="E84" s="249"/>
      <c r="F84" s="17"/>
      <c r="G84" s="17">
        <v>4956.6400000000003</v>
      </c>
      <c r="H84" s="17">
        <v>4595.0200000000004</v>
      </c>
      <c r="I84" s="17"/>
      <c r="J84" s="17">
        <f t="shared" si="2"/>
        <v>9551.66</v>
      </c>
      <c r="K84" s="16"/>
    </row>
    <row r="85" spans="1:11" s="6" customFormat="1">
      <c r="A85" s="5">
        <v>69</v>
      </c>
      <c r="B85" s="5" t="s">
        <v>183</v>
      </c>
      <c r="C85" s="390" t="s">
        <v>47</v>
      </c>
      <c r="D85" s="5" t="s">
        <v>48</v>
      </c>
      <c r="E85" s="249"/>
      <c r="F85" s="17"/>
      <c r="G85" s="17">
        <v>14433.71</v>
      </c>
      <c r="H85" s="17">
        <v>7394.2</v>
      </c>
      <c r="I85" s="17"/>
      <c r="J85" s="17">
        <f t="shared" si="2"/>
        <v>21827.91</v>
      </c>
      <c r="K85" s="16"/>
    </row>
    <row r="86" spans="1:11" s="6" customFormat="1">
      <c r="A86" s="5">
        <v>69</v>
      </c>
      <c r="B86" s="5" t="s">
        <v>183</v>
      </c>
      <c r="C86" s="390" t="s">
        <v>49</v>
      </c>
      <c r="D86" s="5" t="s">
        <v>50</v>
      </c>
      <c r="E86" s="249"/>
      <c r="F86" s="17"/>
      <c r="G86" s="296">
        <v>20482.599999999999</v>
      </c>
      <c r="H86" s="296">
        <v>11152.15</v>
      </c>
      <c r="I86" s="17"/>
      <c r="J86" s="17">
        <f t="shared" si="2"/>
        <v>31634.75</v>
      </c>
      <c r="K86" s="16">
        <f>31634.75-29251.86</f>
        <v>2382.8899999999994</v>
      </c>
    </row>
    <row r="87" spans="1:11" s="6" customFormat="1">
      <c r="A87" s="5">
        <v>69</v>
      </c>
      <c r="B87" s="5" t="s">
        <v>183</v>
      </c>
      <c r="C87" s="396" t="s">
        <v>1399</v>
      </c>
      <c r="D87" s="5" t="s">
        <v>51</v>
      </c>
      <c r="E87" s="249"/>
      <c r="F87" s="17"/>
      <c r="G87" s="17">
        <v>94551.75</v>
      </c>
      <c r="H87" s="17">
        <v>57468.29</v>
      </c>
      <c r="I87" s="17"/>
      <c r="J87" s="17">
        <f t="shared" si="2"/>
        <v>152020.04</v>
      </c>
      <c r="K87" s="16"/>
    </row>
    <row r="88" spans="1:11" s="6" customFormat="1">
      <c r="A88" s="5">
        <v>69</v>
      </c>
      <c r="B88" s="5" t="s">
        <v>183</v>
      </c>
      <c r="C88" s="396" t="s">
        <v>1401</v>
      </c>
      <c r="D88" s="329" t="s">
        <v>1400</v>
      </c>
      <c r="E88" s="249"/>
      <c r="F88" s="17"/>
      <c r="G88" s="296">
        <v>77078.52</v>
      </c>
      <c r="H88" s="296">
        <v>125781.29</v>
      </c>
      <c r="I88" s="17"/>
      <c r="J88" s="17">
        <f t="shared" si="2"/>
        <v>202859.81</v>
      </c>
      <c r="K88" s="16">
        <f>202859.81-108701.56</f>
        <v>94158.25</v>
      </c>
    </row>
    <row r="89" spans="1:11" s="6" customFormat="1" ht="30">
      <c r="A89" s="5">
        <v>69</v>
      </c>
      <c r="B89" s="5" t="s">
        <v>183</v>
      </c>
      <c r="C89" s="396" t="s">
        <v>1403</v>
      </c>
      <c r="D89" s="329" t="s">
        <v>1402</v>
      </c>
      <c r="E89" s="249"/>
      <c r="F89" s="17">
        <v>2961.41</v>
      </c>
      <c r="G89" s="296">
        <f>230602.93+164762.69+1935.65</f>
        <v>397301.27</v>
      </c>
      <c r="H89" s="296">
        <f>160115.59+360798.21+24528.45</f>
        <v>545442.25</v>
      </c>
      <c r="I89" s="17">
        <v>2947.6</v>
      </c>
      <c r="J89" s="17">
        <f t="shared" si="2"/>
        <v>948652.52999999991</v>
      </c>
      <c r="K89" s="16">
        <f>390718.52+525560.9+32373.11-490253.95</f>
        <v>458398.58</v>
      </c>
    </row>
    <row r="90" spans="1:11" s="6" customFormat="1">
      <c r="A90" s="5">
        <v>69</v>
      </c>
      <c r="B90" s="5" t="s">
        <v>183</v>
      </c>
      <c r="C90" s="390" t="s">
        <v>52</v>
      </c>
      <c r="D90" s="5" t="s">
        <v>53</v>
      </c>
      <c r="E90" s="249">
        <v>10830.46</v>
      </c>
      <c r="F90" s="17"/>
      <c r="G90" s="17">
        <v>169572.21</v>
      </c>
      <c r="H90" s="17">
        <v>116520.5</v>
      </c>
      <c r="I90" s="17"/>
      <c r="J90" s="17">
        <f t="shared" si="2"/>
        <v>296923.17</v>
      </c>
      <c r="K90" s="16"/>
    </row>
    <row r="91" spans="1:11" s="6" customFormat="1" ht="30">
      <c r="A91" s="5">
        <v>69</v>
      </c>
      <c r="B91" s="5" t="s">
        <v>183</v>
      </c>
      <c r="C91" s="396" t="s">
        <v>1404</v>
      </c>
      <c r="D91" s="13" t="s">
        <v>160</v>
      </c>
      <c r="E91" s="249"/>
      <c r="F91" s="17"/>
      <c r="G91" s="397">
        <f>151250.12+8213.09</f>
        <v>159463.21</v>
      </c>
      <c r="H91" s="296">
        <f>110356.29+12901.49</f>
        <v>123257.78</v>
      </c>
      <c r="I91" s="17">
        <v>6757.42</v>
      </c>
      <c r="J91" s="17">
        <f t="shared" si="2"/>
        <v>289478.40999999997</v>
      </c>
      <c r="K91" s="16">
        <f>268363.83+21114.58-285226.96</f>
        <v>4251.4500000000116</v>
      </c>
    </row>
    <row r="92" spans="1:11" s="6" customFormat="1" ht="45">
      <c r="A92" s="5">
        <v>69</v>
      </c>
      <c r="B92" s="5" t="s">
        <v>183</v>
      </c>
      <c r="C92" s="396" t="s">
        <v>1405</v>
      </c>
      <c r="D92" s="329" t="s">
        <v>1595</v>
      </c>
      <c r="E92" s="249"/>
      <c r="F92" s="17"/>
      <c r="G92" s="296">
        <f>69306.09+39500.28+49738.16</f>
        <v>158544.53</v>
      </c>
      <c r="H92" s="296">
        <f>84547.6+15211.49+27926.11</f>
        <v>127685.20000000001</v>
      </c>
      <c r="I92" s="17"/>
      <c r="J92" s="17">
        <f t="shared" si="2"/>
        <v>286229.73</v>
      </c>
      <c r="K92" s="16">
        <f>153853.69+54711.77+77664.27-136181.62</f>
        <v>150048.10999999999</v>
      </c>
    </row>
    <row r="93" spans="1:11" s="6" customFormat="1">
      <c r="A93" s="5">
        <v>69</v>
      </c>
      <c r="B93" s="5" t="s">
        <v>183</v>
      </c>
      <c r="C93" s="396" t="s">
        <v>1406</v>
      </c>
      <c r="D93" s="13" t="s">
        <v>161</v>
      </c>
      <c r="E93" s="249">
        <v>12447.51</v>
      </c>
      <c r="F93" s="17">
        <v>3441.5</v>
      </c>
      <c r="G93" s="17">
        <v>7613.75</v>
      </c>
      <c r="H93" s="17">
        <v>194473.01</v>
      </c>
      <c r="I93" s="17">
        <v>2605.1</v>
      </c>
      <c r="J93" s="17">
        <f t="shared" si="2"/>
        <v>220580.87000000002</v>
      </c>
      <c r="K93" s="16"/>
    </row>
    <row r="94" spans="1:11" s="6" customFormat="1" ht="30">
      <c r="A94" s="5">
        <v>69</v>
      </c>
      <c r="B94" s="5" t="s">
        <v>183</v>
      </c>
      <c r="C94" s="396" t="s">
        <v>1408</v>
      </c>
      <c r="D94" s="329" t="s">
        <v>1407</v>
      </c>
      <c r="E94" s="249"/>
      <c r="F94" s="17"/>
      <c r="G94" s="17">
        <v>257590.29</v>
      </c>
      <c r="H94" s="17">
        <v>229332.35</v>
      </c>
      <c r="I94" s="17">
        <v>7278.78</v>
      </c>
      <c r="J94" s="17">
        <f t="shared" si="2"/>
        <v>494201.42000000004</v>
      </c>
      <c r="K94" s="16"/>
    </row>
    <row r="95" spans="1:11" s="6" customFormat="1">
      <c r="A95" s="5">
        <v>69</v>
      </c>
      <c r="B95" s="5" t="s">
        <v>183</v>
      </c>
      <c r="C95" s="390" t="s">
        <v>54</v>
      </c>
      <c r="D95" s="5" t="s">
        <v>55</v>
      </c>
      <c r="E95" s="249"/>
      <c r="F95" s="17"/>
      <c r="G95" s="17">
        <v>3800.73</v>
      </c>
      <c r="H95" s="17">
        <v>35074.5</v>
      </c>
      <c r="I95" s="17">
        <v>3509.55</v>
      </c>
      <c r="J95" s="17">
        <f t="shared" si="2"/>
        <v>42384.780000000006</v>
      </c>
      <c r="K95" s="16"/>
    </row>
    <row r="96" spans="1:11" s="6" customFormat="1">
      <c r="A96" s="5">
        <v>69</v>
      </c>
      <c r="B96" s="5" t="s">
        <v>183</v>
      </c>
      <c r="C96" s="396" t="s">
        <v>1409</v>
      </c>
      <c r="D96" s="5" t="s">
        <v>56</v>
      </c>
      <c r="E96" s="249"/>
      <c r="F96" s="17"/>
      <c r="G96" s="17">
        <v>75256.899999999994</v>
      </c>
      <c r="H96" s="17">
        <v>52814.18</v>
      </c>
      <c r="I96" s="17"/>
      <c r="J96" s="17">
        <f t="shared" si="2"/>
        <v>128071.07999999999</v>
      </c>
      <c r="K96" s="16"/>
    </row>
    <row r="97" spans="1:11" s="6" customFormat="1">
      <c r="A97" s="5">
        <v>69</v>
      </c>
      <c r="B97" s="5" t="s">
        <v>183</v>
      </c>
      <c r="C97" s="396" t="s">
        <v>1410</v>
      </c>
      <c r="D97" s="5" t="s">
        <v>209</v>
      </c>
      <c r="E97" s="249"/>
      <c r="F97" s="17">
        <v>3562.79</v>
      </c>
      <c r="G97" s="17">
        <v>125929.18</v>
      </c>
      <c r="H97" s="17">
        <v>165942.51</v>
      </c>
      <c r="I97" s="17">
        <v>1919.14</v>
      </c>
      <c r="J97" s="17">
        <f t="shared" si="2"/>
        <v>297353.62</v>
      </c>
      <c r="K97" s="16"/>
    </row>
    <row r="98" spans="1:11" s="6" customFormat="1">
      <c r="A98" s="5">
        <v>69</v>
      </c>
      <c r="B98" s="5" t="s">
        <v>183</v>
      </c>
      <c r="C98" s="396" t="s">
        <v>1411</v>
      </c>
      <c r="D98" s="5">
        <v>81</v>
      </c>
      <c r="E98" s="249"/>
      <c r="F98" s="17"/>
      <c r="G98" s="17">
        <v>7303.19</v>
      </c>
      <c r="H98" s="17">
        <v>48590.42</v>
      </c>
      <c r="I98" s="296">
        <v>1866.03</v>
      </c>
      <c r="J98" s="17">
        <f t="shared" si="2"/>
        <v>57759.64</v>
      </c>
      <c r="K98" s="16">
        <f>57759.64-55893.61</f>
        <v>1866.0299999999988</v>
      </c>
    </row>
    <row r="99" spans="1:11" s="6" customFormat="1">
      <c r="A99" s="5">
        <v>69</v>
      </c>
      <c r="B99" s="5" t="s">
        <v>183</v>
      </c>
      <c r="C99" s="390" t="s">
        <v>57</v>
      </c>
      <c r="D99" s="5" t="s">
        <v>58</v>
      </c>
      <c r="E99" s="249"/>
      <c r="F99" s="17">
        <v>5275.91</v>
      </c>
      <c r="G99" s="17">
        <v>48211.3</v>
      </c>
      <c r="H99" s="17">
        <v>89278.39</v>
      </c>
      <c r="I99" s="17">
        <v>2605.1</v>
      </c>
      <c r="J99" s="17">
        <f t="shared" si="2"/>
        <v>145370.70000000001</v>
      </c>
      <c r="K99" s="16"/>
    </row>
    <row r="100" spans="1:11" s="6" customFormat="1">
      <c r="A100" s="5">
        <v>69</v>
      </c>
      <c r="B100" s="5" t="s">
        <v>183</v>
      </c>
      <c r="C100" s="390" t="s">
        <v>59</v>
      </c>
      <c r="D100" s="5" t="s">
        <v>60</v>
      </c>
      <c r="E100" s="249"/>
      <c r="F100" s="17"/>
      <c r="G100" s="296">
        <v>44358.11</v>
      </c>
      <c r="H100" s="296">
        <v>111392.91</v>
      </c>
      <c r="I100" s="17">
        <v>2157.0700000000002</v>
      </c>
      <c r="J100" s="17">
        <f t="shared" si="2"/>
        <v>157908.09000000003</v>
      </c>
      <c r="K100" s="16">
        <f>157908.09-128129.71</f>
        <v>29778.37999999999</v>
      </c>
    </row>
    <row r="101" spans="1:11" s="6" customFormat="1">
      <c r="A101" s="5">
        <v>69</v>
      </c>
      <c r="B101" s="5" t="s">
        <v>183</v>
      </c>
      <c r="C101" s="396" t="s">
        <v>1412</v>
      </c>
      <c r="D101" s="5" t="s">
        <v>61</v>
      </c>
      <c r="E101" s="249"/>
      <c r="F101" s="17"/>
      <c r="G101" s="296">
        <v>139554.85999999999</v>
      </c>
      <c r="H101" s="296">
        <v>157689.22</v>
      </c>
      <c r="I101" s="17"/>
      <c r="J101" s="17">
        <f t="shared" si="2"/>
        <v>297244.07999999996</v>
      </c>
      <c r="K101" s="16">
        <f>297244.08-288849.78</f>
        <v>8394.2999999999884</v>
      </c>
    </row>
    <row r="102" spans="1:11" s="6" customFormat="1">
      <c r="A102" s="5">
        <v>69</v>
      </c>
      <c r="B102" s="5" t="s">
        <v>183</v>
      </c>
      <c r="C102" s="396" t="s">
        <v>1413</v>
      </c>
      <c r="D102" s="5" t="s">
        <v>62</v>
      </c>
      <c r="E102" s="249"/>
      <c r="F102" s="17"/>
      <c r="G102" s="17">
        <v>105400.63</v>
      </c>
      <c r="H102" s="17">
        <v>103780.41</v>
      </c>
      <c r="I102" s="17"/>
      <c r="J102" s="17">
        <f t="shared" si="2"/>
        <v>209181.04</v>
      </c>
      <c r="K102" s="16"/>
    </row>
    <row r="103" spans="1:11" s="6" customFormat="1">
      <c r="A103" s="5">
        <v>115</v>
      </c>
      <c r="B103" s="5" t="s">
        <v>184</v>
      </c>
      <c r="C103" s="390" t="s">
        <v>63</v>
      </c>
      <c r="D103" s="5" t="s">
        <v>64</v>
      </c>
      <c r="E103" s="249"/>
      <c r="F103" s="17"/>
      <c r="G103" s="17">
        <v>144920.85</v>
      </c>
      <c r="H103" s="17">
        <v>129160.9</v>
      </c>
      <c r="I103" s="17"/>
      <c r="J103" s="17">
        <f t="shared" si="2"/>
        <v>274081.75</v>
      </c>
      <c r="K103" s="16"/>
    </row>
    <row r="104" spans="1:11" s="6" customFormat="1">
      <c r="A104" s="5">
        <v>69</v>
      </c>
      <c r="B104" s="5" t="s">
        <v>184</v>
      </c>
      <c r="C104" s="390" t="s">
        <v>65</v>
      </c>
      <c r="D104" s="5" t="s">
        <v>66</v>
      </c>
      <c r="E104" s="249"/>
      <c r="F104" s="17"/>
      <c r="G104" s="17">
        <v>0</v>
      </c>
      <c r="H104" s="17">
        <v>0</v>
      </c>
      <c r="I104" s="17"/>
      <c r="J104" s="17">
        <f t="shared" si="2"/>
        <v>0</v>
      </c>
      <c r="K104" s="16"/>
    </row>
    <row r="105" spans="1:11" s="6" customFormat="1">
      <c r="A105" s="5">
        <v>115</v>
      </c>
      <c r="B105" s="5" t="s">
        <v>184</v>
      </c>
      <c r="C105" s="396" t="s">
        <v>1414</v>
      </c>
      <c r="D105" s="5">
        <v>89</v>
      </c>
      <c r="E105" s="249"/>
      <c r="F105" s="17"/>
      <c r="G105" s="296">
        <v>1767131.43</v>
      </c>
      <c r="H105" s="296">
        <v>1805315.32</v>
      </c>
      <c r="I105" s="17"/>
      <c r="J105" s="17">
        <f t="shared" si="2"/>
        <v>3572446.75</v>
      </c>
      <c r="K105" s="16">
        <f>3572446.75-860276.79</f>
        <v>2712169.96</v>
      </c>
    </row>
    <row r="106" spans="1:11" s="6" customFormat="1">
      <c r="A106" s="5">
        <v>115</v>
      </c>
      <c r="B106" s="5" t="s">
        <v>184</v>
      </c>
      <c r="C106" s="390" t="s">
        <v>178</v>
      </c>
      <c r="D106" s="5" t="s">
        <v>176</v>
      </c>
      <c r="E106" s="249"/>
      <c r="F106" s="17"/>
      <c r="G106" s="17">
        <v>10110.459999999999</v>
      </c>
      <c r="H106" s="17">
        <v>15801.24</v>
      </c>
      <c r="I106" s="17"/>
      <c r="J106" s="17">
        <f t="shared" si="2"/>
        <v>25911.699999999997</v>
      </c>
      <c r="K106" s="16"/>
    </row>
    <row r="107" spans="1:11" s="6" customFormat="1">
      <c r="A107" s="5">
        <v>115</v>
      </c>
      <c r="B107" s="5" t="s">
        <v>184</v>
      </c>
      <c r="C107" s="396" t="s">
        <v>1415</v>
      </c>
      <c r="D107" s="5" t="s">
        <v>177</v>
      </c>
      <c r="E107" s="249"/>
      <c r="F107" s="17"/>
      <c r="G107" s="17">
        <v>55012.04</v>
      </c>
      <c r="H107" s="17">
        <v>122581.71</v>
      </c>
      <c r="I107" s="17"/>
      <c r="J107" s="17">
        <f t="shared" si="2"/>
        <v>177593.75</v>
      </c>
      <c r="K107" s="16"/>
    </row>
    <row r="108" spans="1:11" s="6" customFormat="1">
      <c r="A108" s="5">
        <v>69</v>
      </c>
      <c r="B108" s="5" t="s">
        <v>183</v>
      </c>
      <c r="C108" s="390" t="s">
        <v>67</v>
      </c>
      <c r="D108" s="5" t="s">
        <v>68</v>
      </c>
      <c r="E108" s="249"/>
      <c r="F108" s="17">
        <v>5040.67</v>
      </c>
      <c r="G108" s="17">
        <v>8942.8700000000008</v>
      </c>
      <c r="H108" s="17">
        <v>35610.660000000003</v>
      </c>
      <c r="I108" s="17"/>
      <c r="J108" s="17">
        <f t="shared" si="2"/>
        <v>49594.200000000004</v>
      </c>
      <c r="K108" s="16"/>
    </row>
    <row r="109" spans="1:11" s="6" customFormat="1">
      <c r="A109" s="5">
        <v>69</v>
      </c>
      <c r="B109" s="5" t="s">
        <v>183</v>
      </c>
      <c r="C109" s="390" t="s">
        <v>69</v>
      </c>
      <c r="D109" s="5" t="s">
        <v>70</v>
      </c>
      <c r="E109" s="249"/>
      <c r="F109" s="17"/>
      <c r="G109" s="17">
        <v>113299.38</v>
      </c>
      <c r="H109" s="17">
        <v>107430.31</v>
      </c>
      <c r="I109" s="17"/>
      <c r="J109" s="17">
        <f t="shared" si="2"/>
        <v>220729.69</v>
      </c>
      <c r="K109" s="16"/>
    </row>
    <row r="110" spans="1:11" s="6" customFormat="1">
      <c r="A110" s="5">
        <v>69</v>
      </c>
      <c r="B110" s="5" t="s">
        <v>183</v>
      </c>
      <c r="C110" s="396" t="s">
        <v>1416</v>
      </c>
      <c r="D110" s="5" t="s">
        <v>71</v>
      </c>
      <c r="E110" s="249"/>
      <c r="F110" s="17"/>
      <c r="G110" s="17">
        <v>74878.740000000005</v>
      </c>
      <c r="H110" s="17">
        <v>22336.58</v>
      </c>
      <c r="I110" s="17"/>
      <c r="J110" s="17">
        <f t="shared" si="2"/>
        <v>97215.32</v>
      </c>
      <c r="K110" s="16"/>
    </row>
    <row r="111" spans="1:11" s="6" customFormat="1">
      <c r="A111" s="5">
        <v>69</v>
      </c>
      <c r="B111" s="5" t="s">
        <v>183</v>
      </c>
      <c r="C111" s="390" t="s">
        <v>72</v>
      </c>
      <c r="D111" s="5" t="s">
        <v>73</v>
      </c>
      <c r="E111" s="249"/>
      <c r="F111" s="17"/>
      <c r="G111" s="17">
        <v>45299.77</v>
      </c>
      <c r="H111" s="17">
        <v>53164.68</v>
      </c>
      <c r="I111" s="296">
        <v>18287.419999999998</v>
      </c>
      <c r="J111" s="17">
        <f t="shared" si="2"/>
        <v>116751.87</v>
      </c>
      <c r="K111" s="16">
        <f>116751.87-98464.45</f>
        <v>18287.419999999998</v>
      </c>
    </row>
    <row r="112" spans="1:11" s="6" customFormat="1">
      <c r="A112" s="5">
        <v>69</v>
      </c>
      <c r="B112" s="5" t="s">
        <v>183</v>
      </c>
      <c r="C112" s="396" t="s">
        <v>1417</v>
      </c>
      <c r="D112" s="5" t="s">
        <v>74</v>
      </c>
      <c r="E112" s="249"/>
      <c r="F112" s="17"/>
      <c r="G112" s="17">
        <v>111412.25</v>
      </c>
      <c r="H112" s="17">
        <v>182636.06</v>
      </c>
      <c r="I112" s="17"/>
      <c r="J112" s="17">
        <f t="shared" si="2"/>
        <v>294048.31</v>
      </c>
      <c r="K112" s="16"/>
    </row>
    <row r="113" spans="1:11" s="6" customFormat="1">
      <c r="A113" s="5">
        <v>69</v>
      </c>
      <c r="B113" s="5" t="s">
        <v>183</v>
      </c>
      <c r="C113" s="390" t="s">
        <v>75</v>
      </c>
      <c r="D113" s="5" t="s">
        <v>76</v>
      </c>
      <c r="E113" s="249"/>
      <c r="F113" s="17">
        <v>6856</v>
      </c>
      <c r="G113" s="17">
        <v>42361.9</v>
      </c>
      <c r="H113" s="17">
        <v>48139.74</v>
      </c>
      <c r="I113" s="17"/>
      <c r="J113" s="17">
        <f t="shared" si="2"/>
        <v>97357.64</v>
      </c>
      <c r="K113" s="16"/>
    </row>
    <row r="114" spans="1:11" s="6" customFormat="1">
      <c r="A114" s="5">
        <v>69</v>
      </c>
      <c r="B114" s="5" t="s">
        <v>183</v>
      </c>
      <c r="C114" s="390" t="s">
        <v>77</v>
      </c>
      <c r="D114" s="5" t="s">
        <v>78</v>
      </c>
      <c r="E114" s="249"/>
      <c r="F114" s="17"/>
      <c r="G114" s="17">
        <v>20042.66</v>
      </c>
      <c r="H114" s="17">
        <v>12570.45</v>
      </c>
      <c r="I114" s="17"/>
      <c r="J114" s="17">
        <f t="shared" si="2"/>
        <v>32613.11</v>
      </c>
      <c r="K114" s="16"/>
    </row>
    <row r="115" spans="1:11" s="6" customFormat="1">
      <c r="A115" s="5">
        <v>69</v>
      </c>
      <c r="B115" s="5" t="s">
        <v>183</v>
      </c>
      <c r="C115" s="396" t="s">
        <v>1418</v>
      </c>
      <c r="D115" s="5" t="s">
        <v>79</v>
      </c>
      <c r="E115" s="249"/>
      <c r="F115" s="17"/>
      <c r="G115" s="17">
        <v>141357.92000000001</v>
      </c>
      <c r="H115" s="17">
        <v>97476.84</v>
      </c>
      <c r="I115" s="17"/>
      <c r="J115" s="17">
        <f t="shared" si="2"/>
        <v>238834.76</v>
      </c>
      <c r="K115" s="16"/>
    </row>
    <row r="116" spans="1:11" s="6" customFormat="1">
      <c r="A116" s="5">
        <v>69</v>
      </c>
      <c r="B116" s="5" t="s">
        <v>183</v>
      </c>
      <c r="C116" s="396" t="s">
        <v>1419</v>
      </c>
      <c r="D116" s="5" t="s">
        <v>80</v>
      </c>
      <c r="E116" s="249"/>
      <c r="F116" s="17"/>
      <c r="G116" s="17">
        <v>10549.43</v>
      </c>
      <c r="H116" s="17">
        <v>27807.8</v>
      </c>
      <c r="I116" s="17"/>
      <c r="J116" s="17">
        <f t="shared" si="2"/>
        <v>38357.229999999996</v>
      </c>
      <c r="K116" s="16"/>
    </row>
    <row r="117" spans="1:11" s="6" customFormat="1">
      <c r="A117" s="5">
        <v>69</v>
      </c>
      <c r="B117" s="5" t="s">
        <v>183</v>
      </c>
      <c r="C117" s="390" t="s">
        <v>81</v>
      </c>
      <c r="D117" s="5" t="s">
        <v>82</v>
      </c>
      <c r="E117" s="249"/>
      <c r="F117" s="17"/>
      <c r="G117" s="17">
        <f>164854.84+17868.39+23981.04-2547.14-8907.48-963.85-172.07</f>
        <v>194113.72999999995</v>
      </c>
      <c r="H117" s="17">
        <f>252210.76+4477.95+432.01+676.18-1472.93-444.68</f>
        <v>255879.29000000004</v>
      </c>
      <c r="I117" s="17">
        <v>3022.66</v>
      </c>
      <c r="J117" s="17">
        <f t="shared" si="2"/>
        <v>453015.68</v>
      </c>
      <c r="K117" s="16"/>
    </row>
    <row r="118" spans="1:11" s="6" customFormat="1">
      <c r="A118" s="5">
        <v>69</v>
      </c>
      <c r="B118" s="5" t="s">
        <v>183</v>
      </c>
      <c r="C118" s="396" t="s">
        <v>1420</v>
      </c>
      <c r="D118" s="5">
        <v>100</v>
      </c>
      <c r="E118" s="249"/>
      <c r="F118" s="17"/>
      <c r="G118" s="17">
        <v>310810.3</v>
      </c>
      <c r="H118" s="17">
        <v>441545.31</v>
      </c>
      <c r="I118" s="17"/>
      <c r="J118" s="17">
        <f t="shared" si="2"/>
        <v>752355.61</v>
      </c>
      <c r="K118" s="16"/>
    </row>
    <row r="119" spans="1:11" s="6" customFormat="1" ht="30">
      <c r="A119" s="5">
        <v>69</v>
      </c>
      <c r="B119" s="5" t="s">
        <v>183</v>
      </c>
      <c r="C119" s="396" t="s">
        <v>1422</v>
      </c>
      <c r="D119" s="329" t="s">
        <v>1421</v>
      </c>
      <c r="E119" s="249"/>
      <c r="F119" s="17"/>
      <c r="G119" s="423">
        <f>179797.8+11930.01</f>
        <v>191727.81</v>
      </c>
      <c r="H119" s="17">
        <f>142480.69+33160.52</f>
        <v>175641.21</v>
      </c>
      <c r="I119" s="17"/>
      <c r="J119" s="17">
        <f t="shared" si="2"/>
        <v>367369.02</v>
      </c>
      <c r="K119" s="16"/>
    </row>
    <row r="120" spans="1:11" s="6" customFormat="1">
      <c r="A120" s="5">
        <v>69</v>
      </c>
      <c r="B120" s="5" t="s">
        <v>183</v>
      </c>
      <c r="C120" s="396" t="s">
        <v>1423</v>
      </c>
      <c r="D120" s="5">
        <v>102</v>
      </c>
      <c r="E120" s="249"/>
      <c r="F120" s="17"/>
      <c r="G120" s="17">
        <v>184975.4</v>
      </c>
      <c r="H120" s="17">
        <v>256770.57</v>
      </c>
      <c r="I120" s="17"/>
      <c r="J120" s="17">
        <f t="shared" si="2"/>
        <v>441745.97</v>
      </c>
      <c r="K120" s="16"/>
    </row>
    <row r="121" spans="1:11" s="6" customFormat="1">
      <c r="A121" s="5">
        <v>69</v>
      </c>
      <c r="B121" s="5" t="s">
        <v>183</v>
      </c>
      <c r="C121" s="396" t="s">
        <v>1424</v>
      </c>
      <c r="D121" s="5">
        <v>103</v>
      </c>
      <c r="E121" s="249"/>
      <c r="F121" s="17"/>
      <c r="G121" s="17">
        <v>627589.37</v>
      </c>
      <c r="H121" s="17">
        <v>718013.61</v>
      </c>
      <c r="I121" s="17">
        <v>2366.81</v>
      </c>
      <c r="J121" s="17">
        <f t="shared" si="2"/>
        <v>1347969.79</v>
      </c>
      <c r="K121" s="16"/>
    </row>
    <row r="122" spans="1:11" s="6" customFormat="1">
      <c r="A122" s="5">
        <v>69</v>
      </c>
      <c r="B122" s="5" t="s">
        <v>183</v>
      </c>
      <c r="C122" s="396" t="s">
        <v>1425</v>
      </c>
      <c r="D122" s="5">
        <v>104</v>
      </c>
      <c r="E122" s="249"/>
      <c r="F122" s="17"/>
      <c r="G122" s="17">
        <v>499931.93</v>
      </c>
      <c r="H122" s="17">
        <v>792226.61</v>
      </c>
      <c r="I122" s="17"/>
      <c r="J122" s="17">
        <f t="shared" si="2"/>
        <v>1292158.54</v>
      </c>
      <c r="K122" s="16"/>
    </row>
    <row r="123" spans="1:11" s="6" customFormat="1">
      <c r="A123" s="5">
        <v>69</v>
      </c>
      <c r="B123" s="5" t="s">
        <v>183</v>
      </c>
      <c r="C123" s="396" t="s">
        <v>1426</v>
      </c>
      <c r="D123" s="5">
        <v>105</v>
      </c>
      <c r="E123" s="249"/>
      <c r="F123" s="17"/>
      <c r="G123" s="17">
        <v>970318.96</v>
      </c>
      <c r="H123" s="17">
        <v>1447627.34</v>
      </c>
      <c r="I123" s="17"/>
      <c r="J123" s="17">
        <f t="shared" si="2"/>
        <v>2417946.2999999998</v>
      </c>
      <c r="K123" s="16"/>
    </row>
    <row r="124" spans="1:11" s="6" customFormat="1">
      <c r="A124" s="5">
        <v>69</v>
      </c>
      <c r="B124" s="5" t="s">
        <v>183</v>
      </c>
      <c r="C124" s="396" t="s">
        <v>1427</v>
      </c>
      <c r="D124" s="5">
        <v>106</v>
      </c>
      <c r="E124" s="249"/>
      <c r="F124" s="17"/>
      <c r="G124" s="17">
        <v>520586.69</v>
      </c>
      <c r="H124" s="17">
        <v>861546.78</v>
      </c>
      <c r="I124" s="17"/>
      <c r="J124" s="17">
        <f t="shared" si="2"/>
        <v>1382133.47</v>
      </c>
      <c r="K124" s="16"/>
    </row>
    <row r="125" spans="1:11" s="6" customFormat="1">
      <c r="A125" s="5">
        <v>69</v>
      </c>
      <c r="B125" s="5" t="s">
        <v>183</v>
      </c>
      <c r="C125" s="396" t="s">
        <v>1428</v>
      </c>
      <c r="D125" s="5">
        <v>108</v>
      </c>
      <c r="E125" s="249"/>
      <c r="F125" s="17">
        <v>10438.44</v>
      </c>
      <c r="G125" s="17">
        <v>886437.38</v>
      </c>
      <c r="H125" s="17">
        <v>1979958</v>
      </c>
      <c r="I125" s="17"/>
      <c r="J125" s="17">
        <f t="shared" si="2"/>
        <v>2876833.82</v>
      </c>
      <c r="K125" s="16"/>
    </row>
    <row r="126" spans="1:11" s="6" customFormat="1">
      <c r="A126" s="5">
        <v>69</v>
      </c>
      <c r="B126" s="5" t="s">
        <v>183</v>
      </c>
      <c r="C126" s="396" t="s">
        <v>1429</v>
      </c>
      <c r="D126" s="5">
        <v>109</v>
      </c>
      <c r="E126" s="249"/>
      <c r="F126" s="17"/>
      <c r="G126" s="17">
        <v>1166274.5</v>
      </c>
      <c r="H126" s="17">
        <v>1249171.53</v>
      </c>
      <c r="I126" s="17"/>
      <c r="J126" s="17">
        <f t="shared" si="2"/>
        <v>2415446.0300000003</v>
      </c>
      <c r="K126" s="16"/>
    </row>
    <row r="127" spans="1:11" s="6" customFormat="1">
      <c r="A127" s="5">
        <v>69</v>
      </c>
      <c r="B127" s="5" t="s">
        <v>183</v>
      </c>
      <c r="C127" s="396" t="s">
        <v>1430</v>
      </c>
      <c r="D127" s="5">
        <v>110</v>
      </c>
      <c r="E127" s="249"/>
      <c r="F127" s="17"/>
      <c r="G127" s="17">
        <v>535846.96</v>
      </c>
      <c r="H127" s="17">
        <v>505722.44</v>
      </c>
      <c r="I127" s="17">
        <v>8368.85</v>
      </c>
      <c r="J127" s="17">
        <f t="shared" si="2"/>
        <v>1049938.25</v>
      </c>
      <c r="K127" s="16"/>
    </row>
    <row r="128" spans="1:11" s="6" customFormat="1">
      <c r="A128" s="5">
        <v>69</v>
      </c>
      <c r="B128" s="5" t="s">
        <v>183</v>
      </c>
      <c r="C128" s="396" t="s">
        <v>1431</v>
      </c>
      <c r="D128" s="5">
        <v>111</v>
      </c>
      <c r="E128" s="249">
        <v>1422969.47</v>
      </c>
      <c r="F128" s="17"/>
      <c r="G128" s="17">
        <v>1478008.89</v>
      </c>
      <c r="H128" s="17">
        <v>3268808.21</v>
      </c>
      <c r="I128" s="17"/>
      <c r="J128" s="17">
        <f t="shared" si="2"/>
        <v>6169786.5700000003</v>
      </c>
      <c r="K128" s="16"/>
    </row>
    <row r="129" spans="1:11" s="6" customFormat="1">
      <c r="A129" s="5">
        <v>69</v>
      </c>
      <c r="B129" s="5" t="s">
        <v>183</v>
      </c>
      <c r="C129" s="396" t="s">
        <v>1433</v>
      </c>
      <c r="D129" s="5">
        <v>112</v>
      </c>
      <c r="E129" s="249"/>
      <c r="F129" s="17"/>
      <c r="G129" s="17">
        <v>469387.64</v>
      </c>
      <c r="H129" s="17">
        <v>584024.09</v>
      </c>
      <c r="I129" s="17">
        <v>4665.72</v>
      </c>
      <c r="J129" s="17">
        <f>SUM(E129:I129)</f>
        <v>1058077.45</v>
      </c>
      <c r="K129" s="16"/>
    </row>
    <row r="130" spans="1:11" s="6" customFormat="1">
      <c r="A130" s="5">
        <v>69</v>
      </c>
      <c r="B130" s="5" t="s">
        <v>183</v>
      </c>
      <c r="C130" s="396" t="s">
        <v>1432</v>
      </c>
      <c r="D130" s="5">
        <v>113</v>
      </c>
      <c r="E130" s="249"/>
      <c r="F130" s="17"/>
      <c r="G130" s="17">
        <v>1246963.92</v>
      </c>
      <c r="H130" s="17">
        <v>1067790.1100000001</v>
      </c>
      <c r="I130" s="17"/>
      <c r="J130" s="17">
        <f t="shared" si="2"/>
        <v>2314754.0300000003</v>
      </c>
      <c r="K130" s="16"/>
    </row>
    <row r="131" spans="1:11" s="6" customFormat="1">
      <c r="A131" s="5">
        <v>69</v>
      </c>
      <c r="B131" s="5" t="s">
        <v>183</v>
      </c>
      <c r="C131" s="396" t="s">
        <v>1434</v>
      </c>
      <c r="D131" s="5">
        <v>114</v>
      </c>
      <c r="E131" s="249">
        <v>1382661.17</v>
      </c>
      <c r="F131" s="17"/>
      <c r="G131" s="17">
        <v>995212.61</v>
      </c>
      <c r="H131" s="17">
        <v>2621011.9300000002</v>
      </c>
      <c r="I131" s="17"/>
      <c r="J131" s="17">
        <f t="shared" si="2"/>
        <v>4998885.71</v>
      </c>
      <c r="K131" s="16"/>
    </row>
    <row r="132" spans="1:11" s="6" customFormat="1">
      <c r="A132" s="5">
        <v>115</v>
      </c>
      <c r="B132" s="5" t="s">
        <v>183</v>
      </c>
      <c r="C132" s="396" t="s">
        <v>1435</v>
      </c>
      <c r="D132" s="5" t="s">
        <v>83</v>
      </c>
      <c r="E132" s="249"/>
      <c r="F132" s="17"/>
      <c r="G132" s="296">
        <v>59161.16</v>
      </c>
      <c r="H132" s="296">
        <v>38236.589999999997</v>
      </c>
      <c r="I132" s="17"/>
      <c r="J132" s="17">
        <f t="shared" si="2"/>
        <v>97397.75</v>
      </c>
      <c r="K132" s="16">
        <f>97397.75-89547.73</f>
        <v>7850.0200000000041</v>
      </c>
    </row>
    <row r="133" spans="1:11" s="6" customFormat="1">
      <c r="A133" s="5">
        <v>69</v>
      </c>
      <c r="B133" s="5" t="s">
        <v>183</v>
      </c>
      <c r="C133" s="390" t="s">
        <v>162</v>
      </c>
      <c r="D133" s="5">
        <v>116</v>
      </c>
      <c r="E133" s="249">
        <v>32215.47</v>
      </c>
      <c r="F133" s="17"/>
      <c r="G133" s="17">
        <v>43240.480000000003</v>
      </c>
      <c r="H133" s="17">
        <v>162712.75</v>
      </c>
      <c r="I133" s="17">
        <v>4472.38</v>
      </c>
      <c r="J133" s="17">
        <f t="shared" si="2"/>
        <v>242641.08000000002</v>
      </c>
      <c r="K133" s="16"/>
    </row>
    <row r="134" spans="1:11" s="6" customFormat="1">
      <c r="A134" s="5">
        <v>69</v>
      </c>
      <c r="B134" s="5" t="s">
        <v>183</v>
      </c>
      <c r="C134" s="396" t="s">
        <v>1436</v>
      </c>
      <c r="D134" s="5">
        <v>118</v>
      </c>
      <c r="E134" s="249"/>
      <c r="F134" s="17"/>
      <c r="G134" s="17"/>
      <c r="H134" s="17">
        <v>14699.58</v>
      </c>
      <c r="I134" s="17"/>
      <c r="J134" s="17">
        <f t="shared" si="2"/>
        <v>14699.58</v>
      </c>
      <c r="K134" s="16"/>
    </row>
    <row r="135" spans="1:11" s="6" customFormat="1">
      <c r="A135" s="5">
        <v>69</v>
      </c>
      <c r="B135" s="5" t="s">
        <v>183</v>
      </c>
      <c r="C135" s="396" t="s">
        <v>1436</v>
      </c>
      <c r="D135" s="5" t="s">
        <v>172</v>
      </c>
      <c r="E135" s="249"/>
      <c r="F135" s="17"/>
      <c r="G135" s="17">
        <v>10658.39</v>
      </c>
      <c r="H135" s="17">
        <v>21823.3</v>
      </c>
      <c r="I135" s="17"/>
      <c r="J135" s="17">
        <f t="shared" si="2"/>
        <v>32481.69</v>
      </c>
      <c r="K135" s="16"/>
    </row>
    <row r="136" spans="1:11" s="6" customFormat="1">
      <c r="A136" s="5">
        <v>69</v>
      </c>
      <c r="B136" s="5" t="s">
        <v>183</v>
      </c>
      <c r="C136" s="396" t="s">
        <v>163</v>
      </c>
      <c r="D136" s="5">
        <v>119</v>
      </c>
      <c r="E136" s="249">
        <v>16413.5</v>
      </c>
      <c r="F136" s="17"/>
      <c r="G136" s="17">
        <v>31727.85</v>
      </c>
      <c r="H136" s="17">
        <v>186754.42</v>
      </c>
      <c r="I136" s="17">
        <v>2605.0500000000002</v>
      </c>
      <c r="J136" s="17">
        <f t="shared" si="2"/>
        <v>237500.82</v>
      </c>
      <c r="K136" s="16"/>
    </row>
    <row r="137" spans="1:11" s="6" customFormat="1">
      <c r="A137" s="5">
        <v>69</v>
      </c>
      <c r="B137" s="329" t="s">
        <v>183</v>
      </c>
      <c r="C137" s="396" t="s">
        <v>1437</v>
      </c>
      <c r="D137" s="5">
        <v>120</v>
      </c>
      <c r="E137" s="297">
        <v>1669327.65</v>
      </c>
      <c r="F137" s="17"/>
      <c r="G137" s="296">
        <v>1206396.04</v>
      </c>
      <c r="H137" s="296">
        <v>5056628.34</v>
      </c>
      <c r="I137" s="17"/>
      <c r="J137" s="17">
        <f t="shared" si="2"/>
        <v>7932352.0299999993</v>
      </c>
      <c r="K137" s="16">
        <f>7932352.03-0</f>
        <v>7932352.0300000003</v>
      </c>
    </row>
    <row r="138" spans="1:11" s="6" customFormat="1">
      <c r="A138" s="5">
        <v>69</v>
      </c>
      <c r="B138" s="329" t="s">
        <v>183</v>
      </c>
      <c r="C138" s="396" t="s">
        <v>1438</v>
      </c>
      <c r="D138" s="5">
        <v>122</v>
      </c>
      <c r="E138" s="297">
        <v>10966.3</v>
      </c>
      <c r="F138" s="17"/>
      <c r="G138" s="296">
        <v>28789.37</v>
      </c>
      <c r="H138" s="296">
        <v>153020.88</v>
      </c>
      <c r="I138" s="296">
        <v>19061.060000000001</v>
      </c>
      <c r="J138" s="17">
        <f t="shared" si="2"/>
        <v>211837.61</v>
      </c>
      <c r="K138" s="16">
        <f>211837.61-0</f>
        <v>211837.61</v>
      </c>
    </row>
    <row r="139" spans="1:11" s="6" customFormat="1">
      <c r="A139" s="5">
        <v>161</v>
      </c>
      <c r="B139" s="5" t="s">
        <v>183</v>
      </c>
      <c r="C139" s="396" t="s">
        <v>1439</v>
      </c>
      <c r="D139" s="5" t="s">
        <v>84</v>
      </c>
      <c r="E139" s="249"/>
      <c r="F139" s="17"/>
      <c r="G139" s="17">
        <v>499896.78</v>
      </c>
      <c r="H139" s="17">
        <v>281821.52</v>
      </c>
      <c r="I139" s="17"/>
      <c r="J139" s="17">
        <f t="shared" si="2"/>
        <v>781718.3</v>
      </c>
      <c r="K139" s="16"/>
    </row>
    <row r="140" spans="1:11" s="6" customFormat="1">
      <c r="A140" s="5">
        <v>161</v>
      </c>
      <c r="B140" s="5" t="s">
        <v>183</v>
      </c>
      <c r="C140" s="396" t="s">
        <v>1440</v>
      </c>
      <c r="D140" s="5" t="s">
        <v>85</v>
      </c>
      <c r="E140" s="249"/>
      <c r="F140" s="17"/>
      <c r="G140" s="296">
        <v>599093.47</v>
      </c>
      <c r="H140" s="296">
        <v>423986.34</v>
      </c>
      <c r="I140" s="17"/>
      <c r="J140" s="17">
        <f t="shared" si="2"/>
        <v>1023079.81</v>
      </c>
      <c r="K140" s="16">
        <f>1023079.81-986940.67</f>
        <v>36139.140000000014</v>
      </c>
    </row>
    <row r="141" spans="1:11" s="6" customFormat="1" ht="30">
      <c r="A141" s="5">
        <v>161</v>
      </c>
      <c r="B141" s="5" t="s">
        <v>183</v>
      </c>
      <c r="C141" s="396" t="s">
        <v>1441</v>
      </c>
      <c r="D141" s="5" t="s">
        <v>213</v>
      </c>
      <c r="E141" s="249"/>
      <c r="F141" s="17"/>
      <c r="G141" s="17">
        <f>1112481.67+59210.02</f>
        <v>1171691.69</v>
      </c>
      <c r="H141" s="17">
        <f>1926817.39+5971.99</f>
        <v>1932789.38</v>
      </c>
      <c r="I141" s="17"/>
      <c r="J141" s="17">
        <f t="shared" si="2"/>
        <v>3104481.07</v>
      </c>
      <c r="K141" s="16"/>
    </row>
    <row r="142" spans="1:11" s="6" customFormat="1" ht="30">
      <c r="A142" s="5">
        <v>161</v>
      </c>
      <c r="B142" s="5" t="s">
        <v>183</v>
      </c>
      <c r="C142" s="396" t="s">
        <v>1442</v>
      </c>
      <c r="D142" s="5" t="s">
        <v>214</v>
      </c>
      <c r="E142" s="249"/>
      <c r="F142" s="17"/>
      <c r="G142" s="17">
        <f>864955.51+5100.79</f>
        <v>870056.3</v>
      </c>
      <c r="H142" s="17">
        <f>1236275.76+1957.67</f>
        <v>1238233.43</v>
      </c>
      <c r="I142" s="17"/>
      <c r="J142" s="17">
        <f t="shared" si="2"/>
        <v>2108289.73</v>
      </c>
      <c r="K142" s="16"/>
    </row>
    <row r="143" spans="1:11" s="6" customFormat="1">
      <c r="A143" s="5">
        <v>161</v>
      </c>
      <c r="B143" s="5" t="s">
        <v>183</v>
      </c>
      <c r="C143" s="396" t="s">
        <v>1443</v>
      </c>
      <c r="D143" s="5" t="s">
        <v>86</v>
      </c>
      <c r="E143" s="249"/>
      <c r="F143" s="17"/>
      <c r="G143" s="296">
        <v>739771.4</v>
      </c>
      <c r="H143" s="296">
        <v>1499046.28</v>
      </c>
      <c r="I143" s="17"/>
      <c r="J143" s="17">
        <f t="shared" si="2"/>
        <v>2238817.6800000002</v>
      </c>
      <c r="K143" s="16">
        <f>2238817.68-1257480.11</f>
        <v>981337.57000000007</v>
      </c>
    </row>
    <row r="144" spans="1:11" s="6" customFormat="1">
      <c r="A144" s="5">
        <v>161</v>
      </c>
      <c r="B144" s="5" t="s">
        <v>183</v>
      </c>
      <c r="C144" s="396" t="s">
        <v>1444</v>
      </c>
      <c r="D144" s="5" t="s">
        <v>87</v>
      </c>
      <c r="E144" s="249"/>
      <c r="F144" s="17"/>
      <c r="G144" s="17">
        <v>288973.89</v>
      </c>
      <c r="H144" s="17">
        <v>256372.9</v>
      </c>
      <c r="I144" s="17"/>
      <c r="J144" s="17">
        <f t="shared" si="2"/>
        <v>545346.79</v>
      </c>
      <c r="K144" s="16"/>
    </row>
    <row r="145" spans="1:11" s="6" customFormat="1">
      <c r="A145" s="5">
        <v>161</v>
      </c>
      <c r="B145" s="5" t="s">
        <v>183</v>
      </c>
      <c r="C145" s="396" t="s">
        <v>1445</v>
      </c>
      <c r="D145" s="5" t="s">
        <v>88</v>
      </c>
      <c r="E145" s="249"/>
      <c r="F145" s="17"/>
      <c r="G145" s="17">
        <v>686015.7</v>
      </c>
      <c r="H145" s="17">
        <v>541242.09</v>
      </c>
      <c r="I145" s="17"/>
      <c r="J145" s="17">
        <f t="shared" si="2"/>
        <v>1227257.79</v>
      </c>
      <c r="K145" s="16"/>
    </row>
    <row r="146" spans="1:11" s="6" customFormat="1">
      <c r="A146" s="5">
        <v>161</v>
      </c>
      <c r="B146" s="5" t="s">
        <v>183</v>
      </c>
      <c r="C146" s="396" t="s">
        <v>1446</v>
      </c>
      <c r="D146" s="5" t="s">
        <v>89</v>
      </c>
      <c r="E146" s="249"/>
      <c r="F146" s="17"/>
      <c r="G146" s="17">
        <v>1105741.05</v>
      </c>
      <c r="H146" s="17">
        <v>954841.97</v>
      </c>
      <c r="I146" s="17"/>
      <c r="J146" s="17">
        <f t="shared" si="2"/>
        <v>2060583.02</v>
      </c>
      <c r="K146" s="16"/>
    </row>
    <row r="147" spans="1:11" s="6" customFormat="1">
      <c r="A147" s="5">
        <v>161</v>
      </c>
      <c r="B147" s="5" t="s">
        <v>183</v>
      </c>
      <c r="C147" s="396" t="s">
        <v>1447</v>
      </c>
      <c r="D147" s="5" t="s">
        <v>174</v>
      </c>
      <c r="E147" s="249"/>
      <c r="F147" s="17"/>
      <c r="G147" s="17">
        <v>41219.29</v>
      </c>
      <c r="H147" s="17">
        <v>8670.58</v>
      </c>
      <c r="I147" s="17"/>
      <c r="J147" s="17">
        <f t="shared" si="2"/>
        <v>49889.87</v>
      </c>
      <c r="K147" s="16"/>
    </row>
    <row r="148" spans="1:11" s="6" customFormat="1">
      <c r="A148" s="5">
        <v>161</v>
      </c>
      <c r="B148" s="5" t="s">
        <v>183</v>
      </c>
      <c r="C148" s="396" t="s">
        <v>1448</v>
      </c>
      <c r="D148" s="5" t="s">
        <v>175</v>
      </c>
      <c r="E148" s="249"/>
      <c r="F148" s="17"/>
      <c r="G148" s="17">
        <v>30179.77</v>
      </c>
      <c r="H148" s="17">
        <v>9912.75</v>
      </c>
      <c r="I148" s="17"/>
      <c r="J148" s="17">
        <f t="shared" si="2"/>
        <v>40092.520000000004</v>
      </c>
      <c r="K148" s="16"/>
    </row>
    <row r="149" spans="1:11" s="6" customFormat="1">
      <c r="A149" s="5">
        <v>161</v>
      </c>
      <c r="B149" s="5" t="s">
        <v>183</v>
      </c>
      <c r="C149" s="396" t="s">
        <v>1449</v>
      </c>
      <c r="D149" s="5" t="s">
        <v>90</v>
      </c>
      <c r="E149" s="249"/>
      <c r="F149" s="17"/>
      <c r="G149" s="296">
        <v>433878.67</v>
      </c>
      <c r="H149" s="296">
        <v>1107752.1299999999</v>
      </c>
      <c r="I149" s="17"/>
      <c r="J149" s="17">
        <f t="shared" si="2"/>
        <v>1541630.7999999998</v>
      </c>
      <c r="K149" s="16">
        <f>1541630.8-382185.34</f>
        <v>1159445.46</v>
      </c>
    </row>
    <row r="150" spans="1:11" s="6" customFormat="1">
      <c r="A150" s="5">
        <v>161</v>
      </c>
      <c r="B150" s="5" t="s">
        <v>183</v>
      </c>
      <c r="C150" s="396" t="s">
        <v>1449</v>
      </c>
      <c r="D150" s="5" t="s">
        <v>91</v>
      </c>
      <c r="E150" s="249"/>
      <c r="F150" s="17"/>
      <c r="G150" s="296">
        <v>587827.14</v>
      </c>
      <c r="H150" s="296">
        <v>1059251.95</v>
      </c>
      <c r="I150" s="17"/>
      <c r="J150" s="17">
        <f t="shared" si="2"/>
        <v>1647079.0899999999</v>
      </c>
      <c r="K150" s="16">
        <f>1647079.09-306318.83</f>
        <v>1340760.26</v>
      </c>
    </row>
    <row r="151" spans="1:11" s="6" customFormat="1">
      <c r="A151" s="5">
        <v>161</v>
      </c>
      <c r="B151" s="5" t="s">
        <v>183</v>
      </c>
      <c r="C151" s="396" t="s">
        <v>1450</v>
      </c>
      <c r="D151" s="5" t="s">
        <v>92</v>
      </c>
      <c r="E151" s="249"/>
      <c r="F151" s="17"/>
      <c r="G151" s="17">
        <v>870307.45</v>
      </c>
      <c r="H151" s="17">
        <v>850022.06</v>
      </c>
      <c r="I151" s="17"/>
      <c r="J151" s="17">
        <f t="shared" si="2"/>
        <v>1720329.51</v>
      </c>
      <c r="K151" s="16"/>
    </row>
    <row r="152" spans="1:11" s="6" customFormat="1">
      <c r="A152" s="5">
        <v>161</v>
      </c>
      <c r="B152" s="5" t="s">
        <v>183</v>
      </c>
      <c r="C152" s="396" t="s">
        <v>1451</v>
      </c>
      <c r="D152" s="5" t="s">
        <v>93</v>
      </c>
      <c r="E152" s="249"/>
      <c r="F152" s="17"/>
      <c r="G152" s="17">
        <v>709623.49</v>
      </c>
      <c r="H152" s="17">
        <v>700689.53</v>
      </c>
      <c r="I152" s="17"/>
      <c r="J152" s="17">
        <f t="shared" si="2"/>
        <v>1410313.02</v>
      </c>
      <c r="K152" s="16"/>
    </row>
    <row r="153" spans="1:11" s="6" customFormat="1">
      <c r="A153" s="5">
        <v>161</v>
      </c>
      <c r="B153" s="14" t="s">
        <v>183</v>
      </c>
      <c r="C153" s="396" t="s">
        <v>1452</v>
      </c>
      <c r="D153" s="14" t="s">
        <v>195</v>
      </c>
      <c r="E153" s="249"/>
      <c r="F153" s="17"/>
      <c r="G153" s="17">
        <v>39681.78</v>
      </c>
      <c r="H153" s="17">
        <v>14936.05</v>
      </c>
      <c r="I153" s="17"/>
      <c r="J153" s="17">
        <f t="shared" si="2"/>
        <v>54617.83</v>
      </c>
      <c r="K153" s="16"/>
    </row>
    <row r="154" spans="1:11" s="6" customFormat="1">
      <c r="A154" s="5">
        <v>161</v>
      </c>
      <c r="B154" s="5" t="s">
        <v>183</v>
      </c>
      <c r="C154" s="396" t="s">
        <v>1453</v>
      </c>
      <c r="D154" s="5" t="s">
        <v>94</v>
      </c>
      <c r="E154" s="249"/>
      <c r="F154" s="17"/>
      <c r="G154" s="17">
        <v>1579735.07</v>
      </c>
      <c r="H154" s="17">
        <v>1571392.36</v>
      </c>
      <c r="I154" s="17"/>
      <c r="J154" s="17">
        <f t="shared" si="2"/>
        <v>3151127.43</v>
      </c>
      <c r="K154" s="16"/>
    </row>
    <row r="155" spans="1:11" s="6" customFormat="1">
      <c r="A155" s="5">
        <v>161</v>
      </c>
      <c r="B155" s="5" t="s">
        <v>183</v>
      </c>
      <c r="C155" s="396" t="s">
        <v>1454</v>
      </c>
      <c r="D155" s="5">
        <v>175</v>
      </c>
      <c r="E155" s="249"/>
      <c r="F155" s="17"/>
      <c r="G155" s="17">
        <v>31142.04</v>
      </c>
      <c r="H155" s="17">
        <v>37406.03</v>
      </c>
      <c r="I155" s="17"/>
      <c r="J155" s="17">
        <f t="shared" si="2"/>
        <v>68548.070000000007</v>
      </c>
      <c r="K155" s="16"/>
    </row>
    <row r="156" spans="1:11" s="6" customFormat="1">
      <c r="A156" s="5">
        <v>161</v>
      </c>
      <c r="B156" s="5" t="s">
        <v>183</v>
      </c>
      <c r="C156" s="396" t="s">
        <v>1455</v>
      </c>
      <c r="D156" s="5">
        <v>176</v>
      </c>
      <c r="E156" s="249"/>
      <c r="F156" s="17"/>
      <c r="G156" s="17">
        <v>27058.720000000001</v>
      </c>
      <c r="H156" s="17">
        <v>9977.3700000000008</v>
      </c>
      <c r="I156" s="17"/>
      <c r="J156" s="17">
        <f t="shared" si="2"/>
        <v>37036.090000000004</v>
      </c>
      <c r="K156" s="16"/>
    </row>
    <row r="157" spans="1:11" s="6" customFormat="1">
      <c r="A157" s="5">
        <v>161</v>
      </c>
      <c r="B157" s="5" t="s">
        <v>183</v>
      </c>
      <c r="C157" s="396" t="s">
        <v>1456</v>
      </c>
      <c r="D157" s="5">
        <v>177</v>
      </c>
      <c r="E157" s="249">
        <v>581563.43999999994</v>
      </c>
      <c r="F157" s="17"/>
      <c r="G157" s="17">
        <v>495614.43</v>
      </c>
      <c r="H157" s="17">
        <v>1141746.45</v>
      </c>
      <c r="I157" s="17"/>
      <c r="J157" s="17">
        <f t="shared" si="2"/>
        <v>2218924.3199999998</v>
      </c>
      <c r="K157" s="16"/>
    </row>
    <row r="158" spans="1:11" s="6" customFormat="1">
      <c r="A158" s="5">
        <v>161</v>
      </c>
      <c r="B158" s="5" t="s">
        <v>183</v>
      </c>
      <c r="C158" s="396" t="s">
        <v>1457</v>
      </c>
      <c r="D158" s="5">
        <v>178</v>
      </c>
      <c r="E158" s="249">
        <v>493941.18</v>
      </c>
      <c r="F158" s="17"/>
      <c r="G158" s="17">
        <v>426005.84</v>
      </c>
      <c r="H158" s="17">
        <v>1191396.8500000001</v>
      </c>
      <c r="I158" s="17"/>
      <c r="J158" s="17">
        <f t="shared" si="2"/>
        <v>2111343.87</v>
      </c>
      <c r="K158" s="16"/>
    </row>
    <row r="159" spans="1:11" s="6" customFormat="1">
      <c r="A159" s="5">
        <v>161</v>
      </c>
      <c r="B159" s="5" t="s">
        <v>183</v>
      </c>
      <c r="C159" s="396" t="s">
        <v>1458</v>
      </c>
      <c r="D159" s="5">
        <v>179</v>
      </c>
      <c r="E159" s="249">
        <v>522673.78</v>
      </c>
      <c r="F159" s="17"/>
      <c r="G159" s="17">
        <v>766652.55</v>
      </c>
      <c r="H159" s="17">
        <v>1438378.83</v>
      </c>
      <c r="I159" s="17"/>
      <c r="J159" s="17">
        <f t="shared" si="2"/>
        <v>2727705.16</v>
      </c>
      <c r="K159" s="16"/>
    </row>
    <row r="160" spans="1:11" s="6" customFormat="1">
      <c r="A160" s="5">
        <v>161</v>
      </c>
      <c r="B160" s="5" t="s">
        <v>183</v>
      </c>
      <c r="C160" s="396" t="s">
        <v>1459</v>
      </c>
      <c r="D160" s="5">
        <v>180</v>
      </c>
      <c r="E160" s="249">
        <v>3064200.41</v>
      </c>
      <c r="F160" s="17"/>
      <c r="G160" s="17">
        <v>1795292.98</v>
      </c>
      <c r="H160" s="424">
        <f>5401884.88</f>
        <v>5401884.8799999999</v>
      </c>
      <c r="I160" s="17"/>
      <c r="J160" s="17">
        <f t="shared" si="2"/>
        <v>10261378.27</v>
      </c>
      <c r="K160" s="16">
        <f>10261378.27-10478986.84</f>
        <v>-217608.5700000003</v>
      </c>
    </row>
    <row r="161" spans="1:11" s="6" customFormat="1">
      <c r="A161" s="5">
        <v>161</v>
      </c>
      <c r="B161" s="5" t="s">
        <v>183</v>
      </c>
      <c r="C161" s="396" t="s">
        <v>1460</v>
      </c>
      <c r="D161" s="5">
        <v>181</v>
      </c>
      <c r="E161" s="249"/>
      <c r="F161" s="17"/>
      <c r="G161" s="17">
        <v>197172.01</v>
      </c>
      <c r="H161" s="17">
        <v>46542.19</v>
      </c>
      <c r="I161" s="17"/>
      <c r="J161" s="17">
        <f t="shared" si="2"/>
        <v>243714.2</v>
      </c>
      <c r="K161" s="16"/>
    </row>
    <row r="162" spans="1:11" s="6" customFormat="1">
      <c r="A162" s="5">
        <v>161</v>
      </c>
      <c r="B162" s="5" t="s">
        <v>183</v>
      </c>
      <c r="C162" s="396" t="s">
        <v>1461</v>
      </c>
      <c r="D162" s="5">
        <v>182</v>
      </c>
      <c r="E162" s="249"/>
      <c r="F162" s="17"/>
      <c r="G162" s="17">
        <v>15120.88</v>
      </c>
      <c r="H162" s="17">
        <v>29958.12</v>
      </c>
      <c r="I162" s="17"/>
      <c r="J162" s="17">
        <f t="shared" si="2"/>
        <v>45079</v>
      </c>
      <c r="K162" s="16"/>
    </row>
    <row r="163" spans="1:11" s="6" customFormat="1">
      <c r="A163" s="5">
        <v>161</v>
      </c>
      <c r="B163" s="329" t="s">
        <v>186</v>
      </c>
      <c r="C163" s="396" t="s">
        <v>1462</v>
      </c>
      <c r="D163" s="5">
        <v>184</v>
      </c>
      <c r="E163" s="297">
        <v>19142.3</v>
      </c>
      <c r="F163" s="17"/>
      <c r="G163" s="17"/>
      <c r="H163" s="17"/>
      <c r="I163" s="17"/>
      <c r="J163" s="17">
        <f t="shared" si="2"/>
        <v>19142.3</v>
      </c>
      <c r="K163" s="16">
        <f>19142.3-0</f>
        <v>19142.3</v>
      </c>
    </row>
    <row r="164" spans="1:11" s="6" customFormat="1">
      <c r="A164" s="5">
        <v>161</v>
      </c>
      <c r="B164" s="329" t="s">
        <v>186</v>
      </c>
      <c r="C164" s="396" t="s">
        <v>1463</v>
      </c>
      <c r="D164" s="5">
        <v>186</v>
      </c>
      <c r="E164" s="249"/>
      <c r="F164" s="17"/>
      <c r="G164" s="17">
        <v>38505.089999999997</v>
      </c>
      <c r="H164" s="17">
        <v>604.08000000000004</v>
      </c>
      <c r="I164" s="17"/>
      <c r="J164" s="17">
        <f t="shared" si="2"/>
        <v>39109.17</v>
      </c>
      <c r="K164" s="16"/>
    </row>
    <row r="165" spans="1:11" s="6" customFormat="1" ht="30">
      <c r="A165" s="5">
        <v>230</v>
      </c>
      <c r="B165" s="5" t="s">
        <v>183</v>
      </c>
      <c r="C165" s="396" t="s">
        <v>1464</v>
      </c>
      <c r="D165" s="5" t="s">
        <v>95</v>
      </c>
      <c r="E165" s="249"/>
      <c r="F165" s="17"/>
      <c r="G165" s="17">
        <v>837666.81</v>
      </c>
      <c r="H165" s="17">
        <v>979915.26</v>
      </c>
      <c r="I165" s="296">
        <v>79062.13</v>
      </c>
      <c r="J165" s="17">
        <f t="shared" si="2"/>
        <v>1896644.2000000002</v>
      </c>
      <c r="K165" s="16">
        <f>1896644.2-1892393.91</f>
        <v>4250.2900000000373</v>
      </c>
    </row>
    <row r="166" spans="1:11" s="6" customFormat="1" ht="30">
      <c r="A166" s="5">
        <v>230</v>
      </c>
      <c r="B166" s="5" t="s">
        <v>183</v>
      </c>
      <c r="C166" s="396" t="s">
        <v>1465</v>
      </c>
      <c r="D166" s="5" t="s">
        <v>215</v>
      </c>
      <c r="E166" s="249"/>
      <c r="F166" s="18"/>
      <c r="G166" s="17">
        <v>2033593.43</v>
      </c>
      <c r="H166" s="296">
        <f>1843610.33</f>
        <v>1843610.33</v>
      </c>
      <c r="I166" s="17"/>
      <c r="J166" s="17">
        <f t="shared" si="2"/>
        <v>3877203.76</v>
      </c>
      <c r="K166" s="16">
        <f>3877203.76-3880856.54</f>
        <v>-3652.7800000002608</v>
      </c>
    </row>
    <row r="167" spans="1:11" s="6" customFormat="1">
      <c r="A167" s="5">
        <v>230</v>
      </c>
      <c r="B167" s="5" t="s">
        <v>183</v>
      </c>
      <c r="C167" s="396" t="s">
        <v>1466</v>
      </c>
      <c r="D167" s="5">
        <v>232</v>
      </c>
      <c r="E167" s="249"/>
      <c r="F167" s="18"/>
      <c r="G167" s="17">
        <v>3837427.85</v>
      </c>
      <c r="H167" s="17">
        <v>2951109.26</v>
      </c>
      <c r="I167" s="296">
        <v>61112.74</v>
      </c>
      <c r="J167" s="17">
        <f t="shared" ref="J167:J231" si="3">SUM(E167:I167)</f>
        <v>6849649.8499999996</v>
      </c>
      <c r="K167" s="16">
        <f>6849649.85-6846364.5</f>
        <v>3285.3499999996275</v>
      </c>
    </row>
    <row r="168" spans="1:11" s="6" customFormat="1">
      <c r="A168" s="5">
        <v>115</v>
      </c>
      <c r="B168" s="5" t="s">
        <v>186</v>
      </c>
      <c r="C168" s="390" t="s">
        <v>96</v>
      </c>
      <c r="D168" s="5" t="s">
        <v>97</v>
      </c>
      <c r="E168" s="249"/>
      <c r="F168" s="17"/>
      <c r="G168" s="17"/>
      <c r="H168" s="17"/>
      <c r="I168" s="17"/>
      <c r="J168" s="17">
        <f t="shared" si="3"/>
        <v>0</v>
      </c>
      <c r="K168" s="16"/>
    </row>
    <row r="169" spans="1:11" s="6" customFormat="1">
      <c r="A169" s="5">
        <v>115</v>
      </c>
      <c r="B169" s="5" t="s">
        <v>186</v>
      </c>
      <c r="C169" s="390" t="s">
        <v>98</v>
      </c>
      <c r="D169" s="5" t="s">
        <v>99</v>
      </c>
      <c r="E169" s="249"/>
      <c r="F169" s="17"/>
      <c r="G169" s="17"/>
      <c r="H169" s="17"/>
      <c r="I169" s="17"/>
      <c r="J169" s="17">
        <f t="shared" si="3"/>
        <v>0</v>
      </c>
      <c r="K169" s="16"/>
    </row>
    <row r="170" spans="1:11" s="6" customFormat="1" ht="30">
      <c r="A170" s="5">
        <v>115</v>
      </c>
      <c r="B170" s="5" t="s">
        <v>186</v>
      </c>
      <c r="C170" s="396" t="s">
        <v>1467</v>
      </c>
      <c r="D170" s="5" t="s">
        <v>210</v>
      </c>
      <c r="E170" s="249"/>
      <c r="F170" s="17">
        <v>6002.41</v>
      </c>
      <c r="G170" s="17">
        <v>238607.62</v>
      </c>
      <c r="H170" s="17">
        <v>208586.94</v>
      </c>
      <c r="I170" s="17">
        <v>1661.94</v>
      </c>
      <c r="J170" s="17">
        <f t="shared" si="3"/>
        <v>454858.91</v>
      </c>
      <c r="K170" s="16"/>
    </row>
    <row r="171" spans="1:11" s="6" customFormat="1">
      <c r="A171" s="5">
        <v>115</v>
      </c>
      <c r="B171" s="5" t="s">
        <v>186</v>
      </c>
      <c r="C171" s="396" t="s">
        <v>1468</v>
      </c>
      <c r="D171" s="5" t="s">
        <v>100</v>
      </c>
      <c r="E171" s="249"/>
      <c r="F171" s="17"/>
      <c r="G171" s="17">
        <v>106679.41</v>
      </c>
      <c r="H171" s="17">
        <v>53415.59</v>
      </c>
      <c r="I171" s="17"/>
      <c r="J171" s="17">
        <f t="shared" si="3"/>
        <v>160095</v>
      </c>
      <c r="K171" s="16"/>
    </row>
    <row r="172" spans="1:11" s="6" customFormat="1">
      <c r="A172" s="5">
        <v>115</v>
      </c>
      <c r="B172" s="5" t="s">
        <v>186</v>
      </c>
      <c r="C172" s="396" t="s">
        <v>1469</v>
      </c>
      <c r="D172" s="5" t="s">
        <v>101</v>
      </c>
      <c r="E172" s="249"/>
      <c r="F172" s="17"/>
      <c r="G172" s="17">
        <v>68039.61</v>
      </c>
      <c r="H172" s="17">
        <v>50929</v>
      </c>
      <c r="I172" s="17"/>
      <c r="J172" s="17">
        <f t="shared" si="3"/>
        <v>118968.61</v>
      </c>
      <c r="K172" s="16"/>
    </row>
    <row r="173" spans="1:11" s="6" customFormat="1">
      <c r="A173" s="5">
        <v>115</v>
      </c>
      <c r="B173" s="5" t="s">
        <v>184</v>
      </c>
      <c r="C173" s="396" t="s">
        <v>1470</v>
      </c>
      <c r="D173" s="5" t="s">
        <v>102</v>
      </c>
      <c r="E173" s="249">
        <v>902.89</v>
      </c>
      <c r="F173" s="17"/>
      <c r="G173" s="17">
        <v>140159.67000000001</v>
      </c>
      <c r="H173" s="17">
        <v>30926.46</v>
      </c>
      <c r="I173" s="17"/>
      <c r="J173" s="17">
        <f t="shared" si="3"/>
        <v>171989.02000000002</v>
      </c>
      <c r="K173" s="16"/>
    </row>
    <row r="174" spans="1:11" s="6" customFormat="1" ht="30" customHeight="1">
      <c r="A174" s="5">
        <v>115</v>
      </c>
      <c r="B174" s="5" t="s">
        <v>890</v>
      </c>
      <c r="C174" s="396" t="s">
        <v>1471</v>
      </c>
      <c r="D174" s="5">
        <v>506</v>
      </c>
      <c r="E174" s="249"/>
      <c r="F174" s="17"/>
      <c r="G174" s="17">
        <f>23086.97+4198.71-579.13</f>
        <v>26706.55</v>
      </c>
      <c r="H174" s="17">
        <f>13369.54+375.71-15.96</f>
        <v>13729.29</v>
      </c>
      <c r="I174" s="17"/>
      <c r="J174" s="17">
        <f t="shared" si="3"/>
        <v>40435.839999999997</v>
      </c>
      <c r="K174" s="16"/>
    </row>
    <row r="175" spans="1:11" s="6" customFormat="1">
      <c r="A175" s="5">
        <v>115</v>
      </c>
      <c r="B175" s="5" t="s">
        <v>890</v>
      </c>
      <c r="C175" s="390" t="s">
        <v>152</v>
      </c>
      <c r="D175" s="5" t="s">
        <v>153</v>
      </c>
      <c r="E175" s="249"/>
      <c r="F175" s="17"/>
      <c r="G175" s="17">
        <v>14572.21</v>
      </c>
      <c r="H175" s="17">
        <v>14383.81</v>
      </c>
      <c r="I175" s="17"/>
      <c r="J175" s="17">
        <f t="shared" si="3"/>
        <v>28956.019999999997</v>
      </c>
      <c r="K175" s="16"/>
    </row>
    <row r="176" spans="1:11" s="6" customFormat="1" ht="30">
      <c r="A176" s="5">
        <v>115</v>
      </c>
      <c r="B176" s="5" t="s">
        <v>890</v>
      </c>
      <c r="C176" s="396" t="s">
        <v>1472</v>
      </c>
      <c r="D176" s="5" t="s">
        <v>103</v>
      </c>
      <c r="E176" s="249"/>
      <c r="F176" s="17"/>
      <c r="G176" s="17">
        <v>52657.02</v>
      </c>
      <c r="H176" s="17">
        <v>55973.24</v>
      </c>
      <c r="I176" s="17"/>
      <c r="J176" s="17">
        <f t="shared" si="3"/>
        <v>108630.26</v>
      </c>
      <c r="K176" s="16"/>
    </row>
    <row r="177" spans="1:11" s="6" customFormat="1">
      <c r="A177" s="5" t="s">
        <v>181</v>
      </c>
      <c r="B177" s="5"/>
      <c r="C177" s="390" t="s">
        <v>146</v>
      </c>
      <c r="D177" s="416">
        <v>508509</v>
      </c>
      <c r="E177" s="249"/>
      <c r="F177" s="17"/>
      <c r="G177" s="17">
        <v>0</v>
      </c>
      <c r="H177" s="17">
        <v>0</v>
      </c>
      <c r="I177" s="17"/>
      <c r="J177" s="17">
        <f t="shared" si="3"/>
        <v>0</v>
      </c>
      <c r="K177" s="16"/>
    </row>
    <row r="178" spans="1:11" s="6" customFormat="1">
      <c r="A178" s="5">
        <v>115</v>
      </c>
      <c r="B178" s="5" t="s">
        <v>184</v>
      </c>
      <c r="C178" s="396" t="s">
        <v>1473</v>
      </c>
      <c r="D178" s="5" t="s">
        <v>104</v>
      </c>
      <c r="E178" s="249"/>
      <c r="F178" s="17"/>
      <c r="G178" s="17">
        <v>8646.06</v>
      </c>
      <c r="H178" s="17">
        <v>4427.91</v>
      </c>
      <c r="I178" s="17"/>
      <c r="J178" s="17">
        <f t="shared" si="3"/>
        <v>13073.97</v>
      </c>
      <c r="K178" s="16"/>
    </row>
    <row r="179" spans="1:11" s="6" customFormat="1">
      <c r="A179" s="5">
        <v>115</v>
      </c>
      <c r="B179" s="5" t="s">
        <v>186</v>
      </c>
      <c r="C179" s="396" t="s">
        <v>1474</v>
      </c>
      <c r="D179" s="5" t="s">
        <v>105</v>
      </c>
      <c r="E179" s="249"/>
      <c r="F179" s="17"/>
      <c r="G179" s="17">
        <v>191475.74</v>
      </c>
      <c r="H179" s="17">
        <v>144003.62</v>
      </c>
      <c r="I179" s="17"/>
      <c r="J179" s="17">
        <f t="shared" si="3"/>
        <v>335479.36</v>
      </c>
      <c r="K179" s="16"/>
    </row>
    <row r="180" spans="1:11" s="6" customFormat="1">
      <c r="A180" s="5">
        <v>115</v>
      </c>
      <c r="B180" s="5" t="s">
        <v>184</v>
      </c>
      <c r="C180" s="396" t="s">
        <v>1475</v>
      </c>
      <c r="D180" s="5" t="s">
        <v>106</v>
      </c>
      <c r="E180" s="249"/>
      <c r="F180" s="17"/>
      <c r="G180" s="17">
        <f>64883.11+8781.91+2317.13+1093.03-5835.33-1243.36-1729.95</f>
        <v>68266.540000000008</v>
      </c>
      <c r="H180" s="17">
        <f>28058.17+2227.31+175.68-1861.65-106.51</f>
        <v>28493</v>
      </c>
      <c r="I180" s="17"/>
      <c r="J180" s="17">
        <f t="shared" si="3"/>
        <v>96759.540000000008</v>
      </c>
      <c r="K180" s="16"/>
    </row>
    <row r="181" spans="1:11" s="6" customFormat="1">
      <c r="A181" s="5">
        <v>115</v>
      </c>
      <c r="B181" s="5" t="s">
        <v>186</v>
      </c>
      <c r="C181" s="390" t="s">
        <v>107</v>
      </c>
      <c r="D181" s="5" t="s">
        <v>108</v>
      </c>
      <c r="E181" s="249"/>
      <c r="F181" s="17"/>
      <c r="G181" s="17"/>
      <c r="H181" s="17"/>
      <c r="I181" s="17"/>
      <c r="J181" s="17">
        <f t="shared" si="3"/>
        <v>0</v>
      </c>
      <c r="K181" s="16"/>
    </row>
    <row r="182" spans="1:11" s="6" customFormat="1">
      <c r="A182" s="5">
        <v>115</v>
      </c>
      <c r="B182" s="5" t="s">
        <v>186</v>
      </c>
      <c r="C182" s="396" t="s">
        <v>1476</v>
      </c>
      <c r="D182" s="5" t="s">
        <v>109</v>
      </c>
      <c r="E182" s="249"/>
      <c r="F182" s="17"/>
      <c r="G182" s="17">
        <v>45591.5</v>
      </c>
      <c r="H182" s="17">
        <v>15256.39</v>
      </c>
      <c r="I182" s="17"/>
      <c r="J182" s="17">
        <f t="shared" si="3"/>
        <v>60847.89</v>
      </c>
      <c r="K182" s="16"/>
    </row>
    <row r="183" spans="1:11" s="6" customFormat="1">
      <c r="A183" s="5">
        <v>115</v>
      </c>
      <c r="B183" s="5" t="s">
        <v>186</v>
      </c>
      <c r="C183" s="396" t="s">
        <v>1477</v>
      </c>
      <c r="D183" s="5" t="s">
        <v>110</v>
      </c>
      <c r="E183" s="249"/>
      <c r="F183" s="17"/>
      <c r="G183" s="17">
        <v>898749.82</v>
      </c>
      <c r="H183" s="17">
        <v>712179.66</v>
      </c>
      <c r="I183" s="17"/>
      <c r="J183" s="17">
        <f t="shared" si="3"/>
        <v>1610929.48</v>
      </c>
      <c r="K183" s="16"/>
    </row>
    <row r="184" spans="1:11" s="6" customFormat="1">
      <c r="A184" s="5">
        <v>115</v>
      </c>
      <c r="B184" s="5" t="s">
        <v>186</v>
      </c>
      <c r="C184" s="396" t="s">
        <v>1478</v>
      </c>
      <c r="D184" s="5" t="s">
        <v>111</v>
      </c>
      <c r="E184" s="249"/>
      <c r="F184" s="17"/>
      <c r="G184" s="17">
        <v>247695.1</v>
      </c>
      <c r="H184" s="17">
        <v>124742.62</v>
      </c>
      <c r="I184" s="17"/>
      <c r="J184" s="17">
        <f t="shared" si="3"/>
        <v>372437.72</v>
      </c>
      <c r="K184" s="16"/>
    </row>
    <row r="185" spans="1:11" s="6" customFormat="1">
      <c r="A185" s="5">
        <v>115</v>
      </c>
      <c r="B185" s="5" t="s">
        <v>184</v>
      </c>
      <c r="C185" s="396" t="s">
        <v>1479</v>
      </c>
      <c r="D185" s="5" t="s">
        <v>112</v>
      </c>
      <c r="E185" s="249"/>
      <c r="F185" s="17"/>
      <c r="G185" s="17">
        <v>90733.4</v>
      </c>
      <c r="H185" s="17">
        <v>74050.89</v>
      </c>
      <c r="I185" s="17"/>
      <c r="J185" s="17">
        <f t="shared" si="3"/>
        <v>164784.28999999998</v>
      </c>
      <c r="K185" s="16"/>
    </row>
    <row r="186" spans="1:11" s="6" customFormat="1">
      <c r="A186" s="5">
        <v>115</v>
      </c>
      <c r="B186" s="5" t="s">
        <v>184</v>
      </c>
      <c r="C186" s="396" t="s">
        <v>1480</v>
      </c>
      <c r="D186" s="5" t="s">
        <v>113</v>
      </c>
      <c r="E186" s="249"/>
      <c r="F186" s="17"/>
      <c r="G186" s="17">
        <v>374118.14</v>
      </c>
      <c r="H186" s="17">
        <v>143743.20000000001</v>
      </c>
      <c r="I186" s="17"/>
      <c r="J186" s="17">
        <f t="shared" si="3"/>
        <v>517861.34</v>
      </c>
      <c r="K186" s="16"/>
    </row>
    <row r="187" spans="1:11" s="6" customFormat="1">
      <c r="A187" s="5">
        <v>115</v>
      </c>
      <c r="B187" s="5" t="s">
        <v>186</v>
      </c>
      <c r="C187" s="390" t="s">
        <v>114</v>
      </c>
      <c r="D187" s="5" t="s">
        <v>115</v>
      </c>
      <c r="E187" s="249"/>
      <c r="F187" s="17"/>
      <c r="G187" s="17"/>
      <c r="H187" s="17"/>
      <c r="I187" s="17"/>
      <c r="J187" s="17">
        <f t="shared" si="3"/>
        <v>0</v>
      </c>
      <c r="K187" s="16"/>
    </row>
    <row r="188" spans="1:11" s="6" customFormat="1">
      <c r="A188" s="5">
        <v>115</v>
      </c>
      <c r="B188" s="5" t="s">
        <v>186</v>
      </c>
      <c r="C188" s="396" t="s">
        <v>1481</v>
      </c>
      <c r="D188" s="5" t="s">
        <v>116</v>
      </c>
      <c r="E188" s="249"/>
      <c r="F188" s="17"/>
      <c r="G188" s="17">
        <v>48305.95</v>
      </c>
      <c r="H188" s="17">
        <v>22822.2</v>
      </c>
      <c r="I188" s="17"/>
      <c r="J188" s="17">
        <f t="shared" si="3"/>
        <v>71128.149999999994</v>
      </c>
      <c r="K188" s="16"/>
    </row>
    <row r="189" spans="1:11" s="6" customFormat="1">
      <c r="A189" s="5">
        <v>115</v>
      </c>
      <c r="B189" s="5" t="s">
        <v>186</v>
      </c>
      <c r="C189" s="396" t="s">
        <v>1482</v>
      </c>
      <c r="D189" s="5" t="s">
        <v>117</v>
      </c>
      <c r="E189" s="249"/>
      <c r="F189" s="17"/>
      <c r="G189" s="17">
        <v>199336.38</v>
      </c>
      <c r="H189" s="17">
        <v>96286.38</v>
      </c>
      <c r="I189" s="17"/>
      <c r="J189" s="17">
        <f t="shared" si="3"/>
        <v>295622.76</v>
      </c>
      <c r="K189" s="16"/>
    </row>
    <row r="190" spans="1:11" s="6" customFormat="1">
      <c r="A190" s="5">
        <v>115</v>
      </c>
      <c r="B190" s="5" t="s">
        <v>184</v>
      </c>
      <c r="C190" s="396" t="s">
        <v>1483</v>
      </c>
      <c r="D190" s="5" t="s">
        <v>118</v>
      </c>
      <c r="E190" s="249"/>
      <c r="F190" s="17"/>
      <c r="G190" s="17">
        <v>189346.95</v>
      </c>
      <c r="H190" s="17">
        <v>186741.87</v>
      </c>
      <c r="I190" s="17"/>
      <c r="J190" s="17">
        <f t="shared" si="3"/>
        <v>376088.82</v>
      </c>
      <c r="K190" s="16"/>
    </row>
    <row r="191" spans="1:11" s="6" customFormat="1">
      <c r="A191" s="5">
        <v>115</v>
      </c>
      <c r="B191" s="5" t="s">
        <v>186</v>
      </c>
      <c r="C191" s="396" t="s">
        <v>1484</v>
      </c>
      <c r="D191" s="5" t="s">
        <v>119</v>
      </c>
      <c r="E191" s="249"/>
      <c r="F191" s="17"/>
      <c r="G191" s="17">
        <v>181019.18</v>
      </c>
      <c r="H191" s="17">
        <v>146061.44</v>
      </c>
      <c r="I191" s="17"/>
      <c r="J191" s="17">
        <f t="shared" si="3"/>
        <v>327080.62</v>
      </c>
      <c r="K191" s="16"/>
    </row>
    <row r="192" spans="1:11" s="6" customFormat="1">
      <c r="A192" s="5">
        <v>115</v>
      </c>
      <c r="B192" s="5" t="s">
        <v>184</v>
      </c>
      <c r="C192" s="396" t="s">
        <v>1485</v>
      </c>
      <c r="D192" s="5" t="s">
        <v>120</v>
      </c>
      <c r="E192" s="249"/>
      <c r="F192" s="17"/>
      <c r="G192" s="17">
        <v>49526.39</v>
      </c>
      <c r="H192" s="17">
        <v>17014.05</v>
      </c>
      <c r="I192" s="17"/>
      <c r="J192" s="17">
        <f t="shared" si="3"/>
        <v>66540.44</v>
      </c>
      <c r="K192" s="16"/>
    </row>
    <row r="193" spans="1:11" s="6" customFormat="1">
      <c r="A193" s="5">
        <v>115</v>
      </c>
      <c r="B193" s="5" t="s">
        <v>186</v>
      </c>
      <c r="C193" s="396" t="s">
        <v>1486</v>
      </c>
      <c r="D193" s="5" t="s">
        <v>121</v>
      </c>
      <c r="E193" s="249"/>
      <c r="F193" s="17"/>
      <c r="G193" s="17">
        <v>64907.63</v>
      </c>
      <c r="H193" s="17">
        <v>38756.44</v>
      </c>
      <c r="I193" s="17"/>
      <c r="J193" s="17">
        <f t="shared" si="3"/>
        <v>103664.07</v>
      </c>
      <c r="K193" s="16"/>
    </row>
    <row r="194" spans="1:11" s="6" customFormat="1">
      <c r="A194" s="5">
        <v>115</v>
      </c>
      <c r="B194" s="5" t="s">
        <v>186</v>
      </c>
      <c r="C194" s="396" t="s">
        <v>1487</v>
      </c>
      <c r="D194" s="5" t="s">
        <v>122</v>
      </c>
      <c r="E194" s="249"/>
      <c r="F194" s="17"/>
      <c r="G194" s="17">
        <v>167427.09</v>
      </c>
      <c r="H194" s="17">
        <v>92238.71</v>
      </c>
      <c r="I194" s="17"/>
      <c r="J194" s="17">
        <f t="shared" si="3"/>
        <v>259665.8</v>
      </c>
      <c r="K194" s="16"/>
    </row>
    <row r="195" spans="1:11" s="6" customFormat="1">
      <c r="A195" s="5">
        <v>115</v>
      </c>
      <c r="B195" s="5" t="s">
        <v>186</v>
      </c>
      <c r="C195" s="390" t="s">
        <v>123</v>
      </c>
      <c r="D195" s="5" t="s">
        <v>124</v>
      </c>
      <c r="E195" s="249"/>
      <c r="F195" s="17"/>
      <c r="G195" s="17"/>
      <c r="H195" s="17"/>
      <c r="I195" s="17"/>
      <c r="J195" s="17">
        <f t="shared" si="3"/>
        <v>0</v>
      </c>
      <c r="K195" s="16"/>
    </row>
    <row r="196" spans="1:11" s="6" customFormat="1">
      <c r="A196" s="5">
        <v>115</v>
      </c>
      <c r="B196" s="5" t="s">
        <v>186</v>
      </c>
      <c r="C196" s="396" t="s">
        <v>1488</v>
      </c>
      <c r="D196" s="5" t="s">
        <v>125</v>
      </c>
      <c r="E196" s="249"/>
      <c r="F196" s="17"/>
      <c r="G196" s="17">
        <v>113231.77</v>
      </c>
      <c r="H196" s="17">
        <v>70927.570000000007</v>
      </c>
      <c r="I196" s="17"/>
      <c r="J196" s="17">
        <f t="shared" si="3"/>
        <v>184159.34000000003</v>
      </c>
      <c r="K196" s="16"/>
    </row>
    <row r="197" spans="1:11" s="6" customFormat="1">
      <c r="A197" s="5">
        <v>115</v>
      </c>
      <c r="B197" s="5" t="s">
        <v>186</v>
      </c>
      <c r="C197" s="396" t="s">
        <v>1489</v>
      </c>
      <c r="D197" s="5" t="s">
        <v>126</v>
      </c>
      <c r="E197" s="249"/>
      <c r="F197" s="17"/>
      <c r="G197" s="17">
        <v>7128.62</v>
      </c>
      <c r="H197" s="17">
        <v>1460.07</v>
      </c>
      <c r="I197" s="17"/>
      <c r="J197" s="17">
        <f t="shared" si="3"/>
        <v>8588.69</v>
      </c>
      <c r="K197" s="16"/>
    </row>
    <row r="198" spans="1:11" s="6" customFormat="1">
      <c r="A198" s="5">
        <v>115</v>
      </c>
      <c r="B198" s="5" t="s">
        <v>186</v>
      </c>
      <c r="C198" s="396" t="s">
        <v>1490</v>
      </c>
      <c r="D198" s="5" t="s">
        <v>127</v>
      </c>
      <c r="E198" s="249"/>
      <c r="F198" s="17"/>
      <c r="G198" s="17">
        <v>40973.089999999997</v>
      </c>
      <c r="H198" s="17">
        <v>23676.42</v>
      </c>
      <c r="I198" s="17"/>
      <c r="J198" s="17">
        <f t="shared" si="3"/>
        <v>64649.509999999995</v>
      </c>
      <c r="K198" s="16"/>
    </row>
    <row r="199" spans="1:11" s="6" customFormat="1">
      <c r="A199" s="5">
        <v>115</v>
      </c>
      <c r="B199" s="5" t="s">
        <v>184</v>
      </c>
      <c r="C199" s="396" t="s">
        <v>1491</v>
      </c>
      <c r="D199" s="5" t="s">
        <v>128</v>
      </c>
      <c r="E199" s="249"/>
      <c r="F199" s="17"/>
      <c r="G199" s="17">
        <v>182775.02</v>
      </c>
      <c r="H199" s="17">
        <v>239185.39</v>
      </c>
      <c r="I199" s="17"/>
      <c r="J199" s="17">
        <f t="shared" si="3"/>
        <v>421960.41000000003</v>
      </c>
      <c r="K199" s="16"/>
    </row>
    <row r="200" spans="1:11" s="6" customFormat="1">
      <c r="A200" s="5">
        <v>115</v>
      </c>
      <c r="B200" s="5" t="s">
        <v>184</v>
      </c>
      <c r="C200" s="396" t="s">
        <v>1492</v>
      </c>
      <c r="D200" s="5" t="s">
        <v>129</v>
      </c>
      <c r="E200" s="249"/>
      <c r="F200" s="17"/>
      <c r="G200" s="17">
        <v>58979.02</v>
      </c>
      <c r="H200" s="17">
        <v>35957.760000000002</v>
      </c>
      <c r="I200" s="17"/>
      <c r="J200" s="17">
        <f t="shared" si="3"/>
        <v>94936.78</v>
      </c>
      <c r="K200" s="16"/>
    </row>
    <row r="201" spans="1:11" s="6" customFormat="1">
      <c r="A201" s="5">
        <v>115</v>
      </c>
      <c r="B201" s="5" t="s">
        <v>186</v>
      </c>
      <c r="C201" s="396" t="s">
        <v>1493</v>
      </c>
      <c r="D201" s="5" t="s">
        <v>130</v>
      </c>
      <c r="E201" s="249"/>
      <c r="F201" s="17"/>
      <c r="G201" s="17">
        <v>132017.43</v>
      </c>
      <c r="H201" s="17">
        <v>210269.38</v>
      </c>
      <c r="I201" s="17"/>
      <c r="J201" s="17">
        <f t="shared" si="3"/>
        <v>342286.81</v>
      </c>
      <c r="K201" s="16"/>
    </row>
    <row r="202" spans="1:11" s="6" customFormat="1">
      <c r="A202" s="5">
        <v>115</v>
      </c>
      <c r="B202" s="5" t="s">
        <v>184</v>
      </c>
      <c r="C202" s="396" t="s">
        <v>1494</v>
      </c>
      <c r="D202" s="5" t="s">
        <v>131</v>
      </c>
      <c r="E202" s="249"/>
      <c r="F202" s="17"/>
      <c r="G202" s="17">
        <v>218992.41</v>
      </c>
      <c r="H202" s="17">
        <v>357525.17</v>
      </c>
      <c r="I202" s="17"/>
      <c r="J202" s="17">
        <f t="shared" si="3"/>
        <v>576517.57999999996</v>
      </c>
      <c r="K202" s="16"/>
    </row>
    <row r="203" spans="1:11" s="6" customFormat="1">
      <c r="A203" s="5">
        <v>115</v>
      </c>
      <c r="B203" s="5" t="s">
        <v>186</v>
      </c>
      <c r="C203" s="396" t="s">
        <v>1495</v>
      </c>
      <c r="D203" s="5" t="s">
        <v>132</v>
      </c>
      <c r="E203" s="249"/>
      <c r="F203" s="17"/>
      <c r="G203" s="17">
        <v>119912.12</v>
      </c>
      <c r="H203" s="17">
        <v>198932.87</v>
      </c>
      <c r="I203" s="17"/>
      <c r="J203" s="17">
        <f t="shared" si="3"/>
        <v>318844.99</v>
      </c>
      <c r="K203" s="16"/>
    </row>
    <row r="204" spans="1:11" s="6" customFormat="1">
      <c r="A204" s="5">
        <v>115</v>
      </c>
      <c r="B204" s="5" t="s">
        <v>184</v>
      </c>
      <c r="C204" s="396" t="s">
        <v>1496</v>
      </c>
      <c r="D204" s="5" t="s">
        <v>133</v>
      </c>
      <c r="E204" s="249"/>
      <c r="F204" s="17"/>
      <c r="G204" s="17">
        <v>58987.25</v>
      </c>
      <c r="H204" s="17">
        <v>104343.64</v>
      </c>
      <c r="I204" s="17"/>
      <c r="J204" s="17">
        <f t="shared" si="3"/>
        <v>163330.89000000001</v>
      </c>
      <c r="K204" s="16"/>
    </row>
    <row r="205" spans="1:11" s="6" customFormat="1" ht="30">
      <c r="A205" s="5">
        <v>115</v>
      </c>
      <c r="B205" s="5" t="s">
        <v>184</v>
      </c>
      <c r="C205" s="396" t="s">
        <v>1497</v>
      </c>
      <c r="D205" s="5" t="s">
        <v>134</v>
      </c>
      <c r="E205" s="249"/>
      <c r="F205" s="17"/>
      <c r="G205" s="17">
        <v>13507.16</v>
      </c>
      <c r="H205" s="17">
        <v>17014.68</v>
      </c>
      <c r="I205" s="17"/>
      <c r="J205" s="17">
        <f t="shared" si="3"/>
        <v>30521.84</v>
      </c>
      <c r="K205" s="16"/>
    </row>
    <row r="206" spans="1:11" s="6" customFormat="1">
      <c r="A206" s="5">
        <v>115</v>
      </c>
      <c r="B206" s="5" t="s">
        <v>186</v>
      </c>
      <c r="C206" s="396" t="s">
        <v>1498</v>
      </c>
      <c r="D206" s="5" t="s">
        <v>135</v>
      </c>
      <c r="E206" s="249"/>
      <c r="F206" s="17"/>
      <c r="G206" s="17">
        <v>514147.8</v>
      </c>
      <c r="H206" s="17">
        <v>486782.12</v>
      </c>
      <c r="I206" s="17"/>
      <c r="J206" s="17">
        <f t="shared" si="3"/>
        <v>1000929.9199999999</v>
      </c>
      <c r="K206" s="16"/>
    </row>
    <row r="207" spans="1:11" s="6" customFormat="1">
      <c r="A207" s="5">
        <v>115</v>
      </c>
      <c r="B207" s="5" t="s">
        <v>184</v>
      </c>
      <c r="C207" s="396" t="s">
        <v>1499</v>
      </c>
      <c r="D207" s="5" t="s">
        <v>136</v>
      </c>
      <c r="E207" s="249"/>
      <c r="F207" s="17"/>
      <c r="G207" s="17">
        <v>139545.91</v>
      </c>
      <c r="H207" s="17">
        <v>158238.85</v>
      </c>
      <c r="I207" s="17"/>
      <c r="J207" s="17">
        <f t="shared" si="3"/>
        <v>297784.76</v>
      </c>
      <c r="K207" s="16"/>
    </row>
    <row r="208" spans="1:11" s="6" customFormat="1" ht="30">
      <c r="A208" s="5">
        <v>115</v>
      </c>
      <c r="B208" s="5" t="s">
        <v>186</v>
      </c>
      <c r="C208" s="396" t="s">
        <v>1500</v>
      </c>
      <c r="D208" s="5" t="s">
        <v>211</v>
      </c>
      <c r="E208" s="249"/>
      <c r="F208" s="17"/>
      <c r="G208" s="17">
        <v>341825.06</v>
      </c>
      <c r="H208" s="17">
        <v>335590.88</v>
      </c>
      <c r="I208" s="17"/>
      <c r="J208" s="17">
        <f t="shared" si="3"/>
        <v>677415.94</v>
      </c>
      <c r="K208" s="16"/>
    </row>
    <row r="209" spans="1:11" s="6" customFormat="1">
      <c r="A209" s="5">
        <v>115</v>
      </c>
      <c r="B209" s="5" t="s">
        <v>184</v>
      </c>
      <c r="C209" s="396" t="s">
        <v>1501</v>
      </c>
      <c r="D209" s="5" t="s">
        <v>137</v>
      </c>
      <c r="E209" s="249"/>
      <c r="F209" s="17"/>
      <c r="G209" s="17">
        <v>50084.19</v>
      </c>
      <c r="H209" s="17">
        <v>32740.62</v>
      </c>
      <c r="I209" s="17"/>
      <c r="J209" s="17">
        <f t="shared" si="3"/>
        <v>82824.81</v>
      </c>
      <c r="K209" s="16"/>
    </row>
    <row r="210" spans="1:11" s="6" customFormat="1">
      <c r="A210" s="5">
        <v>115</v>
      </c>
      <c r="B210" s="5" t="s">
        <v>186</v>
      </c>
      <c r="C210" s="396" t="s">
        <v>1502</v>
      </c>
      <c r="D210" s="5" t="s">
        <v>138</v>
      </c>
      <c r="E210" s="249"/>
      <c r="F210" s="18"/>
      <c r="G210" s="17">
        <v>254485.28</v>
      </c>
      <c r="H210" s="17">
        <v>127443.14</v>
      </c>
      <c r="I210" s="17"/>
      <c r="J210" s="17">
        <f t="shared" si="3"/>
        <v>381928.42</v>
      </c>
      <c r="K210" s="16"/>
    </row>
    <row r="211" spans="1:11" s="6" customFormat="1">
      <c r="A211" s="5">
        <v>115</v>
      </c>
      <c r="B211" s="5" t="s">
        <v>186</v>
      </c>
      <c r="C211" s="396" t="s">
        <v>1503</v>
      </c>
      <c r="D211" s="5">
        <v>543</v>
      </c>
      <c r="E211" s="249"/>
      <c r="F211" s="18"/>
      <c r="G211" s="17">
        <v>390055.69</v>
      </c>
      <c r="H211" s="17">
        <v>624146.91</v>
      </c>
      <c r="I211" s="17"/>
      <c r="J211" s="17">
        <f t="shared" si="3"/>
        <v>1014202.6000000001</v>
      </c>
      <c r="K211" s="16"/>
    </row>
    <row r="212" spans="1:11" s="6" customFormat="1">
      <c r="A212" s="5">
        <v>115</v>
      </c>
      <c r="B212" s="5" t="s">
        <v>186</v>
      </c>
      <c r="C212" s="396" t="s">
        <v>1504</v>
      </c>
      <c r="D212" s="5" t="s">
        <v>141</v>
      </c>
      <c r="E212" s="249"/>
      <c r="F212" s="17"/>
      <c r="G212" s="17">
        <v>3632.65</v>
      </c>
      <c r="H212" s="17">
        <v>4215.08</v>
      </c>
      <c r="I212" s="17"/>
      <c r="J212" s="17">
        <f t="shared" si="3"/>
        <v>7847.73</v>
      </c>
      <c r="K212" s="16"/>
    </row>
    <row r="213" spans="1:11" s="6" customFormat="1">
      <c r="A213" s="5">
        <v>115</v>
      </c>
      <c r="B213" s="5" t="s">
        <v>186</v>
      </c>
      <c r="C213" s="390" t="s">
        <v>139</v>
      </c>
      <c r="D213" s="5" t="s">
        <v>140</v>
      </c>
      <c r="E213" s="249"/>
      <c r="F213" s="17"/>
      <c r="G213" s="296">
        <v>0</v>
      </c>
      <c r="H213" s="296">
        <v>0</v>
      </c>
      <c r="I213" s="17"/>
      <c r="J213" s="17">
        <f t="shared" si="3"/>
        <v>0</v>
      </c>
      <c r="K213" s="16">
        <f>0-122746.05</f>
        <v>-122746.05</v>
      </c>
    </row>
    <row r="214" spans="1:11" s="6" customFormat="1">
      <c r="A214" s="5">
        <v>115</v>
      </c>
      <c r="B214" s="5" t="s">
        <v>186</v>
      </c>
      <c r="C214" s="396" t="s">
        <v>1505</v>
      </c>
      <c r="D214" s="5">
        <v>545</v>
      </c>
      <c r="E214" s="249"/>
      <c r="F214" s="17"/>
      <c r="G214" s="17">
        <v>28488.75</v>
      </c>
      <c r="H214" s="17">
        <v>83482.94</v>
      </c>
      <c r="I214" s="17"/>
      <c r="J214" s="17">
        <f t="shared" si="3"/>
        <v>111971.69</v>
      </c>
      <c r="K214" s="16"/>
    </row>
    <row r="215" spans="1:11" s="6" customFormat="1">
      <c r="A215" s="5">
        <v>115</v>
      </c>
      <c r="B215" s="5" t="s">
        <v>186</v>
      </c>
      <c r="C215" s="396" t="s">
        <v>1556</v>
      </c>
      <c r="D215" s="329" t="s">
        <v>1569</v>
      </c>
      <c r="E215" s="249"/>
      <c r="F215" s="17"/>
      <c r="G215" s="17">
        <v>288752.92</v>
      </c>
      <c r="H215" s="17">
        <v>401065.9</v>
      </c>
      <c r="I215" s="296">
        <v>4626.83</v>
      </c>
      <c r="J215" s="17">
        <f t="shared" si="3"/>
        <v>694445.65</v>
      </c>
      <c r="K215" s="16">
        <f>694445.65-689818.82</f>
        <v>4626.8300000000745</v>
      </c>
    </row>
    <row r="216" spans="1:11" s="6" customFormat="1">
      <c r="A216" s="5">
        <v>115</v>
      </c>
      <c r="B216" s="5" t="s">
        <v>186</v>
      </c>
      <c r="C216" s="396" t="s">
        <v>1506</v>
      </c>
      <c r="D216" s="5">
        <v>547</v>
      </c>
      <c r="E216" s="249"/>
      <c r="F216" s="17"/>
      <c r="G216" s="17">
        <v>299046.48</v>
      </c>
      <c r="H216" s="17">
        <v>500917.56</v>
      </c>
      <c r="I216" s="17"/>
      <c r="J216" s="17">
        <f t="shared" si="3"/>
        <v>799964.04</v>
      </c>
      <c r="K216" s="16"/>
    </row>
    <row r="217" spans="1:11" s="6" customFormat="1">
      <c r="A217" s="5">
        <v>115</v>
      </c>
      <c r="B217" s="5" t="s">
        <v>184</v>
      </c>
      <c r="C217" s="396" t="s">
        <v>1507</v>
      </c>
      <c r="D217" s="5">
        <v>548</v>
      </c>
      <c r="E217" s="249">
        <v>241402.23</v>
      </c>
      <c r="F217" s="17"/>
      <c r="G217" s="17">
        <v>108550.98</v>
      </c>
      <c r="H217" s="17">
        <v>124456.44</v>
      </c>
      <c r="I217" s="17"/>
      <c r="J217" s="17">
        <f t="shared" si="3"/>
        <v>474409.65</v>
      </c>
      <c r="K217" s="16"/>
    </row>
    <row r="218" spans="1:11" s="6" customFormat="1">
      <c r="A218" s="5">
        <v>115</v>
      </c>
      <c r="B218" s="5" t="s">
        <v>186</v>
      </c>
      <c r="C218" s="396" t="s">
        <v>1508</v>
      </c>
      <c r="D218" s="5">
        <v>549</v>
      </c>
      <c r="E218" s="249"/>
      <c r="F218" s="17"/>
      <c r="G218" s="17">
        <v>37056.74</v>
      </c>
      <c r="H218" s="17">
        <v>5412.02</v>
      </c>
      <c r="I218" s="17"/>
      <c r="J218" s="17">
        <f t="shared" si="3"/>
        <v>42468.759999999995</v>
      </c>
      <c r="K218" s="16"/>
    </row>
    <row r="219" spans="1:11" s="6" customFormat="1">
      <c r="A219" s="5">
        <v>115</v>
      </c>
      <c r="B219" s="5" t="s">
        <v>186</v>
      </c>
      <c r="C219" s="396" t="s">
        <v>1509</v>
      </c>
      <c r="D219" s="5">
        <v>550</v>
      </c>
      <c r="E219" s="249"/>
      <c r="F219" s="17"/>
      <c r="G219" s="17">
        <v>606065.27</v>
      </c>
      <c r="H219" s="17">
        <v>652522.23</v>
      </c>
      <c r="I219" s="17"/>
      <c r="J219" s="17">
        <f t="shared" si="3"/>
        <v>1258587.5</v>
      </c>
      <c r="K219" s="16"/>
    </row>
    <row r="220" spans="1:11" s="6" customFormat="1" ht="30">
      <c r="A220" s="5">
        <v>115</v>
      </c>
      <c r="B220" s="5" t="s">
        <v>890</v>
      </c>
      <c r="C220" s="396" t="s">
        <v>1510</v>
      </c>
      <c r="D220" s="5">
        <v>551</v>
      </c>
      <c r="E220" s="249"/>
      <c r="F220" s="17"/>
      <c r="G220" s="17">
        <v>210947.8</v>
      </c>
      <c r="H220" s="17">
        <v>140068.15</v>
      </c>
      <c r="I220" s="17"/>
      <c r="J220" s="17">
        <f t="shared" si="3"/>
        <v>351015.94999999995</v>
      </c>
      <c r="K220" s="16"/>
    </row>
    <row r="221" spans="1:11" s="6" customFormat="1">
      <c r="A221" s="5">
        <v>115</v>
      </c>
      <c r="B221" s="5" t="s">
        <v>184</v>
      </c>
      <c r="C221" s="396" t="s">
        <v>1511</v>
      </c>
      <c r="D221" s="5">
        <v>552</v>
      </c>
      <c r="E221" s="249"/>
      <c r="F221" s="17"/>
      <c r="G221" s="17">
        <v>57008.69</v>
      </c>
      <c r="H221" s="17">
        <v>40762.19</v>
      </c>
      <c r="I221" s="17"/>
      <c r="J221" s="17">
        <f t="shared" si="3"/>
        <v>97770.880000000005</v>
      </c>
      <c r="K221" s="16"/>
    </row>
    <row r="222" spans="1:11" s="6" customFormat="1">
      <c r="A222" s="5">
        <v>115</v>
      </c>
      <c r="B222" s="5" t="s">
        <v>186</v>
      </c>
      <c r="C222" s="396" t="s">
        <v>1512</v>
      </c>
      <c r="D222" s="5">
        <v>553</v>
      </c>
      <c r="E222" s="249"/>
      <c r="F222" s="17"/>
      <c r="G222" s="17">
        <v>460974.4</v>
      </c>
      <c r="H222" s="17">
        <v>919201.57</v>
      </c>
      <c r="I222" s="17"/>
      <c r="J222" s="17">
        <f t="shared" si="3"/>
        <v>1380175.97</v>
      </c>
      <c r="K222" s="16"/>
    </row>
    <row r="223" spans="1:11" s="6" customFormat="1">
      <c r="A223" s="5">
        <v>115</v>
      </c>
      <c r="B223" s="5" t="s">
        <v>890</v>
      </c>
      <c r="C223" s="396" t="s">
        <v>1513</v>
      </c>
      <c r="D223" s="5">
        <v>554</v>
      </c>
      <c r="E223" s="249"/>
      <c r="F223" s="17"/>
      <c r="G223" s="17">
        <v>254010.88</v>
      </c>
      <c r="H223" s="17">
        <v>367548</v>
      </c>
      <c r="I223" s="17"/>
      <c r="J223" s="17">
        <f t="shared" si="3"/>
        <v>621558.88</v>
      </c>
      <c r="K223" s="16"/>
    </row>
    <row r="224" spans="1:11" s="6" customFormat="1">
      <c r="A224" s="5">
        <v>115</v>
      </c>
      <c r="B224" s="5" t="s">
        <v>890</v>
      </c>
      <c r="C224" s="396" t="s">
        <v>1515</v>
      </c>
      <c r="D224" s="329" t="s">
        <v>1514</v>
      </c>
      <c r="E224" s="249"/>
      <c r="F224" s="17"/>
      <c r="G224" s="17">
        <v>401833.06</v>
      </c>
      <c r="H224" s="17">
        <v>721981.95</v>
      </c>
      <c r="I224" s="17"/>
      <c r="J224" s="17">
        <f t="shared" si="3"/>
        <v>1123815.01</v>
      </c>
      <c r="K224" s="16"/>
    </row>
    <row r="225" spans="1:11" s="6" customFormat="1">
      <c r="A225" s="5">
        <v>115</v>
      </c>
      <c r="B225" s="5" t="s">
        <v>890</v>
      </c>
      <c r="C225" s="396" t="s">
        <v>1516</v>
      </c>
      <c r="D225" s="5">
        <v>556</v>
      </c>
      <c r="E225" s="249"/>
      <c r="F225" s="17"/>
      <c r="G225" s="17">
        <v>395290.63</v>
      </c>
      <c r="H225" s="17">
        <v>579602.04</v>
      </c>
      <c r="I225" s="17"/>
      <c r="J225" s="17">
        <f t="shared" si="3"/>
        <v>974892.67</v>
      </c>
      <c r="K225" s="16"/>
    </row>
    <row r="226" spans="1:11" s="6" customFormat="1">
      <c r="A226" s="5">
        <v>115</v>
      </c>
      <c r="B226" s="5" t="s">
        <v>184</v>
      </c>
      <c r="C226" s="396" t="s">
        <v>1517</v>
      </c>
      <c r="D226" s="5">
        <v>557</v>
      </c>
      <c r="E226" s="249"/>
      <c r="F226" s="17"/>
      <c r="G226" s="17">
        <v>200925.1</v>
      </c>
      <c r="H226" s="17">
        <v>115950.97</v>
      </c>
      <c r="I226" s="17"/>
      <c r="J226" s="17">
        <f t="shared" si="3"/>
        <v>316876.07</v>
      </c>
      <c r="K226" s="16"/>
    </row>
    <row r="227" spans="1:11" s="6" customFormat="1">
      <c r="A227" s="5">
        <v>115</v>
      </c>
      <c r="B227" s="5" t="s">
        <v>890</v>
      </c>
      <c r="C227" s="396" t="s">
        <v>1518</v>
      </c>
      <c r="D227" s="5">
        <v>558</v>
      </c>
      <c r="E227" s="249"/>
      <c r="F227" s="17"/>
      <c r="G227" s="17">
        <v>472252.52</v>
      </c>
      <c r="H227" s="17">
        <v>995232.33</v>
      </c>
      <c r="I227" s="17"/>
      <c r="J227" s="17">
        <f t="shared" si="3"/>
        <v>1467484.85</v>
      </c>
      <c r="K227" s="16"/>
    </row>
    <row r="228" spans="1:11" s="6" customFormat="1">
      <c r="A228" s="5">
        <v>115</v>
      </c>
      <c r="B228" s="5" t="s">
        <v>890</v>
      </c>
      <c r="C228" s="396" t="s">
        <v>1519</v>
      </c>
      <c r="D228" s="5">
        <v>559</v>
      </c>
      <c r="E228" s="249"/>
      <c r="F228" s="17"/>
      <c r="G228" s="17">
        <v>185475.35</v>
      </c>
      <c r="H228" s="17">
        <v>181856.7</v>
      </c>
      <c r="I228" s="17"/>
      <c r="J228" s="17">
        <f t="shared" si="3"/>
        <v>367332.05000000005</v>
      </c>
      <c r="K228" s="16"/>
    </row>
    <row r="229" spans="1:11" s="6" customFormat="1">
      <c r="A229" s="5">
        <v>115</v>
      </c>
      <c r="B229" s="5" t="s">
        <v>186</v>
      </c>
      <c r="C229" s="396" t="s">
        <v>1520</v>
      </c>
      <c r="D229" s="5">
        <v>560</v>
      </c>
      <c r="E229" s="249"/>
      <c r="F229" s="17"/>
      <c r="G229" s="17">
        <v>27250.639999999999</v>
      </c>
      <c r="H229" s="17">
        <v>13846.92</v>
      </c>
      <c r="I229" s="17"/>
      <c r="J229" s="17">
        <f t="shared" si="3"/>
        <v>41097.56</v>
      </c>
      <c r="K229" s="16"/>
    </row>
    <row r="230" spans="1:11" s="6" customFormat="1">
      <c r="A230" s="5">
        <v>115</v>
      </c>
      <c r="B230" s="5" t="s">
        <v>186</v>
      </c>
      <c r="C230" s="396" t="s">
        <v>1521</v>
      </c>
      <c r="D230" s="5">
        <v>561</v>
      </c>
      <c r="E230" s="249"/>
      <c r="F230" s="17"/>
      <c r="G230" s="17">
        <v>21545.27</v>
      </c>
      <c r="H230" s="17">
        <v>126065.25</v>
      </c>
      <c r="I230" s="17"/>
      <c r="J230" s="17">
        <f t="shared" si="3"/>
        <v>147610.51999999999</v>
      </c>
      <c r="K230" s="16"/>
    </row>
    <row r="231" spans="1:11" s="6" customFormat="1">
      <c r="A231" s="5">
        <v>115</v>
      </c>
      <c r="B231" s="5" t="s">
        <v>186</v>
      </c>
      <c r="C231" s="396" t="s">
        <v>143</v>
      </c>
      <c r="D231" s="5">
        <v>562</v>
      </c>
      <c r="E231" s="249"/>
      <c r="F231" s="17"/>
      <c r="G231" s="17">
        <v>435408.76</v>
      </c>
      <c r="H231" s="17">
        <v>465918.89</v>
      </c>
      <c r="I231" s="17"/>
      <c r="J231" s="17">
        <f t="shared" si="3"/>
        <v>901327.65</v>
      </c>
      <c r="K231" s="16"/>
    </row>
    <row r="232" spans="1:11" s="6" customFormat="1">
      <c r="A232" s="5">
        <v>115</v>
      </c>
      <c r="B232" s="5" t="s">
        <v>890</v>
      </c>
      <c r="C232" s="396" t="s">
        <v>1522</v>
      </c>
      <c r="D232" s="5">
        <v>563</v>
      </c>
      <c r="E232" s="249"/>
      <c r="F232" s="17"/>
      <c r="G232" s="17">
        <v>11295.68</v>
      </c>
      <c r="H232" s="17">
        <v>4980.47</v>
      </c>
      <c r="I232" s="17"/>
      <c r="J232" s="17">
        <f t="shared" ref="J232:J269" si="4">SUM(E232:I232)</f>
        <v>16276.150000000001</v>
      </c>
      <c r="K232" s="16"/>
    </row>
    <row r="233" spans="1:11" s="6" customFormat="1">
      <c r="A233" s="5">
        <v>115</v>
      </c>
      <c r="B233" s="5" t="s">
        <v>186</v>
      </c>
      <c r="C233" s="396" t="s">
        <v>1523</v>
      </c>
      <c r="D233" s="5">
        <v>564</v>
      </c>
      <c r="E233" s="249"/>
      <c r="F233" s="17"/>
      <c r="G233" s="17">
        <v>48404.67</v>
      </c>
      <c r="H233" s="17">
        <v>16998.37</v>
      </c>
      <c r="I233" s="17"/>
      <c r="J233" s="17">
        <f t="shared" si="4"/>
        <v>65403.039999999994</v>
      </c>
      <c r="K233" s="16"/>
    </row>
    <row r="234" spans="1:11" s="6" customFormat="1">
      <c r="A234" s="5">
        <v>115</v>
      </c>
      <c r="B234" s="5" t="s">
        <v>890</v>
      </c>
      <c r="C234" s="396" t="s">
        <v>1524</v>
      </c>
      <c r="D234" s="5">
        <v>565</v>
      </c>
      <c r="E234" s="249"/>
      <c r="F234" s="17"/>
      <c r="G234" s="17">
        <v>188261.84</v>
      </c>
      <c r="H234" s="17">
        <v>186255.34</v>
      </c>
      <c r="I234" s="17"/>
      <c r="J234" s="17">
        <f t="shared" si="4"/>
        <v>374517.18</v>
      </c>
      <c r="K234" s="16"/>
    </row>
    <row r="235" spans="1:11" s="6" customFormat="1">
      <c r="A235" s="5">
        <v>115</v>
      </c>
      <c r="B235" s="5" t="s">
        <v>184</v>
      </c>
      <c r="C235" s="396" t="s">
        <v>1525</v>
      </c>
      <c r="D235" s="5">
        <v>567</v>
      </c>
      <c r="E235" s="249"/>
      <c r="F235" s="17"/>
      <c r="G235" s="17">
        <v>14954.49</v>
      </c>
      <c r="H235" s="17">
        <v>3443.45</v>
      </c>
      <c r="I235" s="17"/>
      <c r="J235" s="17">
        <f t="shared" si="4"/>
        <v>18397.939999999999</v>
      </c>
      <c r="K235" s="16"/>
    </row>
    <row r="236" spans="1:11" s="6" customFormat="1">
      <c r="A236" s="5">
        <v>115</v>
      </c>
      <c r="B236" s="5" t="s">
        <v>890</v>
      </c>
      <c r="C236" s="396" t="s">
        <v>1526</v>
      </c>
      <c r="D236" s="5" t="s">
        <v>212</v>
      </c>
      <c r="E236" s="249"/>
      <c r="F236" s="17"/>
      <c r="G236" s="17">
        <v>617934.31000000006</v>
      </c>
      <c r="H236" s="17">
        <v>775946.13</v>
      </c>
      <c r="I236" s="17">
        <v>68285.960000000006</v>
      </c>
      <c r="J236" s="17">
        <f t="shared" si="4"/>
        <v>1462166.4</v>
      </c>
      <c r="K236" s="16"/>
    </row>
    <row r="237" spans="1:11" s="6" customFormat="1">
      <c r="A237" s="5">
        <v>115</v>
      </c>
      <c r="B237" s="5" t="s">
        <v>890</v>
      </c>
      <c r="C237" s="396" t="s">
        <v>1527</v>
      </c>
      <c r="D237" s="5">
        <v>569</v>
      </c>
      <c r="E237" s="249"/>
      <c r="F237" s="17"/>
      <c r="G237" s="17">
        <v>41004.449999999997</v>
      </c>
      <c r="H237" s="17">
        <v>17935.099999999999</v>
      </c>
      <c r="I237" s="17"/>
      <c r="J237" s="17">
        <f t="shared" si="4"/>
        <v>58939.549999999996</v>
      </c>
      <c r="K237" s="16"/>
    </row>
    <row r="238" spans="1:11" s="6" customFormat="1">
      <c r="A238" s="5">
        <v>115</v>
      </c>
      <c r="B238" s="5" t="s">
        <v>186</v>
      </c>
      <c r="C238" s="396" t="s">
        <v>1528</v>
      </c>
      <c r="D238" s="5">
        <v>571</v>
      </c>
      <c r="E238" s="249"/>
      <c r="F238" s="17"/>
      <c r="G238" s="17">
        <v>323285.34999999998</v>
      </c>
      <c r="H238" s="17">
        <v>347027.83</v>
      </c>
      <c r="I238" s="17"/>
      <c r="J238" s="17">
        <f t="shared" si="4"/>
        <v>670313.17999999993</v>
      </c>
      <c r="K238" s="16"/>
    </row>
    <row r="239" spans="1:11" s="6" customFormat="1">
      <c r="A239" s="5">
        <v>115</v>
      </c>
      <c r="B239" s="5" t="s">
        <v>186</v>
      </c>
      <c r="C239" s="396" t="s">
        <v>1528</v>
      </c>
      <c r="D239" s="5">
        <v>572</v>
      </c>
      <c r="E239" s="249"/>
      <c r="F239" s="17"/>
      <c r="G239" s="17">
        <v>349534.47</v>
      </c>
      <c r="H239" s="17">
        <v>251862.42</v>
      </c>
      <c r="I239" s="17"/>
      <c r="J239" s="17">
        <f t="shared" si="4"/>
        <v>601396.89</v>
      </c>
      <c r="K239" s="16"/>
    </row>
    <row r="240" spans="1:11" s="6" customFormat="1">
      <c r="A240" s="5">
        <v>115</v>
      </c>
      <c r="B240" s="5" t="s">
        <v>186</v>
      </c>
      <c r="C240" s="396" t="s">
        <v>1529</v>
      </c>
      <c r="D240" s="5">
        <v>574</v>
      </c>
      <c r="E240" s="249"/>
      <c r="F240" s="17"/>
      <c r="G240" s="17">
        <v>183261.09</v>
      </c>
      <c r="H240" s="17">
        <v>219695.15</v>
      </c>
      <c r="I240" s="17"/>
      <c r="J240" s="17">
        <f t="shared" si="4"/>
        <v>402956.24</v>
      </c>
      <c r="K240" s="16"/>
    </row>
    <row r="241" spans="1:11" s="6" customFormat="1">
      <c r="A241" s="5">
        <v>115</v>
      </c>
      <c r="B241" s="5" t="s">
        <v>186</v>
      </c>
      <c r="C241" s="396" t="s">
        <v>1530</v>
      </c>
      <c r="D241" s="5">
        <v>577</v>
      </c>
      <c r="E241" s="249"/>
      <c r="F241" s="17"/>
      <c r="G241" s="17">
        <v>346754.93</v>
      </c>
      <c r="H241" s="17">
        <v>487008.3</v>
      </c>
      <c r="I241" s="17"/>
      <c r="J241" s="17">
        <f t="shared" si="4"/>
        <v>833763.23</v>
      </c>
      <c r="K241" s="16"/>
    </row>
    <row r="242" spans="1:11" s="6" customFormat="1">
      <c r="A242" s="5">
        <v>115</v>
      </c>
      <c r="B242" s="5" t="s">
        <v>184</v>
      </c>
      <c r="C242" s="390" t="s">
        <v>165</v>
      </c>
      <c r="D242" s="5">
        <v>578</v>
      </c>
      <c r="E242" s="249"/>
      <c r="F242" s="17"/>
      <c r="G242" s="17">
        <v>931960.28</v>
      </c>
      <c r="H242" s="17">
        <v>573906.18999999994</v>
      </c>
      <c r="I242" s="17"/>
      <c r="J242" s="17">
        <f t="shared" si="4"/>
        <v>1505866.47</v>
      </c>
      <c r="K242" s="16"/>
    </row>
    <row r="243" spans="1:11" s="6" customFormat="1">
      <c r="A243" s="5">
        <v>115</v>
      </c>
      <c r="B243" s="5" t="s">
        <v>184</v>
      </c>
      <c r="C243" s="396" t="s">
        <v>1531</v>
      </c>
      <c r="D243" s="5" t="s">
        <v>164</v>
      </c>
      <c r="E243" s="249"/>
      <c r="F243" s="17"/>
      <c r="G243" s="17">
        <v>137535.62</v>
      </c>
      <c r="H243" s="17">
        <v>19394.62</v>
      </c>
      <c r="I243" s="17"/>
      <c r="J243" s="17">
        <f t="shared" si="4"/>
        <v>156930.23999999999</v>
      </c>
      <c r="K243" s="16"/>
    </row>
    <row r="244" spans="1:11" s="6" customFormat="1">
      <c r="A244" s="5">
        <v>115</v>
      </c>
      <c r="B244" s="329" t="s">
        <v>184</v>
      </c>
      <c r="C244" s="396" t="s">
        <v>1532</v>
      </c>
      <c r="D244" s="5">
        <v>579</v>
      </c>
      <c r="E244" s="249">
        <v>1169504.27</v>
      </c>
      <c r="F244" s="17"/>
      <c r="G244" s="17">
        <v>1071018.49</v>
      </c>
      <c r="H244" s="17">
        <v>1593112.94</v>
      </c>
      <c r="I244" s="17">
        <v>5591.69</v>
      </c>
      <c r="J244" s="17">
        <f t="shared" si="4"/>
        <v>3839227.3899999997</v>
      </c>
      <c r="K244" s="16"/>
    </row>
    <row r="245" spans="1:11" s="6" customFormat="1">
      <c r="A245" s="5">
        <v>115</v>
      </c>
      <c r="B245" s="5" t="s">
        <v>890</v>
      </c>
      <c r="C245" s="390" t="s">
        <v>166</v>
      </c>
      <c r="D245" s="5">
        <v>581</v>
      </c>
      <c r="E245" s="249">
        <v>1964909.79</v>
      </c>
      <c r="F245" s="17"/>
      <c r="G245" s="17">
        <v>888970.19</v>
      </c>
      <c r="H245" s="17">
        <v>1673868.89</v>
      </c>
      <c r="I245" s="17">
        <v>18845.84</v>
      </c>
      <c r="J245" s="17">
        <f t="shared" si="4"/>
        <v>4546594.71</v>
      </c>
      <c r="K245" s="16"/>
    </row>
    <row r="246" spans="1:11" s="6" customFormat="1">
      <c r="A246" s="5">
        <v>115</v>
      </c>
      <c r="B246" s="5" t="s">
        <v>184</v>
      </c>
      <c r="C246" s="390" t="s">
        <v>167</v>
      </c>
      <c r="D246" s="5">
        <v>582</v>
      </c>
      <c r="E246" s="249">
        <v>64086.09</v>
      </c>
      <c r="F246" s="17"/>
      <c r="G246" s="17">
        <v>41747.69</v>
      </c>
      <c r="H246" s="17">
        <v>18897.2</v>
      </c>
      <c r="I246" s="17"/>
      <c r="J246" s="17">
        <f t="shared" si="4"/>
        <v>124730.98</v>
      </c>
      <c r="K246" s="16"/>
    </row>
    <row r="247" spans="1:11" s="6" customFormat="1">
      <c r="A247" s="5">
        <v>115</v>
      </c>
      <c r="B247" s="5" t="s">
        <v>186</v>
      </c>
      <c r="C247" s="396" t="s">
        <v>1533</v>
      </c>
      <c r="D247" s="5">
        <v>584</v>
      </c>
      <c r="E247" s="249"/>
      <c r="F247" s="17"/>
      <c r="G247" s="17">
        <v>13672.05</v>
      </c>
      <c r="H247" s="17">
        <v>31520.33</v>
      </c>
      <c r="I247" s="17"/>
      <c r="J247" s="17">
        <f t="shared" si="4"/>
        <v>45192.380000000005</v>
      </c>
      <c r="K247" s="16"/>
    </row>
    <row r="248" spans="1:11" s="6" customFormat="1">
      <c r="A248" s="5">
        <v>115</v>
      </c>
      <c r="B248" s="5" t="s">
        <v>186</v>
      </c>
      <c r="C248" s="396" t="s">
        <v>1534</v>
      </c>
      <c r="D248" s="5">
        <v>585</v>
      </c>
      <c r="E248" s="249"/>
      <c r="F248" s="17"/>
      <c r="G248" s="17">
        <v>0</v>
      </c>
      <c r="H248" s="17">
        <v>0</v>
      </c>
      <c r="I248" s="17"/>
      <c r="J248" s="17">
        <f t="shared" si="4"/>
        <v>0</v>
      </c>
      <c r="K248" s="16"/>
    </row>
    <row r="249" spans="1:11" s="6" customFormat="1">
      <c r="A249" s="5">
        <v>115</v>
      </c>
      <c r="B249" s="5" t="s">
        <v>186</v>
      </c>
      <c r="C249" s="396" t="s">
        <v>1535</v>
      </c>
      <c r="D249" s="5">
        <v>586</v>
      </c>
      <c r="E249" s="249"/>
      <c r="F249" s="17"/>
      <c r="G249" s="17">
        <v>0</v>
      </c>
      <c r="H249" s="17">
        <v>30504.74</v>
      </c>
      <c r="I249" s="17"/>
      <c r="J249" s="17">
        <f t="shared" si="4"/>
        <v>30504.74</v>
      </c>
      <c r="K249" s="16"/>
    </row>
    <row r="250" spans="1:11" s="6" customFormat="1">
      <c r="A250" s="5">
        <v>115</v>
      </c>
      <c r="B250" s="5" t="s">
        <v>186</v>
      </c>
      <c r="C250" s="396" t="s">
        <v>1536</v>
      </c>
      <c r="D250" s="5">
        <v>587</v>
      </c>
      <c r="E250" s="249">
        <v>550676.68000000005</v>
      </c>
      <c r="F250" s="17"/>
      <c r="G250" s="17">
        <v>369240.4</v>
      </c>
      <c r="H250" s="17">
        <v>444016.59</v>
      </c>
      <c r="I250" s="17"/>
      <c r="J250" s="17">
        <f t="shared" si="4"/>
        <v>1363933.6700000002</v>
      </c>
      <c r="K250" s="16"/>
    </row>
    <row r="251" spans="1:11" s="6" customFormat="1">
      <c r="A251" s="5">
        <v>115</v>
      </c>
      <c r="B251" s="5" t="s">
        <v>890</v>
      </c>
      <c r="C251" s="396" t="s">
        <v>1537</v>
      </c>
      <c r="D251" s="5">
        <v>588</v>
      </c>
      <c r="E251" s="249">
        <v>438692.07</v>
      </c>
      <c r="F251" s="17"/>
      <c r="G251" s="17">
        <v>188689.48</v>
      </c>
      <c r="H251" s="17">
        <v>481849.26299999998</v>
      </c>
      <c r="I251" s="17"/>
      <c r="J251" s="17">
        <f t="shared" si="4"/>
        <v>1109230.8130000001</v>
      </c>
      <c r="K251" s="16"/>
    </row>
    <row r="252" spans="1:11" s="6" customFormat="1">
      <c r="A252" s="5">
        <v>115</v>
      </c>
      <c r="B252" s="5" t="s">
        <v>184</v>
      </c>
      <c r="C252" s="390" t="s">
        <v>168</v>
      </c>
      <c r="D252" s="5">
        <v>590</v>
      </c>
      <c r="E252" s="249"/>
      <c r="F252" s="17"/>
      <c r="G252" s="17">
        <v>120584.98</v>
      </c>
      <c r="H252" s="17">
        <v>96415.55</v>
      </c>
      <c r="I252" s="17"/>
      <c r="J252" s="17">
        <f t="shared" si="4"/>
        <v>217000.53</v>
      </c>
      <c r="K252" s="16"/>
    </row>
    <row r="253" spans="1:11" s="6" customFormat="1">
      <c r="A253" s="5">
        <v>115</v>
      </c>
      <c r="B253" s="5" t="s">
        <v>184</v>
      </c>
      <c r="C253" s="390" t="s">
        <v>169</v>
      </c>
      <c r="D253" s="5">
        <v>593</v>
      </c>
      <c r="E253" s="249">
        <v>1756</v>
      </c>
      <c r="F253" s="17"/>
      <c r="G253" s="17">
        <v>40369.9</v>
      </c>
      <c r="H253" s="17">
        <v>9835.4699999999993</v>
      </c>
      <c r="I253" s="17"/>
      <c r="J253" s="17">
        <f t="shared" si="4"/>
        <v>51961.37</v>
      </c>
      <c r="K253" s="16"/>
    </row>
    <row r="254" spans="1:11" s="6" customFormat="1">
      <c r="A254" s="5">
        <v>115</v>
      </c>
      <c r="B254" s="5" t="s">
        <v>184</v>
      </c>
      <c r="C254" s="390" t="s">
        <v>170</v>
      </c>
      <c r="D254" s="5">
        <v>594</v>
      </c>
      <c r="E254" s="249">
        <v>6326.27</v>
      </c>
      <c r="F254" s="17"/>
      <c r="G254" s="17">
        <v>55758.91</v>
      </c>
      <c r="H254" s="17">
        <v>24330.48</v>
      </c>
      <c r="I254" s="17"/>
      <c r="J254" s="17">
        <f t="shared" si="4"/>
        <v>86415.66</v>
      </c>
      <c r="K254" s="16"/>
    </row>
    <row r="255" spans="1:11" s="6" customFormat="1">
      <c r="A255" s="5">
        <v>115</v>
      </c>
      <c r="B255" s="5" t="s">
        <v>184</v>
      </c>
      <c r="C255" s="390" t="s">
        <v>185</v>
      </c>
      <c r="D255" s="5">
        <v>595</v>
      </c>
      <c r="E255" s="249"/>
      <c r="F255" s="17"/>
      <c r="G255" s="17">
        <v>11146.83</v>
      </c>
      <c r="H255" s="17">
        <v>0</v>
      </c>
      <c r="I255" s="17"/>
      <c r="J255" s="17">
        <f t="shared" si="4"/>
        <v>11146.83</v>
      </c>
      <c r="K255" s="16"/>
    </row>
    <row r="256" spans="1:11" s="6" customFormat="1">
      <c r="A256" s="5">
        <v>115</v>
      </c>
      <c r="B256" s="329" t="s">
        <v>186</v>
      </c>
      <c r="C256" s="396" t="s">
        <v>1538</v>
      </c>
      <c r="D256" s="5">
        <v>607</v>
      </c>
      <c r="E256" s="297">
        <v>727</v>
      </c>
      <c r="F256" s="17"/>
      <c r="G256" s="296">
        <v>21300.6</v>
      </c>
      <c r="H256" s="296">
        <v>3606.65</v>
      </c>
      <c r="I256" s="17"/>
      <c r="J256" s="17">
        <f t="shared" si="4"/>
        <v>25634.25</v>
      </c>
      <c r="K256" s="16">
        <f>25634.25-0</f>
        <v>25634.25</v>
      </c>
    </row>
    <row r="257" spans="1:11" s="6" customFormat="1">
      <c r="A257" s="5">
        <v>115</v>
      </c>
      <c r="B257" s="329" t="s">
        <v>186</v>
      </c>
      <c r="C257" s="396" t="s">
        <v>1539</v>
      </c>
      <c r="D257" s="5">
        <v>608</v>
      </c>
      <c r="E257" s="297">
        <v>2485.58</v>
      </c>
      <c r="F257" s="17"/>
      <c r="G257" s="296">
        <v>6922.34</v>
      </c>
      <c r="H257" s="296">
        <v>13149.63</v>
      </c>
      <c r="I257" s="17"/>
      <c r="J257" s="17">
        <f t="shared" si="4"/>
        <v>22557.55</v>
      </c>
      <c r="K257" s="16">
        <f>22557.55-0</f>
        <v>22557.55</v>
      </c>
    </row>
    <row r="258" spans="1:11" s="6" customFormat="1">
      <c r="A258" s="5">
        <v>115</v>
      </c>
      <c r="B258" s="329" t="s">
        <v>186</v>
      </c>
      <c r="C258" s="396" t="s">
        <v>1540</v>
      </c>
      <c r="D258" s="5">
        <v>609</v>
      </c>
      <c r="E258" s="297">
        <v>2341.27</v>
      </c>
      <c r="F258" s="296">
        <v>4827.82</v>
      </c>
      <c r="G258" s="296">
        <v>37358.339999999997</v>
      </c>
      <c r="H258" s="296">
        <v>29142.51</v>
      </c>
      <c r="I258" s="17"/>
      <c r="J258" s="17">
        <f t="shared" si="4"/>
        <v>73669.939999999988</v>
      </c>
      <c r="K258" s="16">
        <f>73669.94-0</f>
        <v>73669.94</v>
      </c>
    </row>
    <row r="259" spans="1:11" s="6" customFormat="1">
      <c r="A259" s="5">
        <v>115</v>
      </c>
      <c r="B259" s="329" t="s">
        <v>186</v>
      </c>
      <c r="C259" s="396" t="s">
        <v>1541</v>
      </c>
      <c r="D259" s="5">
        <v>610</v>
      </c>
      <c r="E259" s="297">
        <v>9708.68</v>
      </c>
      <c r="F259" s="17"/>
      <c r="G259" s="296">
        <v>203039.98</v>
      </c>
      <c r="H259" s="296">
        <v>71953.67</v>
      </c>
      <c r="I259" s="17"/>
      <c r="J259" s="17">
        <f t="shared" si="4"/>
        <v>284702.33</v>
      </c>
      <c r="K259" s="16">
        <f>284702.33-0</f>
        <v>284702.33</v>
      </c>
    </row>
    <row r="260" spans="1:11" s="6" customFormat="1">
      <c r="A260" s="5">
        <v>115</v>
      </c>
      <c r="B260" s="329" t="s">
        <v>186</v>
      </c>
      <c r="C260" s="396" t="s">
        <v>1542</v>
      </c>
      <c r="D260" s="5">
        <v>611</v>
      </c>
      <c r="E260" s="297">
        <v>44812.45</v>
      </c>
      <c r="F260" s="17"/>
      <c r="G260" s="296">
        <v>369229.64</v>
      </c>
      <c r="H260" s="296">
        <v>154807.22</v>
      </c>
      <c r="I260" s="17"/>
      <c r="J260" s="17">
        <f t="shared" si="4"/>
        <v>568849.31000000006</v>
      </c>
      <c r="K260" s="16">
        <f>568849.31-0</f>
        <v>568849.31000000006</v>
      </c>
    </row>
    <row r="261" spans="1:11" s="6" customFormat="1">
      <c r="A261" s="5">
        <v>115</v>
      </c>
      <c r="B261" s="329" t="s">
        <v>186</v>
      </c>
      <c r="C261" s="396" t="s">
        <v>1543</v>
      </c>
      <c r="D261" s="5">
        <v>612</v>
      </c>
      <c r="E261" s="297">
        <v>1612.59</v>
      </c>
      <c r="F261" s="17"/>
      <c r="G261" s="296">
        <v>159545.97</v>
      </c>
      <c r="H261" s="296">
        <v>33020.639999999999</v>
      </c>
      <c r="I261" s="17"/>
      <c r="J261" s="17">
        <f t="shared" si="4"/>
        <v>194179.20000000001</v>
      </c>
      <c r="K261" s="16">
        <f>194179.2-0</f>
        <v>194179.20000000001</v>
      </c>
    </row>
    <row r="262" spans="1:11" s="6" customFormat="1">
      <c r="A262" s="5">
        <v>115</v>
      </c>
      <c r="B262" s="329" t="s">
        <v>186</v>
      </c>
      <c r="C262" s="396" t="s">
        <v>1544</v>
      </c>
      <c r="D262" s="5">
        <v>613</v>
      </c>
      <c r="E262" s="297">
        <v>14718.08</v>
      </c>
      <c r="F262" s="17"/>
      <c r="G262" s="296">
        <v>136560.76</v>
      </c>
      <c r="H262" s="296">
        <v>61808.3</v>
      </c>
      <c r="I262" s="17"/>
      <c r="J262" s="17">
        <f t="shared" si="4"/>
        <v>213087.14</v>
      </c>
      <c r="K262" s="16">
        <f>213087.14-0</f>
        <v>213087.14</v>
      </c>
    </row>
    <row r="263" spans="1:11" s="6" customFormat="1">
      <c r="A263" s="5">
        <v>115</v>
      </c>
      <c r="B263" s="329" t="s">
        <v>186</v>
      </c>
      <c r="C263" s="396" t="s">
        <v>1545</v>
      </c>
      <c r="D263" s="5">
        <v>614</v>
      </c>
      <c r="E263" s="297">
        <v>27231.53</v>
      </c>
      <c r="F263" s="17"/>
      <c r="G263" s="296">
        <v>190345.87</v>
      </c>
      <c r="H263" s="296">
        <v>223324.74</v>
      </c>
      <c r="I263" s="17"/>
      <c r="J263" s="17">
        <f t="shared" si="4"/>
        <v>440902.14</v>
      </c>
      <c r="K263" s="16">
        <f>440902.14-0</f>
        <v>440902.14</v>
      </c>
    </row>
    <row r="264" spans="1:11" s="6" customFormat="1">
      <c r="A264" s="5">
        <v>115</v>
      </c>
      <c r="B264" s="329" t="s">
        <v>186</v>
      </c>
      <c r="C264" s="396" t="s">
        <v>1546</v>
      </c>
      <c r="D264" s="5">
        <v>615</v>
      </c>
      <c r="E264" s="297">
        <v>48024.51</v>
      </c>
      <c r="F264" s="17"/>
      <c r="G264" s="296">
        <v>503218.11</v>
      </c>
      <c r="H264" s="296">
        <v>208017.84</v>
      </c>
      <c r="I264" s="17"/>
      <c r="J264" s="17">
        <f t="shared" si="4"/>
        <v>759260.46</v>
      </c>
      <c r="K264" s="16">
        <f>759260.46-0</f>
        <v>759260.46</v>
      </c>
    </row>
    <row r="265" spans="1:11" s="6" customFormat="1">
      <c r="A265" s="5"/>
      <c r="B265" s="329"/>
      <c r="C265" s="396" t="s">
        <v>842</v>
      </c>
      <c r="D265" s="5"/>
      <c r="E265" s="249"/>
      <c r="F265" s="17"/>
      <c r="G265" s="17">
        <v>83787.8</v>
      </c>
      <c r="H265" s="17">
        <v>107484.73</v>
      </c>
      <c r="I265" s="17"/>
      <c r="J265" s="17"/>
      <c r="K265" s="16"/>
    </row>
    <row r="266" spans="1:11" s="6" customFormat="1">
      <c r="A266" s="5"/>
      <c r="B266" s="329"/>
      <c r="C266" s="396" t="s">
        <v>434</v>
      </c>
      <c r="D266" s="5"/>
      <c r="E266" s="249"/>
      <c r="F266" s="17"/>
      <c r="G266" s="17">
        <v>83357.63</v>
      </c>
      <c r="H266" s="17">
        <v>111651.25</v>
      </c>
      <c r="I266" s="17"/>
      <c r="J266" s="17"/>
      <c r="K266" s="16"/>
    </row>
    <row r="267" spans="1:11" s="6" customFormat="1">
      <c r="A267" s="5"/>
      <c r="B267" s="5"/>
      <c r="C267" s="390"/>
      <c r="D267" s="5"/>
      <c r="E267" s="249"/>
      <c r="F267" s="17"/>
      <c r="G267" s="17"/>
      <c r="H267" s="17"/>
      <c r="I267" s="17"/>
      <c r="J267" s="17"/>
      <c r="K267" s="16"/>
    </row>
    <row r="268" spans="1:11" s="6" customFormat="1">
      <c r="A268" s="5"/>
      <c r="B268" s="5"/>
      <c r="C268" s="390"/>
      <c r="D268" s="5"/>
      <c r="E268" s="249"/>
      <c r="F268" s="17"/>
      <c r="G268" s="17"/>
      <c r="H268" s="17"/>
      <c r="I268" s="17"/>
      <c r="J268" s="17"/>
      <c r="K268" s="16"/>
    </row>
    <row r="269" spans="1:11" s="6" customFormat="1">
      <c r="A269" s="5"/>
      <c r="B269" s="5"/>
      <c r="C269" s="390" t="s">
        <v>171</v>
      </c>
      <c r="D269" s="153" t="s">
        <v>886</v>
      </c>
      <c r="E269" s="377">
        <v>20970330.18</v>
      </c>
      <c r="F269" s="47"/>
      <c r="G269" s="47"/>
      <c r="H269" s="47"/>
      <c r="I269" s="47"/>
      <c r="J269" s="47">
        <f t="shared" si="4"/>
        <v>20970330.18</v>
      </c>
      <c r="K269" s="16"/>
    </row>
    <row r="270" spans="1:11" s="6" customFormat="1">
      <c r="A270" s="5"/>
      <c r="B270" s="5"/>
      <c r="E270" s="16"/>
      <c r="J270" s="2"/>
      <c r="K270" s="16"/>
    </row>
    <row r="271" spans="1:11" s="6" customFormat="1">
      <c r="E271" s="17">
        <f>SUM(E8:E269)</f>
        <v>35439372.299999997</v>
      </c>
      <c r="F271" s="17">
        <f>SUM(F8:F269)</f>
        <v>155846.52000000002</v>
      </c>
      <c r="G271" s="17">
        <f>SUM(G8:G269)</f>
        <v>77334586.720000014</v>
      </c>
      <c r="H271" s="17">
        <f>SUM(H8:H269)</f>
        <v>95752841.98300001</v>
      </c>
      <c r="I271" s="17">
        <f>SUM(I8:I269)</f>
        <v>390967.44000000012</v>
      </c>
      <c r="J271" s="17">
        <f>SUM(E271:I271)</f>
        <v>209073614.96300003</v>
      </c>
      <c r="K271" s="16">
        <f>SUM(K7:K270)</f>
        <v>19537649.120000005</v>
      </c>
    </row>
    <row r="272" spans="1:11" s="6" customFormat="1">
      <c r="E272" s="17">
        <f>+E271</f>
        <v>35439372.299999997</v>
      </c>
      <c r="F272" s="17">
        <f>+F271</f>
        <v>155846.52000000002</v>
      </c>
      <c r="G272" s="17">
        <f>+G271</f>
        <v>77334586.720000014</v>
      </c>
      <c r="H272" s="17">
        <f>+H271</f>
        <v>95752841.98300001</v>
      </c>
      <c r="I272" s="2"/>
      <c r="J272" s="18">
        <f>SUM(E272:I272)</f>
        <v>208682647.52300003</v>
      </c>
      <c r="K272" s="16"/>
    </row>
    <row r="273" spans="1:14" s="6" customFormat="1">
      <c r="E273" s="2"/>
      <c r="F273" s="2"/>
      <c r="G273" s="2"/>
      <c r="H273" s="2"/>
      <c r="I273" s="2"/>
      <c r="J273" s="17" t="s">
        <v>1123</v>
      </c>
      <c r="K273" s="16"/>
    </row>
    <row r="274" spans="1:14" s="6" customFormat="1">
      <c r="E274" s="17">
        <f>+E272-E269</f>
        <v>14469042.119999997</v>
      </c>
      <c r="F274" s="17">
        <f>+F271</f>
        <v>155846.52000000002</v>
      </c>
      <c r="G274" s="17">
        <f>+G271</f>
        <v>77334586.720000014</v>
      </c>
      <c r="H274" s="17">
        <f>+H271</f>
        <v>95752841.98300001</v>
      </c>
      <c r="I274" s="2"/>
      <c r="J274" s="17">
        <f>SUM(E274:I274)</f>
        <v>187712317.34300002</v>
      </c>
      <c r="K274" s="16"/>
      <c r="M274" s="16"/>
      <c r="N274" s="16"/>
    </row>
    <row r="275" spans="1:14" s="6" customFormat="1">
      <c r="E275" s="2"/>
      <c r="F275" s="2"/>
      <c r="G275" s="2"/>
      <c r="H275" s="2"/>
      <c r="I275" s="2"/>
      <c r="J275" s="2" t="s">
        <v>1123</v>
      </c>
      <c r="K275" s="16"/>
      <c r="M275" s="18"/>
      <c r="N275" s="18"/>
    </row>
    <row r="276" spans="1:14" s="6" customFormat="1">
      <c r="E276" s="2" t="s">
        <v>196</v>
      </c>
      <c r="F276" s="2"/>
      <c r="G276" s="2"/>
      <c r="H276" s="2"/>
      <c r="I276" s="2"/>
      <c r="J276" s="2" t="s">
        <v>1124</v>
      </c>
      <c r="K276" s="16"/>
    </row>
    <row r="277" spans="1:14" s="6" customFormat="1">
      <c r="E277" s="2"/>
      <c r="F277" s="2"/>
      <c r="G277" s="2"/>
      <c r="H277" s="2"/>
      <c r="I277" s="2"/>
      <c r="J277" s="2"/>
      <c r="K277" s="16"/>
    </row>
    <row r="278" spans="1:14" s="6" customFormat="1">
      <c r="A278" s="15"/>
      <c r="B278" s="15"/>
      <c r="E278" s="12" t="s">
        <v>196</v>
      </c>
      <c r="F278" s="12" t="s">
        <v>196</v>
      </c>
      <c r="G278" s="12" t="s">
        <v>196</v>
      </c>
      <c r="H278" s="12" t="s">
        <v>196</v>
      </c>
      <c r="I278" s="12" t="s">
        <v>196</v>
      </c>
      <c r="J278" s="18">
        <f>SUM(E278:I278)</f>
        <v>0</v>
      </c>
      <c r="K278" s="16"/>
    </row>
    <row r="279" spans="1:14" s="6" customFormat="1">
      <c r="C279" s="15" t="s">
        <v>1547</v>
      </c>
      <c r="E279" s="19">
        <v>35439372.299999997</v>
      </c>
      <c r="F279" s="19">
        <v>155846.51999999999</v>
      </c>
      <c r="G279" s="19">
        <v>77167441.290000007</v>
      </c>
      <c r="H279" s="19">
        <v>95533706</v>
      </c>
      <c r="I279" s="18">
        <f>I271</f>
        <v>390967.44000000012</v>
      </c>
      <c r="J279" s="19">
        <f>SUM(E279:I279)</f>
        <v>208687333.55000001</v>
      </c>
      <c r="K279" s="16"/>
    </row>
    <row r="280" spans="1:14" s="6" customFormat="1">
      <c r="C280" s="6" t="s">
        <v>1631</v>
      </c>
      <c r="E280" s="18">
        <f>E271-E279</f>
        <v>0</v>
      </c>
      <c r="F280" s="18">
        <f>F271-F279</f>
        <v>0</v>
      </c>
      <c r="G280" s="18">
        <f>G271-G279</f>
        <v>167145.43000000715</v>
      </c>
      <c r="H280" s="18">
        <f>H271-H279</f>
        <v>219135.98300001025</v>
      </c>
      <c r="I280" s="18">
        <f>I271-I279</f>
        <v>0</v>
      </c>
      <c r="J280" s="19"/>
      <c r="K280" s="16"/>
    </row>
    <row r="281" spans="1:14" s="6" customFormat="1">
      <c r="E281" s="19"/>
      <c r="F281" s="19"/>
      <c r="G281" s="19"/>
      <c r="H281" s="19"/>
      <c r="I281" s="19"/>
      <c r="J281" s="19"/>
      <c r="K281" s="16"/>
    </row>
    <row r="282" spans="1:14" s="6" customFormat="1">
      <c r="E282" s="19"/>
      <c r="F282" s="19"/>
      <c r="G282" s="19"/>
      <c r="H282" s="19"/>
      <c r="I282" s="19"/>
      <c r="J282" s="19"/>
      <c r="K282" s="16"/>
    </row>
    <row r="283" spans="1:14" s="6" customFormat="1">
      <c r="E283" s="19"/>
      <c r="F283" s="19"/>
      <c r="G283" s="19"/>
      <c r="H283" s="19"/>
      <c r="I283" s="19"/>
      <c r="J283" s="19"/>
      <c r="K283" s="16"/>
    </row>
    <row r="284" spans="1:14" s="6" customFormat="1">
      <c r="C284" s="15" t="s">
        <v>1160</v>
      </c>
      <c r="E284" s="20"/>
      <c r="F284" s="20"/>
      <c r="G284" s="20"/>
      <c r="H284" s="20"/>
      <c r="I284" s="20"/>
      <c r="J284" s="19"/>
      <c r="K284" s="16"/>
    </row>
    <row r="285" spans="1:14" s="6" customFormat="1">
      <c r="C285" s="6" t="s">
        <v>147</v>
      </c>
      <c r="E285" s="19">
        <f>E279+E284</f>
        <v>35439372.299999997</v>
      </c>
      <c r="F285" s="19">
        <f>F279+F284</f>
        <v>155846.51999999999</v>
      </c>
      <c r="G285" s="19">
        <f>G279+SUM(G280:G284)</f>
        <v>77334586.720000014</v>
      </c>
      <c r="H285" s="19">
        <f>H279+SUM(H280:H284)</f>
        <v>95752841.98300001</v>
      </c>
      <c r="I285" s="19">
        <f>I279+I284</f>
        <v>390967.44000000012</v>
      </c>
      <c r="J285" s="19">
        <f>+E285+F285+G285+H285</f>
        <v>208682647.52300003</v>
      </c>
      <c r="K285" s="16"/>
    </row>
    <row r="286" spans="1:14" s="6" customFormat="1">
      <c r="E286" s="19">
        <f>+E285-E271</f>
        <v>0</v>
      </c>
      <c r="F286" s="19">
        <f>+F285-F271</f>
        <v>0</v>
      </c>
      <c r="G286" s="19">
        <f>+G285-G271</f>
        <v>0</v>
      </c>
      <c r="H286" s="19">
        <f>+H285-H271</f>
        <v>0</v>
      </c>
      <c r="I286" s="19">
        <f>+I285-I271</f>
        <v>0</v>
      </c>
      <c r="K286" s="16"/>
    </row>
    <row r="287" spans="1:14" s="6" customFormat="1">
      <c r="K287" s="16"/>
    </row>
    <row r="288" spans="1:14" s="6" customFormat="1">
      <c r="A288" s="15"/>
      <c r="B288" s="15"/>
      <c r="C288" s="15" t="s">
        <v>1548</v>
      </c>
      <c r="E288" s="12">
        <v>35439372.299999997</v>
      </c>
      <c r="F288" s="12">
        <v>155846.51999999999</v>
      </c>
      <c r="G288" s="12">
        <v>77167441.290000007</v>
      </c>
      <c r="H288" s="12">
        <v>95533706</v>
      </c>
      <c r="I288" s="12">
        <f>I279</f>
        <v>390967.44000000012</v>
      </c>
      <c r="J288" s="12">
        <f>SUM(E288:I288)</f>
        <v>208687333.55000001</v>
      </c>
      <c r="K288" s="16"/>
    </row>
    <row r="289" spans="2:11" s="6" customFormat="1">
      <c r="C289" s="6" t="s">
        <v>144</v>
      </c>
      <c r="E289" s="18">
        <f>+E288-E279</f>
        <v>0</v>
      </c>
      <c r="F289" s="18">
        <f>+F288-F279</f>
        <v>0</v>
      </c>
      <c r="G289" s="18">
        <f>+G288-G279</f>
        <v>0</v>
      </c>
      <c r="H289" s="18">
        <f>+H288-H279</f>
        <v>0</v>
      </c>
      <c r="I289" s="18">
        <f>+I288-I279</f>
        <v>0</v>
      </c>
      <c r="J289" s="31" t="s">
        <v>196</v>
      </c>
      <c r="K289" s="16"/>
    </row>
    <row r="290" spans="2:11" s="6" customFormat="1">
      <c r="K290" s="16"/>
    </row>
    <row r="291" spans="2:11" s="6" customFormat="1">
      <c r="H291" s="18"/>
      <c r="I291" s="18"/>
      <c r="K291" s="16"/>
    </row>
    <row r="292" spans="2:11" s="6" customFormat="1">
      <c r="C292" s="6" t="s">
        <v>145</v>
      </c>
      <c r="E292" s="19"/>
      <c r="F292" s="19"/>
      <c r="G292" s="19"/>
      <c r="H292" s="19"/>
      <c r="I292" s="19"/>
      <c r="K292" s="16"/>
    </row>
    <row r="293" spans="2:11" s="6" customFormat="1">
      <c r="C293" s="6" t="s">
        <v>1631</v>
      </c>
      <c r="E293" s="19"/>
      <c r="F293" s="19"/>
      <c r="G293" s="19">
        <v>167145.43</v>
      </c>
      <c r="H293" s="19">
        <v>219135.98</v>
      </c>
      <c r="I293" s="19"/>
      <c r="K293" s="16"/>
    </row>
    <row r="294" spans="2:11" s="6" customFormat="1">
      <c r="E294" s="19"/>
      <c r="F294" s="19"/>
      <c r="G294" s="19"/>
      <c r="H294" s="19"/>
      <c r="I294" s="19"/>
      <c r="K294" s="16"/>
    </row>
    <row r="295" spans="2:11" s="6" customFormat="1">
      <c r="C295" s="15" t="s">
        <v>1160</v>
      </c>
      <c r="E295" s="20"/>
      <c r="F295" s="20"/>
      <c r="G295" s="20"/>
      <c r="H295" s="20"/>
      <c r="I295" s="20"/>
      <c r="K295" s="16"/>
    </row>
    <row r="296" spans="2:11" s="6" customFormat="1">
      <c r="C296" s="6" t="s">
        <v>148</v>
      </c>
      <c r="E296" s="19">
        <f>+E288+E295</f>
        <v>35439372.299999997</v>
      </c>
      <c r="F296" s="19">
        <f>+F288+F295</f>
        <v>155846.51999999999</v>
      </c>
      <c r="G296" s="19">
        <f>+G288+G295+G294+G293</f>
        <v>77334586.720000014</v>
      </c>
      <c r="H296" s="19">
        <f>+H288+H295+H294+H293</f>
        <v>95752841.980000004</v>
      </c>
      <c r="I296" s="19">
        <f>+I288+I295+I294+I293</f>
        <v>390967.44000000012</v>
      </c>
      <c r="J296" s="19">
        <f>SUM(E296:I296)</f>
        <v>209073614.96000004</v>
      </c>
      <c r="K296" s="16"/>
    </row>
    <row r="297" spans="2:11" s="6" customFormat="1">
      <c r="K297" s="16"/>
    </row>
    <row r="298" spans="2:11" s="6" customFormat="1">
      <c r="E298" s="19">
        <f>+E296-E285</f>
        <v>0</v>
      </c>
      <c r="F298" s="19">
        <f>+F296-F285</f>
        <v>0</v>
      </c>
      <c r="G298" s="19">
        <f>+G296-G285</f>
        <v>0</v>
      </c>
      <c r="H298" s="19">
        <f>+H296-H285</f>
        <v>-3.0000060796737671E-3</v>
      </c>
      <c r="I298" s="19">
        <f>+I296-I285</f>
        <v>0</v>
      </c>
      <c r="K298" s="16"/>
    </row>
    <row r="299" spans="2:11" s="6" customFormat="1">
      <c r="E299" s="16"/>
      <c r="K299" s="16"/>
    </row>
    <row r="300" spans="2:11" s="6" customFormat="1">
      <c r="E300" s="16"/>
      <c r="K300" s="16"/>
    </row>
    <row r="301" spans="2:11" s="6" customFormat="1">
      <c r="E301" s="16"/>
      <c r="K301" s="16"/>
    </row>
    <row r="302" spans="2:11" s="6" customFormat="1">
      <c r="B302" s="15"/>
      <c r="E302" s="16"/>
      <c r="K302" s="16"/>
    </row>
    <row r="304" spans="2:11">
      <c r="B304" s="32"/>
    </row>
    <row r="305" spans="2:2">
      <c r="B305" s="32"/>
    </row>
  </sheetData>
  <mergeCells count="2">
    <mergeCell ref="G1:H1"/>
    <mergeCell ref="G2:H2"/>
  </mergeCells>
  <phoneticPr fontId="10" type="noConversion"/>
  <pageMargins left="0.5" right="0.5" top="0.5" bottom="0.5" header="0.5" footer="0.5"/>
  <pageSetup scale="53"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368"/>
  <sheetViews>
    <sheetView topLeftCell="A264" zoomScaleNormal="153" zoomScaleSheetLayoutView="87" workbookViewId="0">
      <pane xSplit="2" topLeftCell="C1" activePane="topRight" state="frozen"/>
      <selection pane="topRight" activeCell="E344" sqref="E344"/>
    </sheetView>
  </sheetViews>
  <sheetFormatPr defaultRowHeight="15"/>
  <cols>
    <col min="1" max="1" width="11.33203125" style="54" customWidth="1"/>
    <col min="2" max="2" width="41" style="51" bestFit="1" customWidth="1"/>
    <col min="3" max="3" width="8.33203125" style="51" customWidth="1"/>
    <col min="4" max="4" width="12.109375" style="53" bestFit="1" customWidth="1"/>
    <col min="5" max="5" width="13.6640625" style="53" bestFit="1" customWidth="1"/>
    <col min="6" max="6" width="14.6640625" style="51" bestFit="1" customWidth="1"/>
    <col min="7" max="7" width="18.44140625" style="51" customWidth="1"/>
    <col min="8" max="8" width="15.21875" style="51" customWidth="1"/>
    <col min="9" max="9" width="15.6640625" style="51" customWidth="1"/>
    <col min="10" max="10" width="15.88671875" style="52" customWidth="1"/>
    <col min="11" max="11" width="0" style="51" hidden="1" customWidth="1"/>
    <col min="12" max="12" width="8.88671875" style="51" hidden="1" customWidth="1"/>
    <col min="13" max="13" width="0" style="51" hidden="1" customWidth="1"/>
    <col min="14" max="14" width="14.33203125" style="97" customWidth="1"/>
    <col min="15" max="16384" width="8.88671875" style="51"/>
  </cols>
  <sheetData>
    <row r="1" spans="1:14">
      <c r="B1" s="51" t="s">
        <v>880</v>
      </c>
      <c r="D1" s="434" t="s">
        <v>1614</v>
      </c>
      <c r="E1" s="434"/>
    </row>
    <row r="2" spans="1:14">
      <c r="B2" s="51" t="s">
        <v>879</v>
      </c>
      <c r="D2" s="286" t="s">
        <v>1308</v>
      </c>
      <c r="E2" s="286"/>
    </row>
    <row r="3" spans="1:14">
      <c r="B3" s="85" t="s">
        <v>1306</v>
      </c>
    </row>
    <row r="4" spans="1:14">
      <c r="C4" s="51" t="s">
        <v>878</v>
      </c>
      <c r="D4" s="83">
        <v>104</v>
      </c>
      <c r="E4" s="83">
        <v>350</v>
      </c>
      <c r="F4" s="83">
        <v>352</v>
      </c>
      <c r="G4" s="83">
        <v>353</v>
      </c>
      <c r="H4" s="83">
        <v>391</v>
      </c>
      <c r="I4" s="83">
        <v>397</v>
      </c>
      <c r="J4" s="82"/>
    </row>
    <row r="5" spans="1:14">
      <c r="C5" s="51" t="s">
        <v>877</v>
      </c>
      <c r="D5" s="83" t="s">
        <v>876</v>
      </c>
      <c r="E5" s="84" t="s">
        <v>875</v>
      </c>
      <c r="F5" s="83" t="s">
        <v>874</v>
      </c>
      <c r="G5" s="83" t="s">
        <v>873</v>
      </c>
      <c r="H5" s="83" t="s">
        <v>872</v>
      </c>
      <c r="I5" s="83" t="s">
        <v>871</v>
      </c>
      <c r="J5" s="82"/>
    </row>
    <row r="6" spans="1:14">
      <c r="B6" s="57" t="s">
        <v>868</v>
      </c>
      <c r="C6" s="57" t="s">
        <v>867</v>
      </c>
      <c r="D6" s="78"/>
      <c r="E6" s="80" t="s">
        <v>866</v>
      </c>
      <c r="F6" s="78" t="s">
        <v>865</v>
      </c>
      <c r="G6" s="78" t="s">
        <v>864</v>
      </c>
      <c r="H6" s="78" t="s">
        <v>864</v>
      </c>
      <c r="I6" s="78" t="s">
        <v>864</v>
      </c>
      <c r="J6" s="79" t="s">
        <v>272</v>
      </c>
    </row>
    <row r="7" spans="1:14" s="69" customFormat="1" ht="15" customHeight="1">
      <c r="A7" s="65" t="s">
        <v>863</v>
      </c>
      <c r="B7" s="72" t="s">
        <v>862</v>
      </c>
      <c r="C7" s="72" t="s">
        <v>186</v>
      </c>
      <c r="D7" s="76"/>
      <c r="E7" s="76"/>
      <c r="F7" s="75"/>
      <c r="G7" s="75">
        <v>20393.68</v>
      </c>
      <c r="H7" s="75"/>
      <c r="I7" s="178">
        <v>1512554.5</v>
      </c>
      <c r="J7" s="75">
        <f>+D7+E7+F7+G7+I7</f>
        <v>1532948.18</v>
      </c>
      <c r="K7" s="69" t="e">
        <f>VLOOKUP(A7,#REF!,9,0)</f>
        <v>#REF!</v>
      </c>
      <c r="L7" s="74" t="e">
        <f t="shared" ref="L7:L80" si="0">K7-J7</f>
        <v>#REF!</v>
      </c>
      <c r="N7" s="357"/>
    </row>
    <row r="8" spans="1:14" s="69" customFormat="1" ht="15" customHeight="1">
      <c r="A8" s="232" t="s">
        <v>1612</v>
      </c>
      <c r="B8" s="233" t="s">
        <v>1613</v>
      </c>
      <c r="C8" s="233" t="s">
        <v>186</v>
      </c>
      <c r="D8" s="376"/>
      <c r="E8" s="376">
        <v>387.5</v>
      </c>
      <c r="F8" s="234">
        <v>1286.19</v>
      </c>
      <c r="G8" s="234">
        <v>58478.61</v>
      </c>
      <c r="H8" s="234"/>
      <c r="I8" s="234"/>
      <c r="J8" s="234">
        <f t="shared" ref="J8:J82" si="1">+D8+E8+F8+G8+I8</f>
        <v>60152.3</v>
      </c>
      <c r="L8" s="74"/>
      <c r="N8" s="357"/>
    </row>
    <row r="9" spans="1:14" s="69" customFormat="1" ht="15" customHeight="1">
      <c r="A9" s="65" t="s">
        <v>861</v>
      </c>
      <c r="B9" s="72" t="s">
        <v>860</v>
      </c>
      <c r="C9" s="72" t="s">
        <v>183</v>
      </c>
      <c r="D9" s="76"/>
      <c r="E9" s="76">
        <v>6071.69</v>
      </c>
      <c r="F9" s="75">
        <v>257659.63</v>
      </c>
      <c r="G9" s="75">
        <v>267741.21999999997</v>
      </c>
      <c r="H9" s="75"/>
      <c r="I9" s="178">
        <v>1214413.94</v>
      </c>
      <c r="J9" s="75">
        <f t="shared" si="1"/>
        <v>1745886.48</v>
      </c>
      <c r="K9" s="69" t="e">
        <f>VLOOKUP(A9,#REF!,9,0)</f>
        <v>#REF!</v>
      </c>
      <c r="L9" s="74" t="e">
        <f t="shared" si="0"/>
        <v>#REF!</v>
      </c>
      <c r="N9" s="357"/>
    </row>
    <row r="10" spans="1:14" s="69" customFormat="1" ht="15" customHeight="1">
      <c r="A10" s="65" t="s">
        <v>859</v>
      </c>
      <c r="B10" s="72" t="s">
        <v>858</v>
      </c>
      <c r="C10" s="72" t="s">
        <v>186</v>
      </c>
      <c r="D10" s="76"/>
      <c r="E10" s="76"/>
      <c r="F10" s="75"/>
      <c r="G10" s="75">
        <v>9726.06</v>
      </c>
      <c r="H10" s="75"/>
      <c r="I10" s="75"/>
      <c r="J10" s="75">
        <f t="shared" si="1"/>
        <v>9726.06</v>
      </c>
      <c r="K10" s="69" t="e">
        <f>VLOOKUP(A10,#REF!,9,0)</f>
        <v>#REF!</v>
      </c>
      <c r="L10" s="74" t="e">
        <f t="shared" si="0"/>
        <v>#REF!</v>
      </c>
      <c r="N10" s="357"/>
    </row>
    <row r="11" spans="1:14" s="69" customFormat="1" ht="15" customHeight="1">
      <c r="A11" s="65" t="s">
        <v>857</v>
      </c>
      <c r="B11" s="72" t="s">
        <v>856</v>
      </c>
      <c r="C11" s="72" t="s">
        <v>890</v>
      </c>
      <c r="D11" s="76"/>
      <c r="E11" s="76">
        <v>45740.63</v>
      </c>
      <c r="F11" s="75">
        <v>708367.27</v>
      </c>
      <c r="G11" s="75">
        <v>282686.58</v>
      </c>
      <c r="H11" s="75"/>
      <c r="I11" s="75">
        <v>224025.27</v>
      </c>
      <c r="J11" s="75">
        <f t="shared" si="1"/>
        <v>1260819.75</v>
      </c>
      <c r="K11" s="69" t="e">
        <f>VLOOKUP(A11,#REF!,9,0)</f>
        <v>#REF!</v>
      </c>
      <c r="L11" s="74" t="e">
        <f t="shared" si="0"/>
        <v>#REF!</v>
      </c>
      <c r="N11" s="357"/>
    </row>
    <row r="12" spans="1:14" s="69" customFormat="1" ht="15" customHeight="1">
      <c r="A12" s="65" t="s">
        <v>855</v>
      </c>
      <c r="B12" s="72" t="s">
        <v>854</v>
      </c>
      <c r="C12" s="72" t="s">
        <v>186</v>
      </c>
      <c r="D12" s="76"/>
      <c r="E12" s="76"/>
      <c r="F12" s="75"/>
      <c r="G12" s="75">
        <v>8462.92</v>
      </c>
      <c r="H12" s="75"/>
      <c r="I12" s="75"/>
      <c r="J12" s="75">
        <f t="shared" si="1"/>
        <v>8462.92</v>
      </c>
      <c r="K12" s="69" t="e">
        <f>VLOOKUP(A12,#REF!,9,0)</f>
        <v>#REF!</v>
      </c>
      <c r="L12" s="74" t="e">
        <f t="shared" si="0"/>
        <v>#REF!</v>
      </c>
      <c r="N12" s="357"/>
    </row>
    <row r="13" spans="1:14" s="69" customFormat="1" ht="15" customHeight="1">
      <c r="A13" s="65" t="s">
        <v>1058</v>
      </c>
      <c r="B13" s="72" t="s">
        <v>1059</v>
      </c>
      <c r="C13" s="72" t="s">
        <v>186</v>
      </c>
      <c r="D13" s="76"/>
      <c r="E13" s="76">
        <v>25065.27</v>
      </c>
      <c r="F13" s="75"/>
      <c r="G13" s="75"/>
      <c r="H13" s="75"/>
      <c r="I13" s="178">
        <v>1772135.77</v>
      </c>
      <c r="J13" s="75">
        <f t="shared" si="1"/>
        <v>1797201.04</v>
      </c>
      <c r="L13" s="74"/>
      <c r="N13" s="357"/>
    </row>
    <row r="14" spans="1:14" s="69" customFormat="1" ht="15" customHeight="1">
      <c r="A14" s="65" t="s">
        <v>853</v>
      </c>
      <c r="B14" s="72" t="s">
        <v>852</v>
      </c>
      <c r="C14" s="72" t="s">
        <v>186</v>
      </c>
      <c r="D14" s="76"/>
      <c r="E14" s="76">
        <v>11187.35</v>
      </c>
      <c r="F14" s="75">
        <v>500068.49</v>
      </c>
      <c r="G14" s="75">
        <v>213588.86</v>
      </c>
      <c r="H14" s="75"/>
      <c r="I14" s="178">
        <v>1321916.1599999999</v>
      </c>
      <c r="J14" s="75">
        <f t="shared" si="1"/>
        <v>2046760.8599999999</v>
      </c>
      <c r="K14" s="69" t="e">
        <f>VLOOKUP(A14,#REF!,9,0)</f>
        <v>#REF!</v>
      </c>
      <c r="L14" s="74" t="e">
        <f t="shared" si="0"/>
        <v>#REF!</v>
      </c>
      <c r="N14" s="357"/>
    </row>
    <row r="15" spans="1:14" s="69" customFormat="1" ht="15" customHeight="1">
      <c r="A15" s="65" t="s">
        <v>851</v>
      </c>
      <c r="B15" s="72" t="s">
        <v>850</v>
      </c>
      <c r="C15" s="72" t="s">
        <v>186</v>
      </c>
      <c r="D15" s="76"/>
      <c r="E15" s="76"/>
      <c r="F15" s="75"/>
      <c r="G15" s="75">
        <v>45562.36</v>
      </c>
      <c r="H15" s="75"/>
      <c r="I15" s="75"/>
      <c r="J15" s="75">
        <f t="shared" si="1"/>
        <v>45562.36</v>
      </c>
      <c r="K15" s="69" t="e">
        <f>VLOOKUP(A15,#REF!,9,0)</f>
        <v>#REF!</v>
      </c>
      <c r="L15" s="74" t="e">
        <f t="shared" si="0"/>
        <v>#REF!</v>
      </c>
      <c r="N15" s="357"/>
    </row>
    <row r="16" spans="1:14" s="69" customFormat="1" ht="15" customHeight="1">
      <c r="A16" s="65" t="s">
        <v>849</v>
      </c>
      <c r="B16" s="72" t="s">
        <v>848</v>
      </c>
      <c r="C16" s="72" t="s">
        <v>186</v>
      </c>
      <c r="D16" s="292">
        <v>38521.050000000003</v>
      </c>
      <c r="E16" s="76"/>
      <c r="F16" s="75">
        <v>44706.14</v>
      </c>
      <c r="G16" s="75">
        <v>128997.92</v>
      </c>
      <c r="H16" s="75"/>
      <c r="I16" s="75"/>
      <c r="J16" s="75">
        <f t="shared" si="1"/>
        <v>212225.11</v>
      </c>
      <c r="K16" s="69" t="e">
        <f>VLOOKUP(A16,#REF!,9,0)</f>
        <v>#REF!</v>
      </c>
      <c r="L16" s="74" t="e">
        <f t="shared" si="0"/>
        <v>#REF!</v>
      </c>
      <c r="N16" s="357"/>
    </row>
    <row r="17" spans="1:14" s="69" customFormat="1" ht="15" customHeight="1">
      <c r="A17" s="65" t="s">
        <v>847</v>
      </c>
      <c r="B17" s="72" t="s">
        <v>846</v>
      </c>
      <c r="C17" s="72" t="s">
        <v>186</v>
      </c>
      <c r="D17" s="76"/>
      <c r="E17" s="76"/>
      <c r="F17" s="75"/>
      <c r="G17" s="75">
        <v>9982.07</v>
      </c>
      <c r="H17" s="75"/>
      <c r="I17" s="75">
        <v>1356133.68</v>
      </c>
      <c r="J17" s="75">
        <f t="shared" si="1"/>
        <v>1366115.75</v>
      </c>
      <c r="K17" s="69" t="e">
        <f>VLOOKUP(A17,#REF!,9,0)</f>
        <v>#REF!</v>
      </c>
      <c r="L17" s="74" t="e">
        <f t="shared" si="0"/>
        <v>#REF!</v>
      </c>
      <c r="N17" s="357"/>
    </row>
    <row r="18" spans="1:14" s="69" customFormat="1" ht="15" customHeight="1">
      <c r="A18" s="65" t="s">
        <v>845</v>
      </c>
      <c r="B18" s="72" t="s">
        <v>844</v>
      </c>
      <c r="C18" s="72" t="s">
        <v>186</v>
      </c>
      <c r="D18" s="76"/>
      <c r="E18" s="76"/>
      <c r="F18" s="75"/>
      <c r="G18" s="75">
        <v>240319.03</v>
      </c>
      <c r="H18" s="75"/>
      <c r="I18" s="178">
        <v>49358.75</v>
      </c>
      <c r="J18" s="75">
        <f t="shared" si="1"/>
        <v>289677.78000000003</v>
      </c>
      <c r="K18" s="69" t="e">
        <f>VLOOKUP(A18,#REF!,9,0)</f>
        <v>#REF!</v>
      </c>
      <c r="L18" s="74" t="e">
        <f t="shared" si="0"/>
        <v>#REF!</v>
      </c>
      <c r="N18" s="357"/>
    </row>
    <row r="19" spans="1:14" s="69" customFormat="1" ht="15" customHeight="1">
      <c r="A19" s="65" t="s">
        <v>843</v>
      </c>
      <c r="B19" s="72" t="s">
        <v>1633</v>
      </c>
      <c r="C19" s="72" t="s">
        <v>183</v>
      </c>
      <c r="D19" s="76"/>
      <c r="E19" s="76"/>
      <c r="F19" s="433">
        <f>83787.8-83787.8</f>
        <v>0</v>
      </c>
      <c r="G19" s="433">
        <f>107484.73-107484.73</f>
        <v>0</v>
      </c>
      <c r="H19" s="75"/>
      <c r="I19" s="75"/>
      <c r="J19" s="75">
        <f t="shared" si="1"/>
        <v>0</v>
      </c>
      <c r="K19" s="69" t="e">
        <f>VLOOKUP(A19,#REF!,9,0)</f>
        <v>#REF!</v>
      </c>
      <c r="L19" s="74" t="e">
        <f t="shared" si="0"/>
        <v>#REF!</v>
      </c>
      <c r="N19" s="357"/>
    </row>
    <row r="20" spans="1:14" s="69" customFormat="1" ht="15" customHeight="1">
      <c r="A20" s="65" t="s">
        <v>841</v>
      </c>
      <c r="B20" s="72" t="s">
        <v>840</v>
      </c>
      <c r="C20" s="72" t="s">
        <v>183</v>
      </c>
      <c r="D20" s="76"/>
      <c r="E20" s="76"/>
      <c r="F20" s="75"/>
      <c r="G20" s="75">
        <v>11733.99</v>
      </c>
      <c r="H20" s="75"/>
      <c r="I20" s="75"/>
      <c r="J20" s="75">
        <f t="shared" si="1"/>
        <v>11733.99</v>
      </c>
      <c r="K20" s="69" t="e">
        <f>VLOOKUP(A20,#REF!,9,0)</f>
        <v>#REF!</v>
      </c>
      <c r="L20" s="74" t="e">
        <f t="shared" si="0"/>
        <v>#REF!</v>
      </c>
      <c r="N20" s="357"/>
    </row>
    <row r="21" spans="1:14" s="69" customFormat="1" ht="15" customHeight="1">
      <c r="A21" s="65" t="s">
        <v>839</v>
      </c>
      <c r="B21" s="72" t="s">
        <v>838</v>
      </c>
      <c r="C21" s="72" t="s">
        <v>183</v>
      </c>
      <c r="D21" s="76"/>
      <c r="E21" s="76"/>
      <c r="F21" s="75"/>
      <c r="G21" s="75">
        <v>12087.82</v>
      </c>
      <c r="H21" s="75"/>
      <c r="I21" s="75">
        <v>3732.48</v>
      </c>
      <c r="J21" s="75">
        <f t="shared" si="1"/>
        <v>15820.3</v>
      </c>
      <c r="K21" s="69" t="e">
        <f>VLOOKUP(A21,#REF!,9,0)</f>
        <v>#REF!</v>
      </c>
      <c r="L21" s="74" t="e">
        <f t="shared" si="0"/>
        <v>#REF!</v>
      </c>
      <c r="N21" s="357"/>
    </row>
    <row r="22" spans="1:14" s="69" customFormat="1" ht="15" customHeight="1">
      <c r="A22" s="65" t="s">
        <v>837</v>
      </c>
      <c r="B22" s="72" t="s">
        <v>836</v>
      </c>
      <c r="C22" s="72" t="s">
        <v>183</v>
      </c>
      <c r="D22" s="76"/>
      <c r="E22" s="76">
        <v>4347.42</v>
      </c>
      <c r="F22" s="75">
        <v>136303.17000000001</v>
      </c>
      <c r="G22" s="75">
        <v>177005.6</v>
      </c>
      <c r="H22" s="75"/>
      <c r="I22" s="75">
        <v>23613.14</v>
      </c>
      <c r="J22" s="75">
        <f t="shared" si="1"/>
        <v>341269.33000000007</v>
      </c>
      <c r="K22" s="69" t="e">
        <f>VLOOKUP(A22,#REF!,9,0)</f>
        <v>#REF!</v>
      </c>
      <c r="L22" s="74" t="e">
        <f t="shared" si="0"/>
        <v>#REF!</v>
      </c>
      <c r="N22" s="357"/>
    </row>
    <row r="23" spans="1:14" s="69" customFormat="1" ht="15" customHeight="1">
      <c r="A23" s="65" t="s">
        <v>835</v>
      </c>
      <c r="B23" s="72" t="s">
        <v>834</v>
      </c>
      <c r="C23" s="72" t="s">
        <v>183</v>
      </c>
      <c r="D23" s="76"/>
      <c r="E23" s="76"/>
      <c r="F23" s="75"/>
      <c r="G23" s="75">
        <v>49243.22</v>
      </c>
      <c r="H23" s="75"/>
      <c r="I23" s="75"/>
      <c r="J23" s="75">
        <f t="shared" si="1"/>
        <v>49243.22</v>
      </c>
      <c r="K23" s="69" t="e">
        <f>VLOOKUP(A23,#REF!,9,0)</f>
        <v>#REF!</v>
      </c>
      <c r="L23" s="74" t="e">
        <f t="shared" si="0"/>
        <v>#REF!</v>
      </c>
      <c r="N23" s="357"/>
    </row>
    <row r="24" spans="1:14" s="69" customFormat="1" ht="15" customHeight="1">
      <c r="A24" s="65" t="s">
        <v>833</v>
      </c>
      <c r="B24" s="72" t="s">
        <v>832</v>
      </c>
      <c r="C24" s="72" t="s">
        <v>183</v>
      </c>
      <c r="D24" s="76"/>
      <c r="E24" s="76"/>
      <c r="F24" s="75"/>
      <c r="G24" s="75">
        <v>38431.33</v>
      </c>
      <c r="H24" s="75"/>
      <c r="I24" s="75"/>
      <c r="J24" s="75">
        <f t="shared" si="1"/>
        <v>38431.33</v>
      </c>
      <c r="K24" s="69" t="e">
        <f>VLOOKUP(A24,#REF!,9,0)</f>
        <v>#REF!</v>
      </c>
      <c r="L24" s="74" t="e">
        <f t="shared" si="0"/>
        <v>#REF!</v>
      </c>
      <c r="N24" s="357"/>
    </row>
    <row r="25" spans="1:14" s="69" customFormat="1" ht="15" customHeight="1">
      <c r="A25" s="65" t="s">
        <v>831</v>
      </c>
      <c r="B25" s="72" t="s">
        <v>830</v>
      </c>
      <c r="C25" s="72" t="s">
        <v>186</v>
      </c>
      <c r="D25" s="76"/>
      <c r="E25" s="76"/>
      <c r="F25" s="75"/>
      <c r="G25" s="75">
        <v>13137.99</v>
      </c>
      <c r="H25" s="75"/>
      <c r="I25" s="75"/>
      <c r="J25" s="75">
        <f t="shared" si="1"/>
        <v>13137.99</v>
      </c>
      <c r="K25" s="69" t="e">
        <f>VLOOKUP(A25,#REF!,9,0)</f>
        <v>#REF!</v>
      </c>
      <c r="L25" s="74" t="e">
        <f t="shared" si="0"/>
        <v>#REF!</v>
      </c>
      <c r="N25" s="357"/>
    </row>
    <row r="26" spans="1:14" s="69" customFormat="1" ht="15" customHeight="1">
      <c r="A26" s="65" t="s">
        <v>829</v>
      </c>
      <c r="B26" s="72" t="s">
        <v>828</v>
      </c>
      <c r="C26" s="72" t="s">
        <v>183</v>
      </c>
      <c r="D26" s="76"/>
      <c r="E26" s="76"/>
      <c r="F26" s="75">
        <v>1728775.95</v>
      </c>
      <c r="G26" s="178">
        <v>7202955.9299999997</v>
      </c>
      <c r="H26" s="75"/>
      <c r="I26" s="178">
        <v>743761.38</v>
      </c>
      <c r="J26" s="75">
        <f t="shared" si="1"/>
        <v>9675493.2599999998</v>
      </c>
      <c r="K26" s="69" t="e">
        <f>VLOOKUP(A26,#REF!,9,0)</f>
        <v>#REF!</v>
      </c>
      <c r="L26" s="74" t="e">
        <f t="shared" si="0"/>
        <v>#REF!</v>
      </c>
      <c r="N26" s="357"/>
    </row>
    <row r="27" spans="1:14" s="69" customFormat="1" ht="15" customHeight="1">
      <c r="A27" s="65" t="s">
        <v>827</v>
      </c>
      <c r="B27" s="72" t="s">
        <v>826</v>
      </c>
      <c r="C27" s="72" t="s">
        <v>183</v>
      </c>
      <c r="D27" s="76"/>
      <c r="E27" s="76"/>
      <c r="F27" s="75">
        <v>59817.82</v>
      </c>
      <c r="G27" s="75">
        <v>159577.79999999999</v>
      </c>
      <c r="H27" s="75"/>
      <c r="I27" s="75"/>
      <c r="J27" s="75">
        <f t="shared" si="1"/>
        <v>219395.62</v>
      </c>
      <c r="K27" s="69" t="e">
        <f>VLOOKUP(A27,#REF!,9,0)</f>
        <v>#REF!</v>
      </c>
      <c r="L27" s="74" t="e">
        <f t="shared" si="0"/>
        <v>#REF!</v>
      </c>
      <c r="N27" s="357"/>
    </row>
    <row r="28" spans="1:14" s="69" customFormat="1" ht="15" customHeight="1">
      <c r="A28" s="65" t="s">
        <v>825</v>
      </c>
      <c r="B28" s="72" t="s">
        <v>824</v>
      </c>
      <c r="C28" s="72" t="s">
        <v>186</v>
      </c>
      <c r="D28" s="76"/>
      <c r="E28" s="76"/>
      <c r="F28" s="75"/>
      <c r="G28" s="75">
        <v>26051.67</v>
      </c>
      <c r="H28" s="75"/>
      <c r="I28" s="75"/>
      <c r="J28" s="75">
        <f t="shared" si="1"/>
        <v>26051.67</v>
      </c>
      <c r="K28" s="69" t="e">
        <f>VLOOKUP(A28,#REF!,9,0)</f>
        <v>#REF!</v>
      </c>
      <c r="L28" s="74" t="e">
        <f t="shared" si="0"/>
        <v>#REF!</v>
      </c>
      <c r="N28" s="357"/>
    </row>
    <row r="29" spans="1:14" s="69" customFormat="1" ht="15" customHeight="1">
      <c r="A29" s="65" t="s">
        <v>1060</v>
      </c>
      <c r="B29" s="72" t="s">
        <v>1063</v>
      </c>
      <c r="C29" s="72" t="s">
        <v>186</v>
      </c>
      <c r="D29" s="76"/>
      <c r="E29" s="76">
        <v>5910.8</v>
      </c>
      <c r="F29" s="75"/>
      <c r="G29" s="75"/>
      <c r="H29" s="75"/>
      <c r="I29" s="75">
        <v>40045.29</v>
      </c>
      <c r="J29" s="75">
        <f t="shared" si="1"/>
        <v>45956.090000000004</v>
      </c>
      <c r="K29" s="69" t="e">
        <f>VLOOKUP(A29,#REF!,9,0)</f>
        <v>#REF!</v>
      </c>
      <c r="L29" s="74"/>
      <c r="N29" s="357"/>
    </row>
    <row r="30" spans="1:14" s="69" customFormat="1" ht="15" customHeight="1">
      <c r="A30" s="65" t="s">
        <v>823</v>
      </c>
      <c r="B30" s="72" t="s">
        <v>822</v>
      </c>
      <c r="C30" s="72" t="s">
        <v>183</v>
      </c>
      <c r="D30" s="76"/>
      <c r="E30" s="76"/>
      <c r="F30" s="75">
        <v>19575.18</v>
      </c>
      <c r="G30" s="75">
        <v>369142.95</v>
      </c>
      <c r="H30" s="75"/>
      <c r="I30" s="75">
        <v>208152.57</v>
      </c>
      <c r="J30" s="75">
        <f t="shared" si="1"/>
        <v>596870.69999999995</v>
      </c>
      <c r="K30" s="69" t="e">
        <f>VLOOKUP(A30,#REF!,9,0)</f>
        <v>#REF!</v>
      </c>
      <c r="L30" s="74" t="e">
        <f t="shared" si="0"/>
        <v>#REF!</v>
      </c>
      <c r="N30" s="357"/>
    </row>
    <row r="31" spans="1:14" s="69" customFormat="1" ht="15" customHeight="1">
      <c r="A31" s="65" t="s">
        <v>821</v>
      </c>
      <c r="B31" s="72" t="s">
        <v>820</v>
      </c>
      <c r="C31" s="72" t="s">
        <v>183</v>
      </c>
      <c r="D31" s="76"/>
      <c r="E31" s="76"/>
      <c r="F31" s="75"/>
      <c r="G31" s="75">
        <v>16223.47</v>
      </c>
      <c r="H31" s="75"/>
      <c r="I31" s="75"/>
      <c r="J31" s="75">
        <f t="shared" si="1"/>
        <v>16223.47</v>
      </c>
      <c r="K31" s="69" t="e">
        <f>VLOOKUP(A31,#REF!,9,0)</f>
        <v>#REF!</v>
      </c>
      <c r="L31" s="74" t="e">
        <f t="shared" si="0"/>
        <v>#REF!</v>
      </c>
      <c r="N31" s="357"/>
    </row>
    <row r="32" spans="1:14" s="69" customFormat="1" ht="15" customHeight="1">
      <c r="A32" s="65" t="s">
        <v>1061</v>
      </c>
      <c r="B32" s="72" t="s">
        <v>1062</v>
      </c>
      <c r="C32" s="72" t="s">
        <v>186</v>
      </c>
      <c r="D32" s="76"/>
      <c r="E32" s="76">
        <v>25942.17</v>
      </c>
      <c r="F32" s="75"/>
      <c r="G32" s="75"/>
      <c r="H32" s="75"/>
      <c r="I32" s="75">
        <v>1370523.79</v>
      </c>
      <c r="J32" s="75">
        <f t="shared" si="1"/>
        <v>1396465.96</v>
      </c>
      <c r="K32" s="69" t="e">
        <f>VLOOKUP(A32,#REF!,9,0)</f>
        <v>#REF!</v>
      </c>
      <c r="L32" s="74"/>
      <c r="N32" s="357"/>
    </row>
    <row r="33" spans="1:14" s="69" customFormat="1" ht="15" customHeight="1">
      <c r="A33" s="65" t="s">
        <v>819</v>
      </c>
      <c r="B33" s="72" t="s">
        <v>818</v>
      </c>
      <c r="C33" s="72" t="s">
        <v>186</v>
      </c>
      <c r="D33" s="76"/>
      <c r="E33" s="76"/>
      <c r="F33" s="75"/>
      <c r="G33" s="75">
        <v>10797.86</v>
      </c>
      <c r="H33" s="75"/>
      <c r="I33" s="75"/>
      <c r="J33" s="75">
        <f t="shared" si="1"/>
        <v>10797.86</v>
      </c>
      <c r="K33" s="69" t="e">
        <f>VLOOKUP(A33,#REF!,9,0)</f>
        <v>#REF!</v>
      </c>
      <c r="L33" s="74" t="e">
        <f t="shared" si="0"/>
        <v>#REF!</v>
      </c>
      <c r="N33" s="357"/>
    </row>
    <row r="34" spans="1:14" s="69" customFormat="1" ht="15" customHeight="1">
      <c r="A34" s="65" t="s">
        <v>817</v>
      </c>
      <c r="B34" s="72" t="s">
        <v>816</v>
      </c>
      <c r="C34" s="72" t="s">
        <v>183</v>
      </c>
      <c r="D34" s="76"/>
      <c r="E34" s="76"/>
      <c r="F34" s="75"/>
      <c r="G34" s="75">
        <v>16938.96</v>
      </c>
      <c r="H34" s="75"/>
      <c r="I34" s="75"/>
      <c r="J34" s="75">
        <f t="shared" si="1"/>
        <v>16938.96</v>
      </c>
      <c r="K34" s="69" t="e">
        <f>VLOOKUP(A34,#REF!,9,0)</f>
        <v>#REF!</v>
      </c>
      <c r="L34" s="74" t="e">
        <f t="shared" si="0"/>
        <v>#REF!</v>
      </c>
      <c r="N34" s="357"/>
    </row>
    <row r="35" spans="1:14" s="69" customFormat="1" ht="15" customHeight="1">
      <c r="A35" s="65" t="s">
        <v>1150</v>
      </c>
      <c r="B35" s="72" t="s">
        <v>1151</v>
      </c>
      <c r="C35" s="72" t="s">
        <v>183</v>
      </c>
      <c r="D35" s="76"/>
      <c r="E35" s="76">
        <v>6331.22</v>
      </c>
      <c r="F35" s="75">
        <v>179943.36</v>
      </c>
      <c r="G35" s="75">
        <v>129239.07</v>
      </c>
      <c r="H35" s="75"/>
      <c r="I35" s="75"/>
      <c r="J35" s="75">
        <f t="shared" si="1"/>
        <v>315513.65000000002</v>
      </c>
      <c r="K35" s="69" t="e">
        <f>VLOOKUP(A35,#REF!,9,0)</f>
        <v>#REF!</v>
      </c>
      <c r="L35" s="74"/>
      <c r="N35" s="357"/>
    </row>
    <row r="36" spans="1:14" s="69" customFormat="1" ht="15" customHeight="1">
      <c r="A36" s="65" t="s">
        <v>815</v>
      </c>
      <c r="B36" s="72" t="s">
        <v>814</v>
      </c>
      <c r="C36" s="72" t="s">
        <v>186</v>
      </c>
      <c r="D36" s="76"/>
      <c r="E36" s="76"/>
      <c r="F36" s="75"/>
      <c r="G36" s="75">
        <v>16365.07</v>
      </c>
      <c r="H36" s="75"/>
      <c r="I36" s="75"/>
      <c r="J36" s="75">
        <f t="shared" si="1"/>
        <v>16365.07</v>
      </c>
      <c r="K36" s="69" t="e">
        <f>VLOOKUP(A36,#REF!,9,0)</f>
        <v>#REF!</v>
      </c>
      <c r="L36" s="74" t="e">
        <f t="shared" si="0"/>
        <v>#REF!</v>
      </c>
      <c r="N36" s="357"/>
    </row>
    <row r="37" spans="1:14" s="69" customFormat="1" ht="15" customHeight="1">
      <c r="A37" s="65" t="s">
        <v>813</v>
      </c>
      <c r="B37" s="72" t="s">
        <v>812</v>
      </c>
      <c r="C37" s="72" t="s">
        <v>186</v>
      </c>
      <c r="D37" s="76"/>
      <c r="E37" s="76"/>
      <c r="F37" s="75"/>
      <c r="G37" s="75">
        <v>143354.81</v>
      </c>
      <c r="H37" s="75"/>
      <c r="I37" s="75"/>
      <c r="J37" s="75">
        <f t="shared" si="1"/>
        <v>143354.81</v>
      </c>
      <c r="K37" s="69" t="e">
        <f>VLOOKUP(A37,#REF!,9,0)</f>
        <v>#REF!</v>
      </c>
      <c r="L37" s="74" t="e">
        <f t="shared" si="0"/>
        <v>#REF!</v>
      </c>
      <c r="N37" s="357"/>
    </row>
    <row r="38" spans="1:14" s="69" customFormat="1" ht="15" customHeight="1">
      <c r="A38" s="65" t="s">
        <v>811</v>
      </c>
      <c r="B38" s="72" t="s">
        <v>810</v>
      </c>
      <c r="C38" s="72" t="s">
        <v>186</v>
      </c>
      <c r="D38" s="76"/>
      <c r="E38" s="76"/>
      <c r="F38" s="75"/>
      <c r="G38" s="75">
        <v>90767.360000000001</v>
      </c>
      <c r="H38" s="75"/>
      <c r="I38" s="75"/>
      <c r="J38" s="75">
        <f t="shared" si="1"/>
        <v>90767.360000000001</v>
      </c>
      <c r="K38" s="69" t="e">
        <f>VLOOKUP(A38,#REF!,9,0)</f>
        <v>#REF!</v>
      </c>
      <c r="L38" s="74" t="e">
        <f t="shared" si="0"/>
        <v>#REF!</v>
      </c>
      <c r="N38" s="357"/>
    </row>
    <row r="39" spans="1:14" s="69" customFormat="1" ht="15" customHeight="1">
      <c r="A39" s="65" t="s">
        <v>809</v>
      </c>
      <c r="B39" s="72" t="s">
        <v>808</v>
      </c>
      <c r="C39" s="72" t="s">
        <v>183</v>
      </c>
      <c r="D39" s="76"/>
      <c r="E39" s="76"/>
      <c r="F39" s="75"/>
      <c r="G39" s="75">
        <v>15988.42</v>
      </c>
      <c r="H39" s="75"/>
      <c r="I39" s="75">
        <v>2610.5100000000002</v>
      </c>
      <c r="J39" s="75">
        <f t="shared" si="1"/>
        <v>18598.93</v>
      </c>
      <c r="K39" s="69" t="e">
        <f>VLOOKUP(A39,#REF!,9,0)</f>
        <v>#REF!</v>
      </c>
      <c r="L39" s="74" t="e">
        <f t="shared" si="0"/>
        <v>#REF!</v>
      </c>
      <c r="N39" s="357"/>
    </row>
    <row r="40" spans="1:14" s="69" customFormat="1" ht="15" customHeight="1">
      <c r="A40" s="65" t="s">
        <v>807</v>
      </c>
      <c r="B40" s="72" t="s">
        <v>806</v>
      </c>
      <c r="C40" s="72" t="s">
        <v>183</v>
      </c>
      <c r="D40" s="76"/>
      <c r="E40" s="76"/>
      <c r="F40" s="75"/>
      <c r="G40" s="75">
        <v>10893.44</v>
      </c>
      <c r="H40" s="75"/>
      <c r="I40" s="75">
        <v>3257.38</v>
      </c>
      <c r="J40" s="75">
        <f t="shared" si="1"/>
        <v>14150.82</v>
      </c>
      <c r="K40" s="69" t="e">
        <f>VLOOKUP(A40,#REF!,9,0)</f>
        <v>#REF!</v>
      </c>
      <c r="L40" s="74" t="e">
        <f t="shared" si="0"/>
        <v>#REF!</v>
      </c>
      <c r="N40" s="357"/>
    </row>
    <row r="41" spans="1:14" s="69" customFormat="1" ht="15" customHeight="1">
      <c r="A41" s="65" t="s">
        <v>1064</v>
      </c>
      <c r="B41" s="72" t="s">
        <v>1065</v>
      </c>
      <c r="C41" s="72" t="s">
        <v>186</v>
      </c>
      <c r="D41" s="76"/>
      <c r="E41" s="76">
        <v>27486.93</v>
      </c>
      <c r="F41" s="75"/>
      <c r="G41" s="75"/>
      <c r="H41" s="75"/>
      <c r="I41" s="75">
        <v>1452985.16</v>
      </c>
      <c r="J41" s="75">
        <f t="shared" si="1"/>
        <v>1480472.0899999999</v>
      </c>
      <c r="K41" s="69" t="e">
        <f>VLOOKUP(A41,#REF!,9,0)</f>
        <v>#REF!</v>
      </c>
      <c r="L41" s="74"/>
      <c r="N41" s="357"/>
    </row>
    <row r="42" spans="1:14" s="69" customFormat="1" ht="15" customHeight="1">
      <c r="A42" s="65" t="s">
        <v>805</v>
      </c>
      <c r="B42" s="72" t="s">
        <v>804</v>
      </c>
      <c r="C42" s="72" t="s">
        <v>186</v>
      </c>
      <c r="D42" s="76"/>
      <c r="E42" s="76">
        <v>22257.13</v>
      </c>
      <c r="F42" s="75"/>
      <c r="G42" s="75">
        <v>8570.34</v>
      </c>
      <c r="H42" s="75"/>
      <c r="I42" s="178">
        <v>1671687.18</v>
      </c>
      <c r="J42" s="75">
        <f t="shared" si="1"/>
        <v>1702514.65</v>
      </c>
      <c r="K42" s="69" t="e">
        <f>VLOOKUP(A42,#REF!,9,0)</f>
        <v>#REF!</v>
      </c>
      <c r="L42" s="74" t="e">
        <f t="shared" si="0"/>
        <v>#REF!</v>
      </c>
      <c r="N42" s="357">
        <f>1702514.65-1702363.21</f>
        <v>151.43999999994412</v>
      </c>
    </row>
    <row r="43" spans="1:14" s="236" customFormat="1" ht="15" customHeight="1">
      <c r="A43" s="232" t="s">
        <v>1615</v>
      </c>
      <c r="B43" s="233" t="s">
        <v>1616</v>
      </c>
      <c r="C43" s="233" t="s">
        <v>186</v>
      </c>
      <c r="D43" s="376"/>
      <c r="E43" s="376"/>
      <c r="F43" s="234">
        <v>330.86</v>
      </c>
      <c r="G43" s="234">
        <v>59046.23</v>
      </c>
      <c r="H43" s="234"/>
      <c r="I43" s="234"/>
      <c r="J43" s="234">
        <f t="shared" si="1"/>
        <v>59377.090000000004</v>
      </c>
      <c r="L43" s="437"/>
      <c r="N43" s="438"/>
    </row>
    <row r="44" spans="1:14" s="69" customFormat="1" ht="15" customHeight="1">
      <c r="A44" s="65" t="s">
        <v>803</v>
      </c>
      <c r="B44" s="72" t="s">
        <v>802</v>
      </c>
      <c r="C44" s="72" t="s">
        <v>186</v>
      </c>
      <c r="D44" s="76"/>
      <c r="E44" s="76"/>
      <c r="F44" s="75"/>
      <c r="G44" s="75">
        <v>11099.51</v>
      </c>
      <c r="H44" s="75"/>
      <c r="I44" s="75"/>
      <c r="J44" s="75">
        <f t="shared" si="1"/>
        <v>11099.51</v>
      </c>
      <c r="K44" s="69" t="e">
        <f>VLOOKUP(A44,#REF!,9,0)</f>
        <v>#REF!</v>
      </c>
      <c r="L44" s="74" t="e">
        <f t="shared" si="0"/>
        <v>#REF!</v>
      </c>
      <c r="N44" s="357"/>
    </row>
    <row r="45" spans="1:14" s="69" customFormat="1" ht="15" customHeight="1">
      <c r="A45" s="65" t="s">
        <v>801</v>
      </c>
      <c r="B45" s="72" t="s">
        <v>800</v>
      </c>
      <c r="C45" s="72" t="s">
        <v>186</v>
      </c>
      <c r="D45" s="76"/>
      <c r="E45" s="76"/>
      <c r="F45" s="75"/>
      <c r="G45" s="75">
        <v>18803.77</v>
      </c>
      <c r="H45" s="75"/>
      <c r="I45" s="75"/>
      <c r="J45" s="75">
        <f t="shared" si="1"/>
        <v>18803.77</v>
      </c>
      <c r="K45" s="69" t="e">
        <f>VLOOKUP(A45,#REF!,9,0)</f>
        <v>#REF!</v>
      </c>
      <c r="L45" s="74" t="e">
        <f t="shared" si="0"/>
        <v>#REF!</v>
      </c>
      <c r="N45" s="357"/>
    </row>
    <row r="46" spans="1:14" s="69" customFormat="1" ht="15" customHeight="1">
      <c r="A46" s="65" t="s">
        <v>799</v>
      </c>
      <c r="B46" s="72" t="s">
        <v>798</v>
      </c>
      <c r="C46" s="72" t="s">
        <v>186</v>
      </c>
      <c r="D46" s="76"/>
      <c r="E46" s="76"/>
      <c r="F46" s="75"/>
      <c r="G46" s="75">
        <v>21031.51</v>
      </c>
      <c r="H46" s="75"/>
      <c r="I46" s="75"/>
      <c r="J46" s="75">
        <f t="shared" si="1"/>
        <v>21031.51</v>
      </c>
      <c r="K46" s="69" t="e">
        <f>VLOOKUP(A46,#REF!,9,0)</f>
        <v>#REF!</v>
      </c>
      <c r="L46" s="74" t="e">
        <f t="shared" si="0"/>
        <v>#REF!</v>
      </c>
      <c r="N46" s="357"/>
    </row>
    <row r="47" spans="1:14" s="69" customFormat="1" ht="15" customHeight="1">
      <c r="A47" s="65" t="s">
        <v>797</v>
      </c>
      <c r="B47" s="72" t="s">
        <v>796</v>
      </c>
      <c r="C47" s="72" t="s">
        <v>186</v>
      </c>
      <c r="D47" s="76"/>
      <c r="E47" s="76"/>
      <c r="F47" s="75"/>
      <c r="G47" s="75">
        <v>7938.35</v>
      </c>
      <c r="H47" s="75"/>
      <c r="I47" s="75"/>
      <c r="J47" s="75">
        <f t="shared" si="1"/>
        <v>7938.35</v>
      </c>
      <c r="K47" s="69" t="e">
        <f>VLOOKUP(A47,#REF!,9,0)</f>
        <v>#REF!</v>
      </c>
      <c r="L47" s="74" t="e">
        <f t="shared" si="0"/>
        <v>#REF!</v>
      </c>
      <c r="N47" s="357"/>
    </row>
    <row r="48" spans="1:14" s="69" customFormat="1" ht="15" customHeight="1">
      <c r="A48" s="65" t="s">
        <v>795</v>
      </c>
      <c r="B48" s="72" t="s">
        <v>794</v>
      </c>
      <c r="C48" s="72" t="s">
        <v>890</v>
      </c>
      <c r="D48" s="76"/>
      <c r="E48" s="76"/>
      <c r="F48" s="75"/>
      <c r="G48" s="75">
        <v>10131.82</v>
      </c>
      <c r="H48" s="75"/>
      <c r="I48" s="75">
        <v>35262.31</v>
      </c>
      <c r="J48" s="75">
        <f t="shared" si="1"/>
        <v>45394.13</v>
      </c>
      <c r="K48" s="69" t="e">
        <f>VLOOKUP(A48,#REF!,9,0)</f>
        <v>#REF!</v>
      </c>
      <c r="L48" s="74" t="e">
        <f t="shared" si="0"/>
        <v>#REF!</v>
      </c>
      <c r="N48" s="357"/>
    </row>
    <row r="49" spans="1:14" s="69" customFormat="1" ht="15" customHeight="1">
      <c r="A49" s="65" t="s">
        <v>793</v>
      </c>
      <c r="B49" s="72" t="s">
        <v>792</v>
      </c>
      <c r="C49" s="72" t="s">
        <v>186</v>
      </c>
      <c r="D49" s="76"/>
      <c r="E49" s="76"/>
      <c r="F49" s="75"/>
      <c r="G49" s="75">
        <v>20970.8</v>
      </c>
      <c r="H49" s="75"/>
      <c r="I49" s="75"/>
      <c r="J49" s="75">
        <f t="shared" si="1"/>
        <v>20970.8</v>
      </c>
      <c r="K49" s="69" t="e">
        <f>VLOOKUP(A49,#REF!,9,0)</f>
        <v>#REF!</v>
      </c>
      <c r="L49" s="74" t="e">
        <f t="shared" si="0"/>
        <v>#REF!</v>
      </c>
      <c r="N49" s="357"/>
    </row>
    <row r="50" spans="1:14" s="69" customFormat="1" ht="15" customHeight="1">
      <c r="A50" s="65" t="s">
        <v>791</v>
      </c>
      <c r="B50" s="72" t="s">
        <v>790</v>
      </c>
      <c r="C50" s="72" t="s">
        <v>183</v>
      </c>
      <c r="D50" s="76"/>
      <c r="E50" s="76"/>
      <c r="F50" s="75"/>
      <c r="G50" s="75">
        <v>9427.07</v>
      </c>
      <c r="H50" s="75"/>
      <c r="I50" s="75">
        <v>1825.76</v>
      </c>
      <c r="J50" s="75">
        <f t="shared" si="1"/>
        <v>11252.83</v>
      </c>
      <c r="K50" s="69" t="e">
        <f>VLOOKUP(A50,#REF!,9,0)</f>
        <v>#REF!</v>
      </c>
      <c r="L50" s="74" t="e">
        <f t="shared" si="0"/>
        <v>#REF!</v>
      </c>
      <c r="N50" s="357"/>
    </row>
    <row r="51" spans="1:14" s="69" customFormat="1" ht="15" customHeight="1">
      <c r="A51" s="65" t="s">
        <v>789</v>
      </c>
      <c r="B51" s="72" t="s">
        <v>788</v>
      </c>
      <c r="C51" s="72" t="s">
        <v>186</v>
      </c>
      <c r="D51" s="76"/>
      <c r="E51" s="76"/>
      <c r="F51" s="75"/>
      <c r="G51" s="75">
        <v>11684.78</v>
      </c>
      <c r="H51" s="75"/>
      <c r="I51" s="75"/>
      <c r="J51" s="75">
        <f t="shared" si="1"/>
        <v>11684.78</v>
      </c>
      <c r="K51" s="69" t="e">
        <f>VLOOKUP(A51,#REF!,9,0)</f>
        <v>#REF!</v>
      </c>
      <c r="L51" s="74" t="e">
        <f t="shared" si="0"/>
        <v>#REF!</v>
      </c>
      <c r="N51" s="357"/>
    </row>
    <row r="52" spans="1:14" s="69" customFormat="1" ht="15" customHeight="1">
      <c r="A52" s="65" t="s">
        <v>787</v>
      </c>
      <c r="B52" s="72" t="s">
        <v>786</v>
      </c>
      <c r="C52" s="72" t="s">
        <v>183</v>
      </c>
      <c r="D52" s="76"/>
      <c r="E52" s="76"/>
      <c r="F52" s="75">
        <v>99600.48</v>
      </c>
      <c r="G52" s="75">
        <v>535010.44999999995</v>
      </c>
      <c r="H52" s="75"/>
      <c r="I52" s="178">
        <v>582634.05000000005</v>
      </c>
      <c r="J52" s="75">
        <f t="shared" si="1"/>
        <v>1217244.98</v>
      </c>
      <c r="K52" s="69" t="e">
        <f>VLOOKUP(A52,#REF!,9,0)</f>
        <v>#REF!</v>
      </c>
      <c r="L52" s="74" t="e">
        <f t="shared" si="0"/>
        <v>#REF!</v>
      </c>
      <c r="N52" s="357">
        <f>1217244.98-1205973.04</f>
        <v>11271.939999999944</v>
      </c>
    </row>
    <row r="53" spans="1:14" s="69" customFormat="1" ht="15" customHeight="1">
      <c r="A53" s="65" t="s">
        <v>785</v>
      </c>
      <c r="B53" s="72" t="s">
        <v>784</v>
      </c>
      <c r="C53" s="72" t="s">
        <v>183</v>
      </c>
      <c r="D53" s="76"/>
      <c r="E53" s="76"/>
      <c r="F53" s="75"/>
      <c r="G53" s="75">
        <v>24719.34</v>
      </c>
      <c r="H53" s="75"/>
      <c r="I53" s="75"/>
      <c r="J53" s="75">
        <f t="shared" si="1"/>
        <v>24719.34</v>
      </c>
      <c r="K53" s="69" t="e">
        <f>VLOOKUP(A53,#REF!,9,0)</f>
        <v>#REF!</v>
      </c>
      <c r="L53" s="74" t="e">
        <f t="shared" si="0"/>
        <v>#REF!</v>
      </c>
      <c r="N53" s="357"/>
    </row>
    <row r="54" spans="1:14" s="69" customFormat="1" ht="15" customHeight="1">
      <c r="A54" s="65" t="s">
        <v>783</v>
      </c>
      <c r="B54" s="72" t="s">
        <v>782</v>
      </c>
      <c r="C54" s="72" t="s">
        <v>186</v>
      </c>
      <c r="D54" s="76"/>
      <c r="E54" s="76"/>
      <c r="F54" s="75"/>
      <c r="G54" s="75">
        <v>11299.67</v>
      </c>
      <c r="H54" s="75"/>
      <c r="I54" s="75"/>
      <c r="J54" s="75">
        <f t="shared" si="1"/>
        <v>11299.67</v>
      </c>
      <c r="K54" s="69" t="e">
        <f>VLOOKUP(A54,#REF!,9,0)</f>
        <v>#REF!</v>
      </c>
      <c r="L54" s="74" t="e">
        <f t="shared" si="0"/>
        <v>#REF!</v>
      </c>
      <c r="N54" s="357"/>
    </row>
    <row r="55" spans="1:14" s="69" customFormat="1" ht="15" customHeight="1">
      <c r="A55" s="65" t="s">
        <v>781</v>
      </c>
      <c r="B55" s="72" t="s">
        <v>780</v>
      </c>
      <c r="C55" s="72" t="s">
        <v>183</v>
      </c>
      <c r="D55" s="76"/>
      <c r="E55" s="76"/>
      <c r="F55" s="75"/>
      <c r="G55" s="75">
        <v>9181.3799999999992</v>
      </c>
      <c r="H55" s="75"/>
      <c r="I55" s="75"/>
      <c r="J55" s="75">
        <f t="shared" si="1"/>
        <v>9181.3799999999992</v>
      </c>
      <c r="K55" s="69" t="e">
        <f>VLOOKUP(A55,#REF!,9,0)</f>
        <v>#REF!</v>
      </c>
      <c r="L55" s="74" t="e">
        <f t="shared" si="0"/>
        <v>#REF!</v>
      </c>
      <c r="N55" s="357"/>
    </row>
    <row r="56" spans="1:14" s="69" customFormat="1" ht="15" customHeight="1">
      <c r="A56" s="65" t="s">
        <v>779</v>
      </c>
      <c r="B56" s="72" t="s">
        <v>778</v>
      </c>
      <c r="C56" s="72" t="s">
        <v>183</v>
      </c>
      <c r="D56" s="76"/>
      <c r="E56" s="76"/>
      <c r="F56" s="75">
        <v>1449652.32</v>
      </c>
      <c r="G56" s="75">
        <v>5587760.04</v>
      </c>
      <c r="H56" s="75"/>
      <c r="I56" s="178">
        <v>108133.05</v>
      </c>
      <c r="J56" s="75">
        <f t="shared" si="1"/>
        <v>7145545.4100000001</v>
      </c>
      <c r="K56" s="69" t="e">
        <f>VLOOKUP(A56,#REF!,9,0)</f>
        <v>#REF!</v>
      </c>
      <c r="L56" s="74" t="e">
        <f t="shared" si="0"/>
        <v>#REF!</v>
      </c>
      <c r="N56" s="357">
        <f>7145545.41-7143122.52</f>
        <v>2422.890000000596</v>
      </c>
    </row>
    <row r="57" spans="1:14" s="69" customFormat="1" ht="15" customHeight="1">
      <c r="A57" s="65" t="s">
        <v>777</v>
      </c>
      <c r="B57" s="72" t="s">
        <v>776</v>
      </c>
      <c r="C57" s="72" t="s">
        <v>183</v>
      </c>
      <c r="D57" s="76"/>
      <c r="E57" s="76"/>
      <c r="F57" s="75"/>
      <c r="G57" s="75">
        <v>20853.87</v>
      </c>
      <c r="H57" s="75"/>
      <c r="I57" s="75"/>
      <c r="J57" s="75">
        <f t="shared" si="1"/>
        <v>20853.87</v>
      </c>
      <c r="K57" s="69" t="e">
        <f>VLOOKUP(A57,#REF!,9,0)</f>
        <v>#REF!</v>
      </c>
      <c r="L57" s="74" t="e">
        <f t="shared" si="0"/>
        <v>#REF!</v>
      </c>
      <c r="N57" s="357"/>
    </row>
    <row r="58" spans="1:14" s="69" customFormat="1" ht="15" customHeight="1">
      <c r="A58" s="65" t="s">
        <v>775</v>
      </c>
      <c r="B58" s="72" t="s">
        <v>774</v>
      </c>
      <c r="C58" s="72" t="s">
        <v>183</v>
      </c>
      <c r="D58" s="76"/>
      <c r="E58" s="76"/>
      <c r="F58" s="75">
        <v>257659.64</v>
      </c>
      <c r="G58" s="75">
        <v>3446333.7</v>
      </c>
      <c r="H58" s="75"/>
      <c r="I58" s="178">
        <v>581870.28</v>
      </c>
      <c r="J58" s="75">
        <f t="shared" si="1"/>
        <v>4285863.62</v>
      </c>
      <c r="K58" s="69" t="e">
        <f>VLOOKUP(A58,#REF!,9,0)</f>
        <v>#REF!</v>
      </c>
      <c r="L58" s="74" t="e">
        <f t="shared" si="0"/>
        <v>#REF!</v>
      </c>
      <c r="N58" s="357">
        <f>4285863.62-4023872.11</f>
        <v>261991.51000000024</v>
      </c>
    </row>
    <row r="59" spans="1:14" s="69" customFormat="1" ht="15" customHeight="1">
      <c r="A59" s="65" t="s">
        <v>773</v>
      </c>
      <c r="B59" s="72" t="s">
        <v>772</v>
      </c>
      <c r="C59" s="72" t="s">
        <v>186</v>
      </c>
      <c r="D59" s="76"/>
      <c r="E59" s="76"/>
      <c r="F59" s="75"/>
      <c r="G59" s="75">
        <v>139069.82</v>
      </c>
      <c r="H59" s="75"/>
      <c r="I59" s="75"/>
      <c r="J59" s="75">
        <f t="shared" si="1"/>
        <v>139069.82</v>
      </c>
      <c r="K59" s="69" t="e">
        <f>VLOOKUP(A59,#REF!,9,0)</f>
        <v>#REF!</v>
      </c>
      <c r="L59" s="74" t="e">
        <f t="shared" si="0"/>
        <v>#REF!</v>
      </c>
      <c r="N59" s="357"/>
    </row>
    <row r="60" spans="1:14" s="69" customFormat="1" ht="15" customHeight="1">
      <c r="A60" s="65" t="s">
        <v>771</v>
      </c>
      <c r="B60" s="72" t="s">
        <v>770</v>
      </c>
      <c r="C60" s="72" t="s">
        <v>186</v>
      </c>
      <c r="D60" s="76"/>
      <c r="E60" s="76"/>
      <c r="F60" s="75">
        <v>29786.69</v>
      </c>
      <c r="G60" s="75">
        <v>43492.87</v>
      </c>
      <c r="H60" s="75"/>
      <c r="I60" s="75"/>
      <c r="J60" s="75">
        <f t="shared" si="1"/>
        <v>73279.56</v>
      </c>
      <c r="K60" s="69" t="e">
        <f>VLOOKUP(A60,#REF!,9,0)</f>
        <v>#REF!</v>
      </c>
      <c r="L60" s="74" t="e">
        <f t="shared" si="0"/>
        <v>#REF!</v>
      </c>
      <c r="N60" s="357"/>
    </row>
    <row r="61" spans="1:14" s="69" customFormat="1" ht="15" customHeight="1">
      <c r="A61" s="65" t="s">
        <v>769</v>
      </c>
      <c r="B61" s="72" t="s">
        <v>768</v>
      </c>
      <c r="C61" s="72" t="s">
        <v>186</v>
      </c>
      <c r="D61" s="76"/>
      <c r="E61" s="76">
        <v>24326.13</v>
      </c>
      <c r="F61" s="75"/>
      <c r="G61" s="75">
        <v>38901.39</v>
      </c>
      <c r="H61" s="75"/>
      <c r="I61" s="75"/>
      <c r="J61" s="75">
        <f t="shared" si="1"/>
        <v>63227.520000000004</v>
      </c>
      <c r="K61" s="69" t="e">
        <f>VLOOKUP(A61,#REF!,9,0)</f>
        <v>#REF!</v>
      </c>
      <c r="L61" s="74" t="e">
        <f t="shared" si="0"/>
        <v>#REF!</v>
      </c>
      <c r="N61" s="357">
        <f>63227.52-62372.23</f>
        <v>855.2899999999936</v>
      </c>
    </row>
    <row r="62" spans="1:14" s="69" customFormat="1" ht="15" customHeight="1">
      <c r="A62" s="65" t="s">
        <v>1261</v>
      </c>
      <c r="B62" s="72" t="s">
        <v>1262</v>
      </c>
      <c r="C62" s="72" t="s">
        <v>186</v>
      </c>
      <c r="D62" s="76"/>
      <c r="E62" s="76"/>
      <c r="F62" s="75"/>
      <c r="G62" s="75"/>
      <c r="H62" s="75"/>
      <c r="I62" s="178">
        <v>2013881.25</v>
      </c>
      <c r="J62" s="75">
        <f t="shared" si="1"/>
        <v>2013881.25</v>
      </c>
      <c r="K62" s="69" t="e">
        <f>VLOOKUP(A62,#REF!,9,0)</f>
        <v>#REF!</v>
      </c>
      <c r="L62" s="74"/>
      <c r="N62" s="357">
        <f>2013881.25-2010364.38</f>
        <v>3516.8700000001118</v>
      </c>
    </row>
    <row r="63" spans="1:14" s="69" customFormat="1" ht="15" customHeight="1">
      <c r="A63" s="65" t="s">
        <v>767</v>
      </c>
      <c r="B63" s="72" t="s">
        <v>766</v>
      </c>
      <c r="C63" s="72" t="s">
        <v>184</v>
      </c>
      <c r="D63" s="76"/>
      <c r="E63" s="76"/>
      <c r="F63" s="75">
        <v>95025.65</v>
      </c>
      <c r="G63" s="75">
        <v>324675.78999999998</v>
      </c>
      <c r="H63" s="75"/>
      <c r="I63" s="178">
        <v>1263522.56</v>
      </c>
      <c r="J63" s="75">
        <f t="shared" si="1"/>
        <v>1683224</v>
      </c>
      <c r="K63" s="69" t="e">
        <f>VLOOKUP(A63,#REF!,9,0)</f>
        <v>#REF!</v>
      </c>
      <c r="L63" s="74" t="e">
        <f t="shared" si="0"/>
        <v>#REF!</v>
      </c>
      <c r="N63" s="357">
        <f>1683224-1683114.84</f>
        <v>109.15999999991618</v>
      </c>
    </row>
    <row r="64" spans="1:14" s="69" customFormat="1" ht="15" customHeight="1">
      <c r="A64" s="65" t="s">
        <v>765</v>
      </c>
      <c r="B64" s="72" t="s">
        <v>764</v>
      </c>
      <c r="C64" s="72" t="s">
        <v>183</v>
      </c>
      <c r="D64" s="76"/>
      <c r="E64" s="76"/>
      <c r="F64" s="75">
        <v>81965.570000000007</v>
      </c>
      <c r="G64" s="75">
        <v>150970.41</v>
      </c>
      <c r="H64" s="75"/>
      <c r="I64" s="75"/>
      <c r="J64" s="75">
        <f t="shared" si="1"/>
        <v>232935.98</v>
      </c>
      <c r="K64" s="69" t="e">
        <f>VLOOKUP(A64,#REF!,9,0)</f>
        <v>#REF!</v>
      </c>
      <c r="L64" s="74" t="e">
        <f t="shared" si="0"/>
        <v>#REF!</v>
      </c>
      <c r="N64" s="357"/>
    </row>
    <row r="65" spans="1:14" s="69" customFormat="1" ht="15" customHeight="1">
      <c r="A65" s="65" t="s">
        <v>763</v>
      </c>
      <c r="B65" s="72" t="s">
        <v>762</v>
      </c>
      <c r="C65" s="72" t="s">
        <v>186</v>
      </c>
      <c r="D65" s="76"/>
      <c r="E65" s="76"/>
      <c r="F65" s="75"/>
      <c r="G65" s="178">
        <v>42688.29</v>
      </c>
      <c r="H65" s="75"/>
      <c r="I65" s="75"/>
      <c r="J65" s="75">
        <f t="shared" si="1"/>
        <v>42688.29</v>
      </c>
      <c r="K65" s="69" t="e">
        <f>VLOOKUP(A65,#REF!,9,0)</f>
        <v>#REF!</v>
      </c>
      <c r="L65" s="74" t="e">
        <f t="shared" si="0"/>
        <v>#REF!</v>
      </c>
      <c r="N65" s="357">
        <f>42688.29-9968.95</f>
        <v>32719.34</v>
      </c>
    </row>
    <row r="66" spans="1:14" s="69" customFormat="1" ht="15" customHeight="1">
      <c r="A66" s="65" t="s">
        <v>761</v>
      </c>
      <c r="B66" s="72" t="s">
        <v>760</v>
      </c>
      <c r="C66" s="72" t="s">
        <v>183</v>
      </c>
      <c r="D66" s="76"/>
      <c r="E66" s="76"/>
      <c r="F66" s="75"/>
      <c r="G66" s="75">
        <v>16969.46</v>
      </c>
      <c r="H66" s="75"/>
      <c r="I66" s="75"/>
      <c r="J66" s="75">
        <f t="shared" si="1"/>
        <v>16969.46</v>
      </c>
      <c r="K66" s="69" t="e">
        <f>VLOOKUP(A66,#REF!,9,0)</f>
        <v>#REF!</v>
      </c>
      <c r="L66" s="74" t="e">
        <f t="shared" si="0"/>
        <v>#REF!</v>
      </c>
      <c r="N66" s="357"/>
    </row>
    <row r="67" spans="1:14" s="69" customFormat="1" ht="15" customHeight="1">
      <c r="A67" s="65" t="s">
        <v>1066</v>
      </c>
      <c r="B67" s="72" t="s">
        <v>1067</v>
      </c>
      <c r="C67" s="72" t="s">
        <v>183</v>
      </c>
      <c r="D67" s="76"/>
      <c r="E67" s="76">
        <v>17753.25</v>
      </c>
      <c r="F67" s="75"/>
      <c r="G67" s="75"/>
      <c r="H67" s="75"/>
      <c r="I67" s="75">
        <v>1398721.84</v>
      </c>
      <c r="J67" s="75">
        <f t="shared" si="1"/>
        <v>1416475.09</v>
      </c>
      <c r="K67" s="69" t="e">
        <f>VLOOKUP(A67,#REF!,9,0)</f>
        <v>#REF!</v>
      </c>
      <c r="L67" s="74"/>
      <c r="N67" s="357"/>
    </row>
    <row r="68" spans="1:14" s="69" customFormat="1" ht="15" customHeight="1">
      <c r="A68" s="65" t="s">
        <v>759</v>
      </c>
      <c r="B68" s="72" t="s">
        <v>758</v>
      </c>
      <c r="C68" s="72" t="s">
        <v>183</v>
      </c>
      <c r="D68" s="76"/>
      <c r="E68" s="76"/>
      <c r="F68" s="75"/>
      <c r="G68" s="75">
        <v>13627.7</v>
      </c>
      <c r="H68" s="75"/>
      <c r="I68" s="75"/>
      <c r="J68" s="75">
        <f t="shared" si="1"/>
        <v>13627.7</v>
      </c>
      <c r="K68" s="69" t="e">
        <f>VLOOKUP(A68,#REF!,9,0)</f>
        <v>#REF!</v>
      </c>
      <c r="L68" s="74" t="e">
        <f t="shared" si="0"/>
        <v>#REF!</v>
      </c>
      <c r="N68" s="357"/>
    </row>
    <row r="69" spans="1:14" s="69" customFormat="1" ht="15" customHeight="1">
      <c r="A69" s="65" t="s">
        <v>757</v>
      </c>
      <c r="B69" s="72" t="s">
        <v>142</v>
      </c>
      <c r="C69" s="72" t="s">
        <v>890</v>
      </c>
      <c r="D69" s="76"/>
      <c r="E69" s="76"/>
      <c r="F69" s="75"/>
      <c r="G69" s="75">
        <v>7218.89</v>
      </c>
      <c r="H69" s="75"/>
      <c r="I69" s="75">
        <v>9403.26</v>
      </c>
      <c r="J69" s="75">
        <f t="shared" si="1"/>
        <v>16622.150000000001</v>
      </c>
      <c r="K69" s="69" t="e">
        <f>VLOOKUP(A69,#REF!,9,0)</f>
        <v>#REF!</v>
      </c>
      <c r="L69" s="74" t="e">
        <f t="shared" si="0"/>
        <v>#REF!</v>
      </c>
      <c r="N69" s="357"/>
    </row>
    <row r="70" spans="1:14" s="69" customFormat="1" ht="15" customHeight="1">
      <c r="A70" s="65" t="s">
        <v>1068</v>
      </c>
      <c r="B70" s="72" t="s">
        <v>1069</v>
      </c>
      <c r="C70" s="72" t="s">
        <v>186</v>
      </c>
      <c r="D70" s="76"/>
      <c r="E70" s="76">
        <v>25847.77</v>
      </c>
      <c r="F70" s="75"/>
      <c r="G70" s="75"/>
      <c r="H70" s="75"/>
      <c r="I70" s="178">
        <v>1733156.58</v>
      </c>
      <c r="J70" s="75">
        <f t="shared" si="1"/>
        <v>1759004.35</v>
      </c>
      <c r="K70" s="69" t="e">
        <f>VLOOKUP(A70,#REF!,9,0)</f>
        <v>#REF!</v>
      </c>
      <c r="L70" s="74"/>
      <c r="N70" s="357">
        <f>1759004.35-1758974.3</f>
        <v>30.050000000046566</v>
      </c>
    </row>
    <row r="71" spans="1:14" s="69" customFormat="1" ht="15" customHeight="1">
      <c r="A71" s="65" t="s">
        <v>756</v>
      </c>
      <c r="B71" s="72" t="s">
        <v>755</v>
      </c>
      <c r="C71" s="72" t="s">
        <v>186</v>
      </c>
      <c r="D71" s="76"/>
      <c r="E71" s="76"/>
      <c r="F71" s="75"/>
      <c r="G71" s="75">
        <v>20079.650000000001</v>
      </c>
      <c r="H71" s="75"/>
      <c r="I71" s="75"/>
      <c r="J71" s="75">
        <f t="shared" si="1"/>
        <v>20079.650000000001</v>
      </c>
      <c r="K71" s="69" t="e">
        <f>VLOOKUP(A71,#REF!,9,0)</f>
        <v>#REF!</v>
      </c>
      <c r="L71" s="74" t="e">
        <f t="shared" si="0"/>
        <v>#REF!</v>
      </c>
      <c r="N71" s="357"/>
    </row>
    <row r="72" spans="1:14" s="69" customFormat="1" ht="15" customHeight="1">
      <c r="A72" s="65" t="s">
        <v>754</v>
      </c>
      <c r="B72" s="72" t="s">
        <v>753</v>
      </c>
      <c r="C72" s="72" t="s">
        <v>186</v>
      </c>
      <c r="D72" s="76"/>
      <c r="E72" s="76"/>
      <c r="F72" s="75"/>
      <c r="G72" s="75">
        <v>17819.14</v>
      </c>
      <c r="H72" s="75"/>
      <c r="I72" s="75"/>
      <c r="J72" s="75">
        <f t="shared" si="1"/>
        <v>17819.14</v>
      </c>
      <c r="K72" s="69" t="e">
        <f>VLOOKUP(A72,#REF!,9,0)</f>
        <v>#REF!</v>
      </c>
      <c r="L72" s="74" t="e">
        <f t="shared" si="0"/>
        <v>#REF!</v>
      </c>
      <c r="N72" s="357"/>
    </row>
    <row r="73" spans="1:14" s="69" customFormat="1" ht="15" customHeight="1">
      <c r="A73" s="65" t="s">
        <v>752</v>
      </c>
      <c r="B73" s="72" t="s">
        <v>751</v>
      </c>
      <c r="C73" s="72" t="s">
        <v>186</v>
      </c>
      <c r="D73" s="76"/>
      <c r="E73" s="76"/>
      <c r="F73" s="75">
        <v>76783.48</v>
      </c>
      <c r="G73" s="75">
        <v>34849.370000000003</v>
      </c>
      <c r="H73" s="75"/>
      <c r="I73" s="75"/>
      <c r="J73" s="75">
        <f t="shared" si="1"/>
        <v>111632.85</v>
      </c>
      <c r="K73" s="69" t="e">
        <f>VLOOKUP(A73,#REF!,9,0)</f>
        <v>#REF!</v>
      </c>
      <c r="L73" s="74" t="e">
        <f t="shared" si="0"/>
        <v>#REF!</v>
      </c>
      <c r="N73" s="357"/>
    </row>
    <row r="74" spans="1:14" s="69" customFormat="1" ht="15" customHeight="1">
      <c r="A74" s="65" t="s">
        <v>750</v>
      </c>
      <c r="B74" s="72" t="s">
        <v>749</v>
      </c>
      <c r="C74" s="72" t="s">
        <v>183</v>
      </c>
      <c r="D74" s="76"/>
      <c r="E74" s="76"/>
      <c r="F74" s="75">
        <v>511538.72</v>
      </c>
      <c r="G74" s="75">
        <v>683923.05</v>
      </c>
      <c r="H74" s="75"/>
      <c r="I74" s="178">
        <v>153729.64000000001</v>
      </c>
      <c r="J74" s="75">
        <f t="shared" si="1"/>
        <v>1349191.4100000001</v>
      </c>
      <c r="K74" s="69" t="e">
        <f>VLOOKUP(A74,#REF!,9,0)</f>
        <v>#REF!</v>
      </c>
      <c r="L74" s="74" t="e">
        <f t="shared" si="0"/>
        <v>#REF!</v>
      </c>
      <c r="N74" s="357">
        <f>1349191.41-1347522.38</f>
        <v>1669.0300000000279</v>
      </c>
    </row>
    <row r="75" spans="1:14" s="69" customFormat="1" ht="15" customHeight="1">
      <c r="A75" s="65" t="s">
        <v>748</v>
      </c>
      <c r="B75" s="72" t="s">
        <v>747</v>
      </c>
      <c r="C75" s="72" t="s">
        <v>186</v>
      </c>
      <c r="D75" s="76"/>
      <c r="E75" s="76"/>
      <c r="F75" s="75"/>
      <c r="G75" s="75">
        <v>12949.01</v>
      </c>
      <c r="H75" s="75"/>
      <c r="I75" s="75"/>
      <c r="J75" s="75">
        <f t="shared" si="1"/>
        <v>12949.01</v>
      </c>
      <c r="K75" s="69" t="e">
        <f>VLOOKUP(A75,#REF!,9,0)</f>
        <v>#REF!</v>
      </c>
      <c r="L75" s="74" t="e">
        <f t="shared" si="0"/>
        <v>#REF!</v>
      </c>
      <c r="N75" s="357"/>
    </row>
    <row r="76" spans="1:14" s="69" customFormat="1" ht="15" customHeight="1">
      <c r="A76" s="65" t="s">
        <v>746</v>
      </c>
      <c r="B76" s="72" t="s">
        <v>745</v>
      </c>
      <c r="C76" s="72" t="s">
        <v>186</v>
      </c>
      <c r="D76" s="76"/>
      <c r="E76" s="76"/>
      <c r="F76" s="75"/>
      <c r="G76" s="75">
        <v>9760.1200000000008</v>
      </c>
      <c r="H76" s="75"/>
      <c r="I76" s="75"/>
      <c r="J76" s="75">
        <f t="shared" si="1"/>
        <v>9760.1200000000008</v>
      </c>
      <c r="K76" s="69" t="e">
        <f>VLOOKUP(A76,#REF!,9,0)</f>
        <v>#REF!</v>
      </c>
      <c r="L76" s="74" t="e">
        <f t="shared" si="0"/>
        <v>#REF!</v>
      </c>
      <c r="N76" s="357"/>
    </row>
    <row r="77" spans="1:14" s="69" customFormat="1" ht="15" customHeight="1">
      <c r="A77" s="65" t="s">
        <v>744</v>
      </c>
      <c r="B77" s="72" t="s">
        <v>743</v>
      </c>
      <c r="C77" s="72" t="s">
        <v>183</v>
      </c>
      <c r="D77" s="76"/>
      <c r="E77" s="76"/>
      <c r="F77" s="75"/>
      <c r="G77" s="178">
        <v>0</v>
      </c>
      <c r="H77" s="75"/>
      <c r="I77" s="75"/>
      <c r="J77" s="75">
        <f t="shared" si="1"/>
        <v>0</v>
      </c>
      <c r="K77" s="69" t="e">
        <f>VLOOKUP(A77,#REF!,9,0)</f>
        <v>#REF!</v>
      </c>
      <c r="L77" s="74" t="e">
        <f t="shared" si="0"/>
        <v>#REF!</v>
      </c>
      <c r="N77" s="357">
        <f>0-9408.81</f>
        <v>-9408.81</v>
      </c>
    </row>
    <row r="78" spans="1:14" s="69" customFormat="1" ht="15" customHeight="1">
      <c r="A78" s="65" t="s">
        <v>742</v>
      </c>
      <c r="B78" s="72" t="s">
        <v>741</v>
      </c>
      <c r="C78" s="72" t="s">
        <v>183</v>
      </c>
      <c r="D78" s="76"/>
      <c r="E78" s="76"/>
      <c r="F78" s="75"/>
      <c r="G78" s="75">
        <v>17060.82</v>
      </c>
      <c r="H78" s="75"/>
      <c r="I78" s="75"/>
      <c r="J78" s="75">
        <f t="shared" si="1"/>
        <v>17060.82</v>
      </c>
      <c r="K78" s="69" t="e">
        <f>VLOOKUP(A78,#REF!,9,0)</f>
        <v>#REF!</v>
      </c>
      <c r="L78" s="74" t="e">
        <f t="shared" si="0"/>
        <v>#REF!</v>
      </c>
      <c r="N78" s="357"/>
    </row>
    <row r="79" spans="1:14" s="69" customFormat="1" ht="15" customHeight="1">
      <c r="A79" s="65" t="s">
        <v>740</v>
      </c>
      <c r="B79" s="72" t="s">
        <v>739</v>
      </c>
      <c r="C79" s="72" t="s">
        <v>186</v>
      </c>
      <c r="D79" s="76"/>
      <c r="E79" s="76"/>
      <c r="F79" s="75"/>
      <c r="G79" s="75">
        <v>15600.93</v>
      </c>
      <c r="H79" s="75"/>
      <c r="I79" s="178">
        <v>1292677.44</v>
      </c>
      <c r="J79" s="75">
        <f t="shared" si="1"/>
        <v>1308278.3699999999</v>
      </c>
      <c r="K79" s="69" t="e">
        <f>VLOOKUP(A79,#REF!,9,0)</f>
        <v>#REF!</v>
      </c>
      <c r="L79" s="74" t="e">
        <f t="shared" si="0"/>
        <v>#REF!</v>
      </c>
      <c r="N79" s="357">
        <f>1308278.37-1308184.31</f>
        <v>94.060000000055879</v>
      </c>
    </row>
    <row r="80" spans="1:14" s="69" customFormat="1" ht="15" customHeight="1">
      <c r="A80" s="65" t="s">
        <v>738</v>
      </c>
      <c r="B80" s="72" t="s">
        <v>737</v>
      </c>
      <c r="C80" s="72" t="s">
        <v>186</v>
      </c>
      <c r="D80" s="76"/>
      <c r="E80" s="76"/>
      <c r="F80" s="75"/>
      <c r="G80" s="75">
        <v>31263.88</v>
      </c>
      <c r="H80" s="75"/>
      <c r="I80" s="75"/>
      <c r="J80" s="75">
        <f t="shared" si="1"/>
        <v>31263.88</v>
      </c>
      <c r="K80" s="69" t="e">
        <f>VLOOKUP(A80,#REF!,9,0)</f>
        <v>#REF!</v>
      </c>
      <c r="L80" s="74" t="e">
        <f t="shared" si="0"/>
        <v>#REF!</v>
      </c>
      <c r="N80" s="357"/>
    </row>
    <row r="81" spans="1:14" s="69" customFormat="1" ht="15" customHeight="1">
      <c r="A81" s="65" t="s">
        <v>736</v>
      </c>
      <c r="B81" s="72" t="s">
        <v>735</v>
      </c>
      <c r="C81" s="72" t="s">
        <v>186</v>
      </c>
      <c r="D81" s="76"/>
      <c r="E81" s="76"/>
      <c r="F81" s="75"/>
      <c r="G81" s="178">
        <v>8364.2000000000007</v>
      </c>
      <c r="H81" s="75"/>
      <c r="I81" s="75"/>
      <c r="J81" s="75">
        <f t="shared" si="1"/>
        <v>8364.2000000000007</v>
      </c>
      <c r="K81" s="69" t="e">
        <f>VLOOKUP(A81,#REF!,9,0)</f>
        <v>#REF!</v>
      </c>
      <c r="L81" s="74" t="e">
        <f t="shared" ref="L81:L154" si="2">K81-J81</f>
        <v>#REF!</v>
      </c>
      <c r="N81" s="357">
        <f>8364.2-11410.22</f>
        <v>-3046.0199999999986</v>
      </c>
    </row>
    <row r="82" spans="1:14" s="69" customFormat="1" ht="15" customHeight="1">
      <c r="A82" s="65" t="s">
        <v>734</v>
      </c>
      <c r="B82" s="72" t="s">
        <v>733</v>
      </c>
      <c r="C82" s="72" t="s">
        <v>186</v>
      </c>
      <c r="D82" s="292">
        <v>72371.39</v>
      </c>
      <c r="E82" s="76"/>
      <c r="F82" s="75"/>
      <c r="G82" s="75"/>
      <c r="H82" s="75"/>
      <c r="I82" s="75"/>
      <c r="J82" s="75">
        <f t="shared" si="1"/>
        <v>72371.39</v>
      </c>
      <c r="K82" s="69" t="e">
        <f>VLOOKUP(A82,#REF!,9,0)</f>
        <v>#REF!</v>
      </c>
      <c r="L82" s="74" t="e">
        <f t="shared" si="2"/>
        <v>#REF!</v>
      </c>
      <c r="N82" s="357"/>
    </row>
    <row r="83" spans="1:14" s="69" customFormat="1" ht="15" customHeight="1">
      <c r="A83" s="65" t="s">
        <v>732</v>
      </c>
      <c r="B83" s="72" t="s">
        <v>731</v>
      </c>
      <c r="C83" s="72" t="s">
        <v>186</v>
      </c>
      <c r="D83" s="76"/>
      <c r="E83" s="76"/>
      <c r="F83" s="75"/>
      <c r="G83" s="75">
        <v>193054.12</v>
      </c>
      <c r="H83" s="75"/>
      <c r="I83" s="75"/>
      <c r="J83" s="75">
        <f t="shared" ref="J83:J160" si="3">+D83+E83+F83+G83+I83</f>
        <v>193054.12</v>
      </c>
      <c r="K83" s="69" t="e">
        <f>VLOOKUP(A83,#REF!,9,0)</f>
        <v>#REF!</v>
      </c>
      <c r="L83" s="74" t="e">
        <f t="shared" si="2"/>
        <v>#REF!</v>
      </c>
      <c r="N83" s="357"/>
    </row>
    <row r="84" spans="1:14" s="69" customFormat="1" ht="15" customHeight="1">
      <c r="A84" s="65" t="s">
        <v>1070</v>
      </c>
      <c r="B84" s="72" t="s">
        <v>1071</v>
      </c>
      <c r="C84" s="72" t="s">
        <v>186</v>
      </c>
      <c r="D84" s="76"/>
      <c r="E84" s="76"/>
      <c r="F84" s="75"/>
      <c r="G84" s="75"/>
      <c r="H84" s="75"/>
      <c r="I84" s="75">
        <v>1632647.22</v>
      </c>
      <c r="J84" s="75">
        <f t="shared" si="3"/>
        <v>1632647.22</v>
      </c>
      <c r="L84" s="74"/>
      <c r="N84" s="357"/>
    </row>
    <row r="85" spans="1:14" s="69" customFormat="1" ht="15" customHeight="1">
      <c r="A85" s="65" t="s">
        <v>730</v>
      </c>
      <c r="B85" s="72" t="s">
        <v>729</v>
      </c>
      <c r="C85" s="72" t="s">
        <v>186</v>
      </c>
      <c r="D85" s="76"/>
      <c r="E85" s="76"/>
      <c r="F85" s="75"/>
      <c r="G85" s="75">
        <v>15697.02</v>
      </c>
      <c r="H85" s="75"/>
      <c r="I85" s="75"/>
      <c r="J85" s="75">
        <f t="shared" si="3"/>
        <v>15697.02</v>
      </c>
      <c r="K85" s="69" t="e">
        <f>VLOOKUP(A85,#REF!,9,0)</f>
        <v>#REF!</v>
      </c>
      <c r="L85" s="74" t="e">
        <f t="shared" si="2"/>
        <v>#REF!</v>
      </c>
      <c r="N85" s="357"/>
    </row>
    <row r="86" spans="1:14" s="69" customFormat="1" ht="15" customHeight="1">
      <c r="A86" s="65" t="s">
        <v>728</v>
      </c>
      <c r="B86" s="72" t="s">
        <v>727</v>
      </c>
      <c r="C86" s="72" t="s">
        <v>183</v>
      </c>
      <c r="D86" s="76"/>
      <c r="E86" s="76"/>
      <c r="F86" s="75"/>
      <c r="G86" s="439">
        <v>3801.78</v>
      </c>
      <c r="H86" s="75"/>
      <c r="I86" s="75"/>
      <c r="J86" s="75">
        <f t="shared" si="3"/>
        <v>3801.78</v>
      </c>
      <c r="K86" s="69" t="e">
        <f>VLOOKUP(A86,#REF!,9,0)</f>
        <v>#REF!</v>
      </c>
      <c r="L86" s="74" t="e">
        <f t="shared" si="2"/>
        <v>#REF!</v>
      </c>
      <c r="N86" s="357"/>
    </row>
    <row r="87" spans="1:14" s="69" customFormat="1" ht="15" customHeight="1">
      <c r="A87" s="65" t="s">
        <v>726</v>
      </c>
      <c r="B87" s="72" t="s">
        <v>725</v>
      </c>
      <c r="C87" s="72" t="s">
        <v>183</v>
      </c>
      <c r="D87" s="76"/>
      <c r="E87" s="76">
        <v>22621.62</v>
      </c>
      <c r="F87" s="75">
        <v>252700.56</v>
      </c>
      <c r="G87" s="75">
        <v>304160.03999999998</v>
      </c>
      <c r="H87" s="75"/>
      <c r="I87" s="178">
        <v>2656734.9300000002</v>
      </c>
      <c r="J87" s="75">
        <f t="shared" si="3"/>
        <v>3236217.1500000004</v>
      </c>
      <c r="K87" s="69" t="e">
        <f>VLOOKUP(A87,#REF!,9,0)</f>
        <v>#REF!</v>
      </c>
      <c r="L87" s="74" t="e">
        <f t="shared" si="2"/>
        <v>#REF!</v>
      </c>
      <c r="N87" s="357">
        <f>3236217.15-3135324.41</f>
        <v>100892.73999999976</v>
      </c>
    </row>
    <row r="88" spans="1:14" s="69" customFormat="1" ht="15" customHeight="1">
      <c r="A88" s="65" t="s">
        <v>724</v>
      </c>
      <c r="B88" s="72" t="s">
        <v>723</v>
      </c>
      <c r="C88" s="72" t="s">
        <v>183</v>
      </c>
      <c r="D88" s="76"/>
      <c r="E88" s="76"/>
      <c r="F88" s="75">
        <v>404.7</v>
      </c>
      <c r="G88" s="178">
        <v>77360.03</v>
      </c>
      <c r="H88" s="75"/>
      <c r="I88" s="75"/>
      <c r="J88" s="75">
        <f t="shared" si="3"/>
        <v>77764.73</v>
      </c>
      <c r="K88" s="69" t="e">
        <f>VLOOKUP(A88,#REF!,9,0)</f>
        <v>#REF!</v>
      </c>
      <c r="L88" s="74" t="e">
        <f t="shared" si="2"/>
        <v>#REF!</v>
      </c>
      <c r="N88" s="357">
        <f>77764.73-62939.38</f>
        <v>14825.349999999999</v>
      </c>
    </row>
    <row r="89" spans="1:14" s="69" customFormat="1" ht="15" customHeight="1">
      <c r="A89" s="65" t="s">
        <v>722</v>
      </c>
      <c r="B89" s="72" t="s">
        <v>721</v>
      </c>
      <c r="C89" s="72" t="s">
        <v>186</v>
      </c>
      <c r="D89" s="76"/>
      <c r="E89" s="76"/>
      <c r="F89" s="75">
        <v>107815.15</v>
      </c>
      <c r="G89" s="75">
        <v>122278.79</v>
      </c>
      <c r="H89" s="75"/>
      <c r="I89" s="75"/>
      <c r="J89" s="75">
        <f t="shared" si="3"/>
        <v>230093.94</v>
      </c>
      <c r="K89" s="69" t="e">
        <f>VLOOKUP(A89,#REF!,9,0)</f>
        <v>#REF!</v>
      </c>
      <c r="L89" s="74" t="e">
        <f t="shared" si="2"/>
        <v>#REF!</v>
      </c>
      <c r="N89" s="357"/>
    </row>
    <row r="90" spans="1:14" s="69" customFormat="1" ht="15" customHeight="1">
      <c r="A90" s="65" t="s">
        <v>720</v>
      </c>
      <c r="B90" s="72" t="s">
        <v>719</v>
      </c>
      <c r="C90" s="72" t="s">
        <v>186</v>
      </c>
      <c r="D90" s="292">
        <v>59548.09</v>
      </c>
      <c r="E90" s="76"/>
      <c r="F90" s="75"/>
      <c r="G90" s="75"/>
      <c r="H90" s="75"/>
      <c r="I90" s="75"/>
      <c r="J90" s="75">
        <f t="shared" si="3"/>
        <v>59548.09</v>
      </c>
      <c r="K90" s="69" t="e">
        <f>VLOOKUP(A90,#REF!,9,0)</f>
        <v>#REF!</v>
      </c>
      <c r="L90" s="74" t="e">
        <f t="shared" si="2"/>
        <v>#REF!</v>
      </c>
      <c r="N90" s="357"/>
    </row>
    <row r="91" spans="1:14" s="69" customFormat="1" ht="15" customHeight="1">
      <c r="A91" s="65" t="s">
        <v>718</v>
      </c>
      <c r="B91" s="72" t="s">
        <v>717</v>
      </c>
      <c r="C91" s="72" t="s">
        <v>186</v>
      </c>
      <c r="D91" s="76"/>
      <c r="E91" s="76"/>
      <c r="F91" s="75"/>
      <c r="G91" s="75">
        <v>32015.54</v>
      </c>
      <c r="H91" s="75"/>
      <c r="I91" s="75"/>
      <c r="J91" s="75">
        <f t="shared" si="3"/>
        <v>32015.54</v>
      </c>
      <c r="K91" s="69" t="e">
        <f>VLOOKUP(A91,#REF!,9,0)</f>
        <v>#REF!</v>
      </c>
      <c r="L91" s="74" t="e">
        <f t="shared" si="2"/>
        <v>#REF!</v>
      </c>
      <c r="N91" s="357"/>
    </row>
    <row r="92" spans="1:14" s="69" customFormat="1" ht="15" customHeight="1">
      <c r="A92" s="65" t="s">
        <v>716</v>
      </c>
      <c r="B92" s="72" t="s">
        <v>715</v>
      </c>
      <c r="C92" s="72" t="s">
        <v>183</v>
      </c>
      <c r="D92" s="76"/>
      <c r="E92" s="76"/>
      <c r="F92" s="75"/>
      <c r="G92" s="75">
        <v>13231.23</v>
      </c>
      <c r="H92" s="75"/>
      <c r="I92" s="75"/>
      <c r="J92" s="75">
        <f t="shared" si="3"/>
        <v>13231.23</v>
      </c>
      <c r="K92" s="69" t="e">
        <f>VLOOKUP(A92,#REF!,9,0)</f>
        <v>#REF!</v>
      </c>
      <c r="L92" s="74" t="e">
        <f t="shared" si="2"/>
        <v>#REF!</v>
      </c>
      <c r="N92" s="357"/>
    </row>
    <row r="93" spans="1:14" s="69" customFormat="1" ht="15" customHeight="1">
      <c r="A93" s="65" t="s">
        <v>714</v>
      </c>
      <c r="B93" s="72" t="s">
        <v>713</v>
      </c>
      <c r="C93" s="72" t="s">
        <v>183</v>
      </c>
      <c r="D93" s="76"/>
      <c r="E93" s="76"/>
      <c r="F93" s="75"/>
      <c r="G93" s="75">
        <v>9378.7999999999993</v>
      </c>
      <c r="H93" s="75"/>
      <c r="I93" s="75">
        <v>3987.81</v>
      </c>
      <c r="J93" s="75">
        <f t="shared" si="3"/>
        <v>13366.609999999999</v>
      </c>
      <c r="K93" s="69" t="e">
        <f>VLOOKUP(A93,#REF!,9,0)</f>
        <v>#REF!</v>
      </c>
      <c r="L93" s="74" t="e">
        <f t="shared" si="2"/>
        <v>#REF!</v>
      </c>
      <c r="N93" s="357"/>
    </row>
    <row r="94" spans="1:14" s="69" customFormat="1" ht="15" customHeight="1">
      <c r="A94" s="65" t="s">
        <v>712</v>
      </c>
      <c r="B94" s="72" t="s">
        <v>711</v>
      </c>
      <c r="C94" s="72" t="s">
        <v>186</v>
      </c>
      <c r="D94" s="76"/>
      <c r="E94" s="76"/>
      <c r="F94" s="75">
        <v>51671.56</v>
      </c>
      <c r="G94" s="75">
        <v>63399.73</v>
      </c>
      <c r="H94" s="75"/>
      <c r="I94" s="75">
        <v>23359.26</v>
      </c>
      <c r="J94" s="75">
        <f t="shared" si="3"/>
        <v>138430.55000000002</v>
      </c>
      <c r="K94" s="69" t="e">
        <f>VLOOKUP(A94,#REF!,9,0)</f>
        <v>#REF!</v>
      </c>
      <c r="L94" s="74" t="e">
        <f t="shared" si="2"/>
        <v>#REF!</v>
      </c>
      <c r="N94" s="357"/>
    </row>
    <row r="95" spans="1:14" s="69" customFormat="1" ht="15" customHeight="1">
      <c r="A95" s="65" t="s">
        <v>710</v>
      </c>
      <c r="B95" s="72" t="s">
        <v>709</v>
      </c>
      <c r="C95" s="72" t="s">
        <v>183</v>
      </c>
      <c r="D95" s="76"/>
      <c r="E95" s="76"/>
      <c r="F95" s="75"/>
      <c r="G95" s="75">
        <v>19075.599999999999</v>
      </c>
      <c r="H95" s="75"/>
      <c r="I95" s="75">
        <v>9779.98</v>
      </c>
      <c r="J95" s="75">
        <f t="shared" si="3"/>
        <v>28855.579999999998</v>
      </c>
      <c r="K95" s="69" t="e">
        <f>VLOOKUP(A95,#REF!,9,0)</f>
        <v>#REF!</v>
      </c>
      <c r="L95" s="74" t="e">
        <f t="shared" si="2"/>
        <v>#REF!</v>
      </c>
      <c r="N95" s="357"/>
    </row>
    <row r="96" spans="1:14" s="69" customFormat="1" ht="15" customHeight="1">
      <c r="A96" s="65" t="s">
        <v>708</v>
      </c>
      <c r="B96" s="72" t="s">
        <v>707</v>
      </c>
      <c r="C96" s="72" t="s">
        <v>183</v>
      </c>
      <c r="D96" s="76"/>
      <c r="E96" s="76"/>
      <c r="F96" s="75">
        <v>388618.41</v>
      </c>
      <c r="G96" s="75">
        <v>407398.66</v>
      </c>
      <c r="H96" s="75"/>
      <c r="I96" s="178">
        <v>53430.47</v>
      </c>
      <c r="J96" s="75">
        <f t="shared" si="3"/>
        <v>849447.53999999992</v>
      </c>
      <c r="K96" s="69" t="e">
        <f>VLOOKUP(A96,#REF!,9,0)</f>
        <v>#REF!</v>
      </c>
      <c r="L96" s="74" t="e">
        <f t="shared" si="2"/>
        <v>#REF!</v>
      </c>
      <c r="N96" s="357">
        <f>849447.54-833378.82</f>
        <v>16068.720000000088</v>
      </c>
    </row>
    <row r="97" spans="1:14" s="69" customFormat="1" ht="15" customHeight="1">
      <c r="A97" s="65" t="s">
        <v>706</v>
      </c>
      <c r="B97" s="72" t="s">
        <v>705</v>
      </c>
      <c r="C97" s="72" t="s">
        <v>186</v>
      </c>
      <c r="D97" s="76"/>
      <c r="E97" s="76"/>
      <c r="F97" s="75"/>
      <c r="G97" s="75">
        <v>16244.49</v>
      </c>
      <c r="H97" s="75"/>
      <c r="I97" s="75">
        <v>1272875.83</v>
      </c>
      <c r="J97" s="75">
        <f t="shared" si="3"/>
        <v>1289120.32</v>
      </c>
      <c r="K97" s="69" t="e">
        <f>VLOOKUP(A97,#REF!,9,0)</f>
        <v>#REF!</v>
      </c>
      <c r="L97" s="74" t="e">
        <f t="shared" si="2"/>
        <v>#REF!</v>
      </c>
      <c r="N97" s="357">
        <f>1289120.32-1273976.95</f>
        <v>15143.370000000112</v>
      </c>
    </row>
    <row r="98" spans="1:14" s="229" customFormat="1" ht="15" customHeight="1">
      <c r="A98" s="175" t="s">
        <v>1617</v>
      </c>
      <c r="B98" s="176" t="s">
        <v>1618</v>
      </c>
      <c r="C98" s="176" t="s">
        <v>186</v>
      </c>
      <c r="D98" s="177"/>
      <c r="E98" s="177"/>
      <c r="F98" s="178"/>
      <c r="G98" s="178">
        <v>94155.86</v>
      </c>
      <c r="H98" s="178"/>
      <c r="I98" s="178"/>
      <c r="J98" s="178">
        <f t="shared" si="3"/>
        <v>94155.86</v>
      </c>
      <c r="L98" s="435"/>
      <c r="N98" s="436">
        <f>94155.86-0</f>
        <v>94155.86</v>
      </c>
    </row>
    <row r="99" spans="1:14" s="69" customFormat="1" ht="15" customHeight="1">
      <c r="A99" s="65" t="s">
        <v>704</v>
      </c>
      <c r="B99" s="72" t="s">
        <v>703</v>
      </c>
      <c r="C99" s="72" t="s">
        <v>186</v>
      </c>
      <c r="D99" s="76"/>
      <c r="E99" s="76"/>
      <c r="F99" s="75"/>
      <c r="G99" s="75">
        <v>18440.75</v>
      </c>
      <c r="H99" s="75"/>
      <c r="I99" s="75"/>
      <c r="J99" s="75">
        <f t="shared" si="3"/>
        <v>18440.75</v>
      </c>
      <c r="K99" s="69" t="e">
        <f>VLOOKUP(A99,#REF!,9,0)</f>
        <v>#REF!</v>
      </c>
      <c r="L99" s="74" t="e">
        <f t="shared" si="2"/>
        <v>#REF!</v>
      </c>
      <c r="N99" s="357"/>
    </row>
    <row r="100" spans="1:14" s="69" customFormat="1" ht="15" customHeight="1">
      <c r="A100" s="65" t="s">
        <v>1072</v>
      </c>
      <c r="B100" s="72" t="s">
        <v>1073</v>
      </c>
      <c r="C100" s="72" t="s">
        <v>186</v>
      </c>
      <c r="D100" s="76"/>
      <c r="E100" s="76"/>
      <c r="F100" s="75"/>
      <c r="G100" s="75"/>
      <c r="H100" s="75"/>
      <c r="I100" s="178">
        <v>1285979.79</v>
      </c>
      <c r="J100" s="75">
        <f t="shared" si="3"/>
        <v>1285979.79</v>
      </c>
      <c r="K100" s="69" t="e">
        <f>VLOOKUP(A100,#REF!,9,0)</f>
        <v>#REF!</v>
      </c>
      <c r="L100" s="74"/>
      <c r="N100" s="357">
        <f>1285979.79-1285931.52</f>
        <v>48.270000000018626</v>
      </c>
    </row>
    <row r="101" spans="1:14" s="229" customFormat="1" ht="15" customHeight="1">
      <c r="A101" s="175" t="s">
        <v>1619</v>
      </c>
      <c r="B101" s="176" t="s">
        <v>1620</v>
      </c>
      <c r="C101" s="176" t="s">
        <v>186</v>
      </c>
      <c r="D101" s="177"/>
      <c r="E101" s="177"/>
      <c r="F101" s="178">
        <v>306.86</v>
      </c>
      <c r="G101" s="178">
        <v>21807.64</v>
      </c>
      <c r="H101" s="178"/>
      <c r="I101" s="178"/>
      <c r="J101" s="178">
        <f t="shared" si="3"/>
        <v>22114.5</v>
      </c>
      <c r="L101" s="435"/>
      <c r="N101" s="436"/>
    </row>
    <row r="102" spans="1:14" s="69" customFormat="1" ht="15" customHeight="1">
      <c r="A102" s="65" t="s">
        <v>702</v>
      </c>
      <c r="B102" s="72" t="s">
        <v>701</v>
      </c>
      <c r="C102" s="72" t="s">
        <v>184</v>
      </c>
      <c r="D102" s="76"/>
      <c r="E102" s="76"/>
      <c r="F102" s="75"/>
      <c r="G102" s="75"/>
      <c r="H102" s="75"/>
      <c r="I102" s="178">
        <v>1335439.3799999999</v>
      </c>
      <c r="J102" s="75">
        <f t="shared" si="3"/>
        <v>1335439.3799999999</v>
      </c>
      <c r="K102" s="69" t="e">
        <f>VLOOKUP(A102,#REF!,9,0)</f>
        <v>#REF!</v>
      </c>
      <c r="L102" s="74" t="e">
        <f t="shared" si="2"/>
        <v>#REF!</v>
      </c>
      <c r="N102" s="357">
        <f>1335439.38-1332854.82</f>
        <v>2584.559999999823</v>
      </c>
    </row>
    <row r="103" spans="1:14" s="69" customFormat="1" ht="15" customHeight="1">
      <c r="A103" s="65" t="s">
        <v>700</v>
      </c>
      <c r="B103" s="72" t="s">
        <v>699</v>
      </c>
      <c r="C103" s="72" t="s">
        <v>183</v>
      </c>
      <c r="D103" s="76"/>
      <c r="E103" s="76"/>
      <c r="F103" s="75">
        <v>289614.02</v>
      </c>
      <c r="G103" s="75">
        <v>415891.35</v>
      </c>
      <c r="H103" s="75"/>
      <c r="I103" s="75"/>
      <c r="J103" s="75">
        <f t="shared" si="3"/>
        <v>705505.37</v>
      </c>
      <c r="K103" s="69" t="e">
        <f>VLOOKUP(A103,#REF!,9,0)</f>
        <v>#REF!</v>
      </c>
      <c r="L103" s="74" t="e">
        <f t="shared" si="2"/>
        <v>#REF!</v>
      </c>
      <c r="N103" s="357"/>
    </row>
    <row r="104" spans="1:14" s="69" customFormat="1" ht="15" customHeight="1">
      <c r="A104" s="65" t="s">
        <v>698</v>
      </c>
      <c r="B104" s="72" t="s">
        <v>697</v>
      </c>
      <c r="C104" s="72" t="s">
        <v>183</v>
      </c>
      <c r="D104" s="76"/>
      <c r="E104" s="76"/>
      <c r="F104" s="75">
        <v>68770.36</v>
      </c>
      <c r="G104" s="75">
        <v>159181.49</v>
      </c>
      <c r="H104" s="75"/>
      <c r="I104" s="75"/>
      <c r="J104" s="75">
        <f t="shared" si="3"/>
        <v>227951.84999999998</v>
      </c>
      <c r="K104" s="69" t="e">
        <f>VLOOKUP(A104,#REF!,9,0)</f>
        <v>#REF!</v>
      </c>
      <c r="L104" s="74" t="e">
        <f t="shared" si="2"/>
        <v>#REF!</v>
      </c>
      <c r="N104" s="357"/>
    </row>
    <row r="105" spans="1:14" s="69" customFormat="1" ht="15" customHeight="1">
      <c r="A105" s="65" t="s">
        <v>1074</v>
      </c>
      <c r="B105" s="72" t="s">
        <v>1075</v>
      </c>
      <c r="C105" s="72" t="s">
        <v>186</v>
      </c>
      <c r="D105" s="76"/>
      <c r="E105" s="76">
        <v>23173.09</v>
      </c>
      <c r="F105" s="75"/>
      <c r="G105" s="75"/>
      <c r="H105" s="75"/>
      <c r="I105" s="178">
        <v>1554327.95</v>
      </c>
      <c r="J105" s="75">
        <f t="shared" si="3"/>
        <v>1577501.04</v>
      </c>
      <c r="K105" s="69" t="e">
        <f>VLOOKUP(A105,#REF!,9,0)</f>
        <v>#REF!</v>
      </c>
      <c r="L105" s="74"/>
      <c r="N105" s="357">
        <f>1577501.04-1574389.4</f>
        <v>3111.6400000001304</v>
      </c>
    </row>
    <row r="106" spans="1:14" s="69" customFormat="1" ht="15" customHeight="1">
      <c r="A106" s="65" t="s">
        <v>696</v>
      </c>
      <c r="B106" s="72" t="s">
        <v>695</v>
      </c>
      <c r="C106" s="72" t="s">
        <v>186</v>
      </c>
      <c r="D106" s="76"/>
      <c r="E106" s="76">
        <v>17453.61</v>
      </c>
      <c r="F106" s="75">
        <v>526881.18999999994</v>
      </c>
      <c r="G106" s="75">
        <v>332580.71999999997</v>
      </c>
      <c r="H106" s="75"/>
      <c r="I106" s="75"/>
      <c r="J106" s="75">
        <f t="shared" si="3"/>
        <v>876915.5199999999</v>
      </c>
      <c r="K106" s="69" t="e">
        <f>VLOOKUP(A106,#REF!,9,0)</f>
        <v>#REF!</v>
      </c>
      <c r="L106" s="74" t="e">
        <f t="shared" si="2"/>
        <v>#REF!</v>
      </c>
      <c r="N106" s="357"/>
    </row>
    <row r="107" spans="1:14" s="69" customFormat="1" ht="15" customHeight="1">
      <c r="A107" s="65" t="s">
        <v>694</v>
      </c>
      <c r="B107" s="72" t="s">
        <v>693</v>
      </c>
      <c r="C107" s="72" t="s">
        <v>890</v>
      </c>
      <c r="D107" s="76"/>
      <c r="E107" s="76"/>
      <c r="F107" s="75"/>
      <c r="G107" s="75">
        <v>34220.129999999997</v>
      </c>
      <c r="H107" s="75"/>
      <c r="I107" s="178">
        <v>864914.57</v>
      </c>
      <c r="J107" s="75">
        <f t="shared" si="3"/>
        <v>899134.7</v>
      </c>
      <c r="K107" s="69" t="e">
        <f>VLOOKUP(A107,#REF!,9,0)</f>
        <v>#REF!</v>
      </c>
      <c r="L107" s="74" t="e">
        <f t="shared" si="2"/>
        <v>#REF!</v>
      </c>
      <c r="N107" s="357">
        <f>899134.7-898985.17</f>
        <v>149.52999999991152</v>
      </c>
    </row>
    <row r="108" spans="1:14" s="69" customFormat="1" ht="15" customHeight="1">
      <c r="A108" s="65" t="s">
        <v>692</v>
      </c>
      <c r="B108" s="72" t="s">
        <v>691</v>
      </c>
      <c r="C108" s="72" t="s">
        <v>186</v>
      </c>
      <c r="D108" s="76"/>
      <c r="E108" s="76">
        <v>17051.05</v>
      </c>
      <c r="F108" s="75"/>
      <c r="G108" s="75">
        <v>9504.85</v>
      </c>
      <c r="H108" s="75"/>
      <c r="I108" s="178">
        <v>1396968.52</v>
      </c>
      <c r="J108" s="75">
        <f t="shared" si="3"/>
        <v>1423524.42</v>
      </c>
      <c r="K108" s="69" t="e">
        <f>VLOOKUP(A108,#REF!,9,0)</f>
        <v>#REF!</v>
      </c>
      <c r="L108" s="74" t="e">
        <f t="shared" si="2"/>
        <v>#REF!</v>
      </c>
      <c r="N108" s="357">
        <f>1423524.42-1423494.37</f>
        <v>30.049999999813735</v>
      </c>
    </row>
    <row r="109" spans="1:14" s="69" customFormat="1" ht="15" customHeight="1">
      <c r="A109" s="65" t="s">
        <v>690</v>
      </c>
      <c r="B109" s="72" t="s">
        <v>689</v>
      </c>
      <c r="C109" s="72" t="s">
        <v>183</v>
      </c>
      <c r="D109" s="76"/>
      <c r="E109" s="76"/>
      <c r="F109" s="75">
        <v>455082.19</v>
      </c>
      <c r="G109" s="75">
        <v>403475.78</v>
      </c>
      <c r="H109" s="75"/>
      <c r="I109" s="178">
        <v>146426.34</v>
      </c>
      <c r="J109" s="75">
        <f t="shared" si="3"/>
        <v>1004984.3099999999</v>
      </c>
      <c r="K109" s="69" t="e">
        <f>VLOOKUP(A109,#REF!,9,0)</f>
        <v>#REF!</v>
      </c>
      <c r="L109" s="74" t="e">
        <f t="shared" si="2"/>
        <v>#REF!</v>
      </c>
      <c r="N109" s="357">
        <f>1004984.31-1003031.77</f>
        <v>1952.5400000000373</v>
      </c>
    </row>
    <row r="110" spans="1:14" s="69" customFormat="1" ht="15" customHeight="1">
      <c r="A110" s="65" t="s">
        <v>688</v>
      </c>
      <c r="B110" s="72" t="s">
        <v>687</v>
      </c>
      <c r="C110" s="72" t="s">
        <v>890</v>
      </c>
      <c r="D110" s="76"/>
      <c r="E110" s="76"/>
      <c r="F110" s="75"/>
      <c r="G110" s="75">
        <v>11294.28</v>
      </c>
      <c r="H110" s="75"/>
      <c r="I110" s="75">
        <v>8262.3799999999992</v>
      </c>
      <c r="J110" s="75">
        <f t="shared" si="3"/>
        <v>19556.66</v>
      </c>
      <c r="K110" s="69" t="e">
        <f>VLOOKUP(A110,#REF!,9,0)</f>
        <v>#REF!</v>
      </c>
      <c r="L110" s="74" t="e">
        <f t="shared" si="2"/>
        <v>#REF!</v>
      </c>
      <c r="N110" s="357"/>
    </row>
    <row r="111" spans="1:14" s="69" customFormat="1" ht="15" customHeight="1">
      <c r="A111" s="65" t="s">
        <v>686</v>
      </c>
      <c r="B111" s="72" t="s">
        <v>685</v>
      </c>
      <c r="C111" s="72" t="s">
        <v>183</v>
      </c>
      <c r="D111" s="76"/>
      <c r="E111" s="76"/>
      <c r="F111" s="75"/>
      <c r="G111" s="439">
        <f>1965.28+187307.84</f>
        <v>189273.12</v>
      </c>
      <c r="H111" s="75"/>
      <c r="I111" s="439">
        <v>2846081.02</v>
      </c>
      <c r="J111" s="75">
        <f t="shared" si="3"/>
        <v>3035354.14</v>
      </c>
      <c r="K111" s="69" t="e">
        <f>VLOOKUP(A111,#REF!,9,0)</f>
        <v>#REF!</v>
      </c>
      <c r="L111" s="74" t="e">
        <f t="shared" si="2"/>
        <v>#REF!</v>
      </c>
      <c r="N111" s="357"/>
    </row>
    <row r="112" spans="1:14" s="69" customFormat="1" ht="15" customHeight="1">
      <c r="A112" s="65" t="s">
        <v>684</v>
      </c>
      <c r="B112" s="72" t="s">
        <v>683</v>
      </c>
      <c r="C112" s="72" t="s">
        <v>186</v>
      </c>
      <c r="D112" s="76"/>
      <c r="E112" s="76"/>
      <c r="F112" s="75"/>
      <c r="G112" s="75">
        <v>130102.64</v>
      </c>
      <c r="H112" s="75"/>
      <c r="I112" s="75"/>
      <c r="J112" s="75">
        <f t="shared" si="3"/>
        <v>130102.64</v>
      </c>
      <c r="K112" s="69" t="e">
        <f>VLOOKUP(A112,#REF!,9,0)</f>
        <v>#REF!</v>
      </c>
      <c r="L112" s="74" t="e">
        <f t="shared" si="2"/>
        <v>#REF!</v>
      </c>
      <c r="N112" s="357"/>
    </row>
    <row r="113" spans="1:14" s="69" customFormat="1" ht="15" customHeight="1">
      <c r="A113" s="65" t="s">
        <v>682</v>
      </c>
      <c r="B113" s="72" t="s">
        <v>681</v>
      </c>
      <c r="C113" s="72" t="s">
        <v>186</v>
      </c>
      <c r="D113" s="76"/>
      <c r="E113" s="76"/>
      <c r="F113" s="75"/>
      <c r="G113" s="75">
        <v>6243.03</v>
      </c>
      <c r="H113" s="75"/>
      <c r="I113" s="178">
        <v>1143653.51</v>
      </c>
      <c r="J113" s="75">
        <f t="shared" si="3"/>
        <v>1149896.54</v>
      </c>
      <c r="K113" s="69" t="e">
        <f>VLOOKUP(A113,#REF!,9,0)</f>
        <v>#REF!</v>
      </c>
      <c r="L113" s="74" t="e">
        <f t="shared" si="2"/>
        <v>#REF!</v>
      </c>
      <c r="N113" s="357">
        <f>1149896.54-1149796.8</f>
        <v>99.739999999990687</v>
      </c>
    </row>
    <row r="114" spans="1:14" s="69" customFormat="1" ht="15" customHeight="1">
      <c r="A114" s="65" t="s">
        <v>680</v>
      </c>
      <c r="B114" s="72" t="s">
        <v>679</v>
      </c>
      <c r="C114" s="72" t="s">
        <v>183</v>
      </c>
      <c r="D114" s="76"/>
      <c r="E114" s="76"/>
      <c r="F114" s="75"/>
      <c r="G114" s="75">
        <v>10597.5</v>
      </c>
      <c r="H114" s="75"/>
      <c r="I114" s="75"/>
      <c r="J114" s="75">
        <f t="shared" si="3"/>
        <v>10597.5</v>
      </c>
      <c r="K114" s="69" t="e">
        <f>VLOOKUP(A114,#REF!,9,0)</f>
        <v>#REF!</v>
      </c>
      <c r="L114" s="74" t="e">
        <f t="shared" si="2"/>
        <v>#REF!</v>
      </c>
      <c r="N114" s="357"/>
    </row>
    <row r="115" spans="1:14" s="69" customFormat="1" ht="15" customHeight="1">
      <c r="A115" s="65" t="s">
        <v>678</v>
      </c>
      <c r="B115" s="72" t="s">
        <v>677</v>
      </c>
      <c r="C115" s="72" t="s">
        <v>183</v>
      </c>
      <c r="D115" s="76"/>
      <c r="E115" s="76"/>
      <c r="F115" s="75"/>
      <c r="G115" s="75">
        <v>36142.080000000002</v>
      </c>
      <c r="H115" s="75"/>
      <c r="I115" s="75"/>
      <c r="J115" s="75">
        <f t="shared" si="3"/>
        <v>36142.080000000002</v>
      </c>
      <c r="K115" s="69" t="e">
        <f>VLOOKUP(A115,#REF!,9,0)</f>
        <v>#REF!</v>
      </c>
      <c r="L115" s="74" t="e">
        <f t="shared" si="2"/>
        <v>#REF!</v>
      </c>
      <c r="N115" s="357"/>
    </row>
    <row r="116" spans="1:14" s="69" customFormat="1" ht="15" customHeight="1">
      <c r="A116" s="65" t="s">
        <v>676</v>
      </c>
      <c r="B116" s="72" t="s">
        <v>675</v>
      </c>
      <c r="C116" s="72" t="s">
        <v>183</v>
      </c>
      <c r="D116" s="76"/>
      <c r="E116" s="76"/>
      <c r="F116" s="75"/>
      <c r="G116" s="75"/>
      <c r="H116" s="75"/>
      <c r="I116" s="178">
        <v>578557.32999999996</v>
      </c>
      <c r="J116" s="75">
        <f t="shared" si="3"/>
        <v>578557.32999999996</v>
      </c>
      <c r="K116" s="69" t="e">
        <f>VLOOKUP(A116,#REF!,9,0)</f>
        <v>#REF!</v>
      </c>
      <c r="L116" s="74" t="e">
        <f t="shared" si="2"/>
        <v>#REF!</v>
      </c>
      <c r="N116" s="357">
        <f>578557.33-568370.82</f>
        <v>10186.510000000009</v>
      </c>
    </row>
    <row r="117" spans="1:14" s="69" customFormat="1" ht="15" customHeight="1">
      <c r="A117" s="65" t="s">
        <v>674</v>
      </c>
      <c r="B117" s="72" t="s">
        <v>673</v>
      </c>
      <c r="C117" s="72" t="s">
        <v>184</v>
      </c>
      <c r="D117" s="76"/>
      <c r="E117" s="76"/>
      <c r="F117" s="75">
        <v>265844.59999999998</v>
      </c>
      <c r="G117" s="75">
        <v>381946.72</v>
      </c>
      <c r="H117" s="75"/>
      <c r="I117" s="75"/>
      <c r="J117" s="75">
        <f t="shared" si="3"/>
        <v>647791.31999999995</v>
      </c>
      <c r="K117" s="69" t="e">
        <f>VLOOKUP(A117,#REF!,9,0)</f>
        <v>#REF!</v>
      </c>
      <c r="L117" s="74" t="e">
        <f t="shared" si="2"/>
        <v>#REF!</v>
      </c>
      <c r="N117" s="357"/>
    </row>
    <row r="118" spans="1:14" s="69" customFormat="1" ht="15" customHeight="1">
      <c r="A118" s="65" t="s">
        <v>672</v>
      </c>
      <c r="B118" s="72" t="s">
        <v>671</v>
      </c>
      <c r="C118" s="72" t="s">
        <v>183</v>
      </c>
      <c r="D118" s="76"/>
      <c r="E118" s="76"/>
      <c r="F118" s="75"/>
      <c r="G118" s="178">
        <v>21044.77</v>
      </c>
      <c r="H118" s="75"/>
      <c r="I118" s="75"/>
      <c r="J118" s="75">
        <f t="shared" si="3"/>
        <v>21044.77</v>
      </c>
      <c r="K118" s="69" t="e">
        <f>VLOOKUP(A118,#REF!,9,0)</f>
        <v>#REF!</v>
      </c>
      <c r="L118" s="74" t="e">
        <f t="shared" si="2"/>
        <v>#REF!</v>
      </c>
      <c r="N118" s="357">
        <f>21044.77-8489.6</f>
        <v>12555.17</v>
      </c>
    </row>
    <row r="119" spans="1:14" s="69" customFormat="1" ht="15" customHeight="1">
      <c r="A119" s="65" t="s">
        <v>670</v>
      </c>
      <c r="B119" s="72" t="s">
        <v>669</v>
      </c>
      <c r="C119" s="72" t="s">
        <v>183</v>
      </c>
      <c r="D119" s="76"/>
      <c r="E119" s="76"/>
      <c r="F119" s="75">
        <v>272043.05</v>
      </c>
      <c r="G119" s="178">
        <v>2127958.14</v>
      </c>
      <c r="H119" s="75"/>
      <c r="I119" s="178">
        <v>821874.04</v>
      </c>
      <c r="J119" s="75">
        <f t="shared" si="3"/>
        <v>3221875.23</v>
      </c>
      <c r="K119" s="69" t="e">
        <f>VLOOKUP(A119,#REF!,9,0)</f>
        <v>#REF!</v>
      </c>
      <c r="L119" s="74" t="e">
        <f t="shared" si="2"/>
        <v>#REF!</v>
      </c>
      <c r="N119" s="357">
        <f>3221875.23-3163602.76</f>
        <v>58272.470000000205</v>
      </c>
    </row>
    <row r="120" spans="1:14" s="69" customFormat="1" ht="15" customHeight="1">
      <c r="A120" s="65" t="s">
        <v>668</v>
      </c>
      <c r="B120" s="72" t="s">
        <v>667</v>
      </c>
      <c r="C120" s="72" t="s">
        <v>186</v>
      </c>
      <c r="D120" s="76"/>
      <c r="E120" s="76"/>
      <c r="F120" s="75"/>
      <c r="G120" s="75">
        <v>10755.75</v>
      </c>
      <c r="H120" s="75"/>
      <c r="I120" s="178">
        <v>918308.4</v>
      </c>
      <c r="J120" s="75">
        <f t="shared" si="3"/>
        <v>929064.15</v>
      </c>
      <c r="K120" s="69" t="e">
        <f>VLOOKUP(A120,#REF!,9,0)</f>
        <v>#REF!</v>
      </c>
      <c r="L120" s="74" t="e">
        <f t="shared" si="2"/>
        <v>#REF!</v>
      </c>
      <c r="N120" s="357">
        <f>929064.15-928995.74</f>
        <v>68.410000000032596</v>
      </c>
    </row>
    <row r="121" spans="1:14" s="69" customFormat="1" ht="15" customHeight="1">
      <c r="A121" s="65" t="s">
        <v>666</v>
      </c>
      <c r="B121" s="72" t="s">
        <v>665</v>
      </c>
      <c r="C121" s="72" t="s">
        <v>183</v>
      </c>
      <c r="D121" s="76"/>
      <c r="E121" s="76"/>
      <c r="F121" s="75"/>
      <c r="G121" s="75">
        <v>19990.18</v>
      </c>
      <c r="H121" s="75"/>
      <c r="I121" s="75"/>
      <c r="J121" s="75">
        <f t="shared" si="3"/>
        <v>19990.18</v>
      </c>
      <c r="K121" s="69" t="e">
        <f>VLOOKUP(A121,#REF!,9,0)</f>
        <v>#REF!</v>
      </c>
      <c r="L121" s="74" t="e">
        <f t="shared" si="2"/>
        <v>#REF!</v>
      </c>
      <c r="N121" s="357"/>
    </row>
    <row r="122" spans="1:14" s="69" customFormat="1" ht="15" customHeight="1">
      <c r="A122" s="65" t="s">
        <v>664</v>
      </c>
      <c r="B122" s="72" t="s">
        <v>663</v>
      </c>
      <c r="C122" s="72" t="s">
        <v>183</v>
      </c>
      <c r="D122" s="76"/>
      <c r="E122" s="76"/>
      <c r="F122" s="75">
        <v>391208.54</v>
      </c>
      <c r="G122" s="178">
        <v>2962786.49</v>
      </c>
      <c r="H122" s="75"/>
      <c r="I122" s="178">
        <v>299801.36</v>
      </c>
      <c r="J122" s="75">
        <f t="shared" si="3"/>
        <v>3653796.39</v>
      </c>
      <c r="K122" s="69" t="e">
        <f>VLOOKUP(A122,#REF!,9,0)</f>
        <v>#REF!</v>
      </c>
      <c r="L122" s="74" t="e">
        <f t="shared" si="2"/>
        <v>#REF!</v>
      </c>
      <c r="N122" s="357">
        <f>3653796.39-3626129.9</f>
        <v>27666.490000000224</v>
      </c>
    </row>
    <row r="123" spans="1:14" s="69" customFormat="1" ht="15" customHeight="1">
      <c r="A123" s="65" t="s">
        <v>662</v>
      </c>
      <c r="B123" s="72" t="s">
        <v>661</v>
      </c>
      <c r="C123" s="72" t="s">
        <v>183</v>
      </c>
      <c r="D123" s="76"/>
      <c r="E123" s="76"/>
      <c r="F123" s="75">
        <v>67746.12</v>
      </c>
      <c r="G123" s="75">
        <v>686263.89</v>
      </c>
      <c r="H123" s="75"/>
      <c r="I123" s="178">
        <v>24298.05</v>
      </c>
      <c r="J123" s="75">
        <f t="shared" si="3"/>
        <v>778308.06</v>
      </c>
      <c r="K123" s="69" t="e">
        <f>VLOOKUP(A123,#REF!,9,0)</f>
        <v>#REF!</v>
      </c>
      <c r="L123" s="74" t="e">
        <f t="shared" si="2"/>
        <v>#REF!</v>
      </c>
      <c r="N123" s="357">
        <f>778308.06-754010.01</f>
        <v>24298.050000000047</v>
      </c>
    </row>
    <row r="124" spans="1:14" s="69" customFormat="1" ht="15" customHeight="1">
      <c r="A124" s="65" t="s">
        <v>660</v>
      </c>
      <c r="B124" s="72" t="s">
        <v>659</v>
      </c>
      <c r="C124" s="72" t="s">
        <v>890</v>
      </c>
      <c r="D124" s="76"/>
      <c r="E124" s="76"/>
      <c r="F124" s="75"/>
      <c r="G124" s="75">
        <v>8786.86</v>
      </c>
      <c r="H124" s="75"/>
      <c r="I124" s="75">
        <v>1775.38</v>
      </c>
      <c r="J124" s="75">
        <f t="shared" si="3"/>
        <v>10562.240000000002</v>
      </c>
      <c r="K124" s="69" t="e">
        <f>VLOOKUP(A124,#REF!,9,0)</f>
        <v>#REF!</v>
      </c>
      <c r="L124" s="74" t="e">
        <f t="shared" si="2"/>
        <v>#REF!</v>
      </c>
      <c r="N124" s="357"/>
    </row>
    <row r="125" spans="1:14" s="69" customFormat="1" ht="15" customHeight="1">
      <c r="A125" s="65" t="s">
        <v>658</v>
      </c>
      <c r="B125" s="72" t="s">
        <v>657</v>
      </c>
      <c r="C125" s="72" t="s">
        <v>183</v>
      </c>
      <c r="D125" s="76"/>
      <c r="E125" s="76"/>
      <c r="F125" s="75"/>
      <c r="G125" s="75">
        <v>15646.24</v>
      </c>
      <c r="H125" s="75"/>
      <c r="I125" s="75"/>
      <c r="J125" s="75">
        <f t="shared" si="3"/>
        <v>15646.24</v>
      </c>
      <c r="K125" s="69" t="e">
        <f>VLOOKUP(A125,#REF!,9,0)</f>
        <v>#REF!</v>
      </c>
      <c r="L125" s="74" t="e">
        <f t="shared" si="2"/>
        <v>#REF!</v>
      </c>
      <c r="N125" s="357"/>
    </row>
    <row r="126" spans="1:14" s="69" customFormat="1" ht="15" customHeight="1">
      <c r="A126" s="65" t="s">
        <v>656</v>
      </c>
      <c r="B126" s="72" t="s">
        <v>655</v>
      </c>
      <c r="C126" s="72" t="s">
        <v>186</v>
      </c>
      <c r="D126" s="76"/>
      <c r="E126" s="76"/>
      <c r="F126" s="75"/>
      <c r="G126" s="75">
        <v>17628.47</v>
      </c>
      <c r="H126" s="75"/>
      <c r="I126" s="75"/>
      <c r="J126" s="75">
        <f t="shared" si="3"/>
        <v>17628.47</v>
      </c>
      <c r="K126" s="69" t="e">
        <f>VLOOKUP(A126,#REF!,9,0)</f>
        <v>#REF!</v>
      </c>
      <c r="L126" s="74" t="e">
        <f t="shared" si="2"/>
        <v>#REF!</v>
      </c>
      <c r="N126" s="357"/>
    </row>
    <row r="127" spans="1:14" s="69" customFormat="1" ht="15" customHeight="1">
      <c r="A127" s="65" t="s">
        <v>654</v>
      </c>
      <c r="B127" s="72" t="s">
        <v>653</v>
      </c>
      <c r="C127" s="72" t="s">
        <v>186</v>
      </c>
      <c r="D127" s="76"/>
      <c r="E127" s="76"/>
      <c r="F127" s="75"/>
      <c r="G127" s="75">
        <v>9209.01</v>
      </c>
      <c r="H127" s="75"/>
      <c r="I127" s="75"/>
      <c r="J127" s="75">
        <f t="shared" si="3"/>
        <v>9209.01</v>
      </c>
      <c r="K127" s="69" t="e">
        <f>VLOOKUP(A127,#REF!,9,0)</f>
        <v>#REF!</v>
      </c>
      <c r="L127" s="74" t="e">
        <f t="shared" si="2"/>
        <v>#REF!</v>
      </c>
      <c r="N127" s="357"/>
    </row>
    <row r="128" spans="1:14" s="69" customFormat="1" ht="15" customHeight="1">
      <c r="A128" s="65" t="s">
        <v>652</v>
      </c>
      <c r="B128" s="72" t="s">
        <v>651</v>
      </c>
      <c r="C128" s="72" t="s">
        <v>186</v>
      </c>
      <c r="D128" s="76"/>
      <c r="E128" s="76"/>
      <c r="F128" s="75"/>
      <c r="G128" s="75">
        <v>25972.37</v>
      </c>
      <c r="H128" s="75"/>
      <c r="I128" s="75"/>
      <c r="J128" s="75">
        <f t="shared" si="3"/>
        <v>25972.37</v>
      </c>
      <c r="K128" s="69" t="e">
        <f>VLOOKUP(A128,#REF!,9,0)</f>
        <v>#REF!</v>
      </c>
      <c r="L128" s="74" t="e">
        <f t="shared" si="2"/>
        <v>#REF!</v>
      </c>
      <c r="N128" s="357"/>
    </row>
    <row r="129" spans="1:14" s="69" customFormat="1" ht="15" customHeight="1">
      <c r="A129" s="65" t="s">
        <v>650</v>
      </c>
      <c r="B129" s="72" t="s">
        <v>649</v>
      </c>
      <c r="C129" s="72" t="s">
        <v>186</v>
      </c>
      <c r="D129" s="76"/>
      <c r="E129" s="76">
        <v>11281.02</v>
      </c>
      <c r="F129" s="75"/>
      <c r="G129" s="75">
        <v>155693.5</v>
      </c>
      <c r="H129" s="75"/>
      <c r="I129" s="178">
        <v>1040892.48</v>
      </c>
      <c r="J129" s="75">
        <f t="shared" si="3"/>
        <v>1207867</v>
      </c>
      <c r="K129" s="69" t="e">
        <f>VLOOKUP(A129,#REF!,9,0)</f>
        <v>#REF!</v>
      </c>
      <c r="L129" s="74" t="e">
        <f t="shared" si="2"/>
        <v>#REF!</v>
      </c>
      <c r="N129" s="357">
        <f>1207867-1207768.61</f>
        <v>98.389999999897555</v>
      </c>
    </row>
    <row r="130" spans="1:14" s="69" customFormat="1" ht="15" customHeight="1">
      <c r="A130" s="65" t="s">
        <v>648</v>
      </c>
      <c r="B130" s="72" t="s">
        <v>647</v>
      </c>
      <c r="C130" s="72" t="s">
        <v>186</v>
      </c>
      <c r="D130" s="76"/>
      <c r="E130" s="76"/>
      <c r="F130" s="75"/>
      <c r="G130" s="75">
        <v>41997.07</v>
      </c>
      <c r="H130" s="75"/>
      <c r="I130" s="75"/>
      <c r="J130" s="75">
        <f t="shared" si="3"/>
        <v>41997.07</v>
      </c>
      <c r="K130" s="69" t="e">
        <f>VLOOKUP(A130,#REF!,9,0)</f>
        <v>#REF!</v>
      </c>
      <c r="L130" s="74" t="e">
        <f t="shared" si="2"/>
        <v>#REF!</v>
      </c>
      <c r="N130" s="357"/>
    </row>
    <row r="131" spans="1:14" s="69" customFormat="1" ht="15" customHeight="1">
      <c r="A131" s="65" t="s">
        <v>646</v>
      </c>
      <c r="B131" s="72" t="s">
        <v>645</v>
      </c>
      <c r="C131" s="72" t="s">
        <v>186</v>
      </c>
      <c r="D131" s="76"/>
      <c r="E131" s="76"/>
      <c r="F131" s="75"/>
      <c r="G131" s="75">
        <v>42434.34</v>
      </c>
      <c r="H131" s="75"/>
      <c r="I131" s="75"/>
      <c r="J131" s="75">
        <f t="shared" si="3"/>
        <v>42434.34</v>
      </c>
      <c r="K131" s="69" t="e">
        <f>VLOOKUP(A131,#REF!,9,0)</f>
        <v>#REF!</v>
      </c>
      <c r="L131" s="74" t="e">
        <f t="shared" si="2"/>
        <v>#REF!</v>
      </c>
      <c r="N131" s="357"/>
    </row>
    <row r="132" spans="1:14" s="236" customFormat="1" ht="15" customHeight="1">
      <c r="A132" s="232" t="s">
        <v>1621</v>
      </c>
      <c r="B132" s="233" t="s">
        <v>1622</v>
      </c>
      <c r="C132" s="233" t="s">
        <v>186</v>
      </c>
      <c r="D132" s="376"/>
      <c r="E132" s="376"/>
      <c r="F132" s="234">
        <v>1825.77</v>
      </c>
      <c r="G132" s="234">
        <v>233327.34</v>
      </c>
      <c r="H132" s="234"/>
      <c r="I132" s="234"/>
      <c r="J132" s="234">
        <f t="shared" si="3"/>
        <v>235153.11</v>
      </c>
      <c r="L132" s="437"/>
      <c r="N132" s="438">
        <f>235153.11-0</f>
        <v>235153.11</v>
      </c>
    </row>
    <row r="133" spans="1:14" s="69" customFormat="1" ht="15" customHeight="1">
      <c r="A133" s="65" t="s">
        <v>644</v>
      </c>
      <c r="B133" s="72" t="s">
        <v>643</v>
      </c>
      <c r="C133" s="72" t="s">
        <v>890</v>
      </c>
      <c r="D133" s="76"/>
      <c r="E133" s="76"/>
      <c r="F133" s="75"/>
      <c r="G133" s="75">
        <v>12910.53</v>
      </c>
      <c r="H133" s="75"/>
      <c r="I133" s="178">
        <v>1475127.15</v>
      </c>
      <c r="J133" s="75">
        <f t="shared" si="3"/>
        <v>1488037.68</v>
      </c>
      <c r="K133" s="69" t="e">
        <f>VLOOKUP(A133,#REF!,9,0)</f>
        <v>#REF!</v>
      </c>
      <c r="L133" s="74" t="e">
        <f t="shared" si="2"/>
        <v>#REF!</v>
      </c>
      <c r="N133" s="357">
        <f>1488037.68-1486693.55</f>
        <v>1344.1299999998882</v>
      </c>
    </row>
    <row r="134" spans="1:14" s="69" customFormat="1" ht="15" customHeight="1">
      <c r="A134" s="65" t="s">
        <v>642</v>
      </c>
      <c r="B134" s="72" t="s">
        <v>641</v>
      </c>
      <c r="C134" s="72" t="s">
        <v>184</v>
      </c>
      <c r="D134" s="76"/>
      <c r="E134" s="76">
        <v>12341.21</v>
      </c>
      <c r="F134" s="75"/>
      <c r="G134" s="75"/>
      <c r="H134" s="75"/>
      <c r="I134" s="178">
        <v>1145839.51</v>
      </c>
      <c r="J134" s="75">
        <f t="shared" si="3"/>
        <v>1158180.72</v>
      </c>
      <c r="K134" s="69" t="e">
        <f>VLOOKUP(A134,#REF!,9,0)</f>
        <v>#REF!</v>
      </c>
      <c r="L134" s="74" t="e">
        <f t="shared" si="2"/>
        <v>#REF!</v>
      </c>
      <c r="N134" s="357">
        <f>1158180.72-1154862.96</f>
        <v>3317.7600000000093</v>
      </c>
    </row>
    <row r="135" spans="1:14" s="69" customFormat="1" ht="15" customHeight="1">
      <c r="A135" s="65" t="s">
        <v>640</v>
      </c>
      <c r="B135" s="72" t="s">
        <v>639</v>
      </c>
      <c r="C135" s="72" t="s">
        <v>183</v>
      </c>
      <c r="D135" s="76"/>
      <c r="E135" s="76"/>
      <c r="F135" s="75"/>
      <c r="G135" s="75"/>
      <c r="H135" s="75"/>
      <c r="I135" s="178">
        <v>600717.93999999994</v>
      </c>
      <c r="J135" s="75">
        <f t="shared" si="3"/>
        <v>600717.93999999994</v>
      </c>
      <c r="K135" s="69" t="e">
        <f>VLOOKUP(A135,#REF!,9,0)</f>
        <v>#REF!</v>
      </c>
      <c r="L135" s="74" t="e">
        <f t="shared" si="2"/>
        <v>#REF!</v>
      </c>
      <c r="N135" s="357">
        <f>600717.94-597074.89</f>
        <v>3643.0499999999302</v>
      </c>
    </row>
    <row r="136" spans="1:14" s="69" customFormat="1" ht="15" customHeight="1">
      <c r="A136" s="65" t="s">
        <v>638</v>
      </c>
      <c r="B136" s="72" t="s">
        <v>637</v>
      </c>
      <c r="C136" s="72" t="s">
        <v>183</v>
      </c>
      <c r="D136" s="76"/>
      <c r="E136" s="76"/>
      <c r="F136" s="75"/>
      <c r="G136" s="75">
        <v>22859.35</v>
      </c>
      <c r="H136" s="75"/>
      <c r="I136" s="75"/>
      <c r="J136" s="75">
        <f t="shared" si="3"/>
        <v>22859.35</v>
      </c>
      <c r="K136" s="69" t="e">
        <f>VLOOKUP(A136,#REF!,9,0)</f>
        <v>#REF!</v>
      </c>
      <c r="L136" s="74" t="e">
        <f t="shared" si="2"/>
        <v>#REF!</v>
      </c>
      <c r="N136" s="357"/>
    </row>
    <row r="137" spans="1:14" s="69" customFormat="1" ht="15" customHeight="1">
      <c r="A137" s="65" t="s">
        <v>636</v>
      </c>
      <c r="B137" s="72" t="s">
        <v>635</v>
      </c>
      <c r="C137" s="72" t="s">
        <v>183</v>
      </c>
      <c r="D137" s="76"/>
      <c r="E137" s="76"/>
      <c r="F137" s="75"/>
      <c r="G137" s="75">
        <v>1727.68</v>
      </c>
      <c r="H137" s="75"/>
      <c r="I137" s="75"/>
      <c r="J137" s="75">
        <f t="shared" si="3"/>
        <v>1727.68</v>
      </c>
      <c r="K137" s="69" t="e">
        <f>VLOOKUP(A137,#REF!,9,0)</f>
        <v>#REF!</v>
      </c>
      <c r="L137" s="74" t="e">
        <f t="shared" si="2"/>
        <v>#REF!</v>
      </c>
      <c r="N137" s="357"/>
    </row>
    <row r="138" spans="1:14" s="69" customFormat="1" ht="15" customHeight="1">
      <c r="A138" s="65" t="s">
        <v>634</v>
      </c>
      <c r="B138" s="72" t="s">
        <v>633</v>
      </c>
      <c r="C138" s="72" t="s">
        <v>183</v>
      </c>
      <c r="D138" s="76"/>
      <c r="E138" s="76"/>
      <c r="F138" s="75"/>
      <c r="G138" s="75">
        <v>9956.07</v>
      </c>
      <c r="H138" s="75"/>
      <c r="I138" s="178">
        <v>30876.28</v>
      </c>
      <c r="J138" s="75">
        <f t="shared" si="3"/>
        <v>40832.35</v>
      </c>
      <c r="K138" s="69" t="e">
        <f>VLOOKUP(A138,#REF!,9,0)</f>
        <v>#REF!</v>
      </c>
      <c r="L138" s="74" t="e">
        <f t="shared" si="2"/>
        <v>#REF!</v>
      </c>
      <c r="N138" s="357">
        <f>40832.35-9956.07</f>
        <v>30876.28</v>
      </c>
    </row>
    <row r="139" spans="1:14" s="69" customFormat="1" ht="15" customHeight="1">
      <c r="A139" s="65" t="s">
        <v>632</v>
      </c>
      <c r="B139" s="72" t="s">
        <v>631</v>
      </c>
      <c r="C139" s="72" t="s">
        <v>183</v>
      </c>
      <c r="D139" s="76"/>
      <c r="E139" s="76"/>
      <c r="F139" s="75"/>
      <c r="G139" s="75">
        <v>45420.63</v>
      </c>
      <c r="H139" s="75"/>
      <c r="I139" s="75"/>
      <c r="J139" s="75">
        <f t="shared" si="3"/>
        <v>45420.63</v>
      </c>
      <c r="K139" s="69" t="e">
        <f>VLOOKUP(A139,#REF!,9,0)</f>
        <v>#REF!</v>
      </c>
      <c r="L139" s="74" t="e">
        <f t="shared" si="2"/>
        <v>#REF!</v>
      </c>
      <c r="N139" s="357"/>
    </row>
    <row r="140" spans="1:14" s="69" customFormat="1" ht="15" customHeight="1">
      <c r="A140" s="65" t="s">
        <v>1076</v>
      </c>
      <c r="B140" s="72" t="s">
        <v>1077</v>
      </c>
      <c r="C140" s="72" t="s">
        <v>186</v>
      </c>
      <c r="D140" s="76"/>
      <c r="E140" s="76"/>
      <c r="F140" s="75"/>
      <c r="G140" s="75"/>
      <c r="H140" s="75"/>
      <c r="I140" s="75">
        <v>1506471.07</v>
      </c>
      <c r="J140" s="75">
        <f t="shared" si="3"/>
        <v>1506471.07</v>
      </c>
      <c r="K140" s="69" t="e">
        <f>VLOOKUP(A140,#REF!,9,0)</f>
        <v>#REF!</v>
      </c>
      <c r="L140" s="74"/>
      <c r="N140" s="357"/>
    </row>
    <row r="141" spans="1:14" s="69" customFormat="1" ht="15" customHeight="1">
      <c r="A141" s="65" t="s">
        <v>630</v>
      </c>
      <c r="B141" s="72" t="s">
        <v>629</v>
      </c>
      <c r="C141" s="72" t="s">
        <v>186</v>
      </c>
      <c r="D141" s="76"/>
      <c r="E141" s="76"/>
      <c r="F141" s="75"/>
      <c r="G141" s="75">
        <v>17478.439999999999</v>
      </c>
      <c r="H141" s="75"/>
      <c r="I141" s="75"/>
      <c r="J141" s="75">
        <f t="shared" si="3"/>
        <v>17478.439999999999</v>
      </c>
      <c r="K141" s="69" t="e">
        <f>VLOOKUP(A141,#REF!,9,0)</f>
        <v>#REF!</v>
      </c>
      <c r="L141" s="74" t="e">
        <f t="shared" si="2"/>
        <v>#REF!</v>
      </c>
      <c r="N141" s="357"/>
    </row>
    <row r="142" spans="1:14" s="69" customFormat="1" ht="15" customHeight="1">
      <c r="A142" s="65" t="s">
        <v>628</v>
      </c>
      <c r="B142" s="72" t="s">
        <v>627</v>
      </c>
      <c r="C142" s="72" t="s">
        <v>183</v>
      </c>
      <c r="D142" s="76"/>
      <c r="E142" s="76"/>
      <c r="F142" s="75"/>
      <c r="G142" s="75">
        <v>6866.17</v>
      </c>
      <c r="H142" s="75"/>
      <c r="I142" s="178">
        <v>24523.02</v>
      </c>
      <c r="J142" s="75">
        <f t="shared" si="3"/>
        <v>31389.190000000002</v>
      </c>
      <c r="K142" s="69" t="e">
        <f>VLOOKUP(A142,#REF!,9,0)</f>
        <v>#REF!</v>
      </c>
      <c r="L142" s="74" t="e">
        <f t="shared" si="2"/>
        <v>#REF!</v>
      </c>
      <c r="N142" s="357">
        <f>31389.19-6866.17</f>
        <v>24523.019999999997</v>
      </c>
    </row>
    <row r="143" spans="1:14" s="69" customFormat="1" ht="15" customHeight="1">
      <c r="A143" s="65" t="s">
        <v>626</v>
      </c>
      <c r="B143" s="72" t="s">
        <v>625</v>
      </c>
      <c r="C143" s="72" t="s">
        <v>183</v>
      </c>
      <c r="D143" s="76"/>
      <c r="E143" s="76"/>
      <c r="F143" s="75"/>
      <c r="G143" s="75">
        <v>8616.99</v>
      </c>
      <c r="H143" s="75"/>
      <c r="I143" s="75"/>
      <c r="J143" s="75">
        <f t="shared" si="3"/>
        <v>8616.99</v>
      </c>
      <c r="K143" s="69" t="e">
        <f>VLOOKUP(A143,#REF!,9,0)</f>
        <v>#REF!</v>
      </c>
      <c r="L143" s="74" t="e">
        <f t="shared" si="2"/>
        <v>#REF!</v>
      </c>
      <c r="N143" s="357"/>
    </row>
    <row r="144" spans="1:14" s="69" customFormat="1" ht="15" customHeight="1">
      <c r="A144" s="65" t="s">
        <v>624</v>
      </c>
      <c r="B144" s="72" t="s">
        <v>623</v>
      </c>
      <c r="C144" s="72" t="s">
        <v>186</v>
      </c>
      <c r="D144" s="76"/>
      <c r="E144" s="76"/>
      <c r="F144" s="75"/>
      <c r="G144" s="75">
        <v>10036.56</v>
      </c>
      <c r="H144" s="75"/>
      <c r="I144" s="75"/>
      <c r="J144" s="75">
        <f t="shared" si="3"/>
        <v>10036.56</v>
      </c>
      <c r="K144" s="69" t="e">
        <f>VLOOKUP(A144,#REF!,9,0)</f>
        <v>#REF!</v>
      </c>
      <c r="L144" s="74" t="e">
        <f t="shared" si="2"/>
        <v>#REF!</v>
      </c>
      <c r="N144" s="357"/>
    </row>
    <row r="145" spans="1:14" s="69" customFormat="1" ht="15" customHeight="1">
      <c r="A145" s="65" t="s">
        <v>622</v>
      </c>
      <c r="B145" s="72" t="s">
        <v>621</v>
      </c>
      <c r="C145" s="72" t="s">
        <v>186</v>
      </c>
      <c r="D145" s="76"/>
      <c r="E145" s="76"/>
      <c r="F145" s="75"/>
      <c r="G145" s="75">
        <v>9754.15</v>
      </c>
      <c r="H145" s="75"/>
      <c r="I145" s="75"/>
      <c r="J145" s="75">
        <f t="shared" si="3"/>
        <v>9754.15</v>
      </c>
      <c r="K145" s="69" t="e">
        <f>VLOOKUP(A145,#REF!,9,0)</f>
        <v>#REF!</v>
      </c>
      <c r="L145" s="74" t="e">
        <f t="shared" si="2"/>
        <v>#REF!</v>
      </c>
      <c r="N145" s="357"/>
    </row>
    <row r="146" spans="1:14" s="69" customFormat="1" ht="15" customHeight="1">
      <c r="A146" s="65" t="s">
        <v>1078</v>
      </c>
      <c r="B146" s="72" t="s">
        <v>1079</v>
      </c>
      <c r="C146" s="72" t="s">
        <v>186</v>
      </c>
      <c r="D146" s="76"/>
      <c r="E146" s="76">
        <v>30008.959999999999</v>
      </c>
      <c r="F146" s="75"/>
      <c r="G146" s="75"/>
      <c r="H146" s="75"/>
      <c r="I146" s="178">
        <v>1298383.8500000001</v>
      </c>
      <c r="J146" s="75">
        <f t="shared" si="3"/>
        <v>1328392.81</v>
      </c>
      <c r="K146" s="69" t="e">
        <f>VLOOKUP(A146,#REF!,9,0)</f>
        <v>#REF!</v>
      </c>
      <c r="L146" s="74"/>
      <c r="N146" s="357">
        <f>1328392.81-1328362.76</f>
        <v>30.050000000046566</v>
      </c>
    </row>
    <row r="147" spans="1:14" s="69" customFormat="1" ht="15" customHeight="1">
      <c r="A147" s="65" t="s">
        <v>620</v>
      </c>
      <c r="B147" s="72" t="s">
        <v>619</v>
      </c>
      <c r="C147" s="72" t="s">
        <v>186</v>
      </c>
      <c r="D147" s="76"/>
      <c r="E147" s="76">
        <v>20223.91</v>
      </c>
      <c r="F147" s="75"/>
      <c r="G147" s="75">
        <v>19753.830000000002</v>
      </c>
      <c r="H147" s="75"/>
      <c r="I147" s="75"/>
      <c r="J147" s="75">
        <f t="shared" si="3"/>
        <v>39977.740000000005</v>
      </c>
      <c r="K147" s="69" t="e">
        <f>VLOOKUP(A147,#REF!,9,0)</f>
        <v>#REF!</v>
      </c>
      <c r="L147" s="74" t="e">
        <f t="shared" si="2"/>
        <v>#REF!</v>
      </c>
      <c r="N147" s="357"/>
    </row>
    <row r="148" spans="1:14" s="69" customFormat="1" ht="15" customHeight="1">
      <c r="A148" s="65" t="s">
        <v>1264</v>
      </c>
      <c r="B148" s="72" t="s">
        <v>1263</v>
      </c>
      <c r="C148" s="72" t="s">
        <v>186</v>
      </c>
      <c r="D148" s="76"/>
      <c r="E148" s="76"/>
      <c r="F148" s="75"/>
      <c r="G148" s="75"/>
      <c r="H148" s="75"/>
      <c r="I148" s="178">
        <v>1809503.26</v>
      </c>
      <c r="J148" s="75">
        <f t="shared" si="3"/>
        <v>1809503.26</v>
      </c>
      <c r="K148" s="69" t="e">
        <f>VLOOKUP(A148,#REF!,9,0)</f>
        <v>#REF!</v>
      </c>
      <c r="L148" s="74"/>
      <c r="N148" s="357">
        <f>1809503.26-1801451.96</f>
        <v>8051.3000000000466</v>
      </c>
    </row>
    <row r="149" spans="1:14" s="69" customFormat="1" ht="15" customHeight="1">
      <c r="A149" s="65" t="s">
        <v>618</v>
      </c>
      <c r="B149" s="72" t="s">
        <v>617</v>
      </c>
      <c r="C149" s="72" t="s">
        <v>890</v>
      </c>
      <c r="D149" s="76"/>
      <c r="E149" s="76"/>
      <c r="F149" s="75"/>
      <c r="G149" s="75">
        <v>36279.269999999997</v>
      </c>
      <c r="H149" s="75"/>
      <c r="I149" s="75">
        <v>1775.38</v>
      </c>
      <c r="J149" s="75">
        <f t="shared" si="3"/>
        <v>38054.649999999994</v>
      </c>
      <c r="K149" s="69" t="e">
        <f>VLOOKUP(A149,#REF!,9,0)</f>
        <v>#REF!</v>
      </c>
      <c r="L149" s="74" t="e">
        <f t="shared" si="2"/>
        <v>#REF!</v>
      </c>
      <c r="N149" s="357"/>
    </row>
    <row r="150" spans="1:14" s="69" customFormat="1" ht="15" customHeight="1">
      <c r="A150" s="65" t="s">
        <v>616</v>
      </c>
      <c r="B150" s="72" t="s">
        <v>615</v>
      </c>
      <c r="C150" s="72" t="s">
        <v>183</v>
      </c>
      <c r="D150" s="76"/>
      <c r="E150" s="76"/>
      <c r="F150" s="75"/>
      <c r="G150" s="75">
        <v>22188.04</v>
      </c>
      <c r="H150" s="75"/>
      <c r="I150" s="75">
        <v>5423.27</v>
      </c>
      <c r="J150" s="75">
        <f t="shared" si="3"/>
        <v>27611.31</v>
      </c>
      <c r="K150" s="69" t="e">
        <f>VLOOKUP(A150,#REF!,9,0)</f>
        <v>#REF!</v>
      </c>
      <c r="L150" s="74" t="e">
        <f t="shared" si="2"/>
        <v>#REF!</v>
      </c>
      <c r="N150" s="357"/>
    </row>
    <row r="151" spans="1:14" s="69" customFormat="1" ht="15" customHeight="1">
      <c r="A151" s="65" t="s">
        <v>614</v>
      </c>
      <c r="B151" s="72" t="s">
        <v>613</v>
      </c>
      <c r="C151" s="72" t="s">
        <v>183</v>
      </c>
      <c r="D151" s="76"/>
      <c r="E151" s="76">
        <v>69146.58</v>
      </c>
      <c r="F151" s="75"/>
      <c r="G151" s="75"/>
      <c r="H151" s="75"/>
      <c r="I151" s="75">
        <v>684200.13</v>
      </c>
      <c r="J151" s="75">
        <f t="shared" si="3"/>
        <v>753346.71</v>
      </c>
      <c r="K151" s="69" t="e">
        <f>VLOOKUP(A151,#REF!,9,0)</f>
        <v>#REF!</v>
      </c>
      <c r="L151" s="74" t="e">
        <f t="shared" si="2"/>
        <v>#REF!</v>
      </c>
      <c r="N151" s="357">
        <f>753346.1-745969.56</f>
        <v>7376.5399999999208</v>
      </c>
    </row>
    <row r="152" spans="1:14" s="69" customFormat="1" ht="15" customHeight="1">
      <c r="A152" s="65" t="s">
        <v>612</v>
      </c>
      <c r="B152" s="72" t="s">
        <v>611</v>
      </c>
      <c r="C152" s="72" t="s">
        <v>186</v>
      </c>
      <c r="D152" s="76"/>
      <c r="E152" s="76"/>
      <c r="F152" s="75"/>
      <c r="G152" s="75">
        <v>14409.77</v>
      </c>
      <c r="H152" s="75"/>
      <c r="I152" s="75"/>
      <c r="J152" s="75">
        <f t="shared" si="3"/>
        <v>14409.77</v>
      </c>
      <c r="K152" s="69" t="e">
        <f>VLOOKUP(A152,#REF!,9,0)</f>
        <v>#REF!</v>
      </c>
      <c r="L152" s="74" t="e">
        <f t="shared" si="2"/>
        <v>#REF!</v>
      </c>
      <c r="N152" s="357"/>
    </row>
    <row r="153" spans="1:14" s="69" customFormat="1" ht="15" customHeight="1">
      <c r="A153" s="65" t="s">
        <v>1080</v>
      </c>
      <c r="B153" s="72" t="s">
        <v>1081</v>
      </c>
      <c r="C153" s="72" t="s">
        <v>186</v>
      </c>
      <c r="D153" s="76"/>
      <c r="E153" s="76"/>
      <c r="F153" s="75"/>
      <c r="G153" s="75"/>
      <c r="H153" s="75"/>
      <c r="I153" s="75">
        <v>1545441.51</v>
      </c>
      <c r="J153" s="75">
        <f t="shared" si="3"/>
        <v>1545441.51</v>
      </c>
      <c r="K153" s="69" t="e">
        <f>VLOOKUP(A153,#REF!,9,0)</f>
        <v>#REF!</v>
      </c>
      <c r="L153" s="74"/>
      <c r="N153" s="357">
        <f>1545441.51-1545344.61</f>
        <v>96.899999999906868</v>
      </c>
    </row>
    <row r="154" spans="1:14" s="236" customFormat="1" ht="15" customHeight="1">
      <c r="A154" s="232" t="s">
        <v>610</v>
      </c>
      <c r="B154" s="233" t="s">
        <v>609</v>
      </c>
      <c r="C154" s="233" t="s">
        <v>186</v>
      </c>
      <c r="D154" s="376"/>
      <c r="E154" s="376"/>
      <c r="F154" s="234">
        <v>316.98</v>
      </c>
      <c r="G154" s="178">
        <v>435820.77</v>
      </c>
      <c r="H154" s="234"/>
      <c r="I154" s="234"/>
      <c r="J154" s="234">
        <f t="shared" si="3"/>
        <v>436137.75</v>
      </c>
      <c r="K154" s="236" t="e">
        <f>VLOOKUP(A154,#REF!,9,0)</f>
        <v>#REF!</v>
      </c>
      <c r="L154" s="437" t="e">
        <f t="shared" si="2"/>
        <v>#REF!</v>
      </c>
      <c r="N154" s="438">
        <f>436137.75-11347.23</f>
        <v>424790.52</v>
      </c>
    </row>
    <row r="155" spans="1:14" s="69" customFormat="1" ht="15" customHeight="1">
      <c r="A155" s="65" t="s">
        <v>608</v>
      </c>
      <c r="B155" s="72" t="s">
        <v>607</v>
      </c>
      <c r="C155" s="72" t="s">
        <v>186</v>
      </c>
      <c r="D155" s="76"/>
      <c r="E155" s="76"/>
      <c r="F155" s="75"/>
      <c r="G155" s="75">
        <v>13102.58</v>
      </c>
      <c r="H155" s="75"/>
      <c r="I155" s="75"/>
      <c r="J155" s="75">
        <f t="shared" si="3"/>
        <v>13102.58</v>
      </c>
      <c r="K155" s="69" t="e">
        <f>VLOOKUP(A155,#REF!,9,0)</f>
        <v>#REF!</v>
      </c>
      <c r="L155" s="74" t="e">
        <f t="shared" ref="L155:L222" si="4">K155-J155</f>
        <v>#REF!</v>
      </c>
      <c r="N155" s="357"/>
    </row>
    <row r="156" spans="1:14" s="69" customFormat="1" ht="15" customHeight="1">
      <c r="A156" s="65" t="s">
        <v>606</v>
      </c>
      <c r="B156" s="72" t="s">
        <v>605</v>
      </c>
      <c r="C156" s="72" t="s">
        <v>186</v>
      </c>
      <c r="D156" s="76"/>
      <c r="E156" s="76">
        <v>18133.38</v>
      </c>
      <c r="F156" s="75"/>
      <c r="G156" s="75"/>
      <c r="H156" s="75"/>
      <c r="I156" s="178">
        <v>1242242.46</v>
      </c>
      <c r="J156" s="75">
        <f t="shared" si="3"/>
        <v>1260375.8399999999</v>
      </c>
      <c r="K156" s="69" t="e">
        <f>VLOOKUP(A156,#REF!,9,0)</f>
        <v>#REF!</v>
      </c>
      <c r="L156" s="74" t="e">
        <f t="shared" si="4"/>
        <v>#REF!</v>
      </c>
      <c r="N156" s="357">
        <f>1260375.84-1260296.95</f>
        <v>78.890000000130385</v>
      </c>
    </row>
    <row r="157" spans="1:14" s="69" customFormat="1" ht="15" customHeight="1">
      <c r="A157" s="65" t="s">
        <v>604</v>
      </c>
      <c r="B157" s="72" t="s">
        <v>603</v>
      </c>
      <c r="C157" s="72" t="s">
        <v>183</v>
      </c>
      <c r="D157" s="76"/>
      <c r="E157" s="76"/>
      <c r="F157" s="75"/>
      <c r="G157" s="75">
        <v>8923.69</v>
      </c>
      <c r="H157" s="75"/>
      <c r="I157" s="178">
        <v>779462.98</v>
      </c>
      <c r="J157" s="75">
        <f t="shared" si="3"/>
        <v>788386.66999999993</v>
      </c>
      <c r="K157" s="69" t="e">
        <f>VLOOKUP(A157,#REF!,9,0)</f>
        <v>#REF!</v>
      </c>
      <c r="L157" s="74" t="e">
        <f t="shared" si="4"/>
        <v>#REF!</v>
      </c>
      <c r="N157" s="357">
        <f>788386.67-788320.12</f>
        <v>66.550000000046566</v>
      </c>
    </row>
    <row r="158" spans="1:14" s="69" customFormat="1" ht="15" customHeight="1">
      <c r="A158" s="65" t="s">
        <v>602</v>
      </c>
      <c r="B158" s="72" t="s">
        <v>601</v>
      </c>
      <c r="C158" s="72" t="s">
        <v>186</v>
      </c>
      <c r="D158" s="76"/>
      <c r="E158" s="76">
        <v>14007.07</v>
      </c>
      <c r="F158" s="75"/>
      <c r="G158" s="75">
        <v>7831.4</v>
      </c>
      <c r="H158" s="75"/>
      <c r="I158" s="178">
        <v>1293766.72</v>
      </c>
      <c r="J158" s="75">
        <f t="shared" si="3"/>
        <v>1315605.19</v>
      </c>
      <c r="K158" s="69" t="e">
        <f>VLOOKUP(A158,#REF!,9,0)</f>
        <v>#REF!</v>
      </c>
      <c r="L158" s="74" t="e">
        <f t="shared" si="4"/>
        <v>#REF!</v>
      </c>
      <c r="N158" s="357">
        <f>1315605.19-1315528.94</f>
        <v>76.25</v>
      </c>
    </row>
    <row r="159" spans="1:14" s="69" customFormat="1" ht="15" customHeight="1">
      <c r="A159" s="65" t="s">
        <v>600</v>
      </c>
      <c r="B159" s="72" t="s">
        <v>599</v>
      </c>
      <c r="C159" s="72" t="s">
        <v>183</v>
      </c>
      <c r="D159" s="76"/>
      <c r="E159" s="76"/>
      <c r="F159" s="178">
        <v>176471.67</v>
      </c>
      <c r="G159" s="178">
        <v>2168327.38</v>
      </c>
      <c r="H159" s="75"/>
      <c r="I159" s="178">
        <v>1102119.05</v>
      </c>
      <c r="J159" s="75">
        <f t="shared" si="3"/>
        <v>3446918.0999999996</v>
      </c>
      <c r="K159" s="69" t="e">
        <f>VLOOKUP(A159,#REF!,9,0)</f>
        <v>#REF!</v>
      </c>
      <c r="L159" s="74" t="e">
        <f t="shared" si="4"/>
        <v>#REF!</v>
      </c>
      <c r="N159" s="357">
        <f>3446918.1-2441396.06</f>
        <v>1005522.04</v>
      </c>
    </row>
    <row r="160" spans="1:14" s="69" customFormat="1" ht="15" customHeight="1">
      <c r="A160" s="65" t="s">
        <v>598</v>
      </c>
      <c r="B160" s="72" t="s">
        <v>597</v>
      </c>
      <c r="C160" s="72" t="s">
        <v>186</v>
      </c>
      <c r="D160" s="76"/>
      <c r="E160" s="76"/>
      <c r="F160" s="75"/>
      <c r="G160" s="178">
        <v>29495.4</v>
      </c>
      <c r="H160" s="75"/>
      <c r="I160" s="178">
        <v>1259064.58</v>
      </c>
      <c r="J160" s="75">
        <f t="shared" si="3"/>
        <v>1288559.98</v>
      </c>
      <c r="K160" s="69" t="e">
        <f>VLOOKUP(A160,#REF!,9,0)</f>
        <v>#REF!</v>
      </c>
      <c r="L160" s="74" t="e">
        <f t="shared" si="4"/>
        <v>#REF!</v>
      </c>
      <c r="N160" s="357">
        <f>1288559.98-1282807.33</f>
        <v>5752.6499999999069</v>
      </c>
    </row>
    <row r="161" spans="1:14" s="69" customFormat="1" ht="15" customHeight="1">
      <c r="A161" s="65" t="s">
        <v>596</v>
      </c>
      <c r="B161" s="72" t="s">
        <v>595</v>
      </c>
      <c r="C161" s="72" t="s">
        <v>183</v>
      </c>
      <c r="D161" s="76"/>
      <c r="E161" s="76">
        <v>44512.9</v>
      </c>
      <c r="F161" s="75">
        <v>502695.02</v>
      </c>
      <c r="G161" s="75">
        <v>177952.28</v>
      </c>
      <c r="H161" s="75"/>
      <c r="I161" s="75">
        <v>2770.76</v>
      </c>
      <c r="J161" s="75">
        <f t="shared" ref="J161:J229" si="5">+D161+E161+F161+G161+I161</f>
        <v>727930.96000000008</v>
      </c>
      <c r="K161" s="69" t="e">
        <f>VLOOKUP(A161,#REF!,9,0)</f>
        <v>#REF!</v>
      </c>
      <c r="L161" s="74" t="e">
        <f t="shared" si="4"/>
        <v>#REF!</v>
      </c>
      <c r="N161" s="357"/>
    </row>
    <row r="162" spans="1:14" s="69" customFormat="1" ht="15" customHeight="1">
      <c r="A162" s="65" t="s">
        <v>594</v>
      </c>
      <c r="B162" s="72" t="s">
        <v>593</v>
      </c>
      <c r="C162" s="72" t="s">
        <v>186</v>
      </c>
      <c r="D162" s="76"/>
      <c r="E162" s="76"/>
      <c r="F162" s="75">
        <v>184732.9</v>
      </c>
      <c r="G162" s="75">
        <v>117877.05</v>
      </c>
      <c r="H162" s="75"/>
      <c r="I162" s="178">
        <v>1099238.04</v>
      </c>
      <c r="J162" s="75">
        <f t="shared" si="5"/>
        <v>1401847.99</v>
      </c>
      <c r="K162" s="69" t="e">
        <f>VLOOKUP(A162,#REF!,9,0)</f>
        <v>#REF!</v>
      </c>
      <c r="L162" s="74" t="e">
        <f t="shared" si="4"/>
        <v>#REF!</v>
      </c>
      <c r="N162" s="357">
        <f>1401847.99-1401772.12</f>
        <v>75.869999999878928</v>
      </c>
    </row>
    <row r="163" spans="1:14" s="69" customFormat="1" ht="15" customHeight="1">
      <c r="A163" s="65" t="s">
        <v>592</v>
      </c>
      <c r="B163" s="72" t="s">
        <v>591</v>
      </c>
      <c r="C163" s="72" t="s">
        <v>183</v>
      </c>
      <c r="D163" s="76"/>
      <c r="E163" s="76"/>
      <c r="F163" s="75"/>
      <c r="G163" s="75">
        <v>24563.03</v>
      </c>
      <c r="H163" s="75"/>
      <c r="I163" s="75"/>
      <c r="J163" s="75">
        <f t="shared" si="5"/>
        <v>24563.03</v>
      </c>
      <c r="K163" s="69" t="e">
        <f>VLOOKUP(A163,#REF!,9,0)</f>
        <v>#REF!</v>
      </c>
      <c r="L163" s="74" t="e">
        <f t="shared" si="4"/>
        <v>#REF!</v>
      </c>
      <c r="N163" s="357"/>
    </row>
    <row r="164" spans="1:14" s="69" customFormat="1" ht="15" customHeight="1">
      <c r="A164" s="65" t="s">
        <v>590</v>
      </c>
      <c r="B164" s="72" t="s">
        <v>589</v>
      </c>
      <c r="C164" s="72" t="s">
        <v>183</v>
      </c>
      <c r="D164" s="76"/>
      <c r="E164" s="76"/>
      <c r="F164" s="75">
        <v>381918.98</v>
      </c>
      <c r="G164" s="75">
        <v>571123.15</v>
      </c>
      <c r="H164" s="75"/>
      <c r="I164" s="178">
        <v>44404.22</v>
      </c>
      <c r="J164" s="75">
        <f t="shared" si="5"/>
        <v>997446.35</v>
      </c>
      <c r="K164" s="69" t="e">
        <f>VLOOKUP(A164,#REF!,9,0)</f>
        <v>#REF!</v>
      </c>
      <c r="L164" s="74" t="e">
        <f t="shared" si="4"/>
        <v>#REF!</v>
      </c>
      <c r="N164" s="357">
        <f>997446.35-995244.97</f>
        <v>2201.3800000000047</v>
      </c>
    </row>
    <row r="165" spans="1:14" s="69" customFormat="1" ht="15" customHeight="1">
      <c r="A165" s="65" t="s">
        <v>588</v>
      </c>
      <c r="B165" s="72" t="s">
        <v>587</v>
      </c>
      <c r="C165" s="72" t="s">
        <v>183</v>
      </c>
      <c r="D165" s="76"/>
      <c r="E165" s="76"/>
      <c r="F165" s="75"/>
      <c r="G165" s="75">
        <v>18148.150000000001</v>
      </c>
      <c r="H165" s="75"/>
      <c r="I165" s="75">
        <v>3203.47</v>
      </c>
      <c r="J165" s="75">
        <f t="shared" si="5"/>
        <v>21351.620000000003</v>
      </c>
      <c r="K165" s="69" t="e">
        <f>VLOOKUP(A165,#REF!,9,0)</f>
        <v>#REF!</v>
      </c>
      <c r="L165" s="74" t="e">
        <f t="shared" si="4"/>
        <v>#REF!</v>
      </c>
      <c r="N165" s="357"/>
    </row>
    <row r="166" spans="1:14" s="69" customFormat="1" ht="15" customHeight="1">
      <c r="A166" s="65" t="s">
        <v>586</v>
      </c>
      <c r="B166" s="72" t="s">
        <v>585</v>
      </c>
      <c r="C166" s="72" t="s">
        <v>183</v>
      </c>
      <c r="D166" s="76"/>
      <c r="E166" s="76"/>
      <c r="F166" s="75">
        <v>269594.95</v>
      </c>
      <c r="G166" s="178">
        <v>7405850.7300000004</v>
      </c>
      <c r="H166" s="75"/>
      <c r="I166" s="178">
        <v>1024210.71</v>
      </c>
      <c r="J166" s="75">
        <f t="shared" si="5"/>
        <v>8699656.3900000006</v>
      </c>
      <c r="K166" s="69" t="e">
        <f>VLOOKUP(A166,#REF!,9,0)</f>
        <v>#REF!</v>
      </c>
      <c r="L166" s="74" t="e">
        <f t="shared" si="4"/>
        <v>#REF!</v>
      </c>
      <c r="N166" s="357">
        <f>8733646.88-8233852.05</f>
        <v>499794.83000000101</v>
      </c>
    </row>
    <row r="167" spans="1:14" s="69" customFormat="1" ht="15" customHeight="1">
      <c r="A167" s="65" t="s">
        <v>584</v>
      </c>
      <c r="B167" s="72" t="s">
        <v>583</v>
      </c>
      <c r="C167" s="72" t="s">
        <v>186</v>
      </c>
      <c r="D167" s="76"/>
      <c r="E167" s="76"/>
      <c r="F167" s="75"/>
      <c r="G167" s="75">
        <v>69804.03</v>
      </c>
      <c r="H167" s="75"/>
      <c r="I167" s="75"/>
      <c r="J167" s="75">
        <f t="shared" si="5"/>
        <v>69804.03</v>
      </c>
      <c r="K167" s="69" t="e">
        <f>VLOOKUP(A167,#REF!,9,0)</f>
        <v>#REF!</v>
      </c>
      <c r="L167" s="74" t="e">
        <f t="shared" si="4"/>
        <v>#REF!</v>
      </c>
      <c r="N167" s="357"/>
    </row>
    <row r="168" spans="1:14" s="69" customFormat="1" ht="15" customHeight="1">
      <c r="A168" s="65" t="s">
        <v>582</v>
      </c>
      <c r="B168" s="72" t="s">
        <v>581</v>
      </c>
      <c r="C168" s="72" t="s">
        <v>186</v>
      </c>
      <c r="D168" s="76"/>
      <c r="E168" s="76"/>
      <c r="F168" s="75">
        <v>4908.1499999999996</v>
      </c>
      <c r="G168" s="75">
        <v>191983.68</v>
      </c>
      <c r="H168" s="75"/>
      <c r="I168" s="75"/>
      <c r="J168" s="75">
        <f t="shared" si="5"/>
        <v>196891.83</v>
      </c>
      <c r="K168" s="69" t="e">
        <f>VLOOKUP(A168,#REF!,9,0)</f>
        <v>#REF!</v>
      </c>
      <c r="L168" s="74" t="e">
        <f t="shared" si="4"/>
        <v>#REF!</v>
      </c>
      <c r="N168" s="357"/>
    </row>
    <row r="169" spans="1:14" s="69" customFormat="1" ht="15" customHeight="1">
      <c r="A169" s="65" t="s">
        <v>580</v>
      </c>
      <c r="B169" s="72" t="s">
        <v>579</v>
      </c>
      <c r="C169" s="72" t="s">
        <v>186</v>
      </c>
      <c r="D169" s="76"/>
      <c r="E169" s="76"/>
      <c r="F169" s="75"/>
      <c r="G169" s="75">
        <v>9850.34</v>
      </c>
      <c r="H169" s="75"/>
      <c r="I169" s="75"/>
      <c r="J169" s="75">
        <f t="shared" si="5"/>
        <v>9850.34</v>
      </c>
      <c r="K169" s="69" t="e">
        <f>VLOOKUP(A169,#REF!,9,0)</f>
        <v>#REF!</v>
      </c>
      <c r="L169" s="74" t="e">
        <f t="shared" si="4"/>
        <v>#REF!</v>
      </c>
      <c r="N169" s="357"/>
    </row>
    <row r="170" spans="1:14" s="69" customFormat="1" ht="15" customHeight="1">
      <c r="A170" s="65" t="s">
        <v>578</v>
      </c>
      <c r="B170" s="72" t="s">
        <v>576</v>
      </c>
      <c r="C170" s="72" t="s">
        <v>183</v>
      </c>
      <c r="D170" s="76"/>
      <c r="E170" s="76"/>
      <c r="F170" s="75">
        <v>394018.74</v>
      </c>
      <c r="G170" s="75">
        <v>420697.08</v>
      </c>
      <c r="H170" s="75"/>
      <c r="I170" s="178">
        <v>92317.13</v>
      </c>
      <c r="J170" s="75">
        <f t="shared" si="5"/>
        <v>907032.95000000007</v>
      </c>
      <c r="K170" s="69" t="e">
        <f>VLOOKUP(A170,#REF!,9,0)</f>
        <v>#REF!</v>
      </c>
      <c r="L170" s="74" t="e">
        <f t="shared" si="4"/>
        <v>#REF!</v>
      </c>
      <c r="N170" s="357">
        <f>907032.95-897408.86</f>
        <v>9624.0899999999674</v>
      </c>
    </row>
    <row r="171" spans="1:14" s="69" customFormat="1" ht="15" customHeight="1">
      <c r="A171" s="65" t="s">
        <v>577</v>
      </c>
      <c r="B171" s="72" t="s">
        <v>576</v>
      </c>
      <c r="C171" s="72" t="s">
        <v>183</v>
      </c>
      <c r="D171" s="76"/>
      <c r="E171" s="76"/>
      <c r="F171" s="75"/>
      <c r="G171" s="75">
        <v>18115.060000000001</v>
      </c>
      <c r="H171" s="75"/>
      <c r="I171" s="178">
        <v>1382.4</v>
      </c>
      <c r="J171" s="75">
        <f t="shared" si="5"/>
        <v>19497.460000000003</v>
      </c>
      <c r="K171" s="69" t="e">
        <f>VLOOKUP(A171,#REF!,9,0)</f>
        <v>#REF!</v>
      </c>
      <c r="L171" s="74" t="e">
        <f t="shared" si="4"/>
        <v>#REF!</v>
      </c>
      <c r="N171" s="357">
        <f>19497.46-18115.06</f>
        <v>1382.3999999999978</v>
      </c>
    </row>
    <row r="172" spans="1:14" s="69" customFormat="1" ht="15" customHeight="1">
      <c r="A172" s="65" t="s">
        <v>575</v>
      </c>
      <c r="B172" s="72" t="s">
        <v>574</v>
      </c>
      <c r="C172" s="72" t="s">
        <v>184</v>
      </c>
      <c r="D172" s="76"/>
      <c r="E172" s="76"/>
      <c r="F172" s="75">
        <v>198371.88</v>
      </c>
      <c r="G172" s="75">
        <v>455302.48</v>
      </c>
      <c r="H172" s="75"/>
      <c r="I172" s="75"/>
      <c r="J172" s="75">
        <f t="shared" si="5"/>
        <v>653674.36</v>
      </c>
      <c r="K172" s="69" t="e">
        <f>VLOOKUP(A172,#REF!,9,0)</f>
        <v>#REF!</v>
      </c>
      <c r="L172" s="74" t="e">
        <f t="shared" si="4"/>
        <v>#REF!</v>
      </c>
      <c r="N172" s="357"/>
    </row>
    <row r="173" spans="1:14" s="69" customFormat="1" ht="15" customHeight="1">
      <c r="A173" s="65" t="s">
        <v>573</v>
      </c>
      <c r="B173" s="72" t="s">
        <v>572</v>
      </c>
      <c r="C173" s="72" t="s">
        <v>183</v>
      </c>
      <c r="D173" s="76"/>
      <c r="E173" s="76"/>
      <c r="F173" s="75"/>
      <c r="G173" s="75">
        <v>6780.96</v>
      </c>
      <c r="H173" s="75"/>
      <c r="I173" s="75">
        <v>13879.09</v>
      </c>
      <c r="J173" s="75">
        <f t="shared" si="5"/>
        <v>20660.05</v>
      </c>
      <c r="K173" s="69" t="e">
        <f>VLOOKUP(A173,#REF!,9,0)</f>
        <v>#REF!</v>
      </c>
      <c r="L173" s="74" t="e">
        <f t="shared" si="4"/>
        <v>#REF!</v>
      </c>
      <c r="N173" s="357"/>
    </row>
    <row r="174" spans="1:14" s="69" customFormat="1" ht="15" customHeight="1">
      <c r="A174" s="65" t="s">
        <v>571</v>
      </c>
      <c r="B174" s="72" t="s">
        <v>570</v>
      </c>
      <c r="C174" s="72" t="s">
        <v>183</v>
      </c>
      <c r="D174" s="76"/>
      <c r="E174" s="76"/>
      <c r="F174" s="75"/>
      <c r="G174" s="75"/>
      <c r="H174" s="75"/>
      <c r="I174" s="75">
        <v>646691.73</v>
      </c>
      <c r="J174" s="75">
        <f t="shared" si="5"/>
        <v>646691.73</v>
      </c>
      <c r="K174" s="69" t="e">
        <f>VLOOKUP(A174,#REF!,9,0)</f>
        <v>#REF!</v>
      </c>
      <c r="L174" s="74" t="e">
        <f t="shared" si="4"/>
        <v>#REF!</v>
      </c>
      <c r="N174" s="357">
        <f>646691.73-643657.44</f>
        <v>3034.2900000000373</v>
      </c>
    </row>
    <row r="175" spans="1:14" s="69" customFormat="1" ht="15" customHeight="1">
      <c r="A175" s="65" t="s">
        <v>1082</v>
      </c>
      <c r="B175" s="72" t="s">
        <v>1083</v>
      </c>
      <c r="C175" s="72" t="s">
        <v>183</v>
      </c>
      <c r="D175" s="76"/>
      <c r="E175" s="177">
        <v>39841.949999999997</v>
      </c>
      <c r="F175" s="75"/>
      <c r="G175" s="75"/>
      <c r="H175" s="75"/>
      <c r="I175" s="178">
        <v>1753672.28</v>
      </c>
      <c r="J175" s="75">
        <f t="shared" si="5"/>
        <v>1793514.23</v>
      </c>
      <c r="K175" s="69" t="e">
        <f>VLOOKUP(A175,#REF!,9,0)</f>
        <v>#REF!</v>
      </c>
      <c r="L175" s="74"/>
      <c r="N175" s="357">
        <f>1793514.23-39722.67</f>
        <v>1753791.56</v>
      </c>
    </row>
    <row r="176" spans="1:14" s="69" customFormat="1" ht="15" customHeight="1">
      <c r="A176" s="65" t="s">
        <v>569</v>
      </c>
      <c r="B176" s="72" t="s">
        <v>568</v>
      </c>
      <c r="C176" s="72" t="s">
        <v>186</v>
      </c>
      <c r="D176" s="76"/>
      <c r="E176" s="76"/>
      <c r="F176" s="75"/>
      <c r="G176" s="75">
        <v>11118.2</v>
      </c>
      <c r="H176" s="75"/>
      <c r="I176" s="75"/>
      <c r="J176" s="75">
        <f t="shared" si="5"/>
        <v>11118.2</v>
      </c>
      <c r="K176" s="69" t="e">
        <f>VLOOKUP(A176,#REF!,9,0)</f>
        <v>#REF!</v>
      </c>
      <c r="L176" s="74" t="e">
        <f t="shared" si="4"/>
        <v>#REF!</v>
      </c>
      <c r="N176" s="357"/>
    </row>
    <row r="177" spans="1:14" s="236" customFormat="1" ht="15" customHeight="1">
      <c r="A177" s="232" t="s">
        <v>1623</v>
      </c>
      <c r="B177" s="233" t="s">
        <v>1624</v>
      </c>
      <c r="C177" s="233" t="s">
        <v>186</v>
      </c>
      <c r="D177" s="376"/>
      <c r="E177" s="376"/>
      <c r="F177" s="234"/>
      <c r="G177" s="234">
        <v>104572.29</v>
      </c>
      <c r="H177" s="234"/>
      <c r="I177" s="234"/>
      <c r="J177" s="234">
        <f t="shared" si="5"/>
        <v>104572.29</v>
      </c>
      <c r="L177" s="437"/>
      <c r="N177" s="438"/>
    </row>
    <row r="178" spans="1:14" s="69" customFormat="1" ht="15" customHeight="1">
      <c r="A178" s="65" t="s">
        <v>567</v>
      </c>
      <c r="B178" s="72" t="s">
        <v>566</v>
      </c>
      <c r="C178" s="72" t="s">
        <v>186</v>
      </c>
      <c r="D178" s="76"/>
      <c r="E178" s="76"/>
      <c r="F178" s="75"/>
      <c r="G178" s="75">
        <v>15373.32</v>
      </c>
      <c r="H178" s="75"/>
      <c r="I178" s="178">
        <v>1314456.57</v>
      </c>
      <c r="J178" s="75">
        <f t="shared" si="5"/>
        <v>1329829.8900000001</v>
      </c>
      <c r="K178" s="69" t="e">
        <f>VLOOKUP(A178,#REF!,9,0)</f>
        <v>#REF!</v>
      </c>
      <c r="L178" s="74" t="e">
        <f t="shared" si="4"/>
        <v>#REF!</v>
      </c>
      <c r="N178" s="357">
        <f>1329829.89-1329697.39</f>
        <v>132.5</v>
      </c>
    </row>
    <row r="179" spans="1:14" s="69" customFormat="1" ht="15" customHeight="1">
      <c r="A179" s="65" t="s">
        <v>565</v>
      </c>
      <c r="B179" s="72" t="s">
        <v>564</v>
      </c>
      <c r="C179" s="72" t="s">
        <v>183</v>
      </c>
      <c r="D179" s="76"/>
      <c r="E179" s="76"/>
      <c r="F179" s="75">
        <v>1447539.2</v>
      </c>
      <c r="G179" s="75">
        <v>2229285.9500000002</v>
      </c>
      <c r="H179" s="75"/>
      <c r="I179" s="178">
        <v>602451.30000000005</v>
      </c>
      <c r="J179" s="75">
        <f t="shared" si="5"/>
        <v>4279276.45</v>
      </c>
      <c r="K179" s="69" t="e">
        <f>VLOOKUP(A179,#REF!,9,0)</f>
        <v>#REF!</v>
      </c>
      <c r="L179" s="74" t="e">
        <f t="shared" si="4"/>
        <v>#REF!</v>
      </c>
      <c r="N179" s="357">
        <f>4279276.45-4265220.35</f>
        <v>14056.100000000559</v>
      </c>
    </row>
    <row r="180" spans="1:14" s="69" customFormat="1" ht="15" customHeight="1">
      <c r="A180" s="65" t="s">
        <v>563</v>
      </c>
      <c r="B180" s="72" t="s">
        <v>562</v>
      </c>
      <c r="C180" s="72" t="s">
        <v>186</v>
      </c>
      <c r="D180" s="76"/>
      <c r="E180" s="76"/>
      <c r="F180" s="75"/>
      <c r="G180" s="75">
        <v>20243.099999999999</v>
      </c>
      <c r="H180" s="75"/>
      <c r="I180" s="75"/>
      <c r="J180" s="75">
        <f t="shared" si="5"/>
        <v>20243.099999999999</v>
      </c>
      <c r="K180" s="69" t="e">
        <f>VLOOKUP(A180,#REF!,9,0)</f>
        <v>#REF!</v>
      </c>
      <c r="L180" s="74" t="e">
        <f t="shared" si="4"/>
        <v>#REF!</v>
      </c>
      <c r="N180" s="357"/>
    </row>
    <row r="181" spans="1:14" s="69" customFormat="1" ht="15" customHeight="1">
      <c r="A181" s="65" t="s">
        <v>561</v>
      </c>
      <c r="B181" s="72" t="s">
        <v>560</v>
      </c>
      <c r="C181" s="72" t="s">
        <v>183</v>
      </c>
      <c r="D181" s="76"/>
      <c r="E181" s="76"/>
      <c r="F181" s="75"/>
      <c r="G181" s="75">
        <v>6892331.6699999999</v>
      </c>
      <c r="H181" s="75"/>
      <c r="I181" s="75"/>
      <c r="J181" s="75">
        <f t="shared" si="5"/>
        <v>6892331.6699999999</v>
      </c>
      <c r="K181" s="69" t="e">
        <f>VLOOKUP(A181,#REF!,9,0)</f>
        <v>#REF!</v>
      </c>
      <c r="L181" s="74" t="e">
        <f t="shared" si="4"/>
        <v>#REF!</v>
      </c>
      <c r="N181" s="357"/>
    </row>
    <row r="182" spans="1:14" s="69" customFormat="1" ht="15" customHeight="1">
      <c r="A182" s="65" t="s">
        <v>559</v>
      </c>
      <c r="B182" s="72" t="s">
        <v>558</v>
      </c>
      <c r="C182" s="72" t="s">
        <v>890</v>
      </c>
      <c r="D182" s="76"/>
      <c r="E182" s="76"/>
      <c r="F182" s="75"/>
      <c r="G182" s="75">
        <v>11019.44</v>
      </c>
      <c r="H182" s="75"/>
      <c r="I182" s="178">
        <v>1072308.95</v>
      </c>
      <c r="J182" s="75">
        <f t="shared" si="5"/>
        <v>1083328.3899999999</v>
      </c>
      <c r="K182" s="69" t="e">
        <f>VLOOKUP(A182,#REF!,9,0)</f>
        <v>#REF!</v>
      </c>
      <c r="L182" s="74" t="e">
        <f t="shared" si="4"/>
        <v>#REF!</v>
      </c>
      <c r="N182" s="357">
        <f>1083328.39-1080974.74</f>
        <v>2353.6499999999069</v>
      </c>
    </row>
    <row r="183" spans="1:14" s="69" customFormat="1" ht="15" customHeight="1">
      <c r="A183" s="65" t="s">
        <v>557</v>
      </c>
      <c r="B183" s="72" t="s">
        <v>556</v>
      </c>
      <c r="C183" s="72" t="s">
        <v>186</v>
      </c>
      <c r="D183" s="76"/>
      <c r="E183" s="76"/>
      <c r="F183" s="75"/>
      <c r="G183" s="75">
        <v>33936.76</v>
      </c>
      <c r="H183" s="75"/>
      <c r="I183" s="75"/>
      <c r="J183" s="75">
        <f t="shared" si="5"/>
        <v>33936.76</v>
      </c>
      <c r="K183" s="69" t="e">
        <f>VLOOKUP(A183,#REF!,9,0)</f>
        <v>#REF!</v>
      </c>
      <c r="L183" s="74" t="e">
        <f t="shared" si="4"/>
        <v>#REF!</v>
      </c>
      <c r="N183" s="357"/>
    </row>
    <row r="184" spans="1:14" s="69" customFormat="1" ht="15" customHeight="1">
      <c r="A184" s="65" t="s">
        <v>555</v>
      </c>
      <c r="B184" s="72" t="s">
        <v>554</v>
      </c>
      <c r="C184" s="72" t="s">
        <v>186</v>
      </c>
      <c r="D184" s="76"/>
      <c r="E184" s="76"/>
      <c r="F184" s="75"/>
      <c r="G184" s="75"/>
      <c r="H184" s="75"/>
      <c r="I184" s="178">
        <v>191079.28</v>
      </c>
      <c r="J184" s="75">
        <f t="shared" si="5"/>
        <v>191079.28</v>
      </c>
      <c r="K184" s="69" t="e">
        <f>VLOOKUP(A184,#REF!,9,0)</f>
        <v>#REF!</v>
      </c>
      <c r="L184" s="74" t="e">
        <f t="shared" si="4"/>
        <v>#REF!</v>
      </c>
      <c r="N184" s="357">
        <f>191079.28-189158.89</f>
        <v>1920.3899999999849</v>
      </c>
    </row>
    <row r="185" spans="1:14" s="69" customFormat="1" ht="15" customHeight="1">
      <c r="A185" s="65" t="s">
        <v>553</v>
      </c>
      <c r="B185" s="72" t="s">
        <v>552</v>
      </c>
      <c r="C185" s="72" t="s">
        <v>186</v>
      </c>
      <c r="D185" s="76"/>
      <c r="E185" s="76"/>
      <c r="F185" s="75"/>
      <c r="G185" s="75">
        <v>19822.41</v>
      </c>
      <c r="H185" s="75"/>
      <c r="I185" s="75"/>
      <c r="J185" s="75">
        <f t="shared" si="5"/>
        <v>19822.41</v>
      </c>
      <c r="K185" s="69" t="e">
        <f>VLOOKUP(A185,#REF!,9,0)</f>
        <v>#REF!</v>
      </c>
      <c r="L185" s="74" t="e">
        <f t="shared" si="4"/>
        <v>#REF!</v>
      </c>
      <c r="N185" s="357"/>
    </row>
    <row r="186" spans="1:14" s="69" customFormat="1" ht="15" customHeight="1">
      <c r="A186" s="65" t="s">
        <v>551</v>
      </c>
      <c r="B186" s="72" t="s">
        <v>550</v>
      </c>
      <c r="C186" s="72" t="s">
        <v>183</v>
      </c>
      <c r="D186" s="76"/>
      <c r="E186" s="76"/>
      <c r="F186" s="75"/>
      <c r="G186" s="75">
        <v>94820.12</v>
      </c>
      <c r="H186" s="75"/>
      <c r="I186" s="75">
        <v>2245.87</v>
      </c>
      <c r="J186" s="75">
        <f t="shared" si="5"/>
        <v>97065.989999999991</v>
      </c>
      <c r="K186" s="69" t="e">
        <f>VLOOKUP(A186,#REF!,9,0)</f>
        <v>#REF!</v>
      </c>
      <c r="L186" s="74" t="e">
        <f t="shared" si="4"/>
        <v>#REF!</v>
      </c>
      <c r="N186" s="357"/>
    </row>
    <row r="187" spans="1:14" s="69" customFormat="1" ht="15" customHeight="1">
      <c r="A187" s="65" t="s">
        <v>549</v>
      </c>
      <c r="B187" s="72" t="s">
        <v>548</v>
      </c>
      <c r="C187" s="72" t="s">
        <v>183</v>
      </c>
      <c r="D187" s="76"/>
      <c r="E187" s="76"/>
      <c r="F187" s="75">
        <v>2050581.56</v>
      </c>
      <c r="G187" s="178">
        <f>13649522.32+37145.25</f>
        <v>13686667.57</v>
      </c>
      <c r="H187" s="75"/>
      <c r="I187" s="178">
        <v>124402.21</v>
      </c>
      <c r="J187" s="75">
        <f t="shared" si="5"/>
        <v>15861651.340000002</v>
      </c>
      <c r="K187" s="69" t="e">
        <f>VLOOKUP(A187,#REF!,9,0)</f>
        <v>#REF!</v>
      </c>
      <c r="L187" s="74" t="e">
        <f t="shared" si="4"/>
        <v>#REF!</v>
      </c>
      <c r="N187" s="357">
        <f>15861651.34-15806363.4</f>
        <v>55287.939999999478</v>
      </c>
    </row>
    <row r="188" spans="1:14" s="69" customFormat="1" ht="15" customHeight="1">
      <c r="A188" s="65" t="s">
        <v>547</v>
      </c>
      <c r="B188" s="72" t="s">
        <v>546</v>
      </c>
      <c r="C188" s="72" t="s">
        <v>183</v>
      </c>
      <c r="D188" s="76"/>
      <c r="E188" s="76"/>
      <c r="F188" s="75"/>
      <c r="G188" s="75"/>
      <c r="H188" s="75"/>
      <c r="I188" s="75">
        <v>787084.05</v>
      </c>
      <c r="J188" s="75">
        <f t="shared" si="5"/>
        <v>787084.05</v>
      </c>
      <c r="K188" s="69" t="e">
        <f>VLOOKUP(A188,#REF!,9,0)</f>
        <v>#REF!</v>
      </c>
      <c r="L188" s="74" t="e">
        <f t="shared" si="4"/>
        <v>#REF!</v>
      </c>
      <c r="N188" s="357"/>
    </row>
    <row r="189" spans="1:14" s="69" customFormat="1" ht="15" customHeight="1">
      <c r="A189" s="65" t="s">
        <v>545</v>
      </c>
      <c r="B189" s="72" t="s">
        <v>544</v>
      </c>
      <c r="C189" s="72" t="s">
        <v>183</v>
      </c>
      <c r="D189" s="76"/>
      <c r="E189" s="76"/>
      <c r="F189" s="178">
        <v>347441.64</v>
      </c>
      <c r="G189" s="178">
        <v>5745411.1299999999</v>
      </c>
      <c r="H189" s="75"/>
      <c r="I189" s="178">
        <v>292246.56</v>
      </c>
      <c r="J189" s="75">
        <f t="shared" si="5"/>
        <v>6385099.3299999991</v>
      </c>
      <c r="K189" s="69" t="e">
        <f>VLOOKUP(A189,#REF!,9,0)</f>
        <v>#REF!</v>
      </c>
      <c r="L189" s="74" t="e">
        <f t="shared" si="4"/>
        <v>#REF!</v>
      </c>
      <c r="N189" s="357">
        <f>6385099.33-6112771.44</f>
        <v>272327.88999999966</v>
      </c>
    </row>
    <row r="190" spans="1:14" s="69" customFormat="1" ht="15" customHeight="1">
      <c r="A190" s="65" t="s">
        <v>543</v>
      </c>
      <c r="B190" s="72" t="s">
        <v>542</v>
      </c>
      <c r="C190" s="72" t="s">
        <v>890</v>
      </c>
      <c r="D190" s="76"/>
      <c r="E190" s="76"/>
      <c r="F190" s="75"/>
      <c r="G190" s="75">
        <v>10283</v>
      </c>
      <c r="H190" s="75"/>
      <c r="I190" s="75">
        <v>13745.33</v>
      </c>
      <c r="J190" s="75">
        <f t="shared" si="5"/>
        <v>24028.33</v>
      </c>
      <c r="K190" s="69" t="e">
        <f>VLOOKUP(A190,#REF!,9,0)</f>
        <v>#REF!</v>
      </c>
      <c r="L190" s="74" t="e">
        <f t="shared" si="4"/>
        <v>#REF!</v>
      </c>
      <c r="N190" s="357"/>
    </row>
    <row r="191" spans="1:14" s="69" customFormat="1" ht="15" customHeight="1">
      <c r="A191" s="65" t="s">
        <v>541</v>
      </c>
      <c r="B191" s="72" t="s">
        <v>540</v>
      </c>
      <c r="C191" s="72" t="s">
        <v>186</v>
      </c>
      <c r="D191" s="76"/>
      <c r="E191" s="76"/>
      <c r="F191" s="75"/>
      <c r="G191" s="75">
        <v>51104.05</v>
      </c>
      <c r="H191" s="75"/>
      <c r="I191" s="178">
        <v>46899.86</v>
      </c>
      <c r="J191" s="75">
        <f t="shared" si="5"/>
        <v>98003.91</v>
      </c>
      <c r="K191" s="69" t="e">
        <f>VLOOKUP(A191,#REF!,9,0)</f>
        <v>#REF!</v>
      </c>
      <c r="L191" s="74" t="e">
        <f t="shared" si="4"/>
        <v>#REF!</v>
      </c>
      <c r="N191" s="357">
        <f>98003.91-86677.11</f>
        <v>11326.800000000003</v>
      </c>
    </row>
    <row r="192" spans="1:14" s="69" customFormat="1" ht="15" customHeight="1">
      <c r="A192" s="65" t="s">
        <v>539</v>
      </c>
      <c r="B192" s="72" t="s">
        <v>538</v>
      </c>
      <c r="C192" s="72" t="s">
        <v>186</v>
      </c>
      <c r="D192" s="76"/>
      <c r="E192" s="76"/>
      <c r="F192" s="75"/>
      <c r="G192" s="75">
        <v>173207.58</v>
      </c>
      <c r="H192" s="75"/>
      <c r="I192" s="75"/>
      <c r="J192" s="75">
        <f t="shared" si="5"/>
        <v>173207.58</v>
      </c>
      <c r="K192" s="69" t="e">
        <f>VLOOKUP(A192,#REF!,9,0)</f>
        <v>#REF!</v>
      </c>
      <c r="L192" s="74" t="e">
        <f t="shared" si="4"/>
        <v>#REF!</v>
      </c>
      <c r="N192" s="357"/>
    </row>
    <row r="193" spans="1:14" s="69" customFormat="1" ht="15" customHeight="1">
      <c r="A193" s="65" t="s">
        <v>537</v>
      </c>
      <c r="B193" s="72" t="s">
        <v>536</v>
      </c>
      <c r="C193" s="72" t="s">
        <v>183</v>
      </c>
      <c r="D193" s="76"/>
      <c r="E193" s="76"/>
      <c r="F193" s="75">
        <v>544111.6</v>
      </c>
      <c r="G193" s="75">
        <v>551267.13</v>
      </c>
      <c r="H193" s="75"/>
      <c r="I193" s="178">
        <v>126063.92</v>
      </c>
      <c r="J193" s="75">
        <f t="shared" si="5"/>
        <v>1221442.6499999999</v>
      </c>
      <c r="K193" s="69" t="e">
        <f>VLOOKUP(A193,#REF!,9,0)</f>
        <v>#REF!</v>
      </c>
      <c r="L193" s="74" t="e">
        <f t="shared" si="4"/>
        <v>#REF!</v>
      </c>
      <c r="N193" s="357">
        <f>1221442.65-1206282.24</f>
        <v>15160.409999999916</v>
      </c>
    </row>
    <row r="194" spans="1:14" s="69" customFormat="1" ht="15" customHeight="1">
      <c r="A194" s="65" t="s">
        <v>535</v>
      </c>
      <c r="B194" s="72" t="s">
        <v>534</v>
      </c>
      <c r="C194" s="72" t="s">
        <v>184</v>
      </c>
      <c r="D194" s="76"/>
      <c r="E194" s="76"/>
      <c r="F194" s="75"/>
      <c r="G194" s="75"/>
      <c r="H194" s="75"/>
      <c r="I194" s="178">
        <v>1128099.81</v>
      </c>
      <c r="J194" s="75">
        <f t="shared" si="5"/>
        <v>1128099.81</v>
      </c>
      <c r="K194" s="69" t="e">
        <f>VLOOKUP(A194,#REF!,9,0)</f>
        <v>#REF!</v>
      </c>
      <c r="L194" s="74" t="e">
        <f t="shared" si="4"/>
        <v>#REF!</v>
      </c>
      <c r="N194" s="357">
        <f>1128099.81-1190241.34</f>
        <v>-62141.530000000028</v>
      </c>
    </row>
    <row r="195" spans="1:14" s="69" customFormat="1" ht="15" customHeight="1">
      <c r="A195" s="65" t="s">
        <v>533</v>
      </c>
      <c r="B195" s="72" t="s">
        <v>532</v>
      </c>
      <c r="C195" s="72" t="s">
        <v>890</v>
      </c>
      <c r="D195" s="76"/>
      <c r="E195" s="76"/>
      <c r="F195" s="75"/>
      <c r="G195" s="75">
        <v>8459.2099999999991</v>
      </c>
      <c r="H195" s="75"/>
      <c r="I195" s="75"/>
      <c r="J195" s="75">
        <f t="shared" si="5"/>
        <v>8459.2099999999991</v>
      </c>
      <c r="K195" s="69" t="e">
        <f>VLOOKUP(A195,#REF!,9,0)</f>
        <v>#REF!</v>
      </c>
      <c r="L195" s="74" t="e">
        <f t="shared" si="4"/>
        <v>#REF!</v>
      </c>
      <c r="N195" s="357"/>
    </row>
    <row r="196" spans="1:14" s="69" customFormat="1" ht="15" customHeight="1">
      <c r="A196" s="65" t="s">
        <v>531</v>
      </c>
      <c r="B196" s="72" t="s">
        <v>530</v>
      </c>
      <c r="C196" s="72" t="s">
        <v>183</v>
      </c>
      <c r="D196" s="76"/>
      <c r="E196" s="76"/>
      <c r="F196" s="75">
        <v>374457.68</v>
      </c>
      <c r="G196" s="75">
        <v>552133.77</v>
      </c>
      <c r="H196" s="75"/>
      <c r="I196" s="178">
        <v>61037.37</v>
      </c>
      <c r="J196" s="75">
        <f t="shared" si="5"/>
        <v>987628.82</v>
      </c>
      <c r="K196" s="69" t="e">
        <f>VLOOKUP(A196,#REF!,9,0)</f>
        <v>#REF!</v>
      </c>
      <c r="L196" s="74" t="e">
        <f t="shared" si="4"/>
        <v>#REF!</v>
      </c>
      <c r="N196" s="357">
        <f>987628.82-977129.4</f>
        <v>10499.419999999925</v>
      </c>
    </row>
    <row r="197" spans="1:14" s="69" customFormat="1" ht="15" customHeight="1">
      <c r="A197" s="65" t="s">
        <v>529</v>
      </c>
      <c r="B197" s="72" t="s">
        <v>528</v>
      </c>
      <c r="C197" s="72" t="s">
        <v>183</v>
      </c>
      <c r="D197" s="76"/>
      <c r="E197" s="76"/>
      <c r="F197" s="75"/>
      <c r="G197" s="75">
        <v>13052.06</v>
      </c>
      <c r="H197" s="75"/>
      <c r="I197" s="75"/>
      <c r="J197" s="75">
        <f t="shared" si="5"/>
        <v>13052.06</v>
      </c>
      <c r="K197" s="69" t="e">
        <f>VLOOKUP(A197,#REF!,9,0)</f>
        <v>#REF!</v>
      </c>
      <c r="L197" s="74" t="e">
        <f t="shared" si="4"/>
        <v>#REF!</v>
      </c>
      <c r="N197" s="357"/>
    </row>
    <row r="198" spans="1:14" s="69" customFormat="1" ht="15" customHeight="1">
      <c r="A198" s="65" t="s">
        <v>527</v>
      </c>
      <c r="B198" s="72" t="s">
        <v>526</v>
      </c>
      <c r="C198" s="72" t="s">
        <v>186</v>
      </c>
      <c r="D198" s="76"/>
      <c r="E198" s="76"/>
      <c r="F198" s="75"/>
      <c r="G198" s="75">
        <v>161422.74</v>
      </c>
      <c r="H198" s="75"/>
      <c r="I198" s="75"/>
      <c r="J198" s="75">
        <f t="shared" si="5"/>
        <v>161422.74</v>
      </c>
      <c r="K198" s="69" t="e">
        <f>VLOOKUP(A198,#REF!,9,0)</f>
        <v>#REF!</v>
      </c>
      <c r="L198" s="74" t="e">
        <f t="shared" si="4"/>
        <v>#REF!</v>
      </c>
      <c r="N198" s="357"/>
    </row>
    <row r="199" spans="1:14" s="69" customFormat="1" ht="15" customHeight="1">
      <c r="A199" s="65" t="s">
        <v>525</v>
      </c>
      <c r="B199" s="72" t="s">
        <v>524</v>
      </c>
      <c r="C199" s="72" t="s">
        <v>890</v>
      </c>
      <c r="D199" s="76"/>
      <c r="E199" s="76"/>
      <c r="F199" s="75"/>
      <c r="G199" s="75">
        <v>9004.33</v>
      </c>
      <c r="H199" s="75"/>
      <c r="I199" s="75">
        <v>3140.3</v>
      </c>
      <c r="J199" s="75">
        <f t="shared" si="5"/>
        <v>12144.630000000001</v>
      </c>
      <c r="K199" s="69" t="e">
        <f>VLOOKUP(A199,#REF!,9,0)</f>
        <v>#REF!</v>
      </c>
      <c r="L199" s="74" t="e">
        <f t="shared" si="4"/>
        <v>#REF!</v>
      </c>
      <c r="N199" s="357"/>
    </row>
    <row r="200" spans="1:14" s="69" customFormat="1" ht="15" customHeight="1">
      <c r="A200" s="65" t="s">
        <v>523</v>
      </c>
      <c r="B200" s="72" t="s">
        <v>522</v>
      </c>
      <c r="C200" s="72" t="s">
        <v>186</v>
      </c>
      <c r="D200" s="76"/>
      <c r="E200" s="76"/>
      <c r="F200" s="75">
        <v>41914.36</v>
      </c>
      <c r="G200" s="178">
        <v>171716.95</v>
      </c>
      <c r="H200" s="75"/>
      <c r="I200" s="75"/>
      <c r="J200" s="75">
        <f t="shared" si="5"/>
        <v>213631.31</v>
      </c>
      <c r="K200" s="69" t="e">
        <f>VLOOKUP(A200,#REF!,9,0)</f>
        <v>#REF!</v>
      </c>
      <c r="L200" s="74" t="e">
        <f t="shared" si="4"/>
        <v>#REF!</v>
      </c>
      <c r="N200" s="357">
        <f>213631.31-206742.03</f>
        <v>6889.2799999999988</v>
      </c>
    </row>
    <row r="201" spans="1:14" s="69" customFormat="1" ht="15" customHeight="1">
      <c r="A201" s="65" t="s">
        <v>521</v>
      </c>
      <c r="B201" s="72" t="s">
        <v>520</v>
      </c>
      <c r="C201" s="72" t="s">
        <v>186</v>
      </c>
      <c r="D201" s="76"/>
      <c r="E201" s="76"/>
      <c r="F201" s="75"/>
      <c r="G201" s="75">
        <v>53636.22</v>
      </c>
      <c r="H201" s="75"/>
      <c r="I201" s="75"/>
      <c r="J201" s="75">
        <f t="shared" si="5"/>
        <v>53636.22</v>
      </c>
      <c r="K201" s="69" t="e">
        <f>VLOOKUP(A201,#REF!,9,0)</f>
        <v>#REF!</v>
      </c>
      <c r="L201" s="74" t="e">
        <f t="shared" si="4"/>
        <v>#REF!</v>
      </c>
      <c r="N201" s="357"/>
    </row>
    <row r="202" spans="1:14" s="69" customFormat="1" ht="15" customHeight="1">
      <c r="A202" s="65" t="s">
        <v>519</v>
      </c>
      <c r="B202" s="72" t="s">
        <v>518</v>
      </c>
      <c r="C202" s="72" t="s">
        <v>183</v>
      </c>
      <c r="D202" s="76"/>
      <c r="E202" s="76"/>
      <c r="F202" s="75"/>
      <c r="G202" s="178">
        <v>23700.19</v>
      </c>
      <c r="H202" s="75"/>
      <c r="I202" s="75"/>
      <c r="J202" s="75">
        <f t="shared" si="5"/>
        <v>23700.19</v>
      </c>
      <c r="K202" s="69" t="e">
        <f>VLOOKUP(A202,#REF!,9,0)</f>
        <v>#REF!</v>
      </c>
      <c r="L202" s="74" t="e">
        <f t="shared" si="4"/>
        <v>#REF!</v>
      </c>
      <c r="N202" s="357">
        <f>23700.19-23682.79</f>
        <v>17.399999999997817</v>
      </c>
    </row>
    <row r="203" spans="1:14" s="69" customFormat="1" ht="15" customHeight="1">
      <c r="A203" s="65" t="s">
        <v>1084</v>
      </c>
      <c r="B203" s="72" t="s">
        <v>1085</v>
      </c>
      <c r="C203" s="72" t="s">
        <v>186</v>
      </c>
      <c r="D203" s="76"/>
      <c r="E203" s="76">
        <v>29812.93</v>
      </c>
      <c r="F203" s="75"/>
      <c r="G203" s="75"/>
      <c r="H203" s="75"/>
      <c r="I203" s="178">
        <v>1333234.97</v>
      </c>
      <c r="J203" s="75">
        <f t="shared" si="5"/>
        <v>1363047.9</v>
      </c>
      <c r="K203" s="69" t="e">
        <f>VLOOKUP(A203,#REF!,9,0)</f>
        <v>#REF!</v>
      </c>
      <c r="L203" s="74"/>
      <c r="N203" s="357">
        <f>1363047.9-1363017.85</f>
        <v>30.049999999813735</v>
      </c>
    </row>
    <row r="204" spans="1:14" s="69" customFormat="1" ht="15" customHeight="1">
      <c r="A204" s="65" t="s">
        <v>517</v>
      </c>
      <c r="B204" s="72" t="s">
        <v>516</v>
      </c>
      <c r="C204" s="72" t="s">
        <v>186</v>
      </c>
      <c r="D204" s="76"/>
      <c r="E204" s="76"/>
      <c r="F204" s="75"/>
      <c r="G204" s="75">
        <v>9357.2900000000009</v>
      </c>
      <c r="H204" s="75"/>
      <c r="I204" s="75"/>
      <c r="J204" s="75">
        <f t="shared" si="5"/>
        <v>9357.2900000000009</v>
      </c>
      <c r="K204" s="69" t="e">
        <f>VLOOKUP(A204,#REF!,9,0)</f>
        <v>#REF!</v>
      </c>
      <c r="L204" s="74" t="e">
        <f t="shared" si="4"/>
        <v>#REF!</v>
      </c>
      <c r="N204" s="357"/>
    </row>
    <row r="205" spans="1:14" s="69" customFormat="1" ht="15" customHeight="1">
      <c r="A205" s="65" t="s">
        <v>515</v>
      </c>
      <c r="B205" s="72" t="s">
        <v>514</v>
      </c>
      <c r="C205" s="72" t="s">
        <v>184</v>
      </c>
      <c r="D205" s="76"/>
      <c r="E205" s="76"/>
      <c r="F205" s="75">
        <v>171732.99</v>
      </c>
      <c r="G205" s="75">
        <v>409091.91</v>
      </c>
      <c r="H205" s="75"/>
      <c r="I205" s="75"/>
      <c r="J205" s="75">
        <f t="shared" si="5"/>
        <v>580824.89999999991</v>
      </c>
      <c r="K205" s="69" t="e">
        <f>VLOOKUP(A205,#REF!,9,0)</f>
        <v>#REF!</v>
      </c>
      <c r="L205" s="74" t="e">
        <f t="shared" si="4"/>
        <v>#REF!</v>
      </c>
      <c r="N205" s="357"/>
    </row>
    <row r="206" spans="1:14" s="69" customFormat="1" ht="15" customHeight="1">
      <c r="A206" s="65" t="s">
        <v>513</v>
      </c>
      <c r="B206" s="72" t="s">
        <v>512</v>
      </c>
      <c r="C206" s="72" t="s">
        <v>183</v>
      </c>
      <c r="D206" s="76"/>
      <c r="E206" s="76"/>
      <c r="F206" s="75"/>
      <c r="G206" s="75">
        <v>16957.689999999999</v>
      </c>
      <c r="H206" s="75"/>
      <c r="I206" s="75">
        <v>4985.66</v>
      </c>
      <c r="J206" s="75">
        <f t="shared" si="5"/>
        <v>21943.35</v>
      </c>
      <c r="K206" s="69" t="e">
        <f>VLOOKUP(A206,#REF!,9,0)</f>
        <v>#REF!</v>
      </c>
      <c r="L206" s="74" t="e">
        <f t="shared" si="4"/>
        <v>#REF!</v>
      </c>
      <c r="N206" s="357"/>
    </row>
    <row r="207" spans="1:14" s="69" customFormat="1" ht="15" customHeight="1">
      <c r="A207" s="65" t="s">
        <v>511</v>
      </c>
      <c r="B207" s="72" t="s">
        <v>510</v>
      </c>
      <c r="C207" s="72" t="s">
        <v>183</v>
      </c>
      <c r="D207" s="76"/>
      <c r="E207" s="76"/>
      <c r="F207" s="75"/>
      <c r="G207" s="75">
        <v>12187.18</v>
      </c>
      <c r="H207" s="75"/>
      <c r="I207" s="75"/>
      <c r="J207" s="75">
        <f t="shared" si="5"/>
        <v>12187.18</v>
      </c>
      <c r="K207" s="69" t="e">
        <f>VLOOKUP(A207,#REF!,9,0)</f>
        <v>#REF!</v>
      </c>
      <c r="L207" s="74" t="e">
        <f t="shared" si="4"/>
        <v>#REF!</v>
      </c>
      <c r="N207" s="357"/>
    </row>
    <row r="208" spans="1:14" s="69" customFormat="1" ht="15" customHeight="1">
      <c r="A208" s="65" t="s">
        <v>509</v>
      </c>
      <c r="B208" s="72" t="s">
        <v>508</v>
      </c>
      <c r="C208" s="72" t="s">
        <v>183</v>
      </c>
      <c r="D208" s="76"/>
      <c r="E208" s="76"/>
      <c r="F208" s="75"/>
      <c r="G208" s="75">
        <v>1399.95</v>
      </c>
      <c r="H208" s="75"/>
      <c r="I208" s="178">
        <v>1237300.26</v>
      </c>
      <c r="J208" s="75">
        <f t="shared" si="5"/>
        <v>1238700.21</v>
      </c>
      <c r="K208" s="69" t="e">
        <f>VLOOKUP(A208,#REF!,9,0)</f>
        <v>#REF!</v>
      </c>
      <c r="L208" s="74" t="e">
        <f t="shared" si="4"/>
        <v>#REF!</v>
      </c>
      <c r="N208" s="357">
        <f>1238700.21-588420.11</f>
        <v>650280.1</v>
      </c>
    </row>
    <row r="209" spans="1:14" s="69" customFormat="1" ht="15" customHeight="1">
      <c r="A209" s="65" t="s">
        <v>507</v>
      </c>
      <c r="B209" s="72" t="s">
        <v>506</v>
      </c>
      <c r="C209" s="72" t="s">
        <v>186</v>
      </c>
      <c r="D209" s="76"/>
      <c r="E209" s="76"/>
      <c r="F209" s="75"/>
      <c r="G209" s="75">
        <v>15541.6</v>
      </c>
      <c r="H209" s="75"/>
      <c r="I209" s="178">
        <v>4406.43</v>
      </c>
      <c r="J209" s="75">
        <f t="shared" si="5"/>
        <v>19948.03</v>
      </c>
      <c r="K209" s="69" t="e">
        <f>VLOOKUP(A209,#REF!,9,0)</f>
        <v>#REF!</v>
      </c>
      <c r="L209" s="74" t="e">
        <f t="shared" si="4"/>
        <v>#REF!</v>
      </c>
      <c r="N209" s="357">
        <f>19948.03-15541.6</f>
        <v>4406.4299999999985</v>
      </c>
    </row>
    <row r="210" spans="1:14" s="69" customFormat="1" ht="15" customHeight="1">
      <c r="A210" s="65" t="s">
        <v>505</v>
      </c>
      <c r="B210" s="72" t="s">
        <v>504</v>
      </c>
      <c r="C210" s="72" t="s">
        <v>186</v>
      </c>
      <c r="D210" s="76"/>
      <c r="E210" s="76"/>
      <c r="F210" s="75"/>
      <c r="G210" s="178">
        <v>115237.82</v>
      </c>
      <c r="H210" s="75"/>
      <c r="I210" s="178">
        <v>1620176.05</v>
      </c>
      <c r="J210" s="75">
        <f t="shared" si="5"/>
        <v>1735413.87</v>
      </c>
      <c r="K210" s="69" t="e">
        <f>VLOOKUP(A210,#REF!,9,0)</f>
        <v>#REF!</v>
      </c>
      <c r="L210" s="74" t="e">
        <f t="shared" si="4"/>
        <v>#REF!</v>
      </c>
      <c r="N210" s="357">
        <f>1735413.87-1683821.87</f>
        <v>51592</v>
      </c>
    </row>
    <row r="211" spans="1:14" s="69" customFormat="1" ht="15" customHeight="1">
      <c r="A211" s="65" t="s">
        <v>503</v>
      </c>
      <c r="B211" s="72" t="s">
        <v>502</v>
      </c>
      <c r="C211" s="72" t="s">
        <v>186</v>
      </c>
      <c r="D211" s="76"/>
      <c r="E211" s="76"/>
      <c r="F211" s="75"/>
      <c r="G211" s="75">
        <v>16024.66</v>
      </c>
      <c r="H211" s="75"/>
      <c r="I211" s="178">
        <v>1327716.29</v>
      </c>
      <c r="J211" s="75">
        <f t="shared" si="5"/>
        <v>1343740.95</v>
      </c>
      <c r="K211" s="69" t="e">
        <f>VLOOKUP(A211,#REF!,9,0)</f>
        <v>#REF!</v>
      </c>
      <c r="L211" s="74" t="e">
        <f t="shared" si="4"/>
        <v>#REF!</v>
      </c>
      <c r="N211" s="357">
        <f>1343740.95-1343640.21</f>
        <v>100.73999999999069</v>
      </c>
    </row>
    <row r="212" spans="1:14" s="69" customFormat="1" ht="15" customHeight="1">
      <c r="A212" s="65" t="s">
        <v>501</v>
      </c>
      <c r="B212" s="72" t="s">
        <v>500</v>
      </c>
      <c r="C212" s="72" t="s">
        <v>183</v>
      </c>
      <c r="D212" s="76"/>
      <c r="E212" s="76"/>
      <c r="F212" s="75">
        <v>11525.93</v>
      </c>
      <c r="G212" s="75">
        <f>470897.79+25714</f>
        <v>496611.79</v>
      </c>
      <c r="H212" s="75"/>
      <c r="I212" s="75">
        <v>59586.9</v>
      </c>
      <c r="J212" s="75">
        <f t="shared" si="5"/>
        <v>567724.62</v>
      </c>
      <c r="K212" s="69" t="e">
        <f>VLOOKUP(A212,#REF!,9,0)</f>
        <v>#REF!</v>
      </c>
      <c r="L212" s="74" t="e">
        <f t="shared" si="4"/>
        <v>#REF!</v>
      </c>
      <c r="N212" s="357">
        <f>567724.62-617480.59</f>
        <v>-49755.969999999972</v>
      </c>
    </row>
    <row r="213" spans="1:14" s="69" customFormat="1" ht="15" customHeight="1">
      <c r="A213" s="65" t="s">
        <v>499</v>
      </c>
      <c r="B213" s="72" t="s">
        <v>498</v>
      </c>
      <c r="C213" s="72" t="s">
        <v>186</v>
      </c>
      <c r="D213" s="76"/>
      <c r="E213" s="76"/>
      <c r="F213" s="75"/>
      <c r="G213" s="75">
        <v>26327.34</v>
      </c>
      <c r="H213" s="75"/>
      <c r="I213" s="75"/>
      <c r="J213" s="75">
        <f t="shared" si="5"/>
        <v>26327.34</v>
      </c>
      <c r="K213" s="69" t="e">
        <f>VLOOKUP(A213,#REF!,9,0)</f>
        <v>#REF!</v>
      </c>
      <c r="L213" s="74" t="e">
        <f t="shared" si="4"/>
        <v>#REF!</v>
      </c>
      <c r="N213" s="357"/>
    </row>
    <row r="214" spans="1:14" s="69" customFormat="1" ht="15" customHeight="1">
      <c r="A214" s="65" t="s">
        <v>497</v>
      </c>
      <c r="B214" s="72" t="s">
        <v>496</v>
      </c>
      <c r="C214" s="72" t="s">
        <v>183</v>
      </c>
      <c r="D214" s="76"/>
      <c r="E214" s="76">
        <v>126536.06</v>
      </c>
      <c r="F214" s="75"/>
      <c r="G214" s="75"/>
      <c r="H214" s="75"/>
      <c r="I214" s="75">
        <v>604550.65</v>
      </c>
      <c r="J214" s="75">
        <f t="shared" si="5"/>
        <v>731086.71</v>
      </c>
      <c r="K214" s="69" t="e">
        <f>VLOOKUP(A214,#REF!,9,0)</f>
        <v>#REF!</v>
      </c>
      <c r="L214" s="74" t="e">
        <f t="shared" si="4"/>
        <v>#REF!</v>
      </c>
      <c r="N214" s="357"/>
    </row>
    <row r="215" spans="1:14" s="69" customFormat="1" ht="15" customHeight="1">
      <c r="A215" s="65" t="s">
        <v>495</v>
      </c>
      <c r="B215" s="72" t="s">
        <v>494</v>
      </c>
      <c r="C215" s="72" t="s">
        <v>183</v>
      </c>
      <c r="D215" s="76"/>
      <c r="E215" s="76"/>
      <c r="F215" s="75"/>
      <c r="G215" s="75">
        <v>23161.919999999998</v>
      </c>
      <c r="H215" s="75"/>
      <c r="I215" s="75"/>
      <c r="J215" s="75">
        <f t="shared" si="5"/>
        <v>23161.919999999998</v>
      </c>
      <c r="K215" s="69" t="e">
        <f>VLOOKUP(A215,#REF!,9,0)</f>
        <v>#REF!</v>
      </c>
      <c r="L215" s="74" t="e">
        <f t="shared" si="4"/>
        <v>#REF!</v>
      </c>
      <c r="N215" s="357"/>
    </row>
    <row r="216" spans="1:14" s="69" customFormat="1" ht="15" customHeight="1">
      <c r="A216" s="65" t="s">
        <v>493</v>
      </c>
      <c r="B216" s="72" t="s">
        <v>492</v>
      </c>
      <c r="C216" s="72" t="s">
        <v>186</v>
      </c>
      <c r="D216" s="76"/>
      <c r="E216" s="76"/>
      <c r="F216" s="75"/>
      <c r="G216" s="75">
        <v>8438</v>
      </c>
      <c r="H216" s="75"/>
      <c r="I216" s="75"/>
      <c r="J216" s="75">
        <f t="shared" si="5"/>
        <v>8438</v>
      </c>
      <c r="K216" s="69" t="e">
        <f>VLOOKUP(A216,#REF!,9,0)</f>
        <v>#REF!</v>
      </c>
      <c r="L216" s="74" t="e">
        <f t="shared" si="4"/>
        <v>#REF!</v>
      </c>
      <c r="N216" s="357"/>
    </row>
    <row r="217" spans="1:14" s="69" customFormat="1" ht="15" customHeight="1">
      <c r="A217" s="65" t="s">
        <v>491</v>
      </c>
      <c r="B217" s="72" t="s">
        <v>490</v>
      </c>
      <c r="C217" s="72" t="s">
        <v>183</v>
      </c>
      <c r="D217" s="76"/>
      <c r="E217" s="76"/>
      <c r="F217" s="75"/>
      <c r="G217" s="75">
        <v>22762.58</v>
      </c>
      <c r="H217" s="75"/>
      <c r="I217" s="75">
        <v>3753.91</v>
      </c>
      <c r="J217" s="75">
        <f t="shared" si="5"/>
        <v>26516.49</v>
      </c>
      <c r="K217" s="69" t="e">
        <f>VLOOKUP(A217,#REF!,9,0)</f>
        <v>#REF!</v>
      </c>
      <c r="L217" s="74" t="e">
        <f t="shared" si="4"/>
        <v>#REF!</v>
      </c>
      <c r="N217" s="357"/>
    </row>
    <row r="218" spans="1:14" s="69" customFormat="1" ht="15" customHeight="1">
      <c r="A218" s="65" t="s">
        <v>489</v>
      </c>
      <c r="B218" s="72" t="s">
        <v>488</v>
      </c>
      <c r="C218" s="72" t="s">
        <v>186</v>
      </c>
      <c r="D218" s="76"/>
      <c r="E218" s="76"/>
      <c r="F218" s="75"/>
      <c r="G218" s="75">
        <v>20274.240000000002</v>
      </c>
      <c r="H218" s="75"/>
      <c r="I218" s="75"/>
      <c r="J218" s="75">
        <f t="shared" si="5"/>
        <v>20274.240000000002</v>
      </c>
      <c r="K218" s="69" t="e">
        <f>VLOOKUP(A218,#REF!,9,0)</f>
        <v>#REF!</v>
      </c>
      <c r="L218" s="74" t="e">
        <f t="shared" si="4"/>
        <v>#REF!</v>
      </c>
      <c r="N218" s="357"/>
    </row>
    <row r="219" spans="1:14" s="69" customFormat="1" ht="15" customHeight="1">
      <c r="A219" s="65" t="s">
        <v>487</v>
      </c>
      <c r="B219" s="72" t="s">
        <v>486</v>
      </c>
      <c r="C219" s="72" t="s">
        <v>186</v>
      </c>
      <c r="D219" s="292">
        <v>29992.65</v>
      </c>
      <c r="E219" s="76"/>
      <c r="F219" s="75"/>
      <c r="G219" s="75"/>
      <c r="H219" s="75"/>
      <c r="I219" s="75"/>
      <c r="J219" s="75">
        <f t="shared" si="5"/>
        <v>29992.65</v>
      </c>
      <c r="K219" s="69" t="e">
        <f>VLOOKUP(A219,#REF!,9,0)</f>
        <v>#REF!</v>
      </c>
      <c r="L219" s="74" t="e">
        <f t="shared" si="4"/>
        <v>#REF!</v>
      </c>
      <c r="N219" s="357"/>
    </row>
    <row r="220" spans="1:14" s="69" customFormat="1" ht="15" customHeight="1">
      <c r="A220" s="65" t="s">
        <v>485</v>
      </c>
      <c r="B220" s="72" t="s">
        <v>484</v>
      </c>
      <c r="C220" s="72" t="s">
        <v>186</v>
      </c>
      <c r="D220" s="76"/>
      <c r="E220" s="76"/>
      <c r="F220" s="75"/>
      <c r="G220" s="75">
        <v>10366.969999999999</v>
      </c>
      <c r="H220" s="75"/>
      <c r="I220" s="75"/>
      <c r="J220" s="75">
        <f t="shared" si="5"/>
        <v>10366.969999999999</v>
      </c>
      <c r="K220" s="69" t="e">
        <f>VLOOKUP(A220,#REF!,9,0)</f>
        <v>#REF!</v>
      </c>
      <c r="L220" s="74" t="e">
        <f t="shared" si="4"/>
        <v>#REF!</v>
      </c>
      <c r="N220" s="357"/>
    </row>
    <row r="221" spans="1:14" s="69" customFormat="1" ht="15" customHeight="1">
      <c r="A221" s="65" t="s">
        <v>1152</v>
      </c>
      <c r="B221" s="72" t="s">
        <v>1153</v>
      </c>
      <c r="C221" s="72" t="s">
        <v>186</v>
      </c>
      <c r="D221" s="76"/>
      <c r="E221" s="76">
        <v>46536.44</v>
      </c>
      <c r="F221" s="75"/>
      <c r="G221" s="75"/>
      <c r="H221" s="75"/>
      <c r="I221" s="178">
        <v>1966072.16</v>
      </c>
      <c r="J221" s="75">
        <f t="shared" si="5"/>
        <v>2012608.5999999999</v>
      </c>
      <c r="K221" s="69" t="e">
        <f>VLOOKUP(A221,#REF!,9,0)</f>
        <v>#REF!</v>
      </c>
      <c r="L221" s="74"/>
      <c r="N221" s="357">
        <f>2012608.6-2008346.75</f>
        <v>4261.8500000000931</v>
      </c>
    </row>
    <row r="222" spans="1:14" s="69" customFormat="1" ht="15" customHeight="1">
      <c r="A222" s="65" t="s">
        <v>483</v>
      </c>
      <c r="B222" s="72" t="s">
        <v>482</v>
      </c>
      <c r="C222" s="72" t="s">
        <v>183</v>
      </c>
      <c r="D222" s="76"/>
      <c r="E222" s="76"/>
      <c r="F222" s="75"/>
      <c r="G222" s="75">
        <v>16856.759999999998</v>
      </c>
      <c r="H222" s="75"/>
      <c r="I222" s="75"/>
      <c r="J222" s="75">
        <f t="shared" si="5"/>
        <v>16856.759999999998</v>
      </c>
      <c r="K222" s="69" t="e">
        <f>VLOOKUP(A222,#REF!,9,0)</f>
        <v>#REF!</v>
      </c>
      <c r="L222" s="74" t="e">
        <f t="shared" si="4"/>
        <v>#REF!</v>
      </c>
      <c r="N222" s="357"/>
    </row>
    <row r="223" spans="1:14" s="69" customFormat="1" ht="15" customHeight="1">
      <c r="A223" s="65" t="s">
        <v>481</v>
      </c>
      <c r="B223" s="72" t="s">
        <v>480</v>
      </c>
      <c r="C223" s="72" t="s">
        <v>183</v>
      </c>
      <c r="D223" s="76"/>
      <c r="E223" s="76"/>
      <c r="F223" s="75"/>
      <c r="G223" s="75">
        <v>10481.25</v>
      </c>
      <c r="H223" s="75"/>
      <c r="I223" s="75"/>
      <c r="J223" s="75">
        <f t="shared" si="5"/>
        <v>10481.25</v>
      </c>
      <c r="K223" s="69" t="e">
        <f>VLOOKUP(A223,#REF!,9,0)</f>
        <v>#REF!</v>
      </c>
      <c r="L223" s="74" t="e">
        <f t="shared" ref="L223:L298" si="6">K223-J223</f>
        <v>#REF!</v>
      </c>
      <c r="N223" s="357"/>
    </row>
    <row r="224" spans="1:14" s="69" customFormat="1" ht="15" customHeight="1">
      <c r="A224" s="65" t="s">
        <v>479</v>
      </c>
      <c r="B224" s="72" t="s">
        <v>478</v>
      </c>
      <c r="C224" s="72" t="s">
        <v>183</v>
      </c>
      <c r="D224" s="76"/>
      <c r="E224" s="76"/>
      <c r="F224" s="75"/>
      <c r="G224" s="75"/>
      <c r="H224" s="75"/>
      <c r="I224" s="75">
        <v>494429.51</v>
      </c>
      <c r="J224" s="75">
        <f t="shared" si="5"/>
        <v>494429.51</v>
      </c>
      <c r="K224" s="69" t="e">
        <f>VLOOKUP(A224,#REF!,9,0)</f>
        <v>#REF!</v>
      </c>
      <c r="L224" s="74" t="e">
        <f t="shared" si="6"/>
        <v>#REF!</v>
      </c>
      <c r="N224" s="357"/>
    </row>
    <row r="225" spans="1:14" s="69" customFormat="1" ht="15" customHeight="1">
      <c r="A225" s="65" t="s">
        <v>477</v>
      </c>
      <c r="B225" s="72" t="s">
        <v>476</v>
      </c>
      <c r="C225" s="72" t="s">
        <v>183</v>
      </c>
      <c r="D225" s="76"/>
      <c r="E225" s="76"/>
      <c r="F225" s="75"/>
      <c r="G225" s="75">
        <v>25863.06</v>
      </c>
      <c r="H225" s="75"/>
      <c r="I225" s="75"/>
      <c r="J225" s="75">
        <f t="shared" si="5"/>
        <v>25863.06</v>
      </c>
      <c r="K225" s="69" t="e">
        <f>VLOOKUP(A225,#REF!,9,0)</f>
        <v>#REF!</v>
      </c>
      <c r="L225" s="74" t="e">
        <f t="shared" si="6"/>
        <v>#REF!</v>
      </c>
      <c r="N225" s="357"/>
    </row>
    <row r="226" spans="1:14" s="69" customFormat="1" ht="15" customHeight="1">
      <c r="A226" s="65" t="s">
        <v>475</v>
      </c>
      <c r="B226" s="72" t="s">
        <v>474</v>
      </c>
      <c r="C226" s="72" t="s">
        <v>183</v>
      </c>
      <c r="D226" s="76"/>
      <c r="E226" s="76">
        <v>51359.92</v>
      </c>
      <c r="F226" s="75">
        <v>1465242.72</v>
      </c>
      <c r="G226" s="178">
        <v>1873006.47</v>
      </c>
      <c r="H226" s="75"/>
      <c r="I226" s="178">
        <v>184773.02</v>
      </c>
      <c r="J226" s="75">
        <f t="shared" si="5"/>
        <v>3574382.13</v>
      </c>
      <c r="K226" s="69" t="e">
        <f>VLOOKUP(A226,#REF!,9,0)</f>
        <v>#REF!</v>
      </c>
      <c r="L226" s="74" t="e">
        <f t="shared" si="6"/>
        <v>#REF!</v>
      </c>
      <c r="N226" s="357">
        <f>3574382.13-3556869.74</f>
        <v>17512.389999999665</v>
      </c>
    </row>
    <row r="227" spans="1:14" s="69" customFormat="1" ht="15" customHeight="1">
      <c r="A227" s="65" t="s">
        <v>1104</v>
      </c>
      <c r="B227" s="72" t="s">
        <v>1086</v>
      </c>
      <c r="C227" s="72" t="s">
        <v>186</v>
      </c>
      <c r="D227" s="76"/>
      <c r="E227" s="76">
        <v>24061.9</v>
      </c>
      <c r="F227" s="75"/>
      <c r="G227" s="75"/>
      <c r="H227" s="75"/>
      <c r="I227" s="178">
        <v>1565677.92</v>
      </c>
      <c r="J227" s="75">
        <f t="shared" si="5"/>
        <v>1589739.8199999998</v>
      </c>
      <c r="L227" s="74"/>
      <c r="N227" s="357">
        <f>1589739.82-1566950.68</f>
        <v>22789.14000000013</v>
      </c>
    </row>
    <row r="228" spans="1:14" s="69" customFormat="1" ht="15" customHeight="1">
      <c r="A228" s="65" t="s">
        <v>473</v>
      </c>
      <c r="B228" s="72" t="s">
        <v>472</v>
      </c>
      <c r="C228" s="72" t="s">
        <v>186</v>
      </c>
      <c r="D228" s="76"/>
      <c r="E228" s="76"/>
      <c r="F228" s="75"/>
      <c r="G228" s="75">
        <v>31711.24</v>
      </c>
      <c r="H228" s="75"/>
      <c r="I228" s="75"/>
      <c r="J228" s="75">
        <f t="shared" si="5"/>
        <v>31711.24</v>
      </c>
      <c r="K228" s="69" t="e">
        <f>VLOOKUP(A228,#REF!,9,0)</f>
        <v>#REF!</v>
      </c>
      <c r="L228" s="74" t="e">
        <f t="shared" si="6"/>
        <v>#REF!</v>
      </c>
      <c r="N228" s="357">
        <f>31711.24-27053.98</f>
        <v>4657.260000000002</v>
      </c>
    </row>
    <row r="229" spans="1:14" s="69" customFormat="1" ht="15" customHeight="1">
      <c r="A229" s="65" t="s">
        <v>471</v>
      </c>
      <c r="B229" s="72" t="s">
        <v>470</v>
      </c>
      <c r="C229" s="72" t="s">
        <v>183</v>
      </c>
      <c r="D229" s="76"/>
      <c r="E229" s="76"/>
      <c r="F229" s="75"/>
      <c r="G229" s="75">
        <v>292289.93</v>
      </c>
      <c r="H229" s="75"/>
      <c r="I229" s="75"/>
      <c r="J229" s="75">
        <f t="shared" si="5"/>
        <v>292289.93</v>
      </c>
      <c r="K229" s="69" t="e">
        <f>VLOOKUP(A229,#REF!,9,0)</f>
        <v>#REF!</v>
      </c>
      <c r="L229" s="74" t="e">
        <f t="shared" si="6"/>
        <v>#REF!</v>
      </c>
      <c r="N229" s="357"/>
    </row>
    <row r="230" spans="1:14" s="69" customFormat="1" ht="15" customHeight="1">
      <c r="A230" s="65" t="s">
        <v>469</v>
      </c>
      <c r="B230" s="72" t="s">
        <v>468</v>
      </c>
      <c r="C230" s="72" t="s">
        <v>183</v>
      </c>
      <c r="D230" s="76"/>
      <c r="E230" s="76">
        <v>28000</v>
      </c>
      <c r="F230" s="75">
        <v>2102771.63</v>
      </c>
      <c r="G230" s="440">
        <v>1816781.33</v>
      </c>
      <c r="H230" s="77"/>
      <c r="I230" s="178">
        <v>87789.05</v>
      </c>
      <c r="J230" s="75">
        <f t="shared" ref="J230:J306" si="7">+D230+E230+F230+G230+I230</f>
        <v>4035342.01</v>
      </c>
      <c r="K230" s="69" t="e">
        <f>VLOOKUP(A230,#REF!,9,0)</f>
        <v>#REF!</v>
      </c>
      <c r="L230" s="74" t="e">
        <f t="shared" si="6"/>
        <v>#REF!</v>
      </c>
      <c r="N230" s="357">
        <f>4035342.01-4062862.19</f>
        <v>-27520.180000000168</v>
      </c>
    </row>
    <row r="231" spans="1:14" s="69" customFormat="1" ht="15" customHeight="1">
      <c r="A231" s="65" t="s">
        <v>467</v>
      </c>
      <c r="B231" s="72" t="s">
        <v>466</v>
      </c>
      <c r="C231" s="72" t="s">
        <v>183</v>
      </c>
      <c r="D231" s="76"/>
      <c r="E231" s="76"/>
      <c r="F231" s="75"/>
      <c r="G231" s="75">
        <v>10023.35</v>
      </c>
      <c r="H231" s="75"/>
      <c r="I231" s="75"/>
      <c r="J231" s="75">
        <f t="shared" si="7"/>
        <v>10023.35</v>
      </c>
      <c r="K231" s="69" t="e">
        <f>VLOOKUP(A231,#REF!,9,0)</f>
        <v>#REF!</v>
      </c>
      <c r="L231" s="74" t="e">
        <f t="shared" si="6"/>
        <v>#REF!</v>
      </c>
      <c r="N231" s="357"/>
    </row>
    <row r="232" spans="1:14" s="69" customFormat="1" ht="15" customHeight="1">
      <c r="A232" s="65" t="s">
        <v>465</v>
      </c>
      <c r="B232" s="72" t="s">
        <v>464</v>
      </c>
      <c r="C232" s="72" t="s">
        <v>186</v>
      </c>
      <c r="D232" s="76"/>
      <c r="E232" s="76"/>
      <c r="F232" s="75"/>
      <c r="G232" s="75">
        <v>10421.77</v>
      </c>
      <c r="H232" s="75"/>
      <c r="I232" s="75"/>
      <c r="J232" s="75">
        <f t="shared" si="7"/>
        <v>10421.77</v>
      </c>
      <c r="K232" s="69" t="e">
        <f>VLOOKUP(A232,#REF!,9,0)</f>
        <v>#REF!</v>
      </c>
      <c r="L232" s="74" t="e">
        <f t="shared" si="6"/>
        <v>#REF!</v>
      </c>
      <c r="N232" s="357"/>
    </row>
    <row r="233" spans="1:14" s="69" customFormat="1" ht="15" customHeight="1">
      <c r="A233" s="65" t="s">
        <v>463</v>
      </c>
      <c r="B233" s="72" t="s">
        <v>462</v>
      </c>
      <c r="C233" s="72" t="s">
        <v>183</v>
      </c>
      <c r="D233" s="76"/>
      <c r="E233" s="76"/>
      <c r="F233" s="75"/>
      <c r="G233" s="75">
        <v>19225.52</v>
      </c>
      <c r="H233" s="75"/>
      <c r="I233" s="75"/>
      <c r="J233" s="75">
        <f t="shared" si="7"/>
        <v>19225.52</v>
      </c>
      <c r="K233" s="69" t="e">
        <f>VLOOKUP(A233,#REF!,9,0)</f>
        <v>#REF!</v>
      </c>
      <c r="L233" s="74" t="e">
        <f t="shared" si="6"/>
        <v>#REF!</v>
      </c>
      <c r="N233" s="357"/>
    </row>
    <row r="234" spans="1:14" s="69" customFormat="1" ht="15" customHeight="1">
      <c r="A234" s="65" t="s">
        <v>461</v>
      </c>
      <c r="B234" s="72" t="s">
        <v>460</v>
      </c>
      <c r="C234" s="72" t="s">
        <v>183</v>
      </c>
      <c r="D234" s="76"/>
      <c r="E234" s="76"/>
      <c r="F234" s="178">
        <v>357994.03</v>
      </c>
      <c r="G234" s="178">
        <f>8337702.41+14858.11</f>
        <v>8352560.5200000005</v>
      </c>
      <c r="H234" s="75"/>
      <c r="I234" s="178">
        <v>640756.68999999994</v>
      </c>
      <c r="J234" s="75">
        <f t="shared" si="7"/>
        <v>9351311.2400000002</v>
      </c>
      <c r="K234" s="69" t="e">
        <f>VLOOKUP(A234,#REF!,9,0)</f>
        <v>#REF!</v>
      </c>
      <c r="L234" s="74" t="e">
        <f t="shared" si="6"/>
        <v>#REF!</v>
      </c>
      <c r="N234" s="357">
        <f>9351311.24-9021550.49</f>
        <v>329760.75</v>
      </c>
    </row>
    <row r="235" spans="1:14" s="69" customFormat="1" ht="15" customHeight="1">
      <c r="A235" s="65" t="s">
        <v>459</v>
      </c>
      <c r="B235" s="72" t="s">
        <v>458</v>
      </c>
      <c r="C235" s="72" t="s">
        <v>183</v>
      </c>
      <c r="D235" s="76"/>
      <c r="E235" s="76"/>
      <c r="F235" s="75"/>
      <c r="G235" s="75">
        <v>10131.629999999999</v>
      </c>
      <c r="H235" s="75"/>
      <c r="I235" s="75">
        <v>13488.86</v>
      </c>
      <c r="J235" s="75">
        <f t="shared" si="7"/>
        <v>23620.489999999998</v>
      </c>
      <c r="K235" s="69" t="e">
        <f>VLOOKUP(A235,#REF!,9,0)</f>
        <v>#REF!</v>
      </c>
      <c r="L235" s="74" t="e">
        <f t="shared" si="6"/>
        <v>#REF!</v>
      </c>
      <c r="N235" s="357">
        <f>23620.49-25347.8</f>
        <v>-1727.3099999999977</v>
      </c>
    </row>
    <row r="236" spans="1:14" s="69" customFormat="1" ht="15" customHeight="1">
      <c r="A236" s="65" t="s">
        <v>457</v>
      </c>
      <c r="B236" s="72" t="s">
        <v>456</v>
      </c>
      <c r="C236" s="72" t="s">
        <v>186</v>
      </c>
      <c r="D236" s="76"/>
      <c r="E236" s="76"/>
      <c r="F236" s="75"/>
      <c r="G236" s="75">
        <v>9813.16</v>
      </c>
      <c r="H236" s="75"/>
      <c r="I236" s="75"/>
      <c r="J236" s="75">
        <f t="shared" si="7"/>
        <v>9813.16</v>
      </c>
      <c r="K236" s="69" t="e">
        <f>VLOOKUP(A236,#REF!,9,0)</f>
        <v>#REF!</v>
      </c>
      <c r="L236" s="74" t="e">
        <f t="shared" si="6"/>
        <v>#REF!</v>
      </c>
      <c r="N236" s="357"/>
    </row>
    <row r="237" spans="1:14" s="69" customFormat="1" ht="15" customHeight="1">
      <c r="A237" s="65" t="s">
        <v>455</v>
      </c>
      <c r="B237" s="72" t="s">
        <v>454</v>
      </c>
      <c r="C237" s="72" t="s">
        <v>183</v>
      </c>
      <c r="D237" s="76"/>
      <c r="E237" s="76"/>
      <c r="F237" s="75">
        <v>78368.210000000006</v>
      </c>
      <c r="G237" s="75">
        <v>582538.42000000004</v>
      </c>
      <c r="H237" s="75"/>
      <c r="I237" s="178">
        <v>75764.990000000005</v>
      </c>
      <c r="J237" s="75">
        <f t="shared" si="7"/>
        <v>736671.62</v>
      </c>
      <c r="K237" s="69" t="e">
        <f>VLOOKUP(A237,#REF!,9,0)</f>
        <v>#REF!</v>
      </c>
      <c r="L237" s="74" t="e">
        <f t="shared" si="6"/>
        <v>#REF!</v>
      </c>
      <c r="N237" s="357">
        <f>736671.62-734931.44</f>
        <v>1740.1800000000512</v>
      </c>
    </row>
    <row r="238" spans="1:14" s="69" customFormat="1" ht="15" customHeight="1">
      <c r="A238" s="65" t="s">
        <v>1087</v>
      </c>
      <c r="B238" s="72" t="s">
        <v>1088</v>
      </c>
      <c r="C238" s="72" t="s">
        <v>186</v>
      </c>
      <c r="D238" s="76"/>
      <c r="E238" s="76">
        <v>26637.439999999999</v>
      </c>
      <c r="F238" s="75"/>
      <c r="G238" s="75"/>
      <c r="H238" s="75"/>
      <c r="I238" s="75">
        <v>1466215.61</v>
      </c>
      <c r="J238" s="75">
        <f t="shared" si="7"/>
        <v>1492853.05</v>
      </c>
      <c r="L238" s="74"/>
      <c r="N238" s="357"/>
    </row>
    <row r="239" spans="1:14" s="236" customFormat="1" ht="15" customHeight="1">
      <c r="A239" s="232" t="s">
        <v>1625</v>
      </c>
      <c r="B239" s="233" t="s">
        <v>1626</v>
      </c>
      <c r="C239" s="233" t="s">
        <v>186</v>
      </c>
      <c r="D239" s="376"/>
      <c r="E239" s="376">
        <v>1943</v>
      </c>
      <c r="F239" s="234">
        <v>5384.11</v>
      </c>
      <c r="G239" s="234">
        <v>642984.49</v>
      </c>
      <c r="H239" s="234"/>
      <c r="I239" s="234"/>
      <c r="J239" s="234">
        <f t="shared" si="7"/>
        <v>650311.6</v>
      </c>
      <c r="L239" s="437"/>
      <c r="N239" s="438">
        <f>650311.6-0</f>
        <v>650311.6</v>
      </c>
    </row>
    <row r="240" spans="1:14" s="69" customFormat="1" ht="15" customHeight="1">
      <c r="A240" s="65" t="s">
        <v>453</v>
      </c>
      <c r="B240" s="72" t="s">
        <v>452</v>
      </c>
      <c r="C240" s="72" t="s">
        <v>186</v>
      </c>
      <c r="D240" s="76"/>
      <c r="E240" s="76"/>
      <c r="F240" s="75"/>
      <c r="G240" s="75">
        <v>20590.060000000001</v>
      </c>
      <c r="H240" s="75"/>
      <c r="I240" s="75">
        <v>932.35</v>
      </c>
      <c r="J240" s="75">
        <f t="shared" si="7"/>
        <v>21522.41</v>
      </c>
      <c r="K240" s="69" t="e">
        <f>VLOOKUP(A240,#REF!,9,0)</f>
        <v>#REF!</v>
      </c>
      <c r="L240" s="74" t="e">
        <f t="shared" si="6"/>
        <v>#REF!</v>
      </c>
      <c r="N240" s="357"/>
    </row>
    <row r="241" spans="1:14" s="69" customFormat="1" ht="15" customHeight="1">
      <c r="A241" s="65" t="s">
        <v>451</v>
      </c>
      <c r="B241" s="72" t="s">
        <v>450</v>
      </c>
      <c r="C241" s="72" t="s">
        <v>186</v>
      </c>
      <c r="D241" s="76"/>
      <c r="E241" s="76"/>
      <c r="F241" s="75"/>
      <c r="G241" s="75">
        <v>7557.69</v>
      </c>
      <c r="H241" s="75"/>
      <c r="I241" s="75"/>
      <c r="J241" s="75">
        <f t="shared" si="7"/>
        <v>7557.69</v>
      </c>
      <c r="K241" s="69" t="e">
        <f>VLOOKUP(A241,#REF!,9,0)</f>
        <v>#REF!</v>
      </c>
      <c r="L241" s="74" t="e">
        <f t="shared" si="6"/>
        <v>#REF!</v>
      </c>
      <c r="N241" s="357"/>
    </row>
    <row r="242" spans="1:14" s="69" customFormat="1" ht="15" customHeight="1">
      <c r="A242" s="65" t="s">
        <v>449</v>
      </c>
      <c r="B242" s="72" t="s">
        <v>448</v>
      </c>
      <c r="C242" s="72" t="s">
        <v>183</v>
      </c>
      <c r="D242" s="76"/>
      <c r="E242" s="76"/>
      <c r="F242" s="75"/>
      <c r="G242" s="75">
        <v>8374.6</v>
      </c>
      <c r="H242" s="75"/>
      <c r="I242" s="75"/>
      <c r="J242" s="75">
        <f t="shared" si="7"/>
        <v>8374.6</v>
      </c>
      <c r="K242" s="69" t="e">
        <f>VLOOKUP(A242,#REF!,9,0)</f>
        <v>#REF!</v>
      </c>
      <c r="L242" s="74" t="e">
        <f t="shared" si="6"/>
        <v>#REF!</v>
      </c>
      <c r="N242" s="357"/>
    </row>
    <row r="243" spans="1:14" s="69" customFormat="1" ht="15" customHeight="1">
      <c r="A243" s="65" t="s">
        <v>447</v>
      </c>
      <c r="B243" s="72" t="s">
        <v>446</v>
      </c>
      <c r="C243" s="72" t="s">
        <v>183</v>
      </c>
      <c r="D243" s="76"/>
      <c r="E243" s="76"/>
      <c r="F243" s="75">
        <v>56398.76</v>
      </c>
      <c r="G243" s="75">
        <v>631141.75</v>
      </c>
      <c r="H243" s="75"/>
      <c r="I243" s="178">
        <v>85655.13</v>
      </c>
      <c r="J243" s="75">
        <f t="shared" si="7"/>
        <v>773195.64</v>
      </c>
      <c r="K243" s="69" t="e">
        <f>VLOOKUP(A243,#REF!,9,0)</f>
        <v>#REF!</v>
      </c>
      <c r="L243" s="74" t="e">
        <f t="shared" si="6"/>
        <v>#REF!</v>
      </c>
      <c r="N243" s="357">
        <f>773195.64-771486.3</f>
        <v>1709.3399999999674</v>
      </c>
    </row>
    <row r="244" spans="1:14" s="69" customFormat="1" ht="15" customHeight="1">
      <c r="A244" s="65" t="s">
        <v>445</v>
      </c>
      <c r="B244" s="72" t="s">
        <v>444</v>
      </c>
      <c r="C244" s="72" t="s">
        <v>186</v>
      </c>
      <c r="D244" s="76"/>
      <c r="E244" s="76"/>
      <c r="F244" s="75"/>
      <c r="G244" s="75">
        <v>7825.46</v>
      </c>
      <c r="H244" s="75"/>
      <c r="I244" s="75"/>
      <c r="J244" s="75">
        <f t="shared" si="7"/>
        <v>7825.46</v>
      </c>
      <c r="K244" s="69" t="e">
        <f>VLOOKUP(A244,#REF!,9,0)</f>
        <v>#REF!</v>
      </c>
      <c r="L244" s="74" t="e">
        <f t="shared" si="6"/>
        <v>#REF!</v>
      </c>
      <c r="N244" s="357"/>
    </row>
    <row r="245" spans="1:14" s="69" customFormat="1" ht="15" customHeight="1">
      <c r="A245" s="65" t="s">
        <v>1089</v>
      </c>
      <c r="B245" s="72" t="s">
        <v>1090</v>
      </c>
      <c r="C245" s="72" t="s">
        <v>186</v>
      </c>
      <c r="D245" s="76"/>
      <c r="E245" s="76">
        <v>36306.629999999997</v>
      </c>
      <c r="F245" s="75"/>
      <c r="G245" s="75"/>
      <c r="H245" s="75"/>
      <c r="I245" s="75">
        <v>1842275.11</v>
      </c>
      <c r="J245" s="75">
        <f t="shared" si="7"/>
        <v>1878581.74</v>
      </c>
      <c r="K245" s="69" t="e">
        <f>VLOOKUP(A245,#REF!,9,0)</f>
        <v>#REF!</v>
      </c>
      <c r="L245" s="74"/>
      <c r="N245" s="357"/>
    </row>
    <row r="246" spans="1:14" s="69" customFormat="1" ht="15" customHeight="1">
      <c r="A246" s="65" t="s">
        <v>443</v>
      </c>
      <c r="B246" s="72" t="s">
        <v>442</v>
      </c>
      <c r="C246" s="72" t="s">
        <v>183</v>
      </c>
      <c r="D246" s="76"/>
      <c r="E246" s="76"/>
      <c r="F246" s="75"/>
      <c r="G246" s="75">
        <v>7500.99</v>
      </c>
      <c r="H246" s="75"/>
      <c r="I246" s="75"/>
      <c r="J246" s="75">
        <f t="shared" si="7"/>
        <v>7500.99</v>
      </c>
      <c r="K246" s="69" t="e">
        <f>VLOOKUP(A246,#REF!,9,0)</f>
        <v>#REF!</v>
      </c>
      <c r="L246" s="74" t="e">
        <f t="shared" si="6"/>
        <v>#REF!</v>
      </c>
      <c r="N246" s="357"/>
    </row>
    <row r="247" spans="1:14" s="69" customFormat="1" ht="15" customHeight="1">
      <c r="A247" s="65" t="s">
        <v>441</v>
      </c>
      <c r="B247" s="72" t="s">
        <v>440</v>
      </c>
      <c r="C247" s="72" t="s">
        <v>186</v>
      </c>
      <c r="D247" s="76"/>
      <c r="E247" s="76">
        <v>32095.78</v>
      </c>
      <c r="F247" s="75"/>
      <c r="G247" s="75">
        <v>8345.6</v>
      </c>
      <c r="H247" s="75"/>
      <c r="I247" s="75"/>
      <c r="J247" s="75">
        <f t="shared" si="7"/>
        <v>40441.379999999997</v>
      </c>
      <c r="K247" s="69" t="e">
        <f>VLOOKUP(A247,#REF!,9,0)</f>
        <v>#REF!</v>
      </c>
      <c r="L247" s="74" t="e">
        <f t="shared" si="6"/>
        <v>#REF!</v>
      </c>
      <c r="N247" s="357"/>
    </row>
    <row r="248" spans="1:14" s="69" customFormat="1" ht="15" customHeight="1">
      <c r="A248" s="65" t="s">
        <v>1265</v>
      </c>
      <c r="B248" s="72" t="s">
        <v>1266</v>
      </c>
      <c r="C248" s="72" t="s">
        <v>186</v>
      </c>
      <c r="D248" s="76"/>
      <c r="E248" s="76"/>
      <c r="F248" s="75"/>
      <c r="G248" s="75"/>
      <c r="H248" s="75"/>
      <c r="I248" s="178">
        <v>1916360.22</v>
      </c>
      <c r="J248" s="75">
        <f t="shared" si="7"/>
        <v>1916360.22</v>
      </c>
      <c r="K248" s="69" t="e">
        <f>VLOOKUP(A248,#REF!,9,0)</f>
        <v>#REF!</v>
      </c>
      <c r="L248" s="74"/>
      <c r="N248" s="357">
        <f>1916360.22-1909829.29</f>
        <v>6530.9299999999348</v>
      </c>
    </row>
    <row r="249" spans="1:14" s="69" customFormat="1" ht="15" customHeight="1">
      <c r="A249" s="65" t="s">
        <v>439</v>
      </c>
      <c r="B249" s="72" t="s">
        <v>438</v>
      </c>
      <c r="C249" s="72" t="s">
        <v>186</v>
      </c>
      <c r="D249" s="76"/>
      <c r="E249" s="76"/>
      <c r="F249" s="75"/>
      <c r="G249" s="75">
        <v>8609.3700000000008</v>
      </c>
      <c r="H249" s="75"/>
      <c r="I249" s="75"/>
      <c r="J249" s="75">
        <f t="shared" si="7"/>
        <v>8609.3700000000008</v>
      </c>
      <c r="K249" s="69" t="e">
        <f>VLOOKUP(A249,#REF!,9,0)</f>
        <v>#REF!</v>
      </c>
      <c r="L249" s="74" t="e">
        <f t="shared" si="6"/>
        <v>#REF!</v>
      </c>
      <c r="N249" s="357"/>
    </row>
    <row r="250" spans="1:14" s="69" customFormat="1" ht="15" customHeight="1">
      <c r="A250" s="65" t="s">
        <v>437</v>
      </c>
      <c r="B250" s="72" t="s">
        <v>436</v>
      </c>
      <c r="C250" s="72" t="s">
        <v>186</v>
      </c>
      <c r="D250" s="76"/>
      <c r="E250" s="76"/>
      <c r="F250" s="75"/>
      <c r="G250" s="75">
        <v>28046.93</v>
      </c>
      <c r="H250" s="75"/>
      <c r="I250" s="178">
        <v>55405.919999999998</v>
      </c>
      <c r="J250" s="75">
        <f t="shared" si="7"/>
        <v>83452.850000000006</v>
      </c>
      <c r="K250" s="69" t="e">
        <f>VLOOKUP(A250,#REF!,9,0)</f>
        <v>#REF!</v>
      </c>
      <c r="L250" s="74" t="e">
        <f t="shared" si="6"/>
        <v>#REF!</v>
      </c>
      <c r="N250" s="357">
        <v>83452.850000000006</v>
      </c>
    </row>
    <row r="251" spans="1:14" s="69" customFormat="1" ht="15" customHeight="1">
      <c r="A251" s="65" t="s">
        <v>1091</v>
      </c>
      <c r="B251" s="72" t="s">
        <v>1092</v>
      </c>
      <c r="C251" s="72" t="s">
        <v>186</v>
      </c>
      <c r="D251" s="76"/>
      <c r="E251" s="76"/>
      <c r="F251" s="75"/>
      <c r="G251" s="75"/>
      <c r="H251" s="75"/>
      <c r="I251" s="75">
        <v>1737734.75</v>
      </c>
      <c r="J251" s="75">
        <f t="shared" si="7"/>
        <v>1737734.75</v>
      </c>
      <c r="K251" s="69" t="e">
        <f>VLOOKUP(A251,#REF!,9,0)</f>
        <v>#REF!</v>
      </c>
      <c r="L251" s="74"/>
      <c r="N251" s="357"/>
    </row>
    <row r="252" spans="1:14" s="69" customFormat="1" ht="15" customHeight="1">
      <c r="A252" s="65" t="s">
        <v>435</v>
      </c>
      <c r="B252" s="72" t="s">
        <v>1634</v>
      </c>
      <c r="C252" s="72" t="s">
        <v>183</v>
      </c>
      <c r="D252" s="76"/>
      <c r="E252" s="76"/>
      <c r="F252" s="433">
        <f>83357.63-83357.63</f>
        <v>0</v>
      </c>
      <c r="G252" s="433">
        <f>111651.25-111651.25</f>
        <v>0</v>
      </c>
      <c r="H252" s="75"/>
      <c r="I252" s="75"/>
      <c r="J252" s="75">
        <f t="shared" si="7"/>
        <v>0</v>
      </c>
      <c r="K252" s="69" t="e">
        <f>VLOOKUP(A252,#REF!,9,0)</f>
        <v>#REF!</v>
      </c>
      <c r="L252" s="74" t="e">
        <f t="shared" si="6"/>
        <v>#REF!</v>
      </c>
      <c r="N252" s="357"/>
    </row>
    <row r="253" spans="1:14" s="69" customFormat="1" ht="15" customHeight="1">
      <c r="A253" s="65" t="s">
        <v>433</v>
      </c>
      <c r="B253" s="72" t="s">
        <v>432</v>
      </c>
      <c r="C253" s="72" t="s">
        <v>183</v>
      </c>
      <c r="D253" s="76"/>
      <c r="E253" s="76"/>
      <c r="F253" s="75"/>
      <c r="G253" s="75"/>
      <c r="H253" s="75"/>
      <c r="I253" s="178">
        <v>283057.68</v>
      </c>
      <c r="J253" s="75">
        <f t="shared" si="7"/>
        <v>283057.68</v>
      </c>
      <c r="K253" s="69" t="e">
        <f>VLOOKUP(A253,#REF!,9,0)</f>
        <v>#REF!</v>
      </c>
      <c r="L253" s="74" t="e">
        <f t="shared" si="6"/>
        <v>#REF!</v>
      </c>
      <c r="N253" s="357">
        <f>283057.68-271399.07</f>
        <v>11658.609999999986</v>
      </c>
    </row>
    <row r="254" spans="1:14" s="69" customFormat="1" ht="15" customHeight="1">
      <c r="A254" s="65" t="s">
        <v>431</v>
      </c>
      <c r="B254" s="72" t="s">
        <v>430</v>
      </c>
      <c r="C254" s="72" t="s">
        <v>183</v>
      </c>
      <c r="D254" s="76"/>
      <c r="E254" s="76"/>
      <c r="F254" s="75"/>
      <c r="G254" s="75">
        <v>21663.31</v>
      </c>
      <c r="H254" s="75"/>
      <c r="I254" s="178">
        <v>2543.85</v>
      </c>
      <c r="J254" s="75">
        <f t="shared" si="7"/>
        <v>24207.16</v>
      </c>
      <c r="K254" s="69" t="e">
        <f>VLOOKUP(A254,#REF!,9,0)</f>
        <v>#REF!</v>
      </c>
      <c r="L254" s="74" t="e">
        <f t="shared" si="6"/>
        <v>#REF!</v>
      </c>
      <c r="N254" s="357">
        <f>24207.16-25115.25</f>
        <v>-908.09000000000015</v>
      </c>
    </row>
    <row r="255" spans="1:14" s="69" customFormat="1" ht="15" customHeight="1">
      <c r="A255" s="65" t="s">
        <v>429</v>
      </c>
      <c r="B255" s="72" t="s">
        <v>428</v>
      </c>
      <c r="C255" s="72" t="s">
        <v>183</v>
      </c>
      <c r="D255" s="76"/>
      <c r="E255" s="76"/>
      <c r="F255" s="75"/>
      <c r="G255" s="75">
        <v>11422.05</v>
      </c>
      <c r="H255" s="75"/>
      <c r="I255" s="75">
        <v>2178.6</v>
      </c>
      <c r="J255" s="75">
        <f t="shared" si="7"/>
        <v>13600.65</v>
      </c>
      <c r="K255" s="69" t="e">
        <f>VLOOKUP(A255,#REF!,9,0)</f>
        <v>#REF!</v>
      </c>
      <c r="L255" s="74" t="e">
        <f t="shared" si="6"/>
        <v>#REF!</v>
      </c>
      <c r="N255" s="357"/>
    </row>
    <row r="256" spans="1:14" s="69" customFormat="1" ht="15" customHeight="1">
      <c r="A256" s="65" t="s">
        <v>427</v>
      </c>
      <c r="B256" s="72" t="s">
        <v>426</v>
      </c>
      <c r="C256" s="72" t="s">
        <v>186</v>
      </c>
      <c r="D256" s="76"/>
      <c r="E256" s="76"/>
      <c r="F256" s="75"/>
      <c r="G256" s="75">
        <v>141398.20000000001</v>
      </c>
      <c r="H256" s="75"/>
      <c r="I256" s="75"/>
      <c r="J256" s="75">
        <f t="shared" si="7"/>
        <v>141398.20000000001</v>
      </c>
      <c r="K256" s="69" t="e">
        <f>VLOOKUP(A256,#REF!,9,0)</f>
        <v>#REF!</v>
      </c>
      <c r="L256" s="74" t="e">
        <f t="shared" si="6"/>
        <v>#REF!</v>
      </c>
      <c r="N256" s="357"/>
    </row>
    <row r="257" spans="1:14" s="69" customFormat="1" ht="15" customHeight="1">
      <c r="A257" s="65" t="s">
        <v>425</v>
      </c>
      <c r="B257" s="72" t="s">
        <v>424</v>
      </c>
      <c r="C257" s="72" t="s">
        <v>186</v>
      </c>
      <c r="D257" s="76"/>
      <c r="E257" s="76"/>
      <c r="F257" s="75"/>
      <c r="G257" s="75">
        <v>38986.94</v>
      </c>
      <c r="H257" s="75"/>
      <c r="I257" s="75"/>
      <c r="J257" s="75">
        <f t="shared" si="7"/>
        <v>38986.94</v>
      </c>
      <c r="K257" s="69" t="e">
        <f>VLOOKUP(A257,#REF!,9,0)</f>
        <v>#REF!</v>
      </c>
      <c r="L257" s="74" t="e">
        <f t="shared" si="6"/>
        <v>#REF!</v>
      </c>
      <c r="N257" s="357"/>
    </row>
    <row r="258" spans="1:14" s="69" customFormat="1" ht="15" customHeight="1">
      <c r="A258" s="65" t="s">
        <v>423</v>
      </c>
      <c r="B258" s="72" t="s">
        <v>422</v>
      </c>
      <c r="C258" s="72" t="s">
        <v>186</v>
      </c>
      <c r="D258" s="76"/>
      <c r="E258" s="76"/>
      <c r="F258" s="75"/>
      <c r="G258" s="75">
        <v>9843.74</v>
      </c>
      <c r="H258" s="75"/>
      <c r="I258" s="75"/>
      <c r="J258" s="75">
        <f t="shared" si="7"/>
        <v>9843.74</v>
      </c>
      <c r="K258" s="69" t="e">
        <f>VLOOKUP(A258,#REF!,9,0)</f>
        <v>#REF!</v>
      </c>
      <c r="L258" s="74" t="e">
        <f t="shared" si="6"/>
        <v>#REF!</v>
      </c>
      <c r="N258" s="357"/>
    </row>
    <row r="259" spans="1:14" s="69" customFormat="1" ht="15" customHeight="1">
      <c r="A259" s="65" t="s">
        <v>421</v>
      </c>
      <c r="B259" s="72" t="s">
        <v>420</v>
      </c>
      <c r="C259" s="72" t="s">
        <v>186</v>
      </c>
      <c r="D259" s="76"/>
      <c r="E259" s="76"/>
      <c r="F259" s="75"/>
      <c r="G259" s="75">
        <v>11847.9</v>
      </c>
      <c r="H259" s="75"/>
      <c r="I259" s="75"/>
      <c r="J259" s="75">
        <f t="shared" si="7"/>
        <v>11847.9</v>
      </c>
      <c r="K259" s="69" t="e">
        <f>VLOOKUP(A259,#REF!,9,0)</f>
        <v>#REF!</v>
      </c>
      <c r="L259" s="74" t="e">
        <f t="shared" si="6"/>
        <v>#REF!</v>
      </c>
      <c r="N259" s="357"/>
    </row>
    <row r="260" spans="1:14" s="69" customFormat="1" ht="15" customHeight="1">
      <c r="A260" s="65" t="s">
        <v>1267</v>
      </c>
      <c r="B260" s="72" t="s">
        <v>1268</v>
      </c>
      <c r="C260" s="72" t="s">
        <v>183</v>
      </c>
      <c r="D260" s="76"/>
      <c r="E260" s="76"/>
      <c r="F260" s="75"/>
      <c r="G260" s="75">
        <v>39178.39</v>
      </c>
      <c r="H260" s="75"/>
      <c r="I260" s="75"/>
      <c r="J260" s="75">
        <f t="shared" si="7"/>
        <v>39178.39</v>
      </c>
      <c r="K260" s="69" t="e">
        <f>VLOOKUP(A260,#REF!,9,0)</f>
        <v>#REF!</v>
      </c>
      <c r="L260" s="74" t="e">
        <f t="shared" si="6"/>
        <v>#REF!</v>
      </c>
      <c r="N260" s="357">
        <f>39178.39-0</f>
        <v>39178.39</v>
      </c>
    </row>
    <row r="261" spans="1:14" s="69" customFormat="1" ht="15" customHeight="1">
      <c r="A261" s="65" t="s">
        <v>419</v>
      </c>
      <c r="B261" s="72" t="s">
        <v>418</v>
      </c>
      <c r="C261" s="72" t="s">
        <v>183</v>
      </c>
      <c r="D261" s="76"/>
      <c r="E261" s="76"/>
      <c r="F261" s="75">
        <v>69534</v>
      </c>
      <c r="G261" s="178">
        <v>426916.47</v>
      </c>
      <c r="H261" s="75"/>
      <c r="I261" s="178">
        <v>512668.05</v>
      </c>
      <c r="J261" s="75">
        <f t="shared" si="7"/>
        <v>1009118.52</v>
      </c>
      <c r="K261" s="69" t="e">
        <f>VLOOKUP(A261,#REF!,9,0)</f>
        <v>#REF!</v>
      </c>
      <c r="L261" s="74" t="e">
        <f t="shared" si="6"/>
        <v>#REF!</v>
      </c>
      <c r="N261" s="357">
        <f>1009118.52-1015137.91</f>
        <v>-6019.390000000014</v>
      </c>
    </row>
    <row r="262" spans="1:14" s="69" customFormat="1" ht="15" customHeight="1">
      <c r="A262" s="65" t="s">
        <v>417</v>
      </c>
      <c r="B262" s="72" t="s">
        <v>416</v>
      </c>
      <c r="C262" s="72" t="s">
        <v>183</v>
      </c>
      <c r="D262" s="76"/>
      <c r="E262" s="76">
        <v>144266.88</v>
      </c>
      <c r="F262" s="75">
        <v>3701068.18</v>
      </c>
      <c r="G262" s="178">
        <v>3472074.56</v>
      </c>
      <c r="H262" s="75"/>
      <c r="I262" s="178">
        <v>916227.73</v>
      </c>
      <c r="J262" s="75">
        <f t="shared" si="7"/>
        <v>8233637.3499999996</v>
      </c>
      <c r="K262" s="69" t="e">
        <f>VLOOKUP(A262,#REF!,9,0)</f>
        <v>#REF!</v>
      </c>
      <c r="L262" s="74" t="e">
        <f t="shared" si="6"/>
        <v>#REF!</v>
      </c>
      <c r="N262" s="357">
        <f>8233637.35-8228054.95</f>
        <v>5582.3999999994412</v>
      </c>
    </row>
    <row r="263" spans="1:14" s="69" customFormat="1" ht="15" customHeight="1">
      <c r="A263" s="65" t="s">
        <v>415</v>
      </c>
      <c r="B263" s="72" t="s">
        <v>414</v>
      </c>
      <c r="C263" s="72" t="s">
        <v>186</v>
      </c>
      <c r="D263" s="76"/>
      <c r="E263" s="76"/>
      <c r="F263" s="178">
        <v>17119.47</v>
      </c>
      <c r="G263" s="178">
        <v>143232.42000000001</v>
      </c>
      <c r="H263" s="75"/>
      <c r="I263" s="75"/>
      <c r="J263" s="75">
        <f t="shared" si="7"/>
        <v>160351.89000000001</v>
      </c>
      <c r="K263" s="69" t="e">
        <f>VLOOKUP(A263,#REF!,9,0)</f>
        <v>#REF!</v>
      </c>
      <c r="L263" s="74" t="e">
        <f t="shared" si="6"/>
        <v>#REF!</v>
      </c>
      <c r="N263" s="357">
        <f>160351.89-103253.6</f>
        <v>57098.290000000008</v>
      </c>
    </row>
    <row r="264" spans="1:14" s="69" customFormat="1" ht="15" customHeight="1">
      <c r="A264" s="65" t="s">
        <v>1269</v>
      </c>
      <c r="B264" s="72" t="s">
        <v>1270</v>
      </c>
      <c r="C264" s="72" t="s">
        <v>186</v>
      </c>
      <c r="D264" s="76"/>
      <c r="E264" s="76">
        <v>46998.2</v>
      </c>
      <c r="F264" s="75"/>
      <c r="G264" s="75"/>
      <c r="H264" s="75"/>
      <c r="I264" s="75">
        <v>1868938.6</v>
      </c>
      <c r="J264" s="75">
        <f t="shared" si="7"/>
        <v>1915936.8</v>
      </c>
      <c r="K264" s="69" t="e">
        <f>VLOOKUP(A264,#REF!,9,0)</f>
        <v>#REF!</v>
      </c>
      <c r="L264" s="74"/>
      <c r="N264" s="357">
        <f>1915936.8-1780928.34</f>
        <v>135008.45999999996</v>
      </c>
    </row>
    <row r="265" spans="1:14" s="69" customFormat="1" ht="15" customHeight="1">
      <c r="A265" s="65" t="s">
        <v>413</v>
      </c>
      <c r="B265" s="72" t="s">
        <v>412</v>
      </c>
      <c r="C265" s="72" t="s">
        <v>184</v>
      </c>
      <c r="D265" s="76"/>
      <c r="E265" s="76"/>
      <c r="F265" s="75"/>
      <c r="G265" s="75"/>
      <c r="H265" s="75"/>
      <c r="I265" s="75">
        <v>16277.44</v>
      </c>
      <c r="J265" s="75">
        <f t="shared" si="7"/>
        <v>16277.44</v>
      </c>
      <c r="K265" s="69" t="e">
        <f>VLOOKUP(A265,#REF!,9,0)</f>
        <v>#REF!</v>
      </c>
      <c r="L265" s="74" t="e">
        <f t="shared" si="6"/>
        <v>#REF!</v>
      </c>
      <c r="N265" s="357"/>
    </row>
    <row r="266" spans="1:14" s="69" customFormat="1" ht="15" customHeight="1">
      <c r="A266" s="65" t="s">
        <v>411</v>
      </c>
      <c r="B266" s="72" t="s">
        <v>410</v>
      </c>
      <c r="C266" s="72" t="s">
        <v>186</v>
      </c>
      <c r="D266" s="76"/>
      <c r="E266" s="76"/>
      <c r="F266" s="75"/>
      <c r="G266" s="75">
        <v>36474.019999999997</v>
      </c>
      <c r="H266" s="75"/>
      <c r="I266" s="75"/>
      <c r="J266" s="75">
        <f t="shared" si="7"/>
        <v>36474.019999999997</v>
      </c>
      <c r="K266" s="69" t="e">
        <f>VLOOKUP(A266,#REF!,9,0)</f>
        <v>#REF!</v>
      </c>
      <c r="L266" s="74" t="e">
        <f t="shared" si="6"/>
        <v>#REF!</v>
      </c>
      <c r="N266" s="357"/>
    </row>
    <row r="267" spans="1:14" s="69" customFormat="1" ht="15" customHeight="1">
      <c r="A267" s="65" t="s">
        <v>409</v>
      </c>
      <c r="B267" s="72" t="s">
        <v>408</v>
      </c>
      <c r="C267" s="72" t="s">
        <v>183</v>
      </c>
      <c r="D267" s="76"/>
      <c r="E267" s="76"/>
      <c r="F267" s="75"/>
      <c r="G267" s="75">
        <v>22247.54</v>
      </c>
      <c r="H267" s="75"/>
      <c r="I267" s="75">
        <v>3125.08</v>
      </c>
      <c r="J267" s="75">
        <f t="shared" si="7"/>
        <v>25372.620000000003</v>
      </c>
      <c r="K267" s="69" t="e">
        <f>VLOOKUP(A267,#REF!,9,0)</f>
        <v>#REF!</v>
      </c>
      <c r="L267" s="74" t="e">
        <f t="shared" si="6"/>
        <v>#REF!</v>
      </c>
      <c r="N267" s="357"/>
    </row>
    <row r="268" spans="1:14" s="69" customFormat="1" ht="15" customHeight="1">
      <c r="A268" s="65" t="s">
        <v>407</v>
      </c>
      <c r="B268" s="72" t="s">
        <v>406</v>
      </c>
      <c r="C268" s="72" t="s">
        <v>186</v>
      </c>
      <c r="D268" s="76"/>
      <c r="E268" s="76"/>
      <c r="F268" s="75"/>
      <c r="G268" s="178">
        <v>15802.67</v>
      </c>
      <c r="H268" s="75"/>
      <c r="I268" s="178">
        <v>1326784.6299999999</v>
      </c>
      <c r="J268" s="75">
        <f t="shared" si="7"/>
        <v>1342587.2999999998</v>
      </c>
      <c r="K268" s="69" t="e">
        <f>VLOOKUP(A268,#REF!,9,0)</f>
        <v>#REF!</v>
      </c>
      <c r="L268" s="74" t="e">
        <f t="shared" si="6"/>
        <v>#REF!</v>
      </c>
      <c r="N268" s="357">
        <f>1342587.3-1342487.96</f>
        <v>99.340000000083819</v>
      </c>
    </row>
    <row r="269" spans="1:14" s="236" customFormat="1" ht="15" customHeight="1">
      <c r="A269" s="232" t="s">
        <v>1627</v>
      </c>
      <c r="B269" s="233" t="s">
        <v>1628</v>
      </c>
      <c r="C269" s="233" t="s">
        <v>186</v>
      </c>
      <c r="D269" s="376"/>
      <c r="E269" s="376"/>
      <c r="F269" s="234">
        <v>282.86</v>
      </c>
      <c r="G269" s="234">
        <v>119867.89</v>
      </c>
      <c r="H269" s="234"/>
      <c r="I269" s="234"/>
      <c r="J269" s="234">
        <f t="shared" si="7"/>
        <v>120150.75</v>
      </c>
      <c r="L269" s="437"/>
      <c r="N269" s="438">
        <f>120150.75-0</f>
        <v>120150.75</v>
      </c>
    </row>
    <row r="270" spans="1:14" s="69" customFormat="1" ht="15" customHeight="1">
      <c r="A270" s="65" t="s">
        <v>405</v>
      </c>
      <c r="B270" s="72" t="s">
        <v>404</v>
      </c>
      <c r="C270" s="72" t="s">
        <v>186</v>
      </c>
      <c r="D270" s="76"/>
      <c r="E270" s="76"/>
      <c r="F270" s="75"/>
      <c r="G270" s="75">
        <v>8236.7999999999993</v>
      </c>
      <c r="H270" s="75"/>
      <c r="I270" s="75"/>
      <c r="J270" s="75">
        <f t="shared" si="7"/>
        <v>8236.7999999999993</v>
      </c>
      <c r="K270" s="69" t="e">
        <f>VLOOKUP(A270,#REF!,9,0)</f>
        <v>#REF!</v>
      </c>
      <c r="L270" s="74" t="e">
        <f t="shared" si="6"/>
        <v>#REF!</v>
      </c>
      <c r="N270" s="357"/>
    </row>
    <row r="271" spans="1:14" s="69" customFormat="1" ht="15" customHeight="1">
      <c r="A271" s="65" t="s">
        <v>403</v>
      </c>
      <c r="B271" s="72" t="s">
        <v>402</v>
      </c>
      <c r="C271" s="72" t="s">
        <v>186</v>
      </c>
      <c r="D271" s="76"/>
      <c r="E271" s="76"/>
      <c r="F271" s="75"/>
      <c r="G271" s="75">
        <v>9054.85</v>
      </c>
      <c r="H271" s="75"/>
      <c r="I271" s="75"/>
      <c r="J271" s="75">
        <f t="shared" si="7"/>
        <v>9054.85</v>
      </c>
      <c r="K271" s="69" t="e">
        <f>VLOOKUP(A271,#REF!,9,0)</f>
        <v>#REF!</v>
      </c>
      <c r="L271" s="74" t="e">
        <f t="shared" si="6"/>
        <v>#REF!</v>
      </c>
      <c r="N271" s="357"/>
    </row>
    <row r="272" spans="1:14" s="69" customFormat="1" ht="15" customHeight="1">
      <c r="A272" s="65" t="s">
        <v>401</v>
      </c>
      <c r="B272" s="72" t="s">
        <v>400</v>
      </c>
      <c r="C272" s="72" t="s">
        <v>183</v>
      </c>
      <c r="D272" s="76"/>
      <c r="E272" s="76"/>
      <c r="F272" s="75">
        <v>2280.02</v>
      </c>
      <c r="G272" s="75">
        <v>13159.58</v>
      </c>
      <c r="H272" s="75"/>
      <c r="I272" s="75">
        <v>2957.92</v>
      </c>
      <c r="J272" s="75">
        <f t="shared" si="7"/>
        <v>18397.52</v>
      </c>
      <c r="K272" s="69" t="e">
        <f>VLOOKUP(A272,#REF!,9,0)</f>
        <v>#REF!</v>
      </c>
      <c r="L272" s="74" t="e">
        <f t="shared" si="6"/>
        <v>#REF!</v>
      </c>
      <c r="N272" s="357"/>
    </row>
    <row r="273" spans="1:14" s="69" customFormat="1" ht="15" customHeight="1">
      <c r="A273" s="65" t="s">
        <v>399</v>
      </c>
      <c r="B273" s="72" t="s">
        <v>398</v>
      </c>
      <c r="C273" s="72" t="s">
        <v>183</v>
      </c>
      <c r="D273" s="76"/>
      <c r="E273" s="76"/>
      <c r="F273" s="75">
        <v>35222.080000000002</v>
      </c>
      <c r="G273" s="75">
        <v>48378.3</v>
      </c>
      <c r="H273" s="75"/>
      <c r="I273" s="75"/>
      <c r="J273" s="75">
        <f t="shared" si="7"/>
        <v>83600.38</v>
      </c>
      <c r="K273" s="69" t="e">
        <f>VLOOKUP(A273,#REF!,9,0)</f>
        <v>#REF!</v>
      </c>
      <c r="L273" s="74" t="e">
        <f t="shared" si="6"/>
        <v>#REF!</v>
      </c>
      <c r="N273" s="357"/>
    </row>
    <row r="274" spans="1:14" s="69" customFormat="1" ht="15" customHeight="1">
      <c r="A274" s="65" t="s">
        <v>1271</v>
      </c>
      <c r="B274" s="72" t="s">
        <v>1272</v>
      </c>
      <c r="C274" s="72" t="s">
        <v>183</v>
      </c>
      <c r="D274" s="76"/>
      <c r="E274" s="76"/>
      <c r="F274" s="178">
        <v>2360652.29</v>
      </c>
      <c r="G274" s="75">
        <v>2446800.2999999998</v>
      </c>
      <c r="H274" s="75"/>
      <c r="I274" s="75">
        <v>38777.61</v>
      </c>
      <c r="J274" s="75">
        <f t="shared" si="7"/>
        <v>4846230.2</v>
      </c>
      <c r="K274" s="69" t="e">
        <f>VLOOKUP(A274,#REF!,9,0)</f>
        <v>#REF!</v>
      </c>
      <c r="L274" s="74" t="e">
        <f t="shared" si="6"/>
        <v>#REF!</v>
      </c>
      <c r="N274" s="357">
        <f>4846230.2-4620127.88</f>
        <v>226102.3200000003</v>
      </c>
    </row>
    <row r="275" spans="1:14" s="69" customFormat="1" ht="18" customHeight="1">
      <c r="A275" s="65" t="s">
        <v>397</v>
      </c>
      <c r="B275" s="72" t="s">
        <v>396</v>
      </c>
      <c r="C275" s="72" t="s">
        <v>186</v>
      </c>
      <c r="D275" s="292">
        <v>32637.84</v>
      </c>
      <c r="E275" s="76"/>
      <c r="F275" s="75"/>
      <c r="G275" s="75"/>
      <c r="H275" s="75"/>
      <c r="I275" s="75"/>
      <c r="J275" s="75">
        <f t="shared" si="7"/>
        <v>32637.84</v>
      </c>
      <c r="K275" s="69" t="e">
        <f>VLOOKUP(A275,#REF!,9,0)</f>
        <v>#REF!</v>
      </c>
      <c r="L275" s="74" t="e">
        <f t="shared" si="6"/>
        <v>#REF!</v>
      </c>
      <c r="N275" s="357"/>
    </row>
    <row r="276" spans="1:14" s="69" customFormat="1" ht="15" customHeight="1">
      <c r="A276" s="65" t="s">
        <v>395</v>
      </c>
      <c r="B276" s="72" t="s">
        <v>394</v>
      </c>
      <c r="C276" s="72" t="s">
        <v>186</v>
      </c>
      <c r="D276" s="76"/>
      <c r="E276" s="76"/>
      <c r="F276" s="75">
        <v>3378796.31</v>
      </c>
      <c r="G276" s="178">
        <f>3280788.18+22287.15</f>
        <v>3303075.33</v>
      </c>
      <c r="H276" s="75"/>
      <c r="I276" s="178">
        <v>397253.93</v>
      </c>
      <c r="J276" s="75">
        <f t="shared" si="7"/>
        <v>7079125.5700000003</v>
      </c>
      <c r="K276" s="69" t="e">
        <f>VLOOKUP(A276,#REF!,9,0)</f>
        <v>#REF!</v>
      </c>
      <c r="L276" s="74" t="e">
        <f t="shared" si="6"/>
        <v>#REF!</v>
      </c>
      <c r="N276" s="357">
        <f>7079125.57-7062338.07</f>
        <v>16787.5</v>
      </c>
    </row>
    <row r="277" spans="1:14" s="69" customFormat="1" ht="15" customHeight="1">
      <c r="A277" s="65" t="s">
        <v>393</v>
      </c>
      <c r="B277" s="72" t="s">
        <v>392</v>
      </c>
      <c r="C277" s="72" t="s">
        <v>186</v>
      </c>
      <c r="D277" s="76"/>
      <c r="E277" s="76"/>
      <c r="F277" s="75">
        <v>2494944.15</v>
      </c>
      <c r="G277" s="75">
        <v>1652790.27</v>
      </c>
      <c r="H277" s="75"/>
      <c r="I277" s="75"/>
      <c r="J277" s="75">
        <f t="shared" si="7"/>
        <v>4147734.42</v>
      </c>
      <c r="K277" s="69" t="e">
        <f>VLOOKUP(A277,#REF!,9,0)</f>
        <v>#REF!</v>
      </c>
      <c r="L277" s="74" t="e">
        <f t="shared" si="6"/>
        <v>#REF!</v>
      </c>
      <c r="N277" s="357"/>
    </row>
    <row r="278" spans="1:14" s="69" customFormat="1" ht="15" customHeight="1">
      <c r="A278" s="65" t="s">
        <v>391</v>
      </c>
      <c r="B278" s="72" t="s">
        <v>390</v>
      </c>
      <c r="C278" s="72" t="s">
        <v>890</v>
      </c>
      <c r="D278" s="76"/>
      <c r="E278" s="76"/>
      <c r="F278" s="75"/>
      <c r="G278" s="75">
        <v>9251.92</v>
      </c>
      <c r="H278" s="75"/>
      <c r="I278" s="75">
        <v>3140.29</v>
      </c>
      <c r="J278" s="75">
        <f t="shared" si="7"/>
        <v>12392.21</v>
      </c>
      <c r="K278" s="69" t="e">
        <f>VLOOKUP(A278,#REF!,9,0)</f>
        <v>#REF!</v>
      </c>
      <c r="L278" s="74" t="e">
        <f t="shared" si="6"/>
        <v>#REF!</v>
      </c>
      <c r="N278" s="357"/>
    </row>
    <row r="279" spans="1:14" s="69" customFormat="1" ht="15" customHeight="1">
      <c r="A279" s="65" t="s">
        <v>389</v>
      </c>
      <c r="B279" s="72" t="s">
        <v>388</v>
      </c>
      <c r="C279" s="72" t="s">
        <v>186</v>
      </c>
      <c r="D279" s="76"/>
      <c r="E279" s="76"/>
      <c r="F279" s="75"/>
      <c r="G279" s="75">
        <v>21599.13</v>
      </c>
      <c r="H279" s="75"/>
      <c r="I279" s="75"/>
      <c r="J279" s="75">
        <f t="shared" si="7"/>
        <v>21599.13</v>
      </c>
      <c r="K279" s="69" t="e">
        <f>VLOOKUP(A279,#REF!,9,0)</f>
        <v>#REF!</v>
      </c>
      <c r="L279" s="74" t="e">
        <f t="shared" si="6"/>
        <v>#REF!</v>
      </c>
      <c r="N279" s="357"/>
    </row>
    <row r="280" spans="1:14" s="69" customFormat="1" ht="15" customHeight="1">
      <c r="A280" s="65" t="s">
        <v>387</v>
      </c>
      <c r="B280" s="72" t="s">
        <v>386</v>
      </c>
      <c r="C280" s="72" t="s">
        <v>186</v>
      </c>
      <c r="D280" s="76"/>
      <c r="E280" s="76"/>
      <c r="F280" s="75"/>
      <c r="G280" s="75">
        <v>35433.089999999997</v>
      </c>
      <c r="H280" s="75"/>
      <c r="I280" s="75"/>
      <c r="J280" s="75">
        <f t="shared" si="7"/>
        <v>35433.089999999997</v>
      </c>
      <c r="K280" s="69" t="e">
        <f>VLOOKUP(A280,#REF!,9,0)</f>
        <v>#REF!</v>
      </c>
      <c r="L280" s="74" t="e">
        <f t="shared" si="6"/>
        <v>#REF!</v>
      </c>
      <c r="N280" s="357"/>
    </row>
    <row r="281" spans="1:14" s="69" customFormat="1" ht="15" customHeight="1">
      <c r="A281" s="65" t="s">
        <v>385</v>
      </c>
      <c r="B281" s="72" t="s">
        <v>384</v>
      </c>
      <c r="C281" s="72" t="s">
        <v>184</v>
      </c>
      <c r="D281" s="76"/>
      <c r="E281" s="76"/>
      <c r="F281" s="75">
        <v>197221.93</v>
      </c>
      <c r="G281" s="75">
        <v>412321.73</v>
      </c>
      <c r="H281" s="75"/>
      <c r="I281" s="75"/>
      <c r="J281" s="75">
        <f t="shared" si="7"/>
        <v>609543.65999999992</v>
      </c>
      <c r="K281" s="69" t="e">
        <f>VLOOKUP(A281,#REF!,9,0)</f>
        <v>#REF!</v>
      </c>
      <c r="L281" s="74" t="e">
        <f t="shared" si="6"/>
        <v>#REF!</v>
      </c>
      <c r="N281" s="357"/>
    </row>
    <row r="282" spans="1:14" s="69" customFormat="1" ht="15" customHeight="1">
      <c r="A282" s="65" t="s">
        <v>383</v>
      </c>
      <c r="B282" s="72" t="s">
        <v>382</v>
      </c>
      <c r="C282" s="72" t="s">
        <v>184</v>
      </c>
      <c r="D282" s="76"/>
      <c r="E282" s="76"/>
      <c r="F282" s="75"/>
      <c r="G282" s="75"/>
      <c r="H282" s="75"/>
      <c r="I282" s="178">
        <v>1021919.76</v>
      </c>
      <c r="J282" s="75">
        <f t="shared" si="7"/>
        <v>1021919.76</v>
      </c>
      <c r="K282" s="69" t="e">
        <f>VLOOKUP(A282,#REF!,9,0)</f>
        <v>#REF!</v>
      </c>
      <c r="L282" s="74" t="e">
        <f t="shared" si="6"/>
        <v>#REF!</v>
      </c>
      <c r="N282" s="357">
        <f>1021919.76-1020916.27</f>
        <v>1003.4899999999907</v>
      </c>
    </row>
    <row r="283" spans="1:14" s="69" customFormat="1" ht="15" customHeight="1">
      <c r="A283" s="65" t="s">
        <v>381</v>
      </c>
      <c r="B283" s="72" t="s">
        <v>380</v>
      </c>
      <c r="C283" s="72" t="s">
        <v>183</v>
      </c>
      <c r="D283" s="76"/>
      <c r="E283" s="76"/>
      <c r="F283" s="75"/>
      <c r="G283" s="178">
        <v>0</v>
      </c>
      <c r="H283" s="75"/>
      <c r="I283" s="75"/>
      <c r="J283" s="75">
        <f t="shared" si="7"/>
        <v>0</v>
      </c>
      <c r="K283" s="69" t="e">
        <f>VLOOKUP(A283,#REF!,9,0)</f>
        <v>#REF!</v>
      </c>
      <c r="L283" s="74" t="e">
        <f t="shared" si="6"/>
        <v>#REF!</v>
      </c>
      <c r="N283" s="357">
        <f>0-11274.08</f>
        <v>-11274.08</v>
      </c>
    </row>
    <row r="284" spans="1:14" s="69" customFormat="1" ht="15" customHeight="1">
      <c r="A284" s="65" t="s">
        <v>379</v>
      </c>
      <c r="B284" s="72" t="s">
        <v>378</v>
      </c>
      <c r="C284" s="72" t="s">
        <v>186</v>
      </c>
      <c r="D284" s="76"/>
      <c r="E284" s="76"/>
      <c r="F284" s="75"/>
      <c r="G284" s="75">
        <v>22475.42</v>
      </c>
      <c r="H284" s="75"/>
      <c r="I284" s="75"/>
      <c r="J284" s="75">
        <f t="shared" si="7"/>
        <v>22475.42</v>
      </c>
      <c r="K284" s="69" t="e">
        <f>VLOOKUP(A284,#REF!,9,0)</f>
        <v>#REF!</v>
      </c>
      <c r="L284" s="74" t="e">
        <f t="shared" si="6"/>
        <v>#REF!</v>
      </c>
      <c r="N284" s="357"/>
    </row>
    <row r="285" spans="1:14" s="69" customFormat="1" ht="15" customHeight="1">
      <c r="A285" s="65" t="s">
        <v>377</v>
      </c>
      <c r="B285" s="72" t="s">
        <v>376</v>
      </c>
      <c r="C285" s="72" t="s">
        <v>186</v>
      </c>
      <c r="D285" s="76"/>
      <c r="E285" s="76"/>
      <c r="F285" s="75">
        <v>289107.59000000003</v>
      </c>
      <c r="G285" s="75">
        <v>131890.10999999999</v>
      </c>
      <c r="H285" s="75"/>
      <c r="I285" s="75"/>
      <c r="J285" s="75">
        <f t="shared" si="7"/>
        <v>420997.7</v>
      </c>
      <c r="K285" s="69" t="e">
        <f>VLOOKUP(A285,#REF!,9,0)</f>
        <v>#REF!</v>
      </c>
      <c r="L285" s="74" t="e">
        <f t="shared" si="6"/>
        <v>#REF!</v>
      </c>
      <c r="N285" s="357"/>
    </row>
    <row r="286" spans="1:14" s="69" customFormat="1" ht="15" customHeight="1">
      <c r="A286" s="65" t="s">
        <v>375</v>
      </c>
      <c r="B286" s="72" t="s">
        <v>374</v>
      </c>
      <c r="C286" s="72" t="s">
        <v>183</v>
      </c>
      <c r="D286" s="76"/>
      <c r="E286" s="76"/>
      <c r="F286" s="75">
        <v>96650.68</v>
      </c>
      <c r="G286" s="75">
        <v>625177.63</v>
      </c>
      <c r="H286" s="75"/>
      <c r="I286" s="178">
        <v>73723.89</v>
      </c>
      <c r="J286" s="75">
        <f t="shared" si="7"/>
        <v>795552.20000000007</v>
      </c>
      <c r="K286" s="69" t="e">
        <f>VLOOKUP(A286,#REF!,9,0)</f>
        <v>#REF!</v>
      </c>
      <c r="L286" s="74" t="e">
        <f t="shared" si="6"/>
        <v>#REF!</v>
      </c>
      <c r="N286" s="357">
        <f>795552.2-793724.23</f>
        <v>1827.9699999999721</v>
      </c>
    </row>
    <row r="287" spans="1:14" s="69" customFormat="1" ht="15" customHeight="1">
      <c r="A287" s="65" t="s">
        <v>373</v>
      </c>
      <c r="B287" s="72" t="s">
        <v>372</v>
      </c>
      <c r="C287" s="72" t="s">
        <v>183</v>
      </c>
      <c r="D287" s="76"/>
      <c r="E287" s="76"/>
      <c r="F287" s="178">
        <v>1899384.35</v>
      </c>
      <c r="G287" s="178">
        <v>2013032.3</v>
      </c>
      <c r="H287" s="75">
        <v>13333.96</v>
      </c>
      <c r="I287" s="178">
        <v>634591.14</v>
      </c>
      <c r="J287" s="75">
        <f>+D287+E287+F287+G287+H287+I287</f>
        <v>4560341.75</v>
      </c>
      <c r="K287" s="69" t="e">
        <f>VLOOKUP(A287,#REF!,9,0)</f>
        <v>#REF!</v>
      </c>
      <c r="L287" s="74" t="e">
        <f t="shared" si="6"/>
        <v>#REF!</v>
      </c>
      <c r="N287" s="357">
        <f>4560341.75-4506224.22</f>
        <v>54117.530000000261</v>
      </c>
    </row>
    <row r="288" spans="1:14" s="69" customFormat="1" ht="15" customHeight="1">
      <c r="A288" s="65" t="s">
        <v>371</v>
      </c>
      <c r="B288" s="72" t="s">
        <v>370</v>
      </c>
      <c r="C288" s="72" t="s">
        <v>183</v>
      </c>
      <c r="D288" s="76"/>
      <c r="E288" s="76"/>
      <c r="F288" s="75">
        <v>78336.83</v>
      </c>
      <c r="G288" s="75">
        <v>146324.31</v>
      </c>
      <c r="H288" s="75"/>
      <c r="I288" s="75"/>
      <c r="J288" s="75">
        <f t="shared" si="7"/>
        <v>224661.14</v>
      </c>
      <c r="K288" s="69" t="e">
        <f>VLOOKUP(A288,#REF!,9,0)</f>
        <v>#REF!</v>
      </c>
      <c r="L288" s="74" t="e">
        <f t="shared" si="6"/>
        <v>#REF!</v>
      </c>
      <c r="N288" s="357"/>
    </row>
    <row r="289" spans="1:14" s="69" customFormat="1" ht="15" customHeight="1">
      <c r="A289" s="65" t="s">
        <v>369</v>
      </c>
      <c r="B289" s="72" t="s">
        <v>368</v>
      </c>
      <c r="C289" s="72" t="s">
        <v>183</v>
      </c>
      <c r="D289" s="76"/>
      <c r="E289" s="76"/>
      <c r="F289" s="75"/>
      <c r="G289" s="75">
        <v>8630.89</v>
      </c>
      <c r="H289" s="75"/>
      <c r="I289" s="75"/>
      <c r="J289" s="75">
        <f t="shared" si="7"/>
        <v>8630.89</v>
      </c>
      <c r="K289" s="69" t="e">
        <f>VLOOKUP(A289,#REF!,9,0)</f>
        <v>#REF!</v>
      </c>
      <c r="L289" s="74" t="e">
        <f t="shared" si="6"/>
        <v>#REF!</v>
      </c>
      <c r="N289" s="357"/>
    </row>
    <row r="290" spans="1:14" s="69" customFormat="1" ht="15" customHeight="1">
      <c r="A290" s="65" t="s">
        <v>367</v>
      </c>
      <c r="B290" s="72" t="s">
        <v>366</v>
      </c>
      <c r="C290" s="72" t="s">
        <v>186</v>
      </c>
      <c r="D290" s="76"/>
      <c r="E290" s="76"/>
      <c r="F290" s="75"/>
      <c r="G290" s="75">
        <v>13919.7</v>
      </c>
      <c r="H290" s="75"/>
      <c r="I290" s="75"/>
      <c r="J290" s="75">
        <f t="shared" si="7"/>
        <v>13919.7</v>
      </c>
      <c r="K290" s="69" t="e">
        <f>VLOOKUP(A290,#REF!,9,0)</f>
        <v>#REF!</v>
      </c>
      <c r="L290" s="74" t="e">
        <f t="shared" si="6"/>
        <v>#REF!</v>
      </c>
      <c r="N290" s="357"/>
    </row>
    <row r="291" spans="1:14" s="69" customFormat="1" ht="15" customHeight="1">
      <c r="A291" s="65" t="s">
        <v>1273</v>
      </c>
      <c r="B291" s="72" t="s">
        <v>1274</v>
      </c>
      <c r="C291" s="72" t="s">
        <v>186</v>
      </c>
      <c r="D291" s="76"/>
      <c r="E291" s="76"/>
      <c r="F291" s="75"/>
      <c r="G291" s="75"/>
      <c r="H291" s="75"/>
      <c r="I291" s="178">
        <v>1907132.97</v>
      </c>
      <c r="J291" s="75">
        <f t="shared" si="7"/>
        <v>1907132.97</v>
      </c>
      <c r="L291" s="74"/>
      <c r="N291" s="357">
        <f>1907132.97-1675384.39</f>
        <v>231748.58000000007</v>
      </c>
    </row>
    <row r="292" spans="1:14" s="69" customFormat="1" ht="15" customHeight="1">
      <c r="A292" s="65" t="s">
        <v>365</v>
      </c>
      <c r="B292" s="72" t="s">
        <v>364</v>
      </c>
      <c r="C292" s="72" t="s">
        <v>183</v>
      </c>
      <c r="D292" s="76"/>
      <c r="E292" s="76"/>
      <c r="F292" s="75"/>
      <c r="G292" s="75">
        <v>8590.18</v>
      </c>
      <c r="H292" s="75"/>
      <c r="I292" s="75">
        <v>9568.86</v>
      </c>
      <c r="J292" s="75">
        <f t="shared" si="7"/>
        <v>18159.04</v>
      </c>
      <c r="K292" s="69" t="e">
        <f>VLOOKUP(A292,#REF!,9,0)</f>
        <v>#REF!</v>
      </c>
      <c r="L292" s="74" t="e">
        <f t="shared" si="6"/>
        <v>#REF!</v>
      </c>
      <c r="N292" s="357"/>
    </row>
    <row r="293" spans="1:14" s="69" customFormat="1" ht="15" customHeight="1">
      <c r="A293" s="65" t="s">
        <v>363</v>
      </c>
      <c r="B293" s="72" t="s">
        <v>362</v>
      </c>
      <c r="C293" s="72" t="s">
        <v>186</v>
      </c>
      <c r="D293" s="76"/>
      <c r="E293" s="76"/>
      <c r="F293" s="75"/>
      <c r="G293" s="75">
        <v>33833.65</v>
      </c>
      <c r="H293" s="75"/>
      <c r="I293" s="178">
        <v>1250660.8500000001</v>
      </c>
      <c r="J293" s="75">
        <f t="shared" si="7"/>
        <v>1284494.5</v>
      </c>
      <c r="K293" s="69" t="e">
        <f>VLOOKUP(A293,#REF!,9,0)</f>
        <v>#REF!</v>
      </c>
      <c r="L293" s="74" t="e">
        <f t="shared" si="6"/>
        <v>#REF!</v>
      </c>
      <c r="N293" s="357">
        <f>1284494.5-1284411.69</f>
        <v>82.810000000055879</v>
      </c>
    </row>
    <row r="294" spans="1:14" s="69" customFormat="1" ht="15" customHeight="1">
      <c r="A294" s="65" t="s">
        <v>1093</v>
      </c>
      <c r="B294" s="72" t="s">
        <v>1094</v>
      </c>
      <c r="C294" s="72" t="s">
        <v>184</v>
      </c>
      <c r="D294" s="76"/>
      <c r="E294" s="76"/>
      <c r="F294" s="75"/>
      <c r="G294" s="75">
        <v>27448.5</v>
      </c>
      <c r="H294" s="75"/>
      <c r="I294" s="75">
        <v>1729.66</v>
      </c>
      <c r="J294" s="75">
        <f t="shared" si="7"/>
        <v>29178.16</v>
      </c>
      <c r="L294" s="74"/>
      <c r="N294" s="357"/>
    </row>
    <row r="295" spans="1:14" s="69" customFormat="1" ht="15" customHeight="1">
      <c r="A295" s="65" t="s">
        <v>361</v>
      </c>
      <c r="B295" s="72" t="s">
        <v>360</v>
      </c>
      <c r="C295" s="72" t="s">
        <v>183</v>
      </c>
      <c r="D295" s="76"/>
      <c r="E295" s="76"/>
      <c r="F295" s="75"/>
      <c r="G295" s="75">
        <v>151340.43</v>
      </c>
      <c r="H295" s="75"/>
      <c r="I295" s="75">
        <v>9558.0300000000007</v>
      </c>
      <c r="J295" s="75">
        <f t="shared" si="7"/>
        <v>160898.46</v>
      </c>
      <c r="K295" s="69" t="e">
        <f>VLOOKUP(A295,#REF!,9,0)</f>
        <v>#REF!</v>
      </c>
      <c r="L295" s="74" t="e">
        <f t="shared" si="6"/>
        <v>#REF!</v>
      </c>
      <c r="N295" s="357"/>
    </row>
    <row r="296" spans="1:14" s="69" customFormat="1" ht="15" customHeight="1">
      <c r="A296" s="65" t="s">
        <v>359</v>
      </c>
      <c r="B296" s="72" t="s">
        <v>358</v>
      </c>
      <c r="C296" s="72" t="s">
        <v>186</v>
      </c>
      <c r="D296" s="76"/>
      <c r="E296" s="76"/>
      <c r="F296" s="75"/>
      <c r="G296" s="75">
        <v>168949.07</v>
      </c>
      <c r="H296" s="75"/>
      <c r="I296" s="75"/>
      <c r="J296" s="75">
        <f t="shared" si="7"/>
        <v>168949.07</v>
      </c>
      <c r="K296" s="69" t="e">
        <f>VLOOKUP(A296,#REF!,9,0)</f>
        <v>#REF!</v>
      </c>
      <c r="L296" s="74" t="e">
        <f t="shared" si="6"/>
        <v>#REF!</v>
      </c>
      <c r="N296" s="357"/>
    </row>
    <row r="297" spans="1:14" s="69" customFormat="1" ht="15" customHeight="1">
      <c r="A297" s="65" t="s">
        <v>357</v>
      </c>
      <c r="B297" s="72" t="s">
        <v>356</v>
      </c>
      <c r="C297" s="72" t="s">
        <v>186</v>
      </c>
      <c r="D297" s="76"/>
      <c r="E297" s="76"/>
      <c r="F297" s="75"/>
      <c r="G297" s="75">
        <v>20169.71</v>
      </c>
      <c r="H297" s="75"/>
      <c r="I297" s="75">
        <v>932.35</v>
      </c>
      <c r="J297" s="75">
        <f t="shared" si="7"/>
        <v>21102.059999999998</v>
      </c>
      <c r="K297" s="69" t="e">
        <f>VLOOKUP(A297,#REF!,9,0)</f>
        <v>#REF!</v>
      </c>
      <c r="L297" s="74" t="e">
        <f t="shared" si="6"/>
        <v>#REF!</v>
      </c>
      <c r="N297" s="357"/>
    </row>
    <row r="298" spans="1:14" s="69" customFormat="1" ht="15" customHeight="1">
      <c r="A298" s="65" t="s">
        <v>355</v>
      </c>
      <c r="B298" s="72" t="s">
        <v>354</v>
      </c>
      <c r="C298" s="72" t="s">
        <v>183</v>
      </c>
      <c r="D298" s="76"/>
      <c r="E298" s="76">
        <v>20097.22</v>
      </c>
      <c r="F298" s="75">
        <v>1069008.46</v>
      </c>
      <c r="G298" s="77">
        <v>737207.2</v>
      </c>
      <c r="H298" s="77"/>
      <c r="I298" s="178">
        <v>109018.05</v>
      </c>
      <c r="J298" s="75">
        <f t="shared" si="7"/>
        <v>1935330.93</v>
      </c>
      <c r="K298" s="69" t="e">
        <f>VLOOKUP(A298,#REF!,9,0)</f>
        <v>#REF!</v>
      </c>
      <c r="L298" s="74" t="e">
        <f t="shared" si="6"/>
        <v>#REF!</v>
      </c>
      <c r="N298" s="357">
        <f>1935330.93-1926045.25</f>
        <v>9285.6799999999348</v>
      </c>
    </row>
    <row r="299" spans="1:14" s="69" customFormat="1" ht="15" customHeight="1">
      <c r="A299" s="65" t="s">
        <v>353</v>
      </c>
      <c r="B299" s="72" t="s">
        <v>352</v>
      </c>
      <c r="C299" s="72" t="s">
        <v>186</v>
      </c>
      <c r="D299" s="76"/>
      <c r="E299" s="76"/>
      <c r="F299" s="75"/>
      <c r="G299" s="75">
        <v>9442.92</v>
      </c>
      <c r="H299" s="75"/>
      <c r="I299" s="75"/>
      <c r="J299" s="75">
        <f t="shared" si="7"/>
        <v>9442.92</v>
      </c>
      <c r="K299" s="69" t="e">
        <f>VLOOKUP(A299,#REF!,9,0)</f>
        <v>#REF!</v>
      </c>
      <c r="L299" s="74" t="e">
        <f t="shared" ref="L299:L341" si="8">K299-J299</f>
        <v>#REF!</v>
      </c>
      <c r="N299" s="357"/>
    </row>
    <row r="300" spans="1:14" s="69" customFormat="1" ht="15" customHeight="1">
      <c r="A300" s="65" t="s">
        <v>351</v>
      </c>
      <c r="B300" s="72" t="s">
        <v>350</v>
      </c>
      <c r="C300" s="72" t="s">
        <v>183</v>
      </c>
      <c r="D300" s="76"/>
      <c r="E300" s="76"/>
      <c r="F300" s="178">
        <v>1562231.93</v>
      </c>
      <c r="G300" s="178">
        <f>1199559.62+22287.15</f>
        <v>1221846.77</v>
      </c>
      <c r="H300" s="75"/>
      <c r="I300" s="178">
        <v>213857.31</v>
      </c>
      <c r="J300" s="75">
        <f t="shared" si="7"/>
        <v>2997936.0100000002</v>
      </c>
      <c r="K300" s="69" t="e">
        <f>VLOOKUP(A300,#REF!,9,0)</f>
        <v>#REF!</v>
      </c>
      <c r="L300" s="74" t="e">
        <f t="shared" si="8"/>
        <v>#REF!</v>
      </c>
      <c r="N300" s="357">
        <f>2997936.01-2989364.38</f>
        <v>8571.6299999998882</v>
      </c>
    </row>
    <row r="301" spans="1:14" s="69" customFormat="1" ht="15" customHeight="1">
      <c r="A301" s="65" t="s">
        <v>349</v>
      </c>
      <c r="B301" s="72" t="s">
        <v>348</v>
      </c>
      <c r="C301" s="72" t="s">
        <v>183</v>
      </c>
      <c r="D301" s="76"/>
      <c r="E301" s="76"/>
      <c r="F301" s="75"/>
      <c r="G301" s="75"/>
      <c r="H301" s="75"/>
      <c r="I301" s="178">
        <v>554798.19999999995</v>
      </c>
      <c r="J301" s="75">
        <f t="shared" si="7"/>
        <v>554798.19999999995</v>
      </c>
      <c r="K301" s="69" t="e">
        <f>VLOOKUP(A301,#REF!,9,0)</f>
        <v>#REF!</v>
      </c>
      <c r="L301" s="74" t="e">
        <f t="shared" si="8"/>
        <v>#REF!</v>
      </c>
      <c r="N301" s="357">
        <f>554798.2-467239.86</f>
        <v>87558.339999999967</v>
      </c>
    </row>
    <row r="302" spans="1:14" s="69" customFormat="1" ht="15" customHeight="1">
      <c r="A302" s="65" t="s">
        <v>347</v>
      </c>
      <c r="B302" s="72" t="s">
        <v>346</v>
      </c>
      <c r="C302" s="72" t="s">
        <v>183</v>
      </c>
      <c r="D302" s="76"/>
      <c r="E302" s="76"/>
      <c r="F302" s="75">
        <v>124168.47</v>
      </c>
      <c r="G302" s="75">
        <f>348185.68+9297.84</f>
        <v>357483.52000000002</v>
      </c>
      <c r="H302" s="75"/>
      <c r="I302" s="178">
        <v>81499.72</v>
      </c>
      <c r="J302" s="75">
        <f t="shared" si="7"/>
        <v>563151.71</v>
      </c>
      <c r="K302" s="69" t="e">
        <f>VLOOKUP(A302,#REF!,9,0)</f>
        <v>#REF!</v>
      </c>
      <c r="L302" s="74" t="e">
        <f t="shared" si="8"/>
        <v>#REF!</v>
      </c>
      <c r="N302" s="357">
        <f>563151.71-553298.35</f>
        <v>9853.359999999986</v>
      </c>
    </row>
    <row r="303" spans="1:14" s="69" customFormat="1" ht="15" customHeight="1">
      <c r="A303" s="65" t="s">
        <v>345</v>
      </c>
      <c r="B303" s="72" t="s">
        <v>344</v>
      </c>
      <c r="C303" s="72" t="s">
        <v>183</v>
      </c>
      <c r="D303" s="76"/>
      <c r="E303" s="76"/>
      <c r="F303" s="75"/>
      <c r="G303" s="75">
        <v>15774.12</v>
      </c>
      <c r="H303" s="75"/>
      <c r="I303" s="75"/>
      <c r="J303" s="75">
        <f t="shared" si="7"/>
        <v>15774.12</v>
      </c>
      <c r="K303" s="69" t="e">
        <f>VLOOKUP(A303,#REF!,9,0)</f>
        <v>#REF!</v>
      </c>
      <c r="L303" s="74" t="e">
        <f t="shared" si="8"/>
        <v>#REF!</v>
      </c>
      <c r="N303" s="357"/>
    </row>
    <row r="304" spans="1:14" s="69" customFormat="1" ht="15" customHeight="1">
      <c r="A304" s="65" t="s">
        <v>343</v>
      </c>
      <c r="B304" s="72" t="s">
        <v>342</v>
      </c>
      <c r="C304" s="72" t="s">
        <v>183</v>
      </c>
      <c r="D304" s="76"/>
      <c r="E304" s="76"/>
      <c r="F304" s="75">
        <v>177076.02</v>
      </c>
      <c r="G304" s="75">
        <v>417077.36</v>
      </c>
      <c r="H304" s="75"/>
      <c r="I304" s="178">
        <v>102343.76</v>
      </c>
      <c r="J304" s="75">
        <f t="shared" si="7"/>
        <v>696497.14</v>
      </c>
      <c r="K304" s="69" t="e">
        <f>VLOOKUP(A304,#REF!,9,0)</f>
        <v>#REF!</v>
      </c>
      <c r="L304" s="74" t="e">
        <f t="shared" si="8"/>
        <v>#REF!</v>
      </c>
      <c r="N304" s="357">
        <f>696497.14-681835.32</f>
        <v>14661.820000000065</v>
      </c>
    </row>
    <row r="305" spans="1:14" s="69" customFormat="1" ht="15" customHeight="1">
      <c r="A305" s="65" t="s">
        <v>341</v>
      </c>
      <c r="B305" s="72" t="s">
        <v>340</v>
      </c>
      <c r="C305" s="72" t="s">
        <v>186</v>
      </c>
      <c r="D305" s="76"/>
      <c r="E305" s="76"/>
      <c r="F305" s="75"/>
      <c r="G305" s="75">
        <v>14544.27</v>
      </c>
      <c r="H305" s="75"/>
      <c r="I305" s="75"/>
      <c r="J305" s="75">
        <f t="shared" si="7"/>
        <v>14544.27</v>
      </c>
      <c r="K305" s="69" t="e">
        <f>VLOOKUP(A305,#REF!,9,0)</f>
        <v>#REF!</v>
      </c>
      <c r="L305" s="74" t="e">
        <f t="shared" si="8"/>
        <v>#REF!</v>
      </c>
      <c r="N305" s="357"/>
    </row>
    <row r="306" spans="1:14" s="69" customFormat="1" ht="15" customHeight="1">
      <c r="A306" s="65" t="s">
        <v>339</v>
      </c>
      <c r="B306" s="72" t="s">
        <v>338</v>
      </c>
      <c r="C306" s="72" t="s">
        <v>186</v>
      </c>
      <c r="D306" s="76"/>
      <c r="E306" s="76"/>
      <c r="F306" s="75"/>
      <c r="G306" s="75">
        <v>5429.91</v>
      </c>
      <c r="H306" s="75"/>
      <c r="I306" s="75"/>
      <c r="J306" s="75">
        <f t="shared" si="7"/>
        <v>5429.91</v>
      </c>
      <c r="K306" s="69" t="e">
        <f>VLOOKUP(A306,#REF!,9,0)</f>
        <v>#REF!</v>
      </c>
      <c r="L306" s="74" t="e">
        <f t="shared" si="8"/>
        <v>#REF!</v>
      </c>
      <c r="N306" s="357"/>
    </row>
    <row r="307" spans="1:14" s="69" customFormat="1" ht="15" customHeight="1">
      <c r="A307" s="65" t="s">
        <v>337</v>
      </c>
      <c r="B307" s="72" t="s">
        <v>336</v>
      </c>
      <c r="C307" s="72" t="s">
        <v>186</v>
      </c>
      <c r="D307" s="76"/>
      <c r="E307" s="76"/>
      <c r="F307" s="75"/>
      <c r="G307" s="75">
        <v>35110.019999999997</v>
      </c>
      <c r="H307" s="75"/>
      <c r="I307" s="75"/>
      <c r="J307" s="75">
        <f t="shared" ref="J307:J342" si="9">+D307+E307+F307+G307+I307</f>
        <v>35110.019999999997</v>
      </c>
      <c r="K307" s="69" t="e">
        <f>VLOOKUP(A307,#REF!,9,0)</f>
        <v>#REF!</v>
      </c>
      <c r="L307" s="74" t="e">
        <f t="shared" si="8"/>
        <v>#REF!</v>
      </c>
      <c r="N307" s="357"/>
    </row>
    <row r="308" spans="1:14" s="69" customFormat="1" ht="15" customHeight="1">
      <c r="A308" s="65" t="s">
        <v>1275</v>
      </c>
      <c r="B308" s="72" t="s">
        <v>1276</v>
      </c>
      <c r="C308" s="72" t="s">
        <v>186</v>
      </c>
      <c r="D308" s="76"/>
      <c r="E308" s="76">
        <v>52162.85</v>
      </c>
      <c r="F308" s="75"/>
      <c r="G308" s="75"/>
      <c r="H308" s="75"/>
      <c r="I308" s="178">
        <v>1684263.92</v>
      </c>
      <c r="J308" s="75">
        <f t="shared" si="9"/>
        <v>1736426.77</v>
      </c>
      <c r="L308" s="74"/>
      <c r="N308" s="357">
        <f>1736426.77-1730717.85</f>
        <v>5708.9199999999255</v>
      </c>
    </row>
    <row r="309" spans="1:14" s="69" customFormat="1" ht="15" customHeight="1">
      <c r="A309" s="65" t="s">
        <v>335</v>
      </c>
      <c r="B309" s="72" t="s">
        <v>334</v>
      </c>
      <c r="C309" s="72" t="s">
        <v>183</v>
      </c>
      <c r="D309" s="76"/>
      <c r="E309" s="76"/>
      <c r="F309" s="75"/>
      <c r="G309" s="75"/>
      <c r="H309" s="75"/>
      <c r="I309" s="178">
        <v>763793.39</v>
      </c>
      <c r="J309" s="75">
        <f t="shared" si="9"/>
        <v>763793.39</v>
      </c>
      <c r="K309" s="69" t="e">
        <f>VLOOKUP(A309,#REF!,9,0)</f>
        <v>#REF!</v>
      </c>
      <c r="L309" s="74" t="e">
        <f t="shared" si="8"/>
        <v>#REF!</v>
      </c>
      <c r="N309" s="357">
        <f>763793.39-750757.92</f>
        <v>13035.469999999972</v>
      </c>
    </row>
    <row r="310" spans="1:14" s="69" customFormat="1" ht="15" customHeight="1">
      <c r="A310" s="65" t="s">
        <v>333</v>
      </c>
      <c r="B310" s="72" t="s">
        <v>332</v>
      </c>
      <c r="C310" s="72" t="s">
        <v>186</v>
      </c>
      <c r="D310" s="76"/>
      <c r="E310" s="76"/>
      <c r="F310" s="75"/>
      <c r="G310" s="75">
        <v>7747.94</v>
      </c>
      <c r="H310" s="75"/>
      <c r="I310" s="75"/>
      <c r="J310" s="75">
        <f t="shared" si="9"/>
        <v>7747.94</v>
      </c>
      <c r="K310" s="69" t="e">
        <f>VLOOKUP(A310,#REF!,9,0)</f>
        <v>#REF!</v>
      </c>
      <c r="L310" s="74" t="e">
        <f t="shared" si="8"/>
        <v>#REF!</v>
      </c>
      <c r="N310" s="357"/>
    </row>
    <row r="311" spans="1:14" s="69" customFormat="1" ht="15" customHeight="1">
      <c r="A311" s="65" t="s">
        <v>331</v>
      </c>
      <c r="B311" s="72" t="s">
        <v>330</v>
      </c>
      <c r="C311" s="72" t="s">
        <v>186</v>
      </c>
      <c r="D311" s="76"/>
      <c r="E311" s="76"/>
      <c r="F311" s="75"/>
      <c r="G311" s="75">
        <v>15148.2</v>
      </c>
      <c r="H311" s="75"/>
      <c r="I311" s="75"/>
      <c r="J311" s="75">
        <f t="shared" si="9"/>
        <v>15148.2</v>
      </c>
      <c r="K311" s="69" t="e">
        <f>VLOOKUP(A311,#REF!,9,0)</f>
        <v>#REF!</v>
      </c>
      <c r="L311" s="74" t="e">
        <f t="shared" si="8"/>
        <v>#REF!</v>
      </c>
      <c r="N311" s="357"/>
    </row>
    <row r="312" spans="1:14" s="69" customFormat="1" ht="15" customHeight="1">
      <c r="A312" s="65" t="s">
        <v>329</v>
      </c>
      <c r="B312" s="72" t="s">
        <v>328</v>
      </c>
      <c r="C312" s="72" t="s">
        <v>186</v>
      </c>
      <c r="D312" s="76"/>
      <c r="E312" s="76"/>
      <c r="F312" s="75"/>
      <c r="G312" s="75">
        <v>23819.43</v>
      </c>
      <c r="H312" s="75"/>
      <c r="I312" s="75"/>
      <c r="J312" s="75">
        <f t="shared" si="9"/>
        <v>23819.43</v>
      </c>
      <c r="K312" s="69" t="e">
        <f>VLOOKUP(A312,#REF!,9,0)</f>
        <v>#REF!</v>
      </c>
      <c r="L312" s="74" t="e">
        <f t="shared" si="8"/>
        <v>#REF!</v>
      </c>
      <c r="N312" s="357"/>
    </row>
    <row r="313" spans="1:14" s="69" customFormat="1" ht="15" customHeight="1">
      <c r="A313" s="65" t="s">
        <v>327</v>
      </c>
      <c r="B313" s="72" t="s">
        <v>326</v>
      </c>
      <c r="C313" s="72" t="s">
        <v>186</v>
      </c>
      <c r="D313" s="76"/>
      <c r="E313" s="76"/>
      <c r="F313" s="75"/>
      <c r="G313" s="75">
        <v>6395.76</v>
      </c>
      <c r="H313" s="75"/>
      <c r="I313" s="75"/>
      <c r="J313" s="75">
        <f t="shared" si="9"/>
        <v>6395.76</v>
      </c>
      <c r="K313" s="69" t="e">
        <f>VLOOKUP(A313,#REF!,9,0)</f>
        <v>#REF!</v>
      </c>
      <c r="L313" s="74" t="e">
        <f t="shared" si="8"/>
        <v>#REF!</v>
      </c>
      <c r="N313" s="357"/>
    </row>
    <row r="314" spans="1:14" s="69" customFormat="1" ht="15" customHeight="1">
      <c r="A314" s="65" t="s">
        <v>1095</v>
      </c>
      <c r="B314" s="72" t="s">
        <v>1096</v>
      </c>
      <c r="C314" s="72" t="s">
        <v>186</v>
      </c>
      <c r="D314" s="76"/>
      <c r="E314" s="76">
        <v>21146.46</v>
      </c>
      <c r="F314" s="75"/>
      <c r="G314" s="75"/>
      <c r="H314" s="75"/>
      <c r="I314" s="75">
        <v>1651242.21</v>
      </c>
      <c r="J314" s="75">
        <f t="shared" si="9"/>
        <v>1672388.67</v>
      </c>
      <c r="L314" s="74"/>
      <c r="N314" s="357"/>
    </row>
    <row r="315" spans="1:14" s="69" customFormat="1" ht="15" customHeight="1">
      <c r="A315" s="65" t="s">
        <v>325</v>
      </c>
      <c r="B315" s="72" t="s">
        <v>324</v>
      </c>
      <c r="C315" s="72" t="s">
        <v>186</v>
      </c>
      <c r="D315" s="76"/>
      <c r="E315" s="76"/>
      <c r="F315" s="75"/>
      <c r="G315" s="75">
        <v>362362.45</v>
      </c>
      <c r="H315" s="75"/>
      <c r="I315" s="75"/>
      <c r="J315" s="75">
        <f t="shared" si="9"/>
        <v>362362.45</v>
      </c>
      <c r="K315" s="69" t="e">
        <f>VLOOKUP(A315,#REF!,9,0)</f>
        <v>#REF!</v>
      </c>
      <c r="L315" s="74" t="e">
        <f t="shared" si="8"/>
        <v>#REF!</v>
      </c>
      <c r="N315" s="357"/>
    </row>
    <row r="316" spans="1:14" s="69" customFormat="1" ht="15" customHeight="1">
      <c r="A316" s="65" t="s">
        <v>323</v>
      </c>
      <c r="B316" s="72" t="s">
        <v>322</v>
      </c>
      <c r="C316" s="72" t="s">
        <v>186</v>
      </c>
      <c r="D316" s="292">
        <v>99115.8</v>
      </c>
      <c r="E316" s="76"/>
      <c r="F316" s="75"/>
      <c r="G316" s="75"/>
      <c r="H316" s="75"/>
      <c r="I316" s="75"/>
      <c r="J316" s="75">
        <f t="shared" si="9"/>
        <v>99115.8</v>
      </c>
      <c r="K316" s="69" t="e">
        <f>VLOOKUP(A316,#REF!,9,0)</f>
        <v>#REF!</v>
      </c>
      <c r="L316" s="74" t="e">
        <f t="shared" si="8"/>
        <v>#REF!</v>
      </c>
      <c r="N316" s="357"/>
    </row>
    <row r="317" spans="1:14" s="69" customFormat="1" ht="15" customHeight="1">
      <c r="A317" s="65" t="s">
        <v>1154</v>
      </c>
      <c r="B317" s="72" t="s">
        <v>1155</v>
      </c>
      <c r="C317" s="72" t="s">
        <v>184</v>
      </c>
      <c r="D317" s="76"/>
      <c r="E317" s="76"/>
      <c r="F317" s="75"/>
      <c r="G317" s="75">
        <v>33015.269999999997</v>
      </c>
      <c r="H317" s="75"/>
      <c r="I317" s="75"/>
      <c r="J317" s="75">
        <f t="shared" si="9"/>
        <v>33015.269999999997</v>
      </c>
      <c r="L317" s="74"/>
      <c r="N317" s="357"/>
    </row>
    <row r="318" spans="1:14" s="69" customFormat="1" ht="15" customHeight="1">
      <c r="A318" s="65" t="s">
        <v>321</v>
      </c>
      <c r="B318" s="72" t="s">
        <v>320</v>
      </c>
      <c r="C318" s="72" t="s">
        <v>183</v>
      </c>
      <c r="D318" s="76"/>
      <c r="E318" s="76"/>
      <c r="F318" s="75">
        <v>388415.55</v>
      </c>
      <c r="G318" s="75">
        <v>550643.68999999994</v>
      </c>
      <c r="H318" s="75"/>
      <c r="I318" s="75">
        <v>28563.99</v>
      </c>
      <c r="J318" s="75">
        <f t="shared" si="9"/>
        <v>967623.23</v>
      </c>
      <c r="K318" s="69" t="e">
        <f>VLOOKUP(A318,#REF!,9,0)</f>
        <v>#REF!</v>
      </c>
      <c r="L318" s="74" t="e">
        <f t="shared" si="8"/>
        <v>#REF!</v>
      </c>
      <c r="N318" s="357"/>
    </row>
    <row r="319" spans="1:14" s="69" customFormat="1" ht="15" customHeight="1">
      <c r="A319" s="65" t="s">
        <v>319</v>
      </c>
      <c r="B319" s="72" t="s">
        <v>318</v>
      </c>
      <c r="C319" s="72" t="s">
        <v>186</v>
      </c>
      <c r="D319" s="76"/>
      <c r="E319" s="76"/>
      <c r="F319" s="75"/>
      <c r="G319" s="75">
        <v>8758.67</v>
      </c>
      <c r="H319" s="75"/>
      <c r="I319" s="75"/>
      <c r="J319" s="75">
        <f t="shared" si="9"/>
        <v>8758.67</v>
      </c>
      <c r="K319" s="69" t="e">
        <f>VLOOKUP(A319,#REF!,9,0)</f>
        <v>#REF!</v>
      </c>
      <c r="L319" s="74" t="e">
        <f t="shared" si="8"/>
        <v>#REF!</v>
      </c>
      <c r="N319" s="357"/>
    </row>
    <row r="320" spans="1:14" s="69" customFormat="1" ht="15" customHeight="1">
      <c r="A320" s="65" t="s">
        <v>317</v>
      </c>
      <c r="B320" s="72" t="s">
        <v>316</v>
      </c>
      <c r="C320" s="72" t="s">
        <v>186</v>
      </c>
      <c r="D320" s="76"/>
      <c r="E320" s="76"/>
      <c r="F320" s="75"/>
      <c r="G320" s="75">
        <v>15259.38</v>
      </c>
      <c r="H320" s="75"/>
      <c r="I320" s="75"/>
      <c r="J320" s="75">
        <f t="shared" si="9"/>
        <v>15259.38</v>
      </c>
      <c r="K320" s="69" t="e">
        <f>VLOOKUP(A320,#REF!,9,0)</f>
        <v>#REF!</v>
      </c>
      <c r="L320" s="74" t="e">
        <f t="shared" si="8"/>
        <v>#REF!</v>
      </c>
      <c r="N320" s="357"/>
    </row>
    <row r="321" spans="1:14" s="69" customFormat="1" ht="15" customHeight="1">
      <c r="A321" s="65" t="s">
        <v>315</v>
      </c>
      <c r="B321" s="72" t="s">
        <v>314</v>
      </c>
      <c r="C321" s="72" t="s">
        <v>186</v>
      </c>
      <c r="D321" s="76"/>
      <c r="E321" s="76"/>
      <c r="F321" s="75"/>
      <c r="G321" s="75">
        <v>12897.89</v>
      </c>
      <c r="H321" s="75"/>
      <c r="I321" s="75"/>
      <c r="J321" s="75">
        <f t="shared" si="9"/>
        <v>12897.89</v>
      </c>
      <c r="K321" s="69" t="e">
        <f>VLOOKUP(A321,#REF!,9,0)</f>
        <v>#REF!</v>
      </c>
      <c r="L321" s="74" t="e">
        <f t="shared" si="8"/>
        <v>#REF!</v>
      </c>
      <c r="N321" s="357"/>
    </row>
    <row r="322" spans="1:14" s="69" customFormat="1" ht="15" customHeight="1">
      <c r="A322" s="65" t="s">
        <v>313</v>
      </c>
      <c r="B322" s="72" t="s">
        <v>312</v>
      </c>
      <c r="C322" s="72" t="s">
        <v>184</v>
      </c>
      <c r="D322" s="76"/>
      <c r="E322" s="76"/>
      <c r="F322" s="75"/>
      <c r="G322" s="75"/>
      <c r="H322" s="75"/>
      <c r="I322" s="178">
        <v>1201119.0900000001</v>
      </c>
      <c r="J322" s="75">
        <f t="shared" si="9"/>
        <v>1201119.0900000001</v>
      </c>
      <c r="K322" s="69" t="e">
        <f>VLOOKUP(A322,#REF!,9,0)</f>
        <v>#REF!</v>
      </c>
      <c r="L322" s="74" t="e">
        <f t="shared" si="8"/>
        <v>#REF!</v>
      </c>
      <c r="N322" s="357">
        <f>1201119.09-1198836.62</f>
        <v>2282.4699999999721</v>
      </c>
    </row>
    <row r="323" spans="1:14" s="69" customFormat="1" ht="15" customHeight="1">
      <c r="A323" s="65" t="s">
        <v>311</v>
      </c>
      <c r="B323" s="72" t="s">
        <v>310</v>
      </c>
      <c r="C323" s="72" t="s">
        <v>183</v>
      </c>
      <c r="D323" s="76"/>
      <c r="E323" s="76"/>
      <c r="F323" s="75">
        <v>904605.79</v>
      </c>
      <c r="G323" s="178">
        <v>5650177.3499999996</v>
      </c>
      <c r="H323" s="75"/>
      <c r="I323" s="75">
        <v>300653.69</v>
      </c>
      <c r="J323" s="75">
        <f t="shared" si="9"/>
        <v>6855436.8300000001</v>
      </c>
      <c r="K323" s="69" t="e">
        <f>VLOOKUP(A323,#REF!,9,0)</f>
        <v>#REF!</v>
      </c>
      <c r="L323" s="74" t="e">
        <f t="shared" si="8"/>
        <v>#REF!</v>
      </c>
      <c r="N323" s="357">
        <f>6855436.83-6838888.13</f>
        <v>16548.700000000186</v>
      </c>
    </row>
    <row r="324" spans="1:14" s="69" customFormat="1" ht="15" customHeight="1">
      <c r="A324" s="65" t="s">
        <v>1097</v>
      </c>
      <c r="B324" s="72" t="s">
        <v>1098</v>
      </c>
      <c r="C324" s="72" t="s">
        <v>186</v>
      </c>
      <c r="D324" s="76"/>
      <c r="E324" s="76">
        <v>20948.02</v>
      </c>
      <c r="F324" s="75"/>
      <c r="G324" s="75"/>
      <c r="H324" s="75"/>
      <c r="I324" s="178">
        <v>1578346.96</v>
      </c>
      <c r="J324" s="75">
        <f t="shared" si="9"/>
        <v>1599294.98</v>
      </c>
      <c r="K324" s="69" t="e">
        <f>VLOOKUP(A324,#REF!,9,0)</f>
        <v>#REF!</v>
      </c>
      <c r="L324" s="74"/>
      <c r="N324" s="357">
        <f>1599294.98-1599267.27</f>
        <v>27.709999999962747</v>
      </c>
    </row>
    <row r="325" spans="1:14" s="69" customFormat="1" ht="15" customHeight="1">
      <c r="A325" s="65" t="s">
        <v>309</v>
      </c>
      <c r="B325" s="72" t="s">
        <v>308</v>
      </c>
      <c r="C325" s="72" t="s">
        <v>186</v>
      </c>
      <c r="D325" s="76"/>
      <c r="E325" s="76"/>
      <c r="F325" s="75"/>
      <c r="G325" s="75">
        <v>15413.74</v>
      </c>
      <c r="H325" s="75"/>
      <c r="I325" s="75">
        <v>867848.43</v>
      </c>
      <c r="J325" s="75">
        <f t="shared" si="9"/>
        <v>883262.17</v>
      </c>
      <c r="K325" s="69" t="e">
        <f>VLOOKUP(A325,#REF!,9,0)</f>
        <v>#REF!</v>
      </c>
      <c r="L325" s="74" t="e">
        <f t="shared" si="8"/>
        <v>#REF!</v>
      </c>
      <c r="N325" s="357"/>
    </row>
    <row r="326" spans="1:14" s="69" customFormat="1" ht="15" customHeight="1">
      <c r="A326" s="65" t="s">
        <v>307</v>
      </c>
      <c r="B326" s="72" t="s">
        <v>306</v>
      </c>
      <c r="C326" s="72" t="s">
        <v>186</v>
      </c>
      <c r="D326" s="76"/>
      <c r="E326" s="76"/>
      <c r="F326" s="75">
        <v>185598.23</v>
      </c>
      <c r="G326" s="75">
        <v>130634.03</v>
      </c>
      <c r="H326" s="75"/>
      <c r="I326" s="178">
        <v>55660.35</v>
      </c>
      <c r="J326" s="75">
        <f t="shared" si="9"/>
        <v>371892.61</v>
      </c>
      <c r="K326" s="69" t="e">
        <f>VLOOKUP(A326,#REF!,9,0)</f>
        <v>#REF!</v>
      </c>
      <c r="L326" s="74" t="e">
        <f t="shared" si="8"/>
        <v>#REF!</v>
      </c>
      <c r="N326" s="357">
        <f>371892.61-371788.3</f>
        <v>104.30999999999767</v>
      </c>
    </row>
    <row r="327" spans="1:14" s="69" customFormat="1" ht="15" customHeight="1">
      <c r="A327" s="65" t="s">
        <v>305</v>
      </c>
      <c r="B327" s="72" t="s">
        <v>304</v>
      </c>
      <c r="C327" s="72" t="s">
        <v>184</v>
      </c>
      <c r="D327" s="76"/>
      <c r="E327" s="76"/>
      <c r="F327" s="75">
        <v>208648.98</v>
      </c>
      <c r="G327" s="75">
        <v>544900.68000000005</v>
      </c>
      <c r="H327" s="75"/>
      <c r="I327" s="75"/>
      <c r="J327" s="75">
        <f t="shared" si="9"/>
        <v>753549.66</v>
      </c>
      <c r="K327" s="69" t="e">
        <f>VLOOKUP(A327,#REF!,9,0)</f>
        <v>#REF!</v>
      </c>
      <c r="L327" s="74" t="e">
        <f t="shared" si="8"/>
        <v>#REF!</v>
      </c>
      <c r="N327" s="357"/>
    </row>
    <row r="328" spans="1:14" s="69" customFormat="1" ht="15" customHeight="1">
      <c r="A328" s="65" t="s">
        <v>303</v>
      </c>
      <c r="B328" s="72" t="s">
        <v>302</v>
      </c>
      <c r="C328" s="72" t="s">
        <v>184</v>
      </c>
      <c r="D328" s="76"/>
      <c r="E328" s="76"/>
      <c r="F328" s="75">
        <v>283655.61</v>
      </c>
      <c r="G328" s="75">
        <v>486947.47</v>
      </c>
      <c r="H328" s="75"/>
      <c r="I328" s="75">
        <v>7352.9</v>
      </c>
      <c r="J328" s="75">
        <f t="shared" si="9"/>
        <v>777955.98</v>
      </c>
      <c r="K328" s="69" t="e">
        <f>VLOOKUP(A328,#REF!,9,0)</f>
        <v>#REF!</v>
      </c>
      <c r="L328" s="74" t="e">
        <f t="shared" si="8"/>
        <v>#REF!</v>
      </c>
      <c r="N328" s="357"/>
    </row>
    <row r="329" spans="1:14" s="69" customFormat="1" ht="15" customHeight="1">
      <c r="A329" s="65" t="s">
        <v>301</v>
      </c>
      <c r="B329" s="72" t="s">
        <v>300</v>
      </c>
      <c r="C329" s="72" t="s">
        <v>183</v>
      </c>
      <c r="D329" s="76"/>
      <c r="E329" s="76"/>
      <c r="F329" s="75">
        <v>305062.92</v>
      </c>
      <c r="G329" s="75">
        <v>585226.12</v>
      </c>
      <c r="H329" s="75"/>
      <c r="I329" s="178">
        <v>43563.73</v>
      </c>
      <c r="J329" s="75">
        <f t="shared" si="9"/>
        <v>933852.77</v>
      </c>
      <c r="K329" s="69" t="e">
        <f>VLOOKUP(A329,#REF!,9,0)</f>
        <v>#REF!</v>
      </c>
      <c r="L329" s="74" t="e">
        <f t="shared" si="8"/>
        <v>#REF!</v>
      </c>
      <c r="N329" s="357">
        <f>933852.77-32230.17</f>
        <v>901622.6</v>
      </c>
    </row>
    <row r="330" spans="1:14" s="69" customFormat="1" ht="15" customHeight="1">
      <c r="A330" s="65" t="s">
        <v>299</v>
      </c>
      <c r="B330" s="72" t="s">
        <v>298</v>
      </c>
      <c r="C330" s="72" t="s">
        <v>183</v>
      </c>
      <c r="D330" s="76"/>
      <c r="E330" s="76"/>
      <c r="F330" s="75"/>
      <c r="G330" s="75">
        <v>12763.97</v>
      </c>
      <c r="H330" s="75"/>
      <c r="I330" s="75"/>
      <c r="J330" s="75">
        <f t="shared" si="9"/>
        <v>12763.97</v>
      </c>
      <c r="K330" s="69" t="e">
        <f>VLOOKUP(A330,#REF!,9,0)</f>
        <v>#REF!</v>
      </c>
      <c r="L330" s="74" t="e">
        <f t="shared" si="8"/>
        <v>#REF!</v>
      </c>
      <c r="N330" s="357"/>
    </row>
    <row r="331" spans="1:14" s="69" customFormat="1" ht="15" customHeight="1">
      <c r="A331" s="65" t="s">
        <v>297</v>
      </c>
      <c r="B331" s="72" t="s">
        <v>296</v>
      </c>
      <c r="C331" s="72" t="s">
        <v>183</v>
      </c>
      <c r="D331" s="76"/>
      <c r="E331" s="76">
        <v>42839.26</v>
      </c>
      <c r="F331" s="75">
        <v>1012377.76</v>
      </c>
      <c r="G331" s="75">
        <v>796149.73</v>
      </c>
      <c r="H331" s="75"/>
      <c r="I331" s="178">
        <v>68748.42</v>
      </c>
      <c r="J331" s="75">
        <f t="shared" si="9"/>
        <v>1920115.17</v>
      </c>
      <c r="K331" s="69" t="e">
        <f>VLOOKUP(A331,#REF!,9,0)</f>
        <v>#REF!</v>
      </c>
      <c r="L331" s="74" t="e">
        <f t="shared" si="8"/>
        <v>#REF!</v>
      </c>
      <c r="N331" s="357">
        <f>1920115.17-1912181.85</f>
        <v>7933.3199999998324</v>
      </c>
    </row>
    <row r="332" spans="1:14" s="69" customFormat="1" ht="15" customHeight="1">
      <c r="A332" s="65" t="s">
        <v>295</v>
      </c>
      <c r="B332" s="72" t="s">
        <v>294</v>
      </c>
      <c r="C332" s="72" t="s">
        <v>186</v>
      </c>
      <c r="D332" s="76"/>
      <c r="E332" s="76"/>
      <c r="F332" s="75"/>
      <c r="G332" s="75">
        <v>10357.370000000001</v>
      </c>
      <c r="H332" s="75"/>
      <c r="I332" s="75"/>
      <c r="J332" s="75">
        <f t="shared" si="9"/>
        <v>10357.370000000001</v>
      </c>
      <c r="K332" s="69" t="e">
        <f>VLOOKUP(A332,#REF!,9,0)</f>
        <v>#REF!</v>
      </c>
      <c r="L332" s="74" t="e">
        <f t="shared" si="8"/>
        <v>#REF!</v>
      </c>
      <c r="N332" s="357"/>
    </row>
    <row r="333" spans="1:14" s="69" customFormat="1" ht="15" customHeight="1">
      <c r="A333" s="65" t="s">
        <v>293</v>
      </c>
      <c r="B333" s="72" t="s">
        <v>292</v>
      </c>
      <c r="C333" s="72" t="s">
        <v>183</v>
      </c>
      <c r="D333" s="76"/>
      <c r="E333" s="76"/>
      <c r="F333" s="75">
        <v>75505.61</v>
      </c>
      <c r="G333" s="75">
        <v>148194.74</v>
      </c>
      <c r="H333" s="75"/>
      <c r="I333" s="75">
        <v>3603.12</v>
      </c>
      <c r="J333" s="75">
        <f t="shared" si="9"/>
        <v>227303.46999999997</v>
      </c>
      <c r="K333" s="69" t="e">
        <f>VLOOKUP(A333,#REF!,9,0)</f>
        <v>#REF!</v>
      </c>
      <c r="L333" s="74" t="e">
        <f t="shared" si="8"/>
        <v>#REF!</v>
      </c>
      <c r="N333" s="357"/>
    </row>
    <row r="334" spans="1:14" s="69" customFormat="1" ht="15" customHeight="1">
      <c r="A334" s="65" t="s">
        <v>291</v>
      </c>
      <c r="B334" s="72" t="s">
        <v>290</v>
      </c>
      <c r="C334" s="72" t="s">
        <v>183</v>
      </c>
      <c r="D334" s="76"/>
      <c r="E334" s="76"/>
      <c r="F334" s="75"/>
      <c r="G334" s="75">
        <v>12726.26</v>
      </c>
      <c r="H334" s="75"/>
      <c r="I334" s="75">
        <v>3327.02</v>
      </c>
      <c r="J334" s="75">
        <f t="shared" si="9"/>
        <v>16053.28</v>
      </c>
      <c r="K334" s="69" t="e">
        <f>VLOOKUP(A334,#REF!,9,0)</f>
        <v>#REF!</v>
      </c>
      <c r="L334" s="74" t="e">
        <f t="shared" si="8"/>
        <v>#REF!</v>
      </c>
      <c r="N334" s="357"/>
    </row>
    <row r="335" spans="1:14" s="69" customFormat="1" ht="15" customHeight="1">
      <c r="A335" s="65" t="s">
        <v>289</v>
      </c>
      <c r="B335" s="72" t="s">
        <v>288</v>
      </c>
      <c r="C335" s="72" t="s">
        <v>186</v>
      </c>
      <c r="D335" s="76"/>
      <c r="E335" s="76"/>
      <c r="F335" s="75"/>
      <c r="G335" s="75">
        <v>26089.34</v>
      </c>
      <c r="H335" s="75"/>
      <c r="I335" s="75"/>
      <c r="J335" s="75">
        <f t="shared" si="9"/>
        <v>26089.34</v>
      </c>
      <c r="K335" s="69" t="e">
        <f>VLOOKUP(A335,#REF!,9,0)</f>
        <v>#REF!</v>
      </c>
      <c r="L335" s="74" t="e">
        <f t="shared" si="8"/>
        <v>#REF!</v>
      </c>
      <c r="N335" s="357"/>
    </row>
    <row r="336" spans="1:14" s="69" customFormat="1" ht="15" customHeight="1">
      <c r="A336" s="65" t="s">
        <v>287</v>
      </c>
      <c r="B336" s="72" t="s">
        <v>286</v>
      </c>
      <c r="C336" s="72" t="s">
        <v>183</v>
      </c>
      <c r="D336" s="76"/>
      <c r="E336" s="76"/>
      <c r="F336" s="75"/>
      <c r="G336" s="75">
        <v>19230.82</v>
      </c>
      <c r="H336" s="75"/>
      <c r="I336" s="75"/>
      <c r="J336" s="75">
        <f t="shared" si="9"/>
        <v>19230.82</v>
      </c>
      <c r="K336" s="69" t="e">
        <f>VLOOKUP(A336,#REF!,9,0)</f>
        <v>#REF!</v>
      </c>
      <c r="L336" s="74" t="e">
        <f t="shared" si="8"/>
        <v>#REF!</v>
      </c>
      <c r="N336" s="357"/>
    </row>
    <row r="337" spans="1:14" s="69" customFormat="1" ht="15" customHeight="1">
      <c r="A337" s="65" t="s">
        <v>285</v>
      </c>
      <c r="B337" s="72" t="s">
        <v>284</v>
      </c>
      <c r="C337" s="72" t="s">
        <v>183</v>
      </c>
      <c r="D337" s="76"/>
      <c r="E337" s="76"/>
      <c r="F337" s="75"/>
      <c r="G337" s="75">
        <v>8774.4500000000007</v>
      </c>
      <c r="H337" s="75"/>
      <c r="I337" s="75">
        <v>2425.81</v>
      </c>
      <c r="J337" s="75">
        <f t="shared" si="9"/>
        <v>11200.26</v>
      </c>
      <c r="K337" s="69" t="e">
        <f>VLOOKUP(A337,#REF!,9,0)</f>
        <v>#REF!</v>
      </c>
      <c r="L337" s="74" t="e">
        <f t="shared" si="8"/>
        <v>#REF!</v>
      </c>
      <c r="N337" s="357"/>
    </row>
    <row r="338" spans="1:14" s="69" customFormat="1" ht="15" customHeight="1">
      <c r="A338" s="65" t="s">
        <v>283</v>
      </c>
      <c r="B338" s="72" t="s">
        <v>282</v>
      </c>
      <c r="C338" s="72" t="s">
        <v>186</v>
      </c>
      <c r="D338" s="76"/>
      <c r="E338" s="76"/>
      <c r="F338" s="75"/>
      <c r="G338" s="75">
        <v>160843.42000000001</v>
      </c>
      <c r="H338" s="75"/>
      <c r="I338" s="75"/>
      <c r="J338" s="75">
        <f t="shared" si="9"/>
        <v>160843.42000000001</v>
      </c>
      <c r="K338" s="69" t="e">
        <f>VLOOKUP(A338,#REF!,9,0)</f>
        <v>#REF!</v>
      </c>
      <c r="L338" s="74" t="e">
        <f t="shared" si="8"/>
        <v>#REF!</v>
      </c>
      <c r="N338" s="357"/>
    </row>
    <row r="339" spans="1:14" s="69" customFormat="1" ht="15" customHeight="1">
      <c r="A339" s="65" t="s">
        <v>1099</v>
      </c>
      <c r="B339" s="72" t="s">
        <v>1100</v>
      </c>
      <c r="C339" s="72" t="s">
        <v>186</v>
      </c>
      <c r="D339" s="76"/>
      <c r="E339" s="76"/>
      <c r="F339" s="75"/>
      <c r="G339" s="75"/>
      <c r="H339" s="75"/>
      <c r="I339" s="75">
        <v>1166727.6499999999</v>
      </c>
      <c r="J339" s="75">
        <f t="shared" si="9"/>
        <v>1166727.6499999999</v>
      </c>
      <c r="K339" s="69" t="e">
        <f>VLOOKUP(A339,#REF!,9,0)</f>
        <v>#REF!</v>
      </c>
      <c r="L339" s="74"/>
      <c r="N339" s="357">
        <f>1166727.65-1166701.13</f>
        <v>26.520000000018626</v>
      </c>
    </row>
    <row r="340" spans="1:14" s="69" customFormat="1" ht="15" customHeight="1">
      <c r="A340" s="65" t="s">
        <v>281</v>
      </c>
      <c r="B340" s="72" t="s">
        <v>280</v>
      </c>
      <c r="C340" s="72" t="s">
        <v>186</v>
      </c>
      <c r="D340" s="76"/>
      <c r="E340" s="76"/>
      <c r="F340" s="75"/>
      <c r="G340" s="75">
        <v>14707.28</v>
      </c>
      <c r="H340" s="75"/>
      <c r="I340" s="75"/>
      <c r="J340" s="75">
        <f t="shared" si="9"/>
        <v>14707.28</v>
      </c>
      <c r="K340" s="69" t="e">
        <f>VLOOKUP(A340,#REF!,9,0)</f>
        <v>#REF!</v>
      </c>
      <c r="L340" s="74" t="e">
        <f t="shared" si="8"/>
        <v>#REF!</v>
      </c>
      <c r="N340" s="357"/>
    </row>
    <row r="341" spans="1:14" s="69" customFormat="1" ht="15" customHeight="1">
      <c r="A341" s="65" t="s">
        <v>279</v>
      </c>
      <c r="B341" s="72" t="s">
        <v>278</v>
      </c>
      <c r="C341" s="72"/>
      <c r="D341" s="76"/>
      <c r="E341" s="76"/>
      <c r="F341" s="75"/>
      <c r="G341" s="75"/>
      <c r="H341" s="75"/>
      <c r="I341" s="75">
        <v>5672.71</v>
      </c>
      <c r="J341" s="75">
        <f t="shared" si="9"/>
        <v>5672.71</v>
      </c>
      <c r="K341" s="69" t="e">
        <f>VLOOKUP(A341,#REF!,9,0)</f>
        <v>#REF!</v>
      </c>
      <c r="L341" s="74" t="e">
        <f t="shared" si="8"/>
        <v>#REF!</v>
      </c>
      <c r="N341" s="357"/>
    </row>
    <row r="342" spans="1:14" s="69" customFormat="1" ht="15" customHeight="1">
      <c r="A342" s="65" t="s">
        <v>159</v>
      </c>
      <c r="B342" s="72" t="s">
        <v>277</v>
      </c>
      <c r="C342" s="95" t="s">
        <v>224</v>
      </c>
      <c r="D342" s="71"/>
      <c r="E342" s="71">
        <v>1014017.77</v>
      </c>
      <c r="F342" s="70"/>
      <c r="G342" s="70"/>
      <c r="H342" s="70"/>
      <c r="I342" s="70"/>
      <c r="J342" s="70">
        <f t="shared" si="9"/>
        <v>1014017.77</v>
      </c>
      <c r="N342" s="357"/>
    </row>
    <row r="343" spans="1:14" s="65" customFormat="1" ht="15" customHeight="1">
      <c r="B343" s="68" t="s">
        <v>276</v>
      </c>
      <c r="C343" s="68"/>
      <c r="D343" s="66">
        <f t="shared" ref="D343:I343" si="10">SUM(D7:D342)</f>
        <v>332186.82</v>
      </c>
      <c r="E343" s="66">
        <f t="shared" si="10"/>
        <v>2354218.37</v>
      </c>
      <c r="F343" s="66">
        <f t="shared" si="10"/>
        <v>41464829.449999981</v>
      </c>
      <c r="G343" s="66">
        <f t="shared" si="10"/>
        <v>118136230.71999994</v>
      </c>
      <c r="H343" s="66">
        <f t="shared" si="10"/>
        <v>13333.96</v>
      </c>
      <c r="I343" s="66">
        <f t="shared" si="10"/>
        <v>107425292.09999998</v>
      </c>
      <c r="J343" s="67">
        <f>SUM(D343:I343)</f>
        <v>269726091.4199999</v>
      </c>
      <c r="N343" s="299">
        <f>SUM(N7:N342)</f>
        <v>8742616.1999999993</v>
      </c>
    </row>
    <row r="344" spans="1:14" s="54" customFormat="1" ht="15.75">
      <c r="D344" s="59"/>
      <c r="E344" s="59">
        <f>+E343-E342</f>
        <v>1340200.6000000001</v>
      </c>
      <c r="F344" s="259">
        <f>+F343</f>
        <v>41464829.449999981</v>
      </c>
      <c r="G344" s="259">
        <f>+G343</f>
        <v>118136230.71999994</v>
      </c>
      <c r="H344" s="259"/>
      <c r="I344" s="259"/>
      <c r="J344" s="64">
        <f>SUM(E344:I344)</f>
        <v>160941260.76999992</v>
      </c>
      <c r="N344" s="12"/>
    </row>
    <row r="345" spans="1:14" s="54" customFormat="1" ht="15.75">
      <c r="D345" s="59"/>
      <c r="E345" s="59"/>
      <c r="F345" s="259"/>
      <c r="G345" s="259"/>
      <c r="H345" s="259"/>
      <c r="I345" s="259"/>
      <c r="J345" s="64" t="s">
        <v>1277</v>
      </c>
      <c r="N345" s="12"/>
    </row>
    <row r="346" spans="1:14" s="54" customFormat="1">
      <c r="D346" s="59"/>
      <c r="E346" s="59">
        <f>+E343</f>
        <v>2354218.37</v>
      </c>
      <c r="F346" s="259">
        <f>+F343</f>
        <v>41464829.449999981</v>
      </c>
      <c r="G346" s="259">
        <f>+G343</f>
        <v>118136230.71999994</v>
      </c>
      <c r="J346" s="260">
        <f>+J344+J342</f>
        <v>161955278.53999993</v>
      </c>
      <c r="N346" s="12"/>
    </row>
    <row r="347" spans="1:14" s="54" customFormat="1" ht="15.75">
      <c r="D347" s="59"/>
      <c r="E347" s="59"/>
      <c r="J347" s="64" t="s">
        <v>1278</v>
      </c>
      <c r="N347" s="12"/>
    </row>
    <row r="348" spans="1:14" s="54" customFormat="1">
      <c r="D348" s="59"/>
      <c r="E348" s="59"/>
      <c r="J348" s="260"/>
      <c r="N348" s="12"/>
    </row>
    <row r="349" spans="1:14" s="54" customFormat="1">
      <c r="B349" s="54" t="s">
        <v>1629</v>
      </c>
      <c r="D349" s="59">
        <f>16661.64+315525.18</f>
        <v>332186.82</v>
      </c>
      <c r="E349" s="59">
        <v>2354218.37</v>
      </c>
      <c r="F349" s="59">
        <v>41631974.880000003</v>
      </c>
      <c r="G349" s="59">
        <v>118355366.7</v>
      </c>
      <c r="H349" s="59">
        <f>+H343</f>
        <v>13333.96</v>
      </c>
      <c r="I349" s="59">
        <f>+I343</f>
        <v>107425292.09999998</v>
      </c>
      <c r="J349" s="63">
        <f>SUM(D349:I349)</f>
        <v>270112372.82999998</v>
      </c>
      <c r="N349" s="12"/>
    </row>
    <row r="350" spans="1:14" s="54" customFormat="1">
      <c r="B350" s="6" t="s">
        <v>1632</v>
      </c>
      <c r="D350" s="59">
        <f>+D343-D349</f>
        <v>0</v>
      </c>
      <c r="E350" s="59">
        <f t="shared" ref="E350:G350" si="11">+E343-E349</f>
        <v>0</v>
      </c>
      <c r="F350" s="59">
        <f t="shared" si="11"/>
        <v>-167145.43000002205</v>
      </c>
      <c r="G350" s="59">
        <f t="shared" si="11"/>
        <v>-219135.98000006378</v>
      </c>
      <c r="H350" s="59"/>
      <c r="J350" s="63">
        <f>SUM(D350:I350)</f>
        <v>-386281.41000008583</v>
      </c>
      <c r="N350" s="12"/>
    </row>
    <row r="351" spans="1:14" s="54" customFormat="1">
      <c r="B351" s="6"/>
      <c r="D351" s="59"/>
      <c r="E351" s="59"/>
      <c r="F351" s="59"/>
      <c r="G351" s="59"/>
      <c r="H351" s="59"/>
      <c r="J351" s="63"/>
      <c r="N351" s="12"/>
    </row>
    <row r="352" spans="1:14" s="54" customFormat="1">
      <c r="B352" s="51"/>
      <c r="D352" s="59"/>
      <c r="E352" s="59"/>
      <c r="F352" s="59"/>
      <c r="G352" s="59"/>
      <c r="H352" s="59"/>
      <c r="I352" s="59"/>
      <c r="N352" s="12"/>
    </row>
    <row r="353" spans="2:14" s="54" customFormat="1">
      <c r="B353" s="15" t="s">
        <v>1160</v>
      </c>
      <c r="D353" s="62"/>
      <c r="E353" s="62"/>
      <c r="F353" s="378"/>
      <c r="G353" s="378"/>
      <c r="H353" s="61"/>
      <c r="I353" s="61"/>
      <c r="J353" s="380">
        <f>SUM(D353:I353)</f>
        <v>0</v>
      </c>
      <c r="N353" s="12"/>
    </row>
    <row r="354" spans="2:14" s="54" customFormat="1">
      <c r="B354" s="54" t="s">
        <v>147</v>
      </c>
      <c r="D354" s="56">
        <f>+D349+D353</f>
        <v>332186.82</v>
      </c>
      <c r="E354" s="56">
        <f t="shared" ref="E354:J354" si="12">+E349+E353</f>
        <v>2354218.37</v>
      </c>
      <c r="F354" s="56">
        <f>+F349+SUM(F350:F353)</f>
        <v>41464829.449999981</v>
      </c>
      <c r="G354" s="56">
        <f>+G349+SUM(G350:G353)</f>
        <v>118136230.71999994</v>
      </c>
      <c r="H354" s="56">
        <f t="shared" si="12"/>
        <v>13333.96</v>
      </c>
      <c r="I354" s="56">
        <f t="shared" si="12"/>
        <v>107425292.09999998</v>
      </c>
      <c r="J354" s="56">
        <f t="shared" si="12"/>
        <v>270112372.82999998</v>
      </c>
      <c r="N354" s="12"/>
    </row>
    <row r="355" spans="2:14" s="54" customFormat="1">
      <c r="D355" s="379">
        <f>+D343-D354</f>
        <v>0</v>
      </c>
      <c r="E355" s="379">
        <f t="shared" ref="E355:J355" si="13">+E343-E354</f>
        <v>0</v>
      </c>
      <c r="F355" s="379">
        <f t="shared" si="13"/>
        <v>0</v>
      </c>
      <c r="G355" s="379">
        <f t="shared" si="13"/>
        <v>0</v>
      </c>
      <c r="H355" s="379">
        <f t="shared" si="13"/>
        <v>0</v>
      </c>
      <c r="I355" s="379">
        <f t="shared" si="13"/>
        <v>0</v>
      </c>
      <c r="J355" s="379">
        <f t="shared" si="13"/>
        <v>-386281.41000008583</v>
      </c>
      <c r="N355" s="12"/>
    </row>
    <row r="356" spans="2:14" s="54" customFormat="1">
      <c r="D356" s="59"/>
      <c r="E356" s="59"/>
      <c r="N356" s="12"/>
    </row>
    <row r="357" spans="2:14" s="54" customFormat="1">
      <c r="B357" s="54" t="s">
        <v>1630</v>
      </c>
      <c r="D357" s="56">
        <f>16661.64+315525.18</f>
        <v>332186.82</v>
      </c>
      <c r="E357" s="56">
        <v>2354218.37</v>
      </c>
      <c r="F357" s="56">
        <v>41631974.880000003</v>
      </c>
      <c r="G357" s="56">
        <v>118355366.7</v>
      </c>
      <c r="H357" s="56">
        <f>+H343</f>
        <v>13333.96</v>
      </c>
      <c r="I357" s="56">
        <f>+I343</f>
        <v>107425292.09999998</v>
      </c>
      <c r="J357" s="60">
        <f>SUM(D357:I357)</f>
        <v>270112372.82999998</v>
      </c>
      <c r="N357" s="12"/>
    </row>
    <row r="358" spans="2:14" s="54" customFormat="1">
      <c r="B358" s="54" t="s">
        <v>275</v>
      </c>
      <c r="D358" s="59">
        <f>+D357-D349</f>
        <v>0</v>
      </c>
      <c r="E358" s="59">
        <f t="shared" ref="E358:J358" si="14">+E357-E349</f>
        <v>0</v>
      </c>
      <c r="F358" s="59">
        <f t="shared" si="14"/>
        <v>0</v>
      </c>
      <c r="G358" s="59">
        <f t="shared" si="14"/>
        <v>0</v>
      </c>
      <c r="H358" s="59"/>
      <c r="I358" s="59">
        <f t="shared" si="14"/>
        <v>0</v>
      </c>
      <c r="J358" s="59">
        <f t="shared" si="14"/>
        <v>0</v>
      </c>
      <c r="N358" s="12"/>
    </row>
    <row r="359" spans="2:14" s="54" customFormat="1">
      <c r="D359" s="59"/>
      <c r="E359" s="59"/>
      <c r="N359" s="12"/>
    </row>
    <row r="360" spans="2:14">
      <c r="B360" s="6" t="s">
        <v>1632</v>
      </c>
      <c r="C360" s="54"/>
      <c r="D360" s="59"/>
      <c r="E360" s="59"/>
      <c r="F360" s="59">
        <v>-167145.43</v>
      </c>
      <c r="G360" s="59">
        <v>-219135.98</v>
      </c>
    </row>
    <row r="361" spans="2:14">
      <c r="B361" s="6"/>
      <c r="C361" s="54"/>
      <c r="D361" s="59"/>
      <c r="E361" s="59"/>
      <c r="F361" s="59"/>
      <c r="G361" s="59"/>
    </row>
    <row r="362" spans="2:14">
      <c r="B362" s="15" t="s">
        <v>1160</v>
      </c>
      <c r="D362" s="58"/>
      <c r="E362" s="58"/>
      <c r="F362" s="378"/>
      <c r="G362" s="378"/>
      <c r="H362" s="57"/>
      <c r="I362" s="57"/>
      <c r="J362" s="62">
        <f>SUM(D362:I362)</f>
        <v>0</v>
      </c>
    </row>
    <row r="363" spans="2:14">
      <c r="B363" s="54" t="s">
        <v>148</v>
      </c>
      <c r="D363" s="56">
        <f>+D357+D362</f>
        <v>332186.82</v>
      </c>
      <c r="E363" s="56">
        <f t="shared" ref="E363:I363" si="15">+E357+E362</f>
        <v>2354218.37</v>
      </c>
      <c r="F363" s="56">
        <f>+F357+SUM(F359:F362)</f>
        <v>41464829.450000003</v>
      </c>
      <c r="G363" s="56">
        <f>+G357+SUM(G359:G362)</f>
        <v>118136230.72</v>
      </c>
      <c r="H363" s="56">
        <f t="shared" si="15"/>
        <v>13333.96</v>
      </c>
      <c r="I363" s="56">
        <f t="shared" si="15"/>
        <v>107425292.09999998</v>
      </c>
      <c r="J363" s="56">
        <f>+J357+J362</f>
        <v>270112372.82999998</v>
      </c>
    </row>
    <row r="364" spans="2:14">
      <c r="D364" s="53">
        <f>+D363-D354</f>
        <v>0</v>
      </c>
      <c r="E364" s="53">
        <f t="shared" ref="E364:J364" si="16">+E363-E354</f>
        <v>0</v>
      </c>
      <c r="F364" s="53">
        <f t="shared" si="16"/>
        <v>0</v>
      </c>
      <c r="G364" s="53">
        <f>+G363-G354</f>
        <v>0</v>
      </c>
      <c r="H364" s="53">
        <f t="shared" si="16"/>
        <v>0</v>
      </c>
      <c r="I364" s="53">
        <f t="shared" si="16"/>
        <v>0</v>
      </c>
      <c r="J364" s="53">
        <f t="shared" si="16"/>
        <v>0</v>
      </c>
    </row>
    <row r="367" spans="2:14">
      <c r="B367" s="32"/>
    </row>
    <row r="368" spans="2:14">
      <c r="B368" s="32"/>
    </row>
  </sheetData>
  <pageMargins left="0.25" right="0.25" top="0.25" bottom="0.25" header="0.5" footer="0.5"/>
  <pageSetup scale="4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O293"/>
  <sheetViews>
    <sheetView tabSelected="1" topLeftCell="C1" zoomScale="87" zoomScaleNormal="87" zoomScaleSheetLayoutView="100" workbookViewId="0">
      <pane ySplit="8" topLeftCell="A9" activePane="bottomLeft" state="frozen"/>
      <selection pane="bottomLeft" activeCell="N215" sqref="N215"/>
    </sheetView>
  </sheetViews>
  <sheetFormatPr defaultColWidth="9.77734375" defaultRowHeight="15"/>
  <cols>
    <col min="1" max="1" width="4.5546875" bestFit="1" customWidth="1"/>
    <col min="2" max="2" width="9.5546875" customWidth="1"/>
    <col min="3" max="3" width="41.77734375" style="408" customWidth="1"/>
    <col min="4" max="4" width="14.33203125" bestFit="1" customWidth="1"/>
    <col min="5" max="5" width="15.6640625" style="7" customWidth="1"/>
    <col min="6" max="6" width="11.77734375" bestFit="1" customWidth="1"/>
    <col min="7" max="7" width="14.44140625" bestFit="1" customWidth="1"/>
    <col min="8" max="8" width="15.33203125" customWidth="1"/>
    <col min="9" max="9" width="15.44140625" bestFit="1" customWidth="1"/>
    <col min="10" max="10" width="16.109375" bestFit="1" customWidth="1"/>
    <col min="11" max="11" width="14.88671875" customWidth="1"/>
    <col min="12" max="12" width="10.109375" bestFit="1" customWidth="1"/>
    <col min="13" max="14" width="15" bestFit="1" customWidth="1"/>
    <col min="15" max="15" width="10.6640625" bestFit="1" customWidth="1"/>
  </cols>
  <sheetData>
    <row r="1" spans="1:15">
      <c r="A1" s="1"/>
      <c r="B1" s="1"/>
      <c r="C1" s="406" t="s">
        <v>0</v>
      </c>
      <c r="E1" s="242" t="s">
        <v>1056</v>
      </c>
      <c r="F1" s="243"/>
      <c r="G1" s="243"/>
      <c r="H1" s="243"/>
      <c r="I1" s="243"/>
      <c r="J1" s="243"/>
      <c r="K1" s="15"/>
      <c r="L1" s="6"/>
      <c r="M1" s="6"/>
    </row>
    <row r="2" spans="1:15">
      <c r="A2" s="11"/>
      <c r="B2" s="11"/>
      <c r="C2" s="407" t="s">
        <v>1306</v>
      </c>
      <c r="E2" s="230" t="s">
        <v>1054</v>
      </c>
      <c r="F2" s="231"/>
      <c r="G2" s="231"/>
      <c r="H2" s="231"/>
      <c r="I2" s="231"/>
    </row>
    <row r="3" spans="1:15">
      <c r="E3" s="427" t="s">
        <v>1235</v>
      </c>
      <c r="F3" s="276"/>
      <c r="G3" s="276"/>
      <c r="H3" s="6"/>
      <c r="I3" s="6"/>
      <c r="J3" s="6"/>
    </row>
    <row r="4" spans="1:15">
      <c r="E4" s="180" t="s">
        <v>1611</v>
      </c>
      <c r="F4" s="169"/>
      <c r="G4" s="169"/>
      <c r="H4" s="169"/>
      <c r="I4" s="6"/>
      <c r="J4" s="6"/>
    </row>
    <row r="5" spans="1:15">
      <c r="B5" s="1" t="s">
        <v>187</v>
      </c>
      <c r="E5" s="12" t="s">
        <v>196</v>
      </c>
      <c r="F5" s="6"/>
      <c r="G5" s="6"/>
      <c r="H5" s="6"/>
      <c r="I5" s="6"/>
      <c r="J5" s="6"/>
    </row>
    <row r="6" spans="1:15">
      <c r="B6" s="1" t="s">
        <v>188</v>
      </c>
      <c r="F6" s="1" t="s">
        <v>1</v>
      </c>
      <c r="G6" s="1" t="s">
        <v>2</v>
      </c>
      <c r="H6" s="1" t="s">
        <v>3</v>
      </c>
      <c r="J6" s="25" t="s">
        <v>220</v>
      </c>
      <c r="K6" s="25" t="s">
        <v>219</v>
      </c>
      <c r="L6" s="25" t="s">
        <v>221</v>
      </c>
      <c r="M6" s="35" t="s">
        <v>223</v>
      </c>
      <c r="N6" s="35" t="s">
        <v>224</v>
      </c>
    </row>
    <row r="7" spans="1:15">
      <c r="A7" s="1" t="s">
        <v>179</v>
      </c>
      <c r="B7" s="1" t="s">
        <v>189</v>
      </c>
      <c r="E7" s="8" t="s">
        <v>159</v>
      </c>
      <c r="F7" s="1" t="s">
        <v>4</v>
      </c>
      <c r="G7" s="1" t="s">
        <v>4</v>
      </c>
      <c r="H7" s="1" t="s">
        <v>5</v>
      </c>
      <c r="I7" s="1" t="s">
        <v>225</v>
      </c>
      <c r="J7" s="1" t="s">
        <v>197</v>
      </c>
      <c r="K7" s="1" t="s">
        <v>198</v>
      </c>
      <c r="L7" s="1" t="s">
        <v>200</v>
      </c>
      <c r="M7" s="1" t="s">
        <v>201</v>
      </c>
      <c r="N7" s="1" t="s">
        <v>202</v>
      </c>
    </row>
    <row r="8" spans="1:15">
      <c r="A8" s="4" t="s">
        <v>180</v>
      </c>
      <c r="B8" s="4" t="s">
        <v>182</v>
      </c>
      <c r="C8" s="409" t="s">
        <v>6</v>
      </c>
      <c r="D8" s="4" t="s">
        <v>7</v>
      </c>
      <c r="E8" s="9" t="s">
        <v>158</v>
      </c>
      <c r="F8" s="4" t="s">
        <v>8</v>
      </c>
      <c r="G8" s="4" t="s">
        <v>9</v>
      </c>
      <c r="H8" s="4" t="s">
        <v>10</v>
      </c>
      <c r="I8" s="4" t="s">
        <v>11</v>
      </c>
      <c r="J8" s="21" t="s">
        <v>216</v>
      </c>
      <c r="K8" s="21" t="s">
        <v>199</v>
      </c>
      <c r="L8" s="21" t="s">
        <v>204</v>
      </c>
      <c r="M8" s="21" t="s">
        <v>204</v>
      </c>
      <c r="N8" s="21" t="s">
        <v>203</v>
      </c>
    </row>
    <row r="9" spans="1:15">
      <c r="B9" s="15" t="s">
        <v>265</v>
      </c>
    </row>
    <row r="10" spans="1:15" s="6" customFormat="1">
      <c r="A10" s="5">
        <v>115</v>
      </c>
      <c r="B10" s="5" t="s">
        <v>186</v>
      </c>
      <c r="C10" s="390" t="s">
        <v>96</v>
      </c>
      <c r="D10" s="5" t="s">
        <v>97</v>
      </c>
      <c r="E10" s="10">
        <f>VLOOKUP($D10,'SMEPA Lines DECEMBER 2016'!$D:$H,2,0)</f>
        <v>0</v>
      </c>
      <c r="F10" s="10">
        <f>VLOOKUP($D10,'SMEPA Lines DECEMBER 2016'!$D:$H,3,0)</f>
        <v>0</v>
      </c>
      <c r="G10" s="10">
        <f>VLOOKUP($D10,'SMEPA Lines DECEMBER 2016'!$D:$H,4,0)</f>
        <v>0</v>
      </c>
      <c r="H10" s="10">
        <f>VLOOKUP($D10,'SMEPA Lines DECEMBER 2016'!$D:$H,5,0)</f>
        <v>0</v>
      </c>
      <c r="I10" s="3">
        <f t="shared" ref="I10:I55" si="0">SUM(E10:H10)</f>
        <v>0</v>
      </c>
      <c r="J10" s="3">
        <v>1.0000000000000001E-5</v>
      </c>
      <c r="L10" s="23">
        <f t="shared" ref="L10:L55" si="1">+ROUND(+K10/J10,2)</f>
        <v>0</v>
      </c>
      <c r="M10" s="16">
        <f>IF(L10=0,0,(I10*L10))</f>
        <v>0</v>
      </c>
      <c r="N10" s="22">
        <f t="shared" ref="N10:N55" si="2">+I10-M10</f>
        <v>0</v>
      </c>
    </row>
    <row r="11" spans="1:15" s="6" customFormat="1">
      <c r="A11" s="5">
        <v>115</v>
      </c>
      <c r="B11" s="5" t="s">
        <v>186</v>
      </c>
      <c r="C11" s="390" t="s">
        <v>98</v>
      </c>
      <c r="D11" s="5" t="s">
        <v>99</v>
      </c>
      <c r="E11" s="10">
        <f>VLOOKUP($D11,'SMEPA Lines DECEMBER 2016'!$D:$H,2,0)</f>
        <v>0</v>
      </c>
      <c r="F11" s="10">
        <f>VLOOKUP($D11,'SMEPA Lines DECEMBER 2016'!$D:$H,3,0)</f>
        <v>0</v>
      </c>
      <c r="G11" s="10">
        <f>VLOOKUP($D11,'SMEPA Lines DECEMBER 2016'!$D:$H,4,0)</f>
        <v>0</v>
      </c>
      <c r="H11" s="10">
        <f>VLOOKUP($D11,'SMEPA Lines DECEMBER 2016'!$D:$H,5,0)</f>
        <v>0</v>
      </c>
      <c r="I11" s="3">
        <f t="shared" si="0"/>
        <v>0</v>
      </c>
      <c r="J11" s="3">
        <v>1.0000000000000001E-5</v>
      </c>
      <c r="L11" s="23">
        <f t="shared" si="1"/>
        <v>0</v>
      </c>
      <c r="M11" s="16">
        <f t="shared" ref="M11:M55" si="3">IF(L11=0,0,(I11*L11))</f>
        <v>0</v>
      </c>
      <c r="N11" s="22">
        <f t="shared" si="2"/>
        <v>0</v>
      </c>
    </row>
    <row r="12" spans="1:15" s="6" customFormat="1">
      <c r="A12" s="5">
        <v>115</v>
      </c>
      <c r="B12" s="5" t="s">
        <v>186</v>
      </c>
      <c r="C12" s="396" t="s">
        <v>1468</v>
      </c>
      <c r="D12" s="5" t="s">
        <v>100</v>
      </c>
      <c r="E12" s="10">
        <f>VLOOKUP($D12,'SMEPA Lines DECEMBER 2016'!$D:$H,2,0)</f>
        <v>0</v>
      </c>
      <c r="F12" s="10">
        <f>VLOOKUP($D12,'SMEPA Lines DECEMBER 2016'!$D:$H,3,0)</f>
        <v>0</v>
      </c>
      <c r="G12" s="10">
        <f>VLOOKUP($D12,'SMEPA Lines DECEMBER 2016'!$D:$H,4,0)</f>
        <v>106679.41</v>
      </c>
      <c r="H12" s="10">
        <f>VLOOKUP($D12,'SMEPA Lines DECEMBER 2016'!$D:$H,5,0)</f>
        <v>53415.59</v>
      </c>
      <c r="I12" s="3">
        <f t="shared" si="0"/>
        <v>160095</v>
      </c>
      <c r="J12" s="6">
        <v>8.09</v>
      </c>
      <c r="L12" s="23">
        <f t="shared" si="1"/>
        <v>0</v>
      </c>
      <c r="M12" s="16">
        <f t="shared" si="3"/>
        <v>0</v>
      </c>
      <c r="N12" s="22">
        <f t="shared" si="2"/>
        <v>160095</v>
      </c>
    </row>
    <row r="13" spans="1:15" s="6" customFormat="1">
      <c r="A13" s="5">
        <v>115</v>
      </c>
      <c r="B13" s="5" t="s">
        <v>186</v>
      </c>
      <c r="C13" s="396" t="s">
        <v>1469</v>
      </c>
      <c r="D13" s="5" t="s">
        <v>101</v>
      </c>
      <c r="E13" s="10">
        <f>VLOOKUP($D13,'SMEPA Lines DECEMBER 2016'!$D:$H,2,0)</f>
        <v>0</v>
      </c>
      <c r="F13" s="10">
        <f>VLOOKUP($D13,'SMEPA Lines DECEMBER 2016'!$D:$H,3,0)</f>
        <v>0</v>
      </c>
      <c r="G13" s="10">
        <f>VLOOKUP($D13,'SMEPA Lines DECEMBER 2016'!$D:$H,4,0)</f>
        <v>68039.61</v>
      </c>
      <c r="H13" s="10">
        <f>VLOOKUP($D13,'SMEPA Lines DECEMBER 2016'!$D:$H,5,0)</f>
        <v>50929</v>
      </c>
      <c r="I13" s="3">
        <f t="shared" si="0"/>
        <v>118968.61</v>
      </c>
      <c r="J13" s="6">
        <v>3.35</v>
      </c>
      <c r="L13" s="23">
        <f t="shared" si="1"/>
        <v>0</v>
      </c>
      <c r="M13" s="16">
        <f t="shared" si="3"/>
        <v>0</v>
      </c>
      <c r="N13" s="22">
        <f t="shared" si="2"/>
        <v>118968.61</v>
      </c>
    </row>
    <row r="14" spans="1:15" s="6" customFormat="1">
      <c r="A14" s="5">
        <v>115</v>
      </c>
      <c r="B14" s="5" t="s">
        <v>186</v>
      </c>
      <c r="C14" s="396" t="s">
        <v>1550</v>
      </c>
      <c r="D14" s="5" t="s">
        <v>105</v>
      </c>
      <c r="E14" s="10">
        <f>VLOOKUP($D14,'SMEPA Lines DECEMBER 2016'!$D:$H,2,0)</f>
        <v>0</v>
      </c>
      <c r="F14" s="10">
        <f>VLOOKUP($D14,'SMEPA Lines DECEMBER 2016'!$D:$H,3,0)</f>
        <v>0</v>
      </c>
      <c r="G14" s="10">
        <f>VLOOKUP($D14,'SMEPA Lines DECEMBER 2016'!$D:$H,4,0)</f>
        <v>191475.74</v>
      </c>
      <c r="H14" s="10">
        <f>VLOOKUP($D14,'SMEPA Lines DECEMBER 2016'!$D:$H,5,0)</f>
        <v>144003.62</v>
      </c>
      <c r="I14" s="3">
        <f t="shared" si="0"/>
        <v>335479.36</v>
      </c>
      <c r="J14" s="6">
        <v>8.1199999999999992</v>
      </c>
      <c r="L14" s="23">
        <f t="shared" si="1"/>
        <v>0</v>
      </c>
      <c r="M14" s="16">
        <f t="shared" si="3"/>
        <v>0</v>
      </c>
      <c r="N14" s="22">
        <f t="shared" si="2"/>
        <v>335479.36</v>
      </c>
      <c r="O14" s="22"/>
    </row>
    <row r="15" spans="1:15" s="6" customFormat="1">
      <c r="A15" s="5">
        <v>115</v>
      </c>
      <c r="B15" s="5" t="s">
        <v>186</v>
      </c>
      <c r="C15" s="390" t="s">
        <v>107</v>
      </c>
      <c r="D15" s="5" t="s">
        <v>108</v>
      </c>
      <c r="E15" s="10">
        <f>VLOOKUP($D15,'SMEPA Lines DECEMBER 2016'!$D:$H,2,0)</f>
        <v>0</v>
      </c>
      <c r="F15" s="10">
        <f>VLOOKUP($D15,'SMEPA Lines DECEMBER 2016'!$D:$H,3,0)</f>
        <v>0</v>
      </c>
      <c r="G15" s="10">
        <f>VLOOKUP($D15,'SMEPA Lines DECEMBER 2016'!$D:$H,4,0)</f>
        <v>0</v>
      </c>
      <c r="H15" s="10">
        <f>VLOOKUP($D15,'SMEPA Lines DECEMBER 2016'!$D:$H,5,0)</f>
        <v>0</v>
      </c>
      <c r="I15" s="3">
        <f t="shared" si="0"/>
        <v>0</v>
      </c>
      <c r="J15" s="3">
        <v>1.0000000000000001E-5</v>
      </c>
      <c r="L15" s="23">
        <f t="shared" si="1"/>
        <v>0</v>
      </c>
      <c r="M15" s="16">
        <f t="shared" si="3"/>
        <v>0</v>
      </c>
      <c r="N15" s="22">
        <f t="shared" si="2"/>
        <v>0</v>
      </c>
      <c r="O15" s="22"/>
    </row>
    <row r="16" spans="1:15" s="6" customFormat="1">
      <c r="A16" s="5">
        <v>115</v>
      </c>
      <c r="B16" s="5" t="s">
        <v>186</v>
      </c>
      <c r="C16" s="396" t="s">
        <v>1551</v>
      </c>
      <c r="D16" s="5" t="s">
        <v>109</v>
      </c>
      <c r="E16" s="10">
        <f>VLOOKUP($D16,'SMEPA Lines DECEMBER 2016'!$D:$H,2,0)</f>
        <v>0</v>
      </c>
      <c r="F16" s="10">
        <f>VLOOKUP($D16,'SMEPA Lines DECEMBER 2016'!$D:$H,3,0)</f>
        <v>0</v>
      </c>
      <c r="G16" s="10">
        <f>VLOOKUP($D16,'SMEPA Lines DECEMBER 2016'!$D:$H,4,0)</f>
        <v>45591.5</v>
      </c>
      <c r="H16" s="10">
        <f>VLOOKUP($D16,'SMEPA Lines DECEMBER 2016'!$D:$H,5,0)</f>
        <v>15256.39</v>
      </c>
      <c r="I16" s="3">
        <f t="shared" si="0"/>
        <v>60847.89</v>
      </c>
      <c r="J16" s="6">
        <v>0.36</v>
      </c>
      <c r="L16" s="23">
        <f t="shared" si="1"/>
        <v>0</v>
      </c>
      <c r="M16" s="16">
        <f t="shared" si="3"/>
        <v>0</v>
      </c>
      <c r="N16" s="22">
        <f t="shared" si="2"/>
        <v>60847.89</v>
      </c>
    </row>
    <row r="17" spans="1:14" s="6" customFormat="1">
      <c r="A17" s="5">
        <v>115</v>
      </c>
      <c r="B17" s="5" t="s">
        <v>186</v>
      </c>
      <c r="C17" s="396" t="s">
        <v>1477</v>
      </c>
      <c r="D17" s="5" t="s">
        <v>110</v>
      </c>
      <c r="E17" s="10">
        <f>VLOOKUP($D17,'SMEPA Lines DECEMBER 2016'!$D:$H,2,0)</f>
        <v>0</v>
      </c>
      <c r="F17" s="10">
        <f>VLOOKUP($D17,'SMEPA Lines DECEMBER 2016'!$D:$H,3,0)</f>
        <v>0</v>
      </c>
      <c r="G17" s="10">
        <f>VLOOKUP($D17,'SMEPA Lines DECEMBER 2016'!$D:$H,4,0)</f>
        <v>898749.82</v>
      </c>
      <c r="H17" s="10">
        <f>VLOOKUP($D17,'SMEPA Lines DECEMBER 2016'!$D:$H,5,0)</f>
        <v>712179.66</v>
      </c>
      <c r="I17" s="3">
        <f t="shared" si="0"/>
        <v>1610929.48</v>
      </c>
      <c r="J17" s="6">
        <v>7.8</v>
      </c>
      <c r="L17" s="23">
        <f t="shared" si="1"/>
        <v>0</v>
      </c>
      <c r="M17" s="16">
        <f t="shared" si="3"/>
        <v>0</v>
      </c>
      <c r="N17" s="22">
        <f t="shared" si="2"/>
        <v>1610929.48</v>
      </c>
    </row>
    <row r="18" spans="1:14" s="6" customFormat="1">
      <c r="A18" s="5">
        <v>115</v>
      </c>
      <c r="B18" s="5" t="s">
        <v>186</v>
      </c>
      <c r="C18" s="396" t="s">
        <v>1478</v>
      </c>
      <c r="D18" s="5" t="s">
        <v>111</v>
      </c>
      <c r="E18" s="10">
        <f>VLOOKUP($D18,'SMEPA Lines DECEMBER 2016'!$D:$H,2,0)</f>
        <v>0</v>
      </c>
      <c r="F18" s="10">
        <f>VLOOKUP($D18,'SMEPA Lines DECEMBER 2016'!$D:$H,3,0)</f>
        <v>0</v>
      </c>
      <c r="G18" s="10">
        <f>VLOOKUP($D18,'SMEPA Lines DECEMBER 2016'!$D:$H,4,0)</f>
        <v>247695.1</v>
      </c>
      <c r="H18" s="10">
        <f>VLOOKUP($D18,'SMEPA Lines DECEMBER 2016'!$D:$H,5,0)</f>
        <v>124742.62</v>
      </c>
      <c r="I18" s="3">
        <f t="shared" si="0"/>
        <v>372437.72</v>
      </c>
      <c r="J18" s="6">
        <v>6.77</v>
      </c>
      <c r="L18" s="23">
        <f t="shared" si="1"/>
        <v>0</v>
      </c>
      <c r="M18" s="16">
        <f t="shared" si="3"/>
        <v>0</v>
      </c>
      <c r="N18" s="22">
        <f t="shared" si="2"/>
        <v>372437.72</v>
      </c>
    </row>
    <row r="19" spans="1:14" s="6" customFormat="1">
      <c r="A19" s="5">
        <v>115</v>
      </c>
      <c r="B19" s="5" t="s">
        <v>186</v>
      </c>
      <c r="C19" s="396" t="s">
        <v>1552</v>
      </c>
      <c r="D19" s="5" t="s">
        <v>115</v>
      </c>
      <c r="E19" s="10">
        <f>VLOOKUP($D19,'SMEPA Lines DECEMBER 2016'!$D:$H,2,0)</f>
        <v>0</v>
      </c>
      <c r="F19" s="10">
        <f>VLOOKUP($D19,'SMEPA Lines DECEMBER 2016'!$D:$H,3,0)</f>
        <v>0</v>
      </c>
      <c r="G19" s="10">
        <f>VLOOKUP($D19,'SMEPA Lines DECEMBER 2016'!$D:$H,4,0)</f>
        <v>0</v>
      </c>
      <c r="H19" s="10">
        <f>VLOOKUP($D19,'SMEPA Lines DECEMBER 2016'!$D:$H,5,0)</f>
        <v>0</v>
      </c>
      <c r="I19" s="3">
        <f t="shared" si="0"/>
        <v>0</v>
      </c>
      <c r="J19" s="6">
        <v>0.04</v>
      </c>
      <c r="L19" s="23">
        <f t="shared" si="1"/>
        <v>0</v>
      </c>
      <c r="M19" s="16">
        <f t="shared" si="3"/>
        <v>0</v>
      </c>
      <c r="N19" s="22">
        <f t="shared" si="2"/>
        <v>0</v>
      </c>
    </row>
    <row r="20" spans="1:14" s="6" customFormat="1">
      <c r="A20" s="5">
        <v>115</v>
      </c>
      <c r="B20" s="5" t="s">
        <v>186</v>
      </c>
      <c r="C20" s="396" t="s">
        <v>1481</v>
      </c>
      <c r="D20" s="5" t="s">
        <v>116</v>
      </c>
      <c r="E20" s="10">
        <f>VLOOKUP($D20,'SMEPA Lines DECEMBER 2016'!$D:$H,2,0)</f>
        <v>0</v>
      </c>
      <c r="F20" s="10">
        <f>VLOOKUP($D20,'SMEPA Lines DECEMBER 2016'!$D:$H,3,0)</f>
        <v>0</v>
      </c>
      <c r="G20" s="10">
        <f>VLOOKUP($D20,'SMEPA Lines DECEMBER 2016'!$D:$H,4,0)</f>
        <v>48305.95</v>
      </c>
      <c r="H20" s="10">
        <f>VLOOKUP($D20,'SMEPA Lines DECEMBER 2016'!$D:$H,5,0)</f>
        <v>22822.2</v>
      </c>
      <c r="I20" s="3">
        <f t="shared" si="0"/>
        <v>71128.149999999994</v>
      </c>
      <c r="J20" s="6">
        <v>0.91</v>
      </c>
      <c r="L20" s="23">
        <f t="shared" si="1"/>
        <v>0</v>
      </c>
      <c r="M20" s="16">
        <f t="shared" si="3"/>
        <v>0</v>
      </c>
      <c r="N20" s="22">
        <f t="shared" si="2"/>
        <v>71128.149999999994</v>
      </c>
    </row>
    <row r="21" spans="1:14" s="6" customFormat="1">
      <c r="A21" s="5">
        <v>115</v>
      </c>
      <c r="B21" s="5" t="s">
        <v>186</v>
      </c>
      <c r="C21" s="396" t="s">
        <v>1482</v>
      </c>
      <c r="D21" s="5" t="s">
        <v>117</v>
      </c>
      <c r="E21" s="10">
        <f>VLOOKUP($D21,'SMEPA Lines DECEMBER 2016'!$D:$H,2,0)</f>
        <v>0</v>
      </c>
      <c r="F21" s="10">
        <f>VLOOKUP($D21,'SMEPA Lines DECEMBER 2016'!$D:$H,3,0)</f>
        <v>0</v>
      </c>
      <c r="G21" s="10">
        <f>VLOOKUP($D21,'SMEPA Lines DECEMBER 2016'!$D:$H,4,0)</f>
        <v>199336.38</v>
      </c>
      <c r="H21" s="10">
        <f>VLOOKUP($D21,'SMEPA Lines DECEMBER 2016'!$D:$H,5,0)</f>
        <v>96286.38</v>
      </c>
      <c r="I21" s="3">
        <f t="shared" si="0"/>
        <v>295622.76</v>
      </c>
      <c r="J21" s="6">
        <v>5.33</v>
      </c>
      <c r="L21" s="23">
        <f t="shared" si="1"/>
        <v>0</v>
      </c>
      <c r="M21" s="16">
        <f t="shared" si="3"/>
        <v>0</v>
      </c>
      <c r="N21" s="22">
        <f t="shared" si="2"/>
        <v>295622.76</v>
      </c>
    </row>
    <row r="22" spans="1:14" s="6" customFormat="1">
      <c r="A22" s="5">
        <v>115</v>
      </c>
      <c r="B22" s="5" t="s">
        <v>186</v>
      </c>
      <c r="C22" s="396" t="s">
        <v>1484</v>
      </c>
      <c r="D22" s="5" t="s">
        <v>119</v>
      </c>
      <c r="E22" s="10">
        <f>VLOOKUP($D22,'SMEPA Lines DECEMBER 2016'!$D:$H,2,0)</f>
        <v>0</v>
      </c>
      <c r="F22" s="10">
        <f>VLOOKUP($D22,'SMEPA Lines DECEMBER 2016'!$D:$H,3,0)</f>
        <v>0</v>
      </c>
      <c r="G22" s="10">
        <f>VLOOKUP($D22,'SMEPA Lines DECEMBER 2016'!$D:$H,4,0)</f>
        <v>181019.18</v>
      </c>
      <c r="H22" s="10">
        <f>VLOOKUP($D22,'SMEPA Lines DECEMBER 2016'!$D:$H,5,0)</f>
        <v>146061.44</v>
      </c>
      <c r="I22" s="3">
        <f t="shared" si="0"/>
        <v>327080.62</v>
      </c>
      <c r="J22" s="6">
        <v>5.5</v>
      </c>
      <c r="L22" s="23">
        <f t="shared" si="1"/>
        <v>0</v>
      </c>
      <c r="M22" s="16">
        <f t="shared" si="3"/>
        <v>0</v>
      </c>
      <c r="N22" s="22">
        <f t="shared" si="2"/>
        <v>327080.62</v>
      </c>
    </row>
    <row r="23" spans="1:14" s="6" customFormat="1">
      <c r="A23" s="5">
        <v>115</v>
      </c>
      <c r="B23" s="5" t="s">
        <v>186</v>
      </c>
      <c r="C23" s="396" t="s">
        <v>1486</v>
      </c>
      <c r="D23" s="5" t="s">
        <v>121</v>
      </c>
      <c r="E23" s="10">
        <f>VLOOKUP($D23,'SMEPA Lines DECEMBER 2016'!$D:$H,2,0)</f>
        <v>0</v>
      </c>
      <c r="F23" s="10">
        <f>VLOOKUP($D23,'SMEPA Lines DECEMBER 2016'!$D:$H,3,0)</f>
        <v>0</v>
      </c>
      <c r="G23" s="10">
        <f>VLOOKUP($D23,'SMEPA Lines DECEMBER 2016'!$D:$H,4,0)</f>
        <v>64907.63</v>
      </c>
      <c r="H23" s="10">
        <f>VLOOKUP($D23,'SMEPA Lines DECEMBER 2016'!$D:$H,5,0)</f>
        <v>38756.44</v>
      </c>
      <c r="I23" s="3">
        <f t="shared" si="0"/>
        <v>103664.07</v>
      </c>
      <c r="J23" s="6">
        <v>0.99</v>
      </c>
      <c r="L23" s="23">
        <f t="shared" si="1"/>
        <v>0</v>
      </c>
      <c r="M23" s="16">
        <f t="shared" si="3"/>
        <v>0</v>
      </c>
      <c r="N23" s="22">
        <f t="shared" si="2"/>
        <v>103664.07</v>
      </c>
    </row>
    <row r="24" spans="1:14" s="6" customFormat="1">
      <c r="A24" s="5">
        <v>115</v>
      </c>
      <c r="B24" s="5" t="s">
        <v>186</v>
      </c>
      <c r="C24" s="396" t="s">
        <v>1553</v>
      </c>
      <c r="D24" s="5" t="s">
        <v>122</v>
      </c>
      <c r="E24" s="10">
        <f>VLOOKUP($D24,'SMEPA Lines DECEMBER 2016'!$D:$H,2,0)</f>
        <v>0</v>
      </c>
      <c r="F24" s="10">
        <f>VLOOKUP($D24,'SMEPA Lines DECEMBER 2016'!$D:$H,3,0)</f>
        <v>0</v>
      </c>
      <c r="G24" s="10">
        <f>VLOOKUP($D24,'SMEPA Lines DECEMBER 2016'!$D:$H,4,0)</f>
        <v>167427.09</v>
      </c>
      <c r="H24" s="10">
        <f>VLOOKUP($D24,'SMEPA Lines DECEMBER 2016'!$D:$H,5,0)</f>
        <v>92238.71</v>
      </c>
      <c r="I24" s="3">
        <f t="shared" si="0"/>
        <v>259665.8</v>
      </c>
      <c r="J24" s="6">
        <v>2.87</v>
      </c>
      <c r="K24" s="6">
        <v>2.87</v>
      </c>
      <c r="L24" s="23">
        <f t="shared" si="1"/>
        <v>1</v>
      </c>
      <c r="M24" s="16">
        <f t="shared" si="3"/>
        <v>259665.8</v>
      </c>
      <c r="N24" s="22">
        <f t="shared" si="2"/>
        <v>0</v>
      </c>
    </row>
    <row r="25" spans="1:14" s="6" customFormat="1">
      <c r="A25" s="5">
        <v>115</v>
      </c>
      <c r="B25" s="5" t="s">
        <v>186</v>
      </c>
      <c r="C25" s="390" t="s">
        <v>123</v>
      </c>
      <c r="D25" s="5" t="s">
        <v>124</v>
      </c>
      <c r="E25" s="10">
        <f>VLOOKUP($D25,'SMEPA Lines DECEMBER 2016'!$D:$H,2,0)</f>
        <v>0</v>
      </c>
      <c r="F25" s="10">
        <f>VLOOKUP($D25,'SMEPA Lines DECEMBER 2016'!$D:$H,3,0)</f>
        <v>0</v>
      </c>
      <c r="G25" s="10">
        <f>VLOOKUP($D25,'SMEPA Lines DECEMBER 2016'!$D:$H,4,0)</f>
        <v>0</v>
      </c>
      <c r="H25" s="10">
        <f>VLOOKUP($D25,'SMEPA Lines DECEMBER 2016'!$D:$H,5,0)</f>
        <v>0</v>
      </c>
      <c r="I25" s="3">
        <f t="shared" si="0"/>
        <v>0</v>
      </c>
      <c r="J25" s="16">
        <v>1.0000000000000001E-5</v>
      </c>
      <c r="L25" s="23">
        <f t="shared" si="1"/>
        <v>0</v>
      </c>
      <c r="M25" s="16">
        <f t="shared" si="3"/>
        <v>0</v>
      </c>
      <c r="N25" s="22">
        <f t="shared" si="2"/>
        <v>0</v>
      </c>
    </row>
    <row r="26" spans="1:14" s="6" customFormat="1">
      <c r="A26" s="5">
        <v>115</v>
      </c>
      <c r="B26" s="5" t="s">
        <v>186</v>
      </c>
      <c r="C26" s="396" t="s">
        <v>1488</v>
      </c>
      <c r="D26" s="5" t="s">
        <v>125</v>
      </c>
      <c r="E26" s="10">
        <f>VLOOKUP($D26,'SMEPA Lines DECEMBER 2016'!$D:$H,2,0)</f>
        <v>0</v>
      </c>
      <c r="F26" s="10">
        <f>VLOOKUP($D26,'SMEPA Lines DECEMBER 2016'!$D:$H,3,0)</f>
        <v>0</v>
      </c>
      <c r="G26" s="10">
        <f>VLOOKUP($D26,'SMEPA Lines DECEMBER 2016'!$D:$H,4,0)</f>
        <v>113231.77</v>
      </c>
      <c r="H26" s="10">
        <f>VLOOKUP($D26,'SMEPA Lines DECEMBER 2016'!$D:$H,5,0)</f>
        <v>70927.570000000007</v>
      </c>
      <c r="I26" s="3">
        <f t="shared" si="0"/>
        <v>184159.34000000003</v>
      </c>
      <c r="J26" s="6">
        <v>1.81</v>
      </c>
      <c r="L26" s="23">
        <f t="shared" si="1"/>
        <v>0</v>
      </c>
      <c r="M26" s="16">
        <f t="shared" si="3"/>
        <v>0</v>
      </c>
      <c r="N26" s="22">
        <f t="shared" si="2"/>
        <v>184159.34000000003</v>
      </c>
    </row>
    <row r="27" spans="1:14" s="6" customFormat="1">
      <c r="A27" s="5">
        <v>115</v>
      </c>
      <c r="B27" s="5" t="s">
        <v>186</v>
      </c>
      <c r="C27" s="396" t="s">
        <v>1489</v>
      </c>
      <c r="D27" s="5" t="s">
        <v>126</v>
      </c>
      <c r="E27" s="10">
        <f>VLOOKUP($D27,'SMEPA Lines DECEMBER 2016'!$D:$H,2,0)</f>
        <v>0</v>
      </c>
      <c r="F27" s="10">
        <f>VLOOKUP($D27,'SMEPA Lines DECEMBER 2016'!$D:$H,3,0)</f>
        <v>0</v>
      </c>
      <c r="G27" s="10">
        <f>VLOOKUP($D27,'SMEPA Lines DECEMBER 2016'!$D:$H,4,0)</f>
        <v>7128.62</v>
      </c>
      <c r="H27" s="10">
        <f>VLOOKUP($D27,'SMEPA Lines DECEMBER 2016'!$D:$H,5,0)</f>
        <v>1460.07</v>
      </c>
      <c r="I27" s="3">
        <f t="shared" si="0"/>
        <v>8588.69</v>
      </c>
      <c r="J27" s="6">
        <v>0.03</v>
      </c>
      <c r="L27" s="23">
        <f t="shared" si="1"/>
        <v>0</v>
      </c>
      <c r="M27" s="16">
        <f t="shared" si="3"/>
        <v>0</v>
      </c>
      <c r="N27" s="22">
        <f t="shared" si="2"/>
        <v>8588.69</v>
      </c>
    </row>
    <row r="28" spans="1:14" s="6" customFormat="1">
      <c r="A28" s="5">
        <v>115</v>
      </c>
      <c r="B28" s="5" t="s">
        <v>186</v>
      </c>
      <c r="C28" s="396" t="s">
        <v>1490</v>
      </c>
      <c r="D28" s="5" t="s">
        <v>127</v>
      </c>
      <c r="E28" s="10">
        <f>VLOOKUP($D28,'SMEPA Lines DECEMBER 2016'!$D:$H,2,0)</f>
        <v>0</v>
      </c>
      <c r="F28" s="10">
        <f>VLOOKUP($D28,'SMEPA Lines DECEMBER 2016'!$D:$H,3,0)</f>
        <v>0</v>
      </c>
      <c r="G28" s="10">
        <f>VLOOKUP($D28,'SMEPA Lines DECEMBER 2016'!$D:$H,4,0)</f>
        <v>40973.089999999997</v>
      </c>
      <c r="H28" s="10">
        <f>VLOOKUP($D28,'SMEPA Lines DECEMBER 2016'!$D:$H,5,0)</f>
        <v>23676.42</v>
      </c>
      <c r="I28" s="3">
        <f t="shared" si="0"/>
        <v>64649.509999999995</v>
      </c>
      <c r="J28" s="6">
        <v>0.32</v>
      </c>
      <c r="L28" s="23">
        <f t="shared" si="1"/>
        <v>0</v>
      </c>
      <c r="M28" s="16">
        <f t="shared" si="3"/>
        <v>0</v>
      </c>
      <c r="N28" s="22">
        <f t="shared" si="2"/>
        <v>64649.509999999995</v>
      </c>
    </row>
    <row r="29" spans="1:14" s="6" customFormat="1">
      <c r="A29" s="5">
        <v>115</v>
      </c>
      <c r="B29" s="5" t="s">
        <v>186</v>
      </c>
      <c r="C29" s="396" t="s">
        <v>1493</v>
      </c>
      <c r="D29" s="5" t="s">
        <v>130</v>
      </c>
      <c r="E29" s="10">
        <f>VLOOKUP($D29,'SMEPA Lines DECEMBER 2016'!$D:$H,2,0)</f>
        <v>0</v>
      </c>
      <c r="F29" s="10">
        <f>VLOOKUP($D29,'SMEPA Lines DECEMBER 2016'!$D:$H,3,0)</f>
        <v>0</v>
      </c>
      <c r="G29" s="10">
        <f>VLOOKUP($D29,'SMEPA Lines DECEMBER 2016'!$D:$H,4,0)</f>
        <v>132017.43</v>
      </c>
      <c r="H29" s="10">
        <f>VLOOKUP($D29,'SMEPA Lines DECEMBER 2016'!$D:$H,5,0)</f>
        <v>210269.38</v>
      </c>
      <c r="I29" s="3">
        <f t="shared" si="0"/>
        <v>342286.81</v>
      </c>
      <c r="J29" s="6">
        <v>5.22</v>
      </c>
      <c r="L29" s="23">
        <f t="shared" si="1"/>
        <v>0</v>
      </c>
      <c r="M29" s="16">
        <f t="shared" si="3"/>
        <v>0</v>
      </c>
      <c r="N29" s="22">
        <f t="shared" si="2"/>
        <v>342286.81</v>
      </c>
    </row>
    <row r="30" spans="1:14" s="6" customFormat="1">
      <c r="A30" s="5">
        <v>115</v>
      </c>
      <c r="B30" s="5" t="s">
        <v>186</v>
      </c>
      <c r="C30" s="396" t="s">
        <v>1495</v>
      </c>
      <c r="D30" s="5" t="s">
        <v>132</v>
      </c>
      <c r="E30" s="10">
        <f>VLOOKUP($D30,'SMEPA Lines DECEMBER 2016'!$D:$H,2,0)</f>
        <v>0</v>
      </c>
      <c r="F30" s="10">
        <f>VLOOKUP($D30,'SMEPA Lines DECEMBER 2016'!$D:$H,3,0)</f>
        <v>0</v>
      </c>
      <c r="G30" s="10">
        <f>VLOOKUP($D30,'SMEPA Lines DECEMBER 2016'!$D:$H,4,0)</f>
        <v>119912.12</v>
      </c>
      <c r="H30" s="10">
        <f>VLOOKUP($D30,'SMEPA Lines DECEMBER 2016'!$D:$H,5,0)</f>
        <v>198932.87</v>
      </c>
      <c r="I30" s="3">
        <f t="shared" si="0"/>
        <v>318844.99</v>
      </c>
      <c r="J30" s="6">
        <v>1.47</v>
      </c>
      <c r="L30" s="23">
        <f t="shared" si="1"/>
        <v>0</v>
      </c>
      <c r="M30" s="16">
        <f t="shared" si="3"/>
        <v>0</v>
      </c>
      <c r="N30" s="22">
        <f t="shared" si="2"/>
        <v>318844.99</v>
      </c>
    </row>
    <row r="31" spans="1:14" s="6" customFormat="1">
      <c r="A31" s="5">
        <v>115</v>
      </c>
      <c r="B31" s="5" t="s">
        <v>186</v>
      </c>
      <c r="C31" s="396" t="s">
        <v>1554</v>
      </c>
      <c r="D31" s="5" t="s">
        <v>135</v>
      </c>
      <c r="E31" s="10">
        <f>VLOOKUP($D31,'SMEPA Lines DECEMBER 2016'!$D:$H,2,0)</f>
        <v>0</v>
      </c>
      <c r="F31" s="10">
        <f>VLOOKUP($D31,'SMEPA Lines DECEMBER 2016'!$D:$H,3,0)</f>
        <v>0</v>
      </c>
      <c r="G31" s="10">
        <f>VLOOKUP($D31,'SMEPA Lines DECEMBER 2016'!$D:$H,4,0)</f>
        <v>514147.8</v>
      </c>
      <c r="H31" s="10">
        <f>VLOOKUP($D31,'SMEPA Lines DECEMBER 2016'!$D:$H,5,0)</f>
        <v>486782.12</v>
      </c>
      <c r="I31" s="3">
        <f t="shared" si="0"/>
        <v>1000929.9199999999</v>
      </c>
      <c r="J31" s="6">
        <v>7.26</v>
      </c>
      <c r="K31" s="6">
        <v>7.26</v>
      </c>
      <c r="L31" s="23">
        <f t="shared" si="1"/>
        <v>1</v>
      </c>
      <c r="M31" s="16">
        <f t="shared" si="3"/>
        <v>1000929.9199999999</v>
      </c>
      <c r="N31" s="22">
        <f t="shared" si="2"/>
        <v>0</v>
      </c>
    </row>
    <row r="32" spans="1:14" s="6" customFormat="1">
      <c r="A32" s="5">
        <v>115</v>
      </c>
      <c r="B32" s="5" t="s">
        <v>186</v>
      </c>
      <c r="C32" s="396" t="s">
        <v>1502</v>
      </c>
      <c r="D32" s="5" t="s">
        <v>138</v>
      </c>
      <c r="E32" s="10">
        <f>VLOOKUP($D32,'SMEPA Lines DECEMBER 2016'!$D:$H,2,0)</f>
        <v>0</v>
      </c>
      <c r="F32" s="10">
        <f>VLOOKUP($D32,'SMEPA Lines DECEMBER 2016'!$D:$H,3,0)</f>
        <v>0</v>
      </c>
      <c r="G32" s="10">
        <f>VLOOKUP($D32,'SMEPA Lines DECEMBER 2016'!$D:$H,4,0)</f>
        <v>254485.28</v>
      </c>
      <c r="H32" s="10">
        <f>VLOOKUP($D32,'SMEPA Lines DECEMBER 2016'!$D:$H,5,0)</f>
        <v>127443.14</v>
      </c>
      <c r="I32" s="3">
        <f t="shared" si="0"/>
        <v>381928.42</v>
      </c>
      <c r="J32" s="6">
        <v>1.05</v>
      </c>
      <c r="L32" s="23">
        <f t="shared" si="1"/>
        <v>0</v>
      </c>
      <c r="M32" s="16">
        <f t="shared" si="3"/>
        <v>0</v>
      </c>
      <c r="N32" s="22">
        <f t="shared" si="2"/>
        <v>381928.42</v>
      </c>
    </row>
    <row r="33" spans="1:14" s="6" customFormat="1">
      <c r="A33" s="5">
        <v>115</v>
      </c>
      <c r="B33" s="5" t="s">
        <v>186</v>
      </c>
      <c r="C33" s="396" t="s">
        <v>1503</v>
      </c>
      <c r="D33" s="5">
        <v>543</v>
      </c>
      <c r="E33" s="10">
        <f>VLOOKUP($D33,'SMEPA Lines DECEMBER 2016'!$D:$H,2,0)</f>
        <v>0</v>
      </c>
      <c r="F33" s="10">
        <f>VLOOKUP($D33,'SMEPA Lines DECEMBER 2016'!$D:$H,3,0)</f>
        <v>0</v>
      </c>
      <c r="G33" s="3">
        <f>VLOOKUP($D33,'SMEPA Lines DECEMBER 2016'!$D:$H,4,0)</f>
        <v>390055.69</v>
      </c>
      <c r="H33" s="3">
        <f>VLOOKUP($D33,'SMEPA Lines DECEMBER 2016'!$D:$H,5,0)</f>
        <v>624146.91</v>
      </c>
      <c r="I33" s="3">
        <f t="shared" si="0"/>
        <v>1014202.6000000001</v>
      </c>
      <c r="J33" s="6">
        <f>6.37</f>
        <v>6.37</v>
      </c>
      <c r="K33" s="3">
        <v>6.37</v>
      </c>
      <c r="L33" s="23">
        <f t="shared" si="1"/>
        <v>1</v>
      </c>
      <c r="M33" s="16">
        <f t="shared" si="3"/>
        <v>1014202.6000000001</v>
      </c>
      <c r="N33" s="22">
        <f t="shared" si="2"/>
        <v>0</v>
      </c>
    </row>
    <row r="34" spans="1:14" s="169" customFormat="1">
      <c r="A34" s="388">
        <v>115</v>
      </c>
      <c r="B34" s="388" t="s">
        <v>186</v>
      </c>
      <c r="C34" s="410" t="s">
        <v>139</v>
      </c>
      <c r="D34" s="388" t="s">
        <v>140</v>
      </c>
      <c r="E34" s="170">
        <f>VLOOKUP($D34,'SMEPA Lines DECEMBER 2016'!$D:$H,2,0)</f>
        <v>0</v>
      </c>
      <c r="F34" s="170">
        <f>VLOOKUP($D34,'SMEPA Lines DECEMBER 2016'!$D:$H,3,0)</f>
        <v>0</v>
      </c>
      <c r="G34" s="170">
        <f>VLOOKUP($D34,'SMEPA Lines DECEMBER 2016'!$D:$H,4,0)</f>
        <v>0</v>
      </c>
      <c r="H34" s="170">
        <f>VLOOKUP($D34,'SMEPA Lines DECEMBER 2016'!$D:$H,5,0)</f>
        <v>0</v>
      </c>
      <c r="I34" s="171">
        <f t="shared" si="0"/>
        <v>0</v>
      </c>
      <c r="J34" s="387">
        <v>1E-4</v>
      </c>
      <c r="L34" s="172">
        <f t="shared" si="1"/>
        <v>0</v>
      </c>
      <c r="M34" s="173">
        <f t="shared" si="3"/>
        <v>0</v>
      </c>
      <c r="N34" s="174">
        <f t="shared" si="2"/>
        <v>0</v>
      </c>
    </row>
    <row r="35" spans="1:14" s="6" customFormat="1">
      <c r="A35" s="5">
        <v>115</v>
      </c>
      <c r="B35" s="5" t="s">
        <v>186</v>
      </c>
      <c r="C35" s="396" t="s">
        <v>1505</v>
      </c>
      <c r="D35" s="5">
        <v>545</v>
      </c>
      <c r="E35" s="10">
        <f>VLOOKUP($D35,'SMEPA Lines DECEMBER 2016'!$D:$H,2,0)</f>
        <v>0</v>
      </c>
      <c r="F35" s="10">
        <f>VLOOKUP($D35,'SMEPA Lines DECEMBER 2016'!$D:$H,3,0)</f>
        <v>0</v>
      </c>
      <c r="G35" s="10">
        <f>VLOOKUP($D35,'SMEPA Lines DECEMBER 2016'!$D:$H,4,0)</f>
        <v>28488.75</v>
      </c>
      <c r="H35" s="10">
        <f>VLOOKUP($D35,'SMEPA Lines DECEMBER 2016'!$D:$H,5,0)</f>
        <v>83482.94</v>
      </c>
      <c r="I35" s="3">
        <f t="shared" si="0"/>
        <v>111971.69</v>
      </c>
      <c r="J35" s="3">
        <v>0.2</v>
      </c>
      <c r="L35" s="23">
        <f t="shared" si="1"/>
        <v>0</v>
      </c>
      <c r="M35" s="16">
        <f t="shared" si="3"/>
        <v>0</v>
      </c>
      <c r="N35" s="22">
        <f t="shared" si="2"/>
        <v>111971.69</v>
      </c>
    </row>
    <row r="36" spans="1:14" s="6" customFormat="1">
      <c r="A36" s="5">
        <v>115</v>
      </c>
      <c r="B36" s="5" t="s">
        <v>186</v>
      </c>
      <c r="C36" s="396" t="s">
        <v>1506</v>
      </c>
      <c r="D36" s="5">
        <v>547</v>
      </c>
      <c r="E36" s="10">
        <f>VLOOKUP($D36,'SMEPA Lines DECEMBER 2016'!$D:$H,2,0)</f>
        <v>0</v>
      </c>
      <c r="F36" s="10">
        <f>VLOOKUP($D36,'SMEPA Lines DECEMBER 2016'!$D:$H,3,0)</f>
        <v>0</v>
      </c>
      <c r="G36" s="10">
        <f>VLOOKUP($D36,'SMEPA Lines DECEMBER 2016'!$D:$H,4,0)</f>
        <v>299046.48</v>
      </c>
      <c r="H36" s="10">
        <f>VLOOKUP($D36,'SMEPA Lines DECEMBER 2016'!$D:$H,5,0)</f>
        <v>500917.56</v>
      </c>
      <c r="I36" s="3">
        <f t="shared" si="0"/>
        <v>799964.04</v>
      </c>
      <c r="J36" s="3">
        <v>5.12</v>
      </c>
      <c r="L36" s="23">
        <f t="shared" si="1"/>
        <v>0</v>
      </c>
      <c r="M36" s="16">
        <f t="shared" si="3"/>
        <v>0</v>
      </c>
      <c r="N36" s="22">
        <f t="shared" si="2"/>
        <v>799964.04</v>
      </c>
    </row>
    <row r="37" spans="1:14" s="6" customFormat="1">
      <c r="A37" s="5">
        <v>115</v>
      </c>
      <c r="B37" s="5" t="s">
        <v>186</v>
      </c>
      <c r="C37" s="396" t="s">
        <v>1508</v>
      </c>
      <c r="D37" s="5">
        <v>549</v>
      </c>
      <c r="E37" s="10">
        <f>VLOOKUP($D37,'SMEPA Lines DECEMBER 2016'!$D:$H,2,0)</f>
        <v>0</v>
      </c>
      <c r="F37" s="10">
        <f>VLOOKUP($D37,'SMEPA Lines DECEMBER 2016'!$D:$H,3,0)</f>
        <v>0</v>
      </c>
      <c r="G37" s="10">
        <f>VLOOKUP($D37,'SMEPA Lines DECEMBER 2016'!$D:$H,4,0)</f>
        <v>37056.74</v>
      </c>
      <c r="H37" s="10">
        <f>VLOOKUP($D37,'SMEPA Lines DECEMBER 2016'!$D:$H,5,0)</f>
        <v>5412.02</v>
      </c>
      <c r="I37" s="3">
        <f t="shared" si="0"/>
        <v>42468.759999999995</v>
      </c>
      <c r="J37" s="3">
        <v>0.08</v>
      </c>
      <c r="L37" s="23">
        <f t="shared" si="1"/>
        <v>0</v>
      </c>
      <c r="M37" s="16">
        <f t="shared" si="3"/>
        <v>0</v>
      </c>
      <c r="N37" s="22">
        <f t="shared" si="2"/>
        <v>42468.759999999995</v>
      </c>
    </row>
    <row r="38" spans="1:14" s="6" customFormat="1">
      <c r="A38" s="5">
        <v>115</v>
      </c>
      <c r="B38" s="5" t="s">
        <v>186</v>
      </c>
      <c r="C38" s="396" t="s">
        <v>1557</v>
      </c>
      <c r="D38" s="5">
        <v>550</v>
      </c>
      <c r="E38" s="10">
        <f>VLOOKUP($D38,'SMEPA Lines DECEMBER 2016'!$D:$H,2,0)</f>
        <v>0</v>
      </c>
      <c r="F38" s="10">
        <f>VLOOKUP($D38,'SMEPA Lines DECEMBER 2016'!$D:$H,3,0)</f>
        <v>0</v>
      </c>
      <c r="G38" s="10">
        <f>VLOOKUP($D38,'SMEPA Lines DECEMBER 2016'!$D:$H,4,0)</f>
        <v>606065.27</v>
      </c>
      <c r="H38" s="10">
        <f>VLOOKUP($D38,'SMEPA Lines DECEMBER 2016'!$D:$H,5,0)</f>
        <v>652522.23</v>
      </c>
      <c r="I38" s="3">
        <f t="shared" si="0"/>
        <v>1258587.5</v>
      </c>
      <c r="J38" s="3">
        <v>8.19</v>
      </c>
      <c r="L38" s="23">
        <f t="shared" si="1"/>
        <v>0</v>
      </c>
      <c r="M38" s="16">
        <f t="shared" si="3"/>
        <v>0</v>
      </c>
      <c r="N38" s="22">
        <f t="shared" si="2"/>
        <v>1258587.5</v>
      </c>
    </row>
    <row r="39" spans="1:14" s="6" customFormat="1">
      <c r="A39" s="5">
        <v>115</v>
      </c>
      <c r="B39" s="5" t="s">
        <v>186</v>
      </c>
      <c r="C39" s="396" t="s">
        <v>1512</v>
      </c>
      <c r="D39" s="5">
        <v>553</v>
      </c>
      <c r="E39" s="10">
        <f>VLOOKUP($D39,'SMEPA Lines DECEMBER 2016'!$D:$H,2,0)</f>
        <v>0</v>
      </c>
      <c r="F39" s="10">
        <f>VLOOKUP($D39,'SMEPA Lines DECEMBER 2016'!$D:$H,3,0)</f>
        <v>0</v>
      </c>
      <c r="G39" s="10">
        <f>VLOOKUP($D39,'SMEPA Lines DECEMBER 2016'!$D:$H,4,0)</f>
        <v>460974.4</v>
      </c>
      <c r="H39" s="10">
        <f>VLOOKUP($D39,'SMEPA Lines DECEMBER 2016'!$D:$H,5,0)</f>
        <v>919201.57</v>
      </c>
      <c r="I39" s="3">
        <f t="shared" si="0"/>
        <v>1380175.97</v>
      </c>
      <c r="J39" s="3">
        <v>7.46</v>
      </c>
      <c r="L39" s="23">
        <f t="shared" si="1"/>
        <v>0</v>
      </c>
      <c r="M39" s="16">
        <f t="shared" si="3"/>
        <v>0</v>
      </c>
      <c r="N39" s="22">
        <f t="shared" si="2"/>
        <v>1380175.97</v>
      </c>
    </row>
    <row r="40" spans="1:14" s="6" customFormat="1">
      <c r="A40" s="5">
        <v>115</v>
      </c>
      <c r="B40" s="5" t="s">
        <v>186</v>
      </c>
      <c r="C40" s="396" t="s">
        <v>1520</v>
      </c>
      <c r="D40" s="5">
        <v>560</v>
      </c>
      <c r="E40" s="10">
        <f>VLOOKUP($D40,'SMEPA Lines DECEMBER 2016'!$D:$H,2,0)</f>
        <v>0</v>
      </c>
      <c r="F40" s="10">
        <f>VLOOKUP($D40,'SMEPA Lines DECEMBER 2016'!$D:$H,3,0)</f>
        <v>0</v>
      </c>
      <c r="G40" s="10">
        <f>VLOOKUP($D40,'SMEPA Lines DECEMBER 2016'!$D:$H,4,0)</f>
        <v>27250.639999999999</v>
      </c>
      <c r="H40" s="10">
        <f>VLOOKUP($D40,'SMEPA Lines DECEMBER 2016'!$D:$H,5,0)</f>
        <v>13846.92</v>
      </c>
      <c r="I40" s="3">
        <f t="shared" si="0"/>
        <v>41097.56</v>
      </c>
      <c r="J40" s="3">
        <v>0.05</v>
      </c>
      <c r="L40" s="23">
        <f t="shared" si="1"/>
        <v>0</v>
      </c>
      <c r="M40" s="16">
        <f t="shared" si="3"/>
        <v>0</v>
      </c>
      <c r="N40" s="22">
        <f t="shared" si="2"/>
        <v>41097.56</v>
      </c>
    </row>
    <row r="41" spans="1:14" s="6" customFormat="1">
      <c r="A41" s="5">
        <v>115</v>
      </c>
      <c r="B41" s="5" t="s">
        <v>186</v>
      </c>
      <c r="C41" s="396" t="s">
        <v>1521</v>
      </c>
      <c r="D41" s="5">
        <v>561</v>
      </c>
      <c r="E41" s="10">
        <f>VLOOKUP($D41,'SMEPA Lines DECEMBER 2016'!$D:$H,2,0)</f>
        <v>0</v>
      </c>
      <c r="F41" s="10">
        <f>VLOOKUP($D41,'SMEPA Lines DECEMBER 2016'!$D:$H,3,0)</f>
        <v>0</v>
      </c>
      <c r="G41" s="10">
        <f>VLOOKUP($D41,'SMEPA Lines DECEMBER 2016'!$D:$H,4,0)</f>
        <v>21545.27</v>
      </c>
      <c r="H41" s="10">
        <f>VLOOKUP($D41,'SMEPA Lines DECEMBER 2016'!$D:$H,5,0)</f>
        <v>126065.25</v>
      </c>
      <c r="I41" s="3">
        <f t="shared" si="0"/>
        <v>147610.51999999999</v>
      </c>
      <c r="J41" s="3">
        <v>0.09</v>
      </c>
      <c r="L41" s="23">
        <f t="shared" si="1"/>
        <v>0</v>
      </c>
      <c r="M41" s="16">
        <f t="shared" si="3"/>
        <v>0</v>
      </c>
      <c r="N41" s="22">
        <f t="shared" si="2"/>
        <v>147610.51999999999</v>
      </c>
    </row>
    <row r="42" spans="1:14" s="6" customFormat="1">
      <c r="A42" s="5">
        <v>115</v>
      </c>
      <c r="B42" s="5" t="s">
        <v>186</v>
      </c>
      <c r="C42" s="390" t="s">
        <v>143</v>
      </c>
      <c r="D42" s="5">
        <v>562</v>
      </c>
      <c r="E42" s="10">
        <f>VLOOKUP($D42,'SMEPA Lines DECEMBER 2016'!$D:$H,2,0)</f>
        <v>0</v>
      </c>
      <c r="F42" s="10">
        <f>VLOOKUP($D42,'SMEPA Lines DECEMBER 2016'!$D:$H,3,0)</f>
        <v>0</v>
      </c>
      <c r="G42" s="10">
        <f>VLOOKUP($D42,'SMEPA Lines DECEMBER 2016'!$D:$H,4,0)</f>
        <v>435408.76</v>
      </c>
      <c r="H42" s="10">
        <f>VLOOKUP($D42,'SMEPA Lines DECEMBER 2016'!$D:$H,5,0)</f>
        <v>465918.89</v>
      </c>
      <c r="I42" s="3">
        <f t="shared" si="0"/>
        <v>901327.65</v>
      </c>
      <c r="J42" s="3">
        <v>4.08</v>
      </c>
      <c r="L42" s="23">
        <f t="shared" si="1"/>
        <v>0</v>
      </c>
      <c r="M42" s="16">
        <f t="shared" si="3"/>
        <v>0</v>
      </c>
      <c r="N42" s="22">
        <f t="shared" si="2"/>
        <v>901327.65</v>
      </c>
    </row>
    <row r="43" spans="1:14" s="6" customFormat="1">
      <c r="A43" s="5">
        <v>115</v>
      </c>
      <c r="B43" s="5" t="s">
        <v>186</v>
      </c>
      <c r="C43" s="396" t="s">
        <v>1523</v>
      </c>
      <c r="D43" s="5">
        <v>564</v>
      </c>
      <c r="E43" s="10">
        <f>VLOOKUP($D43,'SMEPA Lines DECEMBER 2016'!$D:$H,2,0)</f>
        <v>0</v>
      </c>
      <c r="F43" s="10">
        <f>VLOOKUP($D43,'SMEPA Lines DECEMBER 2016'!$D:$H,3,0)</f>
        <v>0</v>
      </c>
      <c r="G43" s="10">
        <f>VLOOKUP($D43,'SMEPA Lines DECEMBER 2016'!$D:$H,4,0)</f>
        <v>48404.67</v>
      </c>
      <c r="H43" s="10">
        <f>VLOOKUP($D43,'SMEPA Lines DECEMBER 2016'!$D:$H,5,0)</f>
        <v>16998.37</v>
      </c>
      <c r="I43" s="3">
        <f t="shared" si="0"/>
        <v>65403.039999999994</v>
      </c>
      <c r="J43" s="3">
        <v>0.11</v>
      </c>
      <c r="L43" s="23">
        <f t="shared" si="1"/>
        <v>0</v>
      </c>
      <c r="M43" s="16">
        <f t="shared" si="3"/>
        <v>0</v>
      </c>
      <c r="N43" s="22">
        <f t="shared" si="2"/>
        <v>65403.039999999994</v>
      </c>
    </row>
    <row r="44" spans="1:14" s="6" customFormat="1">
      <c r="A44" s="5">
        <v>115</v>
      </c>
      <c r="B44" s="5" t="s">
        <v>186</v>
      </c>
      <c r="C44" s="396" t="s">
        <v>1528</v>
      </c>
      <c r="D44" s="5">
        <v>571</v>
      </c>
      <c r="E44" s="10">
        <f>VLOOKUP($D44,'SMEPA Lines DECEMBER 2016'!$D:$H,2,0)</f>
        <v>0</v>
      </c>
      <c r="F44" s="398" t="s">
        <v>1549</v>
      </c>
      <c r="G44" s="3">
        <f>VLOOKUP($D44,'SMEPA Lines DECEMBER 2016'!$D:$H,4,0)</f>
        <v>323285.34999999998</v>
      </c>
      <c r="H44" s="3">
        <f>VLOOKUP($D44,'SMEPA Lines DECEMBER 2016'!$D:$H,5,0)</f>
        <v>347027.83</v>
      </c>
      <c r="I44" s="3">
        <f t="shared" si="0"/>
        <v>670313.17999999993</v>
      </c>
      <c r="J44" s="3">
        <v>2.61</v>
      </c>
      <c r="K44" s="3">
        <v>2.61</v>
      </c>
      <c r="L44" s="23">
        <f t="shared" si="1"/>
        <v>1</v>
      </c>
      <c r="M44" s="16">
        <f t="shared" si="3"/>
        <v>670313.17999999993</v>
      </c>
      <c r="N44" s="22">
        <f t="shared" si="2"/>
        <v>0</v>
      </c>
    </row>
    <row r="45" spans="1:14" s="6" customFormat="1">
      <c r="A45" s="5">
        <v>115</v>
      </c>
      <c r="B45" s="5" t="s">
        <v>186</v>
      </c>
      <c r="C45" s="396" t="s">
        <v>1528</v>
      </c>
      <c r="D45" s="5">
        <v>572</v>
      </c>
      <c r="E45" s="10">
        <f>VLOOKUP($D45,'SMEPA Lines DECEMBER 2016'!$D:$H,2,0)</f>
        <v>0</v>
      </c>
      <c r="F45" s="10">
        <f>VLOOKUP($D45,'SMEPA Lines DECEMBER 2016'!$D:$H,3,0)</f>
        <v>0</v>
      </c>
      <c r="G45" s="3">
        <f>VLOOKUP($D45,'SMEPA Lines DECEMBER 2016'!$D:$H,4,0)</f>
        <v>349534.47</v>
      </c>
      <c r="H45" s="3">
        <f>VLOOKUP($D45,'SMEPA Lines DECEMBER 2016'!$D:$H,5,0)</f>
        <v>251862.42</v>
      </c>
      <c r="I45" s="3">
        <f t="shared" si="0"/>
        <v>601396.89</v>
      </c>
      <c r="J45" s="3">
        <v>2.5</v>
      </c>
      <c r="K45" s="3">
        <v>2.5</v>
      </c>
      <c r="L45" s="23">
        <f t="shared" si="1"/>
        <v>1</v>
      </c>
      <c r="M45" s="16">
        <f t="shared" si="3"/>
        <v>601396.89</v>
      </c>
      <c r="N45" s="22">
        <f t="shared" si="2"/>
        <v>0</v>
      </c>
    </row>
    <row r="46" spans="1:14" s="6" customFormat="1">
      <c r="A46" s="5">
        <v>115</v>
      </c>
      <c r="B46" s="5" t="s">
        <v>186</v>
      </c>
      <c r="C46" s="396" t="s">
        <v>1529</v>
      </c>
      <c r="D46" s="5">
        <v>574</v>
      </c>
      <c r="E46" s="10">
        <f>VLOOKUP($D46,'SMEPA Lines DECEMBER 2016'!$D:$H,2,0)</f>
        <v>0</v>
      </c>
      <c r="F46" s="10">
        <f>VLOOKUP($D46,'SMEPA Lines DECEMBER 2016'!$D:$H,3,0)</f>
        <v>0</v>
      </c>
      <c r="G46" s="10">
        <f>VLOOKUP($D46,'SMEPA Lines DECEMBER 2016'!$D:$H,4,0)</f>
        <v>183261.09</v>
      </c>
      <c r="H46" s="10">
        <f>VLOOKUP($D46,'SMEPA Lines DECEMBER 2016'!$D:$H,5,0)</f>
        <v>219695.15</v>
      </c>
      <c r="I46" s="3">
        <f t="shared" si="0"/>
        <v>402956.24</v>
      </c>
      <c r="J46" s="3">
        <v>0.5</v>
      </c>
      <c r="L46" s="23">
        <f t="shared" si="1"/>
        <v>0</v>
      </c>
      <c r="M46" s="16">
        <f t="shared" si="3"/>
        <v>0</v>
      </c>
      <c r="N46" s="22">
        <f t="shared" si="2"/>
        <v>402956.24</v>
      </c>
    </row>
    <row r="47" spans="1:14" s="6" customFormat="1">
      <c r="A47" s="5">
        <v>115</v>
      </c>
      <c r="B47" s="5" t="s">
        <v>186</v>
      </c>
      <c r="C47" s="396" t="s">
        <v>1530</v>
      </c>
      <c r="D47" s="5">
        <v>577</v>
      </c>
      <c r="E47" s="10">
        <f>VLOOKUP($D47,'SMEPA Lines DECEMBER 2016'!$D:$H,2,0)</f>
        <v>0</v>
      </c>
      <c r="F47" s="10">
        <f>VLOOKUP($D47,'SMEPA Lines DECEMBER 2016'!$D:$H,3,0)</f>
        <v>0</v>
      </c>
      <c r="G47" s="10">
        <f>VLOOKUP($D47,'SMEPA Lines DECEMBER 2016'!$D:$H,4,0)</f>
        <v>346754.93</v>
      </c>
      <c r="H47" s="10">
        <f>VLOOKUP($D47,'SMEPA Lines DECEMBER 2016'!$D:$H,5,0)</f>
        <v>487008.3</v>
      </c>
      <c r="I47" s="3">
        <f t="shared" si="0"/>
        <v>833763.23</v>
      </c>
      <c r="J47" s="3">
        <v>6</v>
      </c>
      <c r="L47" s="23">
        <f t="shared" si="1"/>
        <v>0</v>
      </c>
      <c r="M47" s="16">
        <f t="shared" si="3"/>
        <v>0</v>
      </c>
      <c r="N47" s="22">
        <f t="shared" si="2"/>
        <v>833763.23</v>
      </c>
    </row>
    <row r="48" spans="1:14" s="6" customFormat="1">
      <c r="A48" s="5">
        <v>115</v>
      </c>
      <c r="B48" s="5" t="s">
        <v>186</v>
      </c>
      <c r="C48" s="396" t="s">
        <v>1533</v>
      </c>
      <c r="D48" s="5">
        <v>584</v>
      </c>
      <c r="E48" s="10">
        <f>VLOOKUP($D48,'SMEPA Lines DECEMBER 2016'!$D:$H,2,0)</f>
        <v>0</v>
      </c>
      <c r="F48" s="10">
        <f>VLOOKUP($D48,'SMEPA Lines DECEMBER 2016'!$D:$H,3,0)</f>
        <v>0</v>
      </c>
      <c r="G48" s="10">
        <f>VLOOKUP($D48,'SMEPA Lines DECEMBER 2016'!$D:$H,4,0)</f>
        <v>13672.05</v>
      </c>
      <c r="H48" s="10">
        <f>VLOOKUP($D48,'SMEPA Lines DECEMBER 2016'!$D:$H,5,0)</f>
        <v>31520.33</v>
      </c>
      <c r="I48" s="3">
        <f t="shared" si="0"/>
        <v>45192.380000000005</v>
      </c>
      <c r="J48" s="3">
        <v>2.72</v>
      </c>
      <c r="L48" s="23">
        <f t="shared" si="1"/>
        <v>0</v>
      </c>
      <c r="M48" s="16">
        <f t="shared" si="3"/>
        <v>0</v>
      </c>
      <c r="N48" s="22">
        <f t="shared" si="2"/>
        <v>45192.380000000005</v>
      </c>
    </row>
    <row r="49" spans="1:14" s="6" customFormat="1">
      <c r="A49" s="5">
        <v>115</v>
      </c>
      <c r="B49" s="5" t="s">
        <v>186</v>
      </c>
      <c r="C49" s="396" t="s">
        <v>1534</v>
      </c>
      <c r="D49" s="5">
        <v>585</v>
      </c>
      <c r="E49" s="10">
        <f>VLOOKUP($D49,'SMEPA Lines DECEMBER 2016'!$D:$H,2,0)</f>
        <v>0</v>
      </c>
      <c r="F49" s="10">
        <f>VLOOKUP($D49,'SMEPA Lines DECEMBER 2016'!$D:$H,3,0)</f>
        <v>0</v>
      </c>
      <c r="G49" s="10">
        <f>VLOOKUP($D49,'SMEPA Lines DECEMBER 2016'!$D:$H,4,0)</f>
        <v>0</v>
      </c>
      <c r="H49" s="10">
        <f>VLOOKUP($D49,'SMEPA Lines DECEMBER 2016'!$D:$H,5,0)</f>
        <v>0</v>
      </c>
      <c r="I49" s="3">
        <f t="shared" si="0"/>
        <v>0</v>
      </c>
      <c r="J49" s="3">
        <v>2.34</v>
      </c>
      <c r="L49" s="23">
        <f t="shared" si="1"/>
        <v>0</v>
      </c>
      <c r="M49" s="16">
        <f t="shared" si="3"/>
        <v>0</v>
      </c>
      <c r="N49" s="22">
        <f t="shared" si="2"/>
        <v>0</v>
      </c>
    </row>
    <row r="50" spans="1:14" s="6" customFormat="1">
      <c r="A50" s="5">
        <v>115</v>
      </c>
      <c r="B50" s="5" t="s">
        <v>186</v>
      </c>
      <c r="C50" s="396" t="s">
        <v>1558</v>
      </c>
      <c r="D50" s="5">
        <v>586</v>
      </c>
      <c r="E50" s="10">
        <f>VLOOKUP($D50,'SMEPA Lines DECEMBER 2016'!$D:$H,2,0)</f>
        <v>0</v>
      </c>
      <c r="F50" s="10">
        <f>VLOOKUP($D50,'SMEPA Lines DECEMBER 2016'!$D:$H,3,0)</f>
        <v>0</v>
      </c>
      <c r="G50" s="10">
        <f>VLOOKUP($D50,'SMEPA Lines DECEMBER 2016'!$D:$H,4,0)</f>
        <v>0</v>
      </c>
      <c r="H50" s="10">
        <f>VLOOKUP($D50,'SMEPA Lines DECEMBER 2016'!$D:$H,5,0)</f>
        <v>30504.74</v>
      </c>
      <c r="I50" s="3">
        <f t="shared" si="0"/>
        <v>30504.74</v>
      </c>
      <c r="J50" s="3">
        <v>1E-4</v>
      </c>
      <c r="L50" s="23">
        <f t="shared" si="1"/>
        <v>0</v>
      </c>
      <c r="M50" s="16">
        <f t="shared" si="3"/>
        <v>0</v>
      </c>
      <c r="N50" s="22">
        <f t="shared" si="2"/>
        <v>30504.74</v>
      </c>
    </row>
    <row r="51" spans="1:14" s="6" customFormat="1">
      <c r="A51" s="5">
        <v>115</v>
      </c>
      <c r="B51" s="5" t="s">
        <v>186</v>
      </c>
      <c r="C51" s="396" t="s">
        <v>1559</v>
      </c>
      <c r="D51" s="5">
        <v>587</v>
      </c>
      <c r="E51" s="10">
        <f>VLOOKUP($D51,'SMEPA Lines DECEMBER 2016'!$D:$H,2,0)</f>
        <v>550676.68000000005</v>
      </c>
      <c r="F51" s="10">
        <f>VLOOKUP($D51,'SMEPA Lines DECEMBER 2016'!$D:$H,3,0)</f>
        <v>0</v>
      </c>
      <c r="G51" s="10">
        <f>VLOOKUP($D51,'SMEPA Lines DECEMBER 2016'!$D:$H,4,0)</f>
        <v>369240.4</v>
      </c>
      <c r="H51" s="10">
        <f>VLOOKUP($D51,'SMEPA Lines DECEMBER 2016'!$D:$H,5,0)</f>
        <v>444016.59</v>
      </c>
      <c r="I51" s="3">
        <f t="shared" si="0"/>
        <v>1363933.6700000002</v>
      </c>
      <c r="J51" s="3">
        <v>3.99</v>
      </c>
      <c r="L51" s="23">
        <f t="shared" si="1"/>
        <v>0</v>
      </c>
      <c r="M51" s="16">
        <f t="shared" si="3"/>
        <v>0</v>
      </c>
      <c r="N51" s="22">
        <f t="shared" si="2"/>
        <v>1363933.6700000002</v>
      </c>
    </row>
    <row r="52" spans="1:14" s="6" customFormat="1" ht="30">
      <c r="A52" s="5">
        <v>115</v>
      </c>
      <c r="B52" s="5" t="s">
        <v>186</v>
      </c>
      <c r="C52" s="396" t="s">
        <v>1560</v>
      </c>
      <c r="D52" s="5" t="s">
        <v>210</v>
      </c>
      <c r="E52" s="10">
        <f>VLOOKUP($D52,'SMEPA Lines DECEMBER 2016'!$D:$H,2,0)</f>
        <v>0</v>
      </c>
      <c r="F52" s="10">
        <f>VLOOKUP($D52,'SMEPA Lines DECEMBER 2016'!$D:$H,3,0)</f>
        <v>6002.41</v>
      </c>
      <c r="G52" s="10">
        <f>VLOOKUP($D52,'SMEPA Lines DECEMBER 2016'!$D:$H,4,0)</f>
        <v>238607.62</v>
      </c>
      <c r="H52" s="10">
        <f>VLOOKUP($D52,'SMEPA Lines DECEMBER 2016'!$D:$H,5,0)</f>
        <v>208586.94</v>
      </c>
      <c r="I52" s="3">
        <f t="shared" si="0"/>
        <v>453196.97</v>
      </c>
      <c r="J52" s="3">
        <f>5.16+3.94</f>
        <v>9.1</v>
      </c>
      <c r="K52" s="6">
        <v>9.1</v>
      </c>
      <c r="L52" s="23">
        <f t="shared" si="1"/>
        <v>1</v>
      </c>
      <c r="M52" s="16">
        <f t="shared" si="3"/>
        <v>453196.97</v>
      </c>
      <c r="N52" s="22">
        <f t="shared" si="2"/>
        <v>0</v>
      </c>
    </row>
    <row r="53" spans="1:14" s="6" customFormat="1" ht="30">
      <c r="A53" s="5">
        <v>115</v>
      </c>
      <c r="B53" s="5" t="s">
        <v>186</v>
      </c>
      <c r="C53" s="396" t="s">
        <v>1561</v>
      </c>
      <c r="D53" s="5" t="s">
        <v>211</v>
      </c>
      <c r="E53" s="10">
        <f>VLOOKUP($D53,'SMEPA Lines DECEMBER 2016'!$D:$H,2,0)</f>
        <v>0</v>
      </c>
      <c r="F53" s="10">
        <f>VLOOKUP($D53,'SMEPA Lines DECEMBER 2016'!$D:$H,3,0)</f>
        <v>0</v>
      </c>
      <c r="G53" s="10">
        <f>VLOOKUP($D53,'SMEPA Lines DECEMBER 2016'!$D:$H,4,0)</f>
        <v>341825.06</v>
      </c>
      <c r="H53" s="10">
        <f>VLOOKUP($D53,'SMEPA Lines DECEMBER 2016'!$D:$H,5,0)</f>
        <v>335590.88</v>
      </c>
      <c r="I53" s="3">
        <f t="shared" si="0"/>
        <v>677415.94</v>
      </c>
      <c r="J53" s="6">
        <f>1.64+3.71</f>
        <v>5.35</v>
      </c>
      <c r="L53" s="23">
        <f t="shared" si="1"/>
        <v>0</v>
      </c>
      <c r="M53" s="16">
        <f t="shared" si="3"/>
        <v>0</v>
      </c>
      <c r="N53" s="22">
        <f t="shared" si="2"/>
        <v>677415.94</v>
      </c>
    </row>
    <row r="54" spans="1:14" s="6" customFormat="1">
      <c r="A54" s="5">
        <v>115</v>
      </c>
      <c r="B54" s="5" t="s">
        <v>186</v>
      </c>
      <c r="C54" s="396" t="s">
        <v>1555</v>
      </c>
      <c r="D54" s="5" t="s">
        <v>141</v>
      </c>
      <c r="E54" s="10">
        <f>VLOOKUP($D54,'SMEPA Lines DECEMBER 2016'!$D:$H,2,0)</f>
        <v>0</v>
      </c>
      <c r="F54" s="10">
        <f>VLOOKUP($D54,'SMEPA Lines DECEMBER 2016'!$D:$H,3,0)</f>
        <v>0</v>
      </c>
      <c r="G54" s="10">
        <f>VLOOKUP($D54,'SMEPA Lines DECEMBER 2016'!$D:$H,4,0)</f>
        <v>3632.65</v>
      </c>
      <c r="H54" s="10">
        <f>VLOOKUP($D54,'SMEPA Lines DECEMBER 2016'!$D:$H,5,0)</f>
        <v>4215.08</v>
      </c>
      <c r="I54" s="3">
        <f t="shared" si="0"/>
        <v>7847.73</v>
      </c>
      <c r="J54" s="3">
        <v>0.05</v>
      </c>
      <c r="L54" s="23">
        <f t="shared" si="1"/>
        <v>0</v>
      </c>
      <c r="M54" s="16">
        <f t="shared" si="3"/>
        <v>0</v>
      </c>
      <c r="N54" s="22">
        <f t="shared" si="2"/>
        <v>7847.73</v>
      </c>
    </row>
    <row r="55" spans="1:14" s="6" customFormat="1">
      <c r="A55" s="5">
        <v>115</v>
      </c>
      <c r="B55" s="5" t="s">
        <v>186</v>
      </c>
      <c r="C55" s="396" t="s">
        <v>1556</v>
      </c>
      <c r="D55" s="329" t="s">
        <v>1569</v>
      </c>
      <c r="E55" s="10">
        <f>VLOOKUP($D55,'SMEPA Lines DECEMBER 2016'!$D:$H,2,0)</f>
        <v>0</v>
      </c>
      <c r="F55" s="10">
        <f>VLOOKUP($D55,'SMEPA Lines DECEMBER 2016'!$D:$H,3,0)</f>
        <v>0</v>
      </c>
      <c r="G55" s="10">
        <f>VLOOKUP($D55,'SMEPA Lines DECEMBER 2016'!$D:$H,4,0)</f>
        <v>288752.92</v>
      </c>
      <c r="H55" s="10">
        <f>VLOOKUP($D55,'SMEPA Lines DECEMBER 2016'!$D:$H,5,0)</f>
        <v>401065.9</v>
      </c>
      <c r="I55" s="3">
        <f t="shared" si="0"/>
        <v>689818.82000000007</v>
      </c>
      <c r="J55" s="3">
        <v>1.0000000000000001E-5</v>
      </c>
      <c r="L55" s="23">
        <f t="shared" si="1"/>
        <v>0</v>
      </c>
      <c r="M55" s="16">
        <f t="shared" si="3"/>
        <v>0</v>
      </c>
      <c r="N55" s="22">
        <f t="shared" si="2"/>
        <v>689818.82000000007</v>
      </c>
    </row>
    <row r="56" spans="1:14" s="169" customFormat="1">
      <c r="A56" s="388">
        <v>115</v>
      </c>
      <c r="B56" s="298" t="s">
        <v>186</v>
      </c>
      <c r="C56" s="405" t="s">
        <v>1538</v>
      </c>
      <c r="D56" s="388">
        <v>607</v>
      </c>
      <c r="E56" s="170">
        <f>VLOOKUP($D56,'SMEPA Lines DECEMBER 2016'!$D:$H,2,0)</f>
        <v>727</v>
      </c>
      <c r="F56" s="170">
        <f>VLOOKUP($D56,'SMEPA Lines DECEMBER 2016'!$D:$H,3,0)</f>
        <v>0</v>
      </c>
      <c r="G56" s="170">
        <f>VLOOKUP($D56,'SMEPA Lines DECEMBER 2016'!$D:$H,4,0)</f>
        <v>21300.6</v>
      </c>
      <c r="H56" s="170">
        <f>VLOOKUP($D56,'SMEPA Lines DECEMBER 2016'!$D:$H,5,0)</f>
        <v>3606.65</v>
      </c>
      <c r="I56" s="171">
        <f t="shared" ref="I56:I64" si="4">SUM(E56:H56)</f>
        <v>25634.25</v>
      </c>
      <c r="J56" s="469">
        <v>0.15</v>
      </c>
      <c r="L56" s="172">
        <f t="shared" ref="L56:L64" si="5">+ROUND(+K56/J56,2)</f>
        <v>0</v>
      </c>
      <c r="M56" s="173">
        <f t="shared" ref="M56:M64" si="6">IF(L56=0,0,(I56*L56))</f>
        <v>0</v>
      </c>
      <c r="N56" s="174">
        <f t="shared" ref="N56:N64" si="7">+I56-M56</f>
        <v>25634.25</v>
      </c>
    </row>
    <row r="57" spans="1:14" s="169" customFormat="1">
      <c r="A57" s="388">
        <v>115</v>
      </c>
      <c r="B57" s="298" t="s">
        <v>186</v>
      </c>
      <c r="C57" s="405" t="s">
        <v>1539</v>
      </c>
      <c r="D57" s="388">
        <v>608</v>
      </c>
      <c r="E57" s="170">
        <f>VLOOKUP($D57,'SMEPA Lines DECEMBER 2016'!$D:$H,2,0)</f>
        <v>2485.58</v>
      </c>
      <c r="F57" s="170">
        <f>VLOOKUP($D57,'SMEPA Lines DECEMBER 2016'!$D:$H,3,0)</f>
        <v>0</v>
      </c>
      <c r="G57" s="170">
        <f>VLOOKUP($D57,'SMEPA Lines DECEMBER 2016'!$D:$H,4,0)</f>
        <v>6922.34</v>
      </c>
      <c r="H57" s="170">
        <f>VLOOKUP($D57,'SMEPA Lines DECEMBER 2016'!$D:$H,5,0)</f>
        <v>13149.63</v>
      </c>
      <c r="I57" s="171">
        <f t="shared" si="4"/>
        <v>22557.55</v>
      </c>
      <c r="J57" s="469">
        <v>0.25</v>
      </c>
      <c r="L57" s="172">
        <f t="shared" si="5"/>
        <v>0</v>
      </c>
      <c r="M57" s="173">
        <f t="shared" si="6"/>
        <v>0</v>
      </c>
      <c r="N57" s="174">
        <f t="shared" si="7"/>
        <v>22557.55</v>
      </c>
    </row>
    <row r="58" spans="1:14" s="169" customFormat="1">
      <c r="A58" s="388">
        <v>115</v>
      </c>
      <c r="B58" s="298" t="s">
        <v>186</v>
      </c>
      <c r="C58" s="405" t="s">
        <v>1540</v>
      </c>
      <c r="D58" s="388">
        <v>609</v>
      </c>
      <c r="E58" s="170">
        <f>VLOOKUP($D58,'SMEPA Lines DECEMBER 2016'!$D:$H,2,0)</f>
        <v>2341.27</v>
      </c>
      <c r="F58" s="170">
        <f>VLOOKUP($D58,'SMEPA Lines DECEMBER 2016'!$D:$H,3,0)</f>
        <v>4827.82</v>
      </c>
      <c r="G58" s="170">
        <f>VLOOKUP($D58,'SMEPA Lines DECEMBER 2016'!$D:$H,4,0)</f>
        <v>37358.339999999997</v>
      </c>
      <c r="H58" s="170">
        <f>VLOOKUP($D58,'SMEPA Lines DECEMBER 2016'!$D:$H,5,0)</f>
        <v>29142.51</v>
      </c>
      <c r="I58" s="171">
        <f t="shared" si="4"/>
        <v>73669.939999999988</v>
      </c>
      <c r="J58" s="469">
        <v>0.93</v>
      </c>
      <c r="L58" s="172">
        <f t="shared" si="5"/>
        <v>0</v>
      </c>
      <c r="M58" s="173">
        <f t="shared" si="6"/>
        <v>0</v>
      </c>
      <c r="N58" s="174">
        <f t="shared" si="7"/>
        <v>73669.939999999988</v>
      </c>
    </row>
    <row r="59" spans="1:14" s="169" customFormat="1">
      <c r="A59" s="388">
        <v>115</v>
      </c>
      <c r="B59" s="298" t="s">
        <v>186</v>
      </c>
      <c r="C59" s="405" t="s">
        <v>1576</v>
      </c>
      <c r="D59" s="388">
        <v>610</v>
      </c>
      <c r="E59" s="170">
        <f>VLOOKUP($D59,'SMEPA Lines DECEMBER 2016'!$D:$H,2,0)</f>
        <v>9708.68</v>
      </c>
      <c r="F59" s="170">
        <f>VLOOKUP($D59,'SMEPA Lines DECEMBER 2016'!$D:$H,3,0)</f>
        <v>0</v>
      </c>
      <c r="G59" s="170">
        <f>VLOOKUP($D59,'SMEPA Lines DECEMBER 2016'!$D:$H,4,0)</f>
        <v>203039.98</v>
      </c>
      <c r="H59" s="170">
        <f>VLOOKUP($D59,'SMEPA Lines DECEMBER 2016'!$D:$H,5,0)</f>
        <v>71953.67</v>
      </c>
      <c r="I59" s="171">
        <f t="shared" si="4"/>
        <v>284702.33</v>
      </c>
      <c r="J59" s="469">
        <v>2.85</v>
      </c>
      <c r="L59" s="172">
        <f t="shared" si="5"/>
        <v>0</v>
      </c>
      <c r="M59" s="173">
        <f t="shared" si="6"/>
        <v>0</v>
      </c>
      <c r="N59" s="174">
        <f t="shared" si="7"/>
        <v>284702.33</v>
      </c>
    </row>
    <row r="60" spans="1:14" s="169" customFormat="1">
      <c r="A60" s="388">
        <v>115</v>
      </c>
      <c r="B60" s="298" t="s">
        <v>186</v>
      </c>
      <c r="C60" s="405" t="s">
        <v>1542</v>
      </c>
      <c r="D60" s="388">
        <v>611</v>
      </c>
      <c r="E60" s="170">
        <f>VLOOKUP($D60,'SMEPA Lines DECEMBER 2016'!$D:$H,2,0)</f>
        <v>44812.45</v>
      </c>
      <c r="F60" s="170">
        <f>VLOOKUP($D60,'SMEPA Lines DECEMBER 2016'!$D:$H,3,0)</f>
        <v>0</v>
      </c>
      <c r="G60" s="170">
        <f>VLOOKUP($D60,'SMEPA Lines DECEMBER 2016'!$D:$H,4,0)</f>
        <v>369229.64</v>
      </c>
      <c r="H60" s="170">
        <f>VLOOKUP($D60,'SMEPA Lines DECEMBER 2016'!$D:$H,5,0)</f>
        <v>154807.22</v>
      </c>
      <c r="I60" s="171">
        <f t="shared" si="4"/>
        <v>568849.31000000006</v>
      </c>
      <c r="J60" s="469">
        <v>7.96</v>
      </c>
      <c r="L60" s="172">
        <f t="shared" si="5"/>
        <v>0</v>
      </c>
      <c r="M60" s="173">
        <f t="shared" si="6"/>
        <v>0</v>
      </c>
      <c r="N60" s="174">
        <f t="shared" si="7"/>
        <v>568849.31000000006</v>
      </c>
    </row>
    <row r="61" spans="1:14" s="169" customFormat="1">
      <c r="A61" s="388">
        <v>115</v>
      </c>
      <c r="B61" s="298" t="s">
        <v>186</v>
      </c>
      <c r="C61" s="405" t="s">
        <v>1543</v>
      </c>
      <c r="D61" s="388">
        <v>612</v>
      </c>
      <c r="E61" s="170">
        <f>VLOOKUP($D61,'SMEPA Lines DECEMBER 2016'!$D:$H,2,0)</f>
        <v>1612.59</v>
      </c>
      <c r="F61" s="170">
        <f>VLOOKUP($D61,'SMEPA Lines DECEMBER 2016'!$D:$H,3,0)</f>
        <v>0</v>
      </c>
      <c r="G61" s="170">
        <f>VLOOKUP($D61,'SMEPA Lines DECEMBER 2016'!$D:$H,4,0)</f>
        <v>159545.97</v>
      </c>
      <c r="H61" s="170">
        <f>VLOOKUP($D61,'SMEPA Lines DECEMBER 2016'!$D:$H,5,0)</f>
        <v>33020.639999999999</v>
      </c>
      <c r="I61" s="171">
        <f t="shared" si="4"/>
        <v>194179.20000000001</v>
      </c>
      <c r="J61" s="469">
        <v>0.74</v>
      </c>
      <c r="L61" s="172">
        <f t="shared" si="5"/>
        <v>0</v>
      </c>
      <c r="M61" s="173">
        <f t="shared" si="6"/>
        <v>0</v>
      </c>
      <c r="N61" s="174">
        <f t="shared" si="7"/>
        <v>194179.20000000001</v>
      </c>
    </row>
    <row r="62" spans="1:14" s="169" customFormat="1">
      <c r="A62" s="388">
        <v>115</v>
      </c>
      <c r="B62" s="298" t="s">
        <v>186</v>
      </c>
      <c r="C62" s="405" t="s">
        <v>1577</v>
      </c>
      <c r="D62" s="388">
        <v>613</v>
      </c>
      <c r="E62" s="170">
        <f>VLOOKUP($D62,'SMEPA Lines DECEMBER 2016'!$D:$H,2,0)</f>
        <v>14718.08</v>
      </c>
      <c r="F62" s="170">
        <f>VLOOKUP($D62,'SMEPA Lines DECEMBER 2016'!$D:$H,3,0)</f>
        <v>0</v>
      </c>
      <c r="G62" s="170">
        <f>VLOOKUP($D62,'SMEPA Lines DECEMBER 2016'!$D:$H,4,0)</f>
        <v>136560.76</v>
      </c>
      <c r="H62" s="170">
        <f>VLOOKUP($D62,'SMEPA Lines DECEMBER 2016'!$D:$H,5,0)</f>
        <v>61808.3</v>
      </c>
      <c r="I62" s="171">
        <f t="shared" si="4"/>
        <v>213087.14</v>
      </c>
      <c r="J62" s="469">
        <v>4.09</v>
      </c>
      <c r="L62" s="172">
        <f t="shared" si="5"/>
        <v>0</v>
      </c>
      <c r="M62" s="173">
        <f t="shared" si="6"/>
        <v>0</v>
      </c>
      <c r="N62" s="174">
        <f t="shared" si="7"/>
        <v>213087.14</v>
      </c>
    </row>
    <row r="63" spans="1:14" s="169" customFormat="1">
      <c r="A63" s="388">
        <v>115</v>
      </c>
      <c r="B63" s="298" t="s">
        <v>186</v>
      </c>
      <c r="C63" s="405" t="s">
        <v>1545</v>
      </c>
      <c r="D63" s="388">
        <v>614</v>
      </c>
      <c r="E63" s="170">
        <f>VLOOKUP($D63,'SMEPA Lines DECEMBER 2016'!$D:$H,2,0)</f>
        <v>27231.53</v>
      </c>
      <c r="F63" s="170">
        <f>VLOOKUP($D63,'SMEPA Lines DECEMBER 2016'!$D:$H,3,0)</f>
        <v>0</v>
      </c>
      <c r="G63" s="170">
        <f>VLOOKUP($D63,'SMEPA Lines DECEMBER 2016'!$D:$H,4,0)</f>
        <v>190345.87</v>
      </c>
      <c r="H63" s="170">
        <f>VLOOKUP($D63,'SMEPA Lines DECEMBER 2016'!$D:$H,5,0)</f>
        <v>223324.74</v>
      </c>
      <c r="I63" s="171">
        <f t="shared" si="4"/>
        <v>440902.14</v>
      </c>
      <c r="J63" s="469">
        <v>3.97</v>
      </c>
      <c r="L63" s="172">
        <f t="shared" si="5"/>
        <v>0</v>
      </c>
      <c r="M63" s="173">
        <f t="shared" si="6"/>
        <v>0</v>
      </c>
      <c r="N63" s="174">
        <f t="shared" si="7"/>
        <v>440902.14</v>
      </c>
    </row>
    <row r="64" spans="1:14" s="169" customFormat="1">
      <c r="A64" s="388">
        <v>115</v>
      </c>
      <c r="B64" s="298" t="s">
        <v>186</v>
      </c>
      <c r="C64" s="405" t="s">
        <v>1546</v>
      </c>
      <c r="D64" s="388">
        <v>615</v>
      </c>
      <c r="E64" s="170">
        <f>VLOOKUP($D64,'SMEPA Lines DECEMBER 2016'!$D:$H,2,0)</f>
        <v>48024.51</v>
      </c>
      <c r="F64" s="170">
        <f>VLOOKUP($D64,'SMEPA Lines DECEMBER 2016'!$D:$H,3,0)</f>
        <v>0</v>
      </c>
      <c r="G64" s="170">
        <f>VLOOKUP($D64,'SMEPA Lines DECEMBER 2016'!$D:$H,4,0)</f>
        <v>503218.11</v>
      </c>
      <c r="H64" s="170">
        <f>VLOOKUP($D64,'SMEPA Lines DECEMBER 2016'!$D:$H,5,0)</f>
        <v>208017.84</v>
      </c>
      <c r="I64" s="171">
        <f t="shared" si="4"/>
        <v>759260.46</v>
      </c>
      <c r="J64" s="469">
        <v>6.44</v>
      </c>
      <c r="L64" s="172">
        <f t="shared" si="5"/>
        <v>0</v>
      </c>
      <c r="M64" s="173">
        <f t="shared" si="6"/>
        <v>0</v>
      </c>
      <c r="N64" s="174">
        <f t="shared" si="7"/>
        <v>759260.46</v>
      </c>
    </row>
    <row r="65" spans="1:14" s="6" customFormat="1">
      <c r="A65" s="5">
        <v>115</v>
      </c>
      <c r="B65" s="5" t="s">
        <v>184</v>
      </c>
      <c r="C65" s="390" t="s">
        <v>63</v>
      </c>
      <c r="D65" s="5" t="s">
        <v>64</v>
      </c>
      <c r="E65" s="10">
        <f>VLOOKUP($D65,'SMEPA Lines DECEMBER 2016'!$D:$H,2,0)</f>
        <v>0</v>
      </c>
      <c r="F65" s="10">
        <f>VLOOKUP($D65,'SMEPA Lines DECEMBER 2016'!$D:$H,3,0)</f>
        <v>0</v>
      </c>
      <c r="G65" s="10">
        <f>VLOOKUP($D65,'SMEPA Lines DECEMBER 2016'!$D:$H,4,0)</f>
        <v>144920.85</v>
      </c>
      <c r="H65" s="10">
        <f>VLOOKUP($D65,'SMEPA Lines DECEMBER 2016'!$D:$H,5,0)</f>
        <v>129160.9</v>
      </c>
      <c r="I65" s="3">
        <f t="shared" ref="I65:I110" si="8">SUM(E65:H65)</f>
        <v>274081.75</v>
      </c>
      <c r="J65" s="3">
        <v>4.97</v>
      </c>
      <c r="L65" s="23">
        <f t="shared" ref="L65:L110" si="9">+ROUND(+K65/J65,2)</f>
        <v>0</v>
      </c>
      <c r="M65" s="16">
        <f t="shared" ref="M65:M110" si="10">IF(L65=0,0,(I65*L65))</f>
        <v>0</v>
      </c>
      <c r="N65" s="22">
        <f t="shared" ref="N65:N110" si="11">+I65-M65</f>
        <v>274081.75</v>
      </c>
    </row>
    <row r="66" spans="1:14" s="169" customFormat="1">
      <c r="A66" s="388">
        <v>115</v>
      </c>
      <c r="B66" s="388" t="s">
        <v>184</v>
      </c>
      <c r="C66" s="405" t="s">
        <v>1414</v>
      </c>
      <c r="D66" s="388">
        <v>89</v>
      </c>
      <c r="E66" s="170">
        <f>VLOOKUP($D66,'SMEPA Lines DECEMBER 2016'!$D:$H,2,0)</f>
        <v>0</v>
      </c>
      <c r="F66" s="170">
        <f>VLOOKUP($D66,'SMEPA Lines DECEMBER 2016'!$D:$H,3,0)</f>
        <v>0</v>
      </c>
      <c r="G66" s="170">
        <f>VLOOKUP($D66,'SMEPA Lines DECEMBER 2016'!$D:$H,4,0)</f>
        <v>1767131.43</v>
      </c>
      <c r="H66" s="170">
        <f>VLOOKUP($D66,'SMEPA Lines DECEMBER 2016'!$D:$H,5,0)</f>
        <v>1805315.32</v>
      </c>
      <c r="I66" s="171">
        <f t="shared" si="8"/>
        <v>3572446.75</v>
      </c>
      <c r="J66" s="469">
        <v>9.68</v>
      </c>
      <c r="L66" s="172">
        <f t="shared" si="9"/>
        <v>0</v>
      </c>
      <c r="M66" s="173">
        <f t="shared" si="10"/>
        <v>0</v>
      </c>
      <c r="N66" s="174">
        <f t="shared" si="11"/>
        <v>3572446.75</v>
      </c>
    </row>
    <row r="67" spans="1:14" s="6" customFormat="1">
      <c r="A67" s="5">
        <v>115</v>
      </c>
      <c r="B67" s="5" t="s">
        <v>184</v>
      </c>
      <c r="C67" s="396" t="s">
        <v>1470</v>
      </c>
      <c r="D67" s="5" t="s">
        <v>102</v>
      </c>
      <c r="E67" s="10">
        <f>VLOOKUP($D67,'SMEPA Lines DECEMBER 2016'!$D:$H,2,0)</f>
        <v>902.89</v>
      </c>
      <c r="F67" s="10">
        <f>VLOOKUP($D67,'SMEPA Lines DECEMBER 2016'!$D:$H,3,0)</f>
        <v>0</v>
      </c>
      <c r="G67" s="10">
        <f>VLOOKUP($D67,'SMEPA Lines DECEMBER 2016'!$D:$H,4,0)</f>
        <v>140159.67000000001</v>
      </c>
      <c r="H67" s="10">
        <f>VLOOKUP($D67,'SMEPA Lines DECEMBER 2016'!$D:$H,5,0)</f>
        <v>30926.46</v>
      </c>
      <c r="I67" s="3">
        <f t="shared" si="8"/>
        <v>171989.02000000002</v>
      </c>
      <c r="J67" s="6">
        <v>0.79</v>
      </c>
      <c r="L67" s="23">
        <f t="shared" si="9"/>
        <v>0</v>
      </c>
      <c r="M67" s="16">
        <f t="shared" si="10"/>
        <v>0</v>
      </c>
      <c r="N67" s="22">
        <f t="shared" si="11"/>
        <v>171989.02000000002</v>
      </c>
    </row>
    <row r="68" spans="1:14" s="6" customFormat="1" ht="30">
      <c r="A68" s="5">
        <v>115</v>
      </c>
      <c r="B68" s="5" t="s">
        <v>184</v>
      </c>
      <c r="C68" s="396" t="s">
        <v>1562</v>
      </c>
      <c r="D68" s="5" t="s">
        <v>104</v>
      </c>
      <c r="E68" s="10">
        <f>VLOOKUP($D68,'SMEPA Lines DECEMBER 2016'!$D:$H,2,0)</f>
        <v>0</v>
      </c>
      <c r="F68" s="10">
        <f>VLOOKUP($D68,'SMEPA Lines DECEMBER 2016'!$D:$H,3,0)</f>
        <v>0</v>
      </c>
      <c r="G68" s="10">
        <f>VLOOKUP($D68,'SMEPA Lines DECEMBER 2016'!$D:$H,4,0)</f>
        <v>8646.06</v>
      </c>
      <c r="H68" s="10">
        <f>VLOOKUP($D68,'SMEPA Lines DECEMBER 2016'!$D:$H,5,0)</f>
        <v>4427.91</v>
      </c>
      <c r="I68" s="3">
        <f t="shared" si="8"/>
        <v>13073.97</v>
      </c>
      <c r="J68" s="6">
        <v>0.13</v>
      </c>
      <c r="L68" s="23">
        <f t="shared" si="9"/>
        <v>0</v>
      </c>
      <c r="M68" s="16">
        <f t="shared" si="10"/>
        <v>0</v>
      </c>
      <c r="N68" s="22">
        <f t="shared" si="11"/>
        <v>13073.97</v>
      </c>
    </row>
    <row r="69" spans="1:14" s="6" customFormat="1" ht="30">
      <c r="A69" s="5">
        <v>115</v>
      </c>
      <c r="B69" s="5" t="s">
        <v>184</v>
      </c>
      <c r="C69" s="396" t="s">
        <v>1475</v>
      </c>
      <c r="D69" s="5" t="s">
        <v>106</v>
      </c>
      <c r="E69" s="10">
        <f>VLOOKUP($D69,'SMEPA Lines DECEMBER 2016'!$D:$H,2,0)</f>
        <v>0</v>
      </c>
      <c r="F69" s="10">
        <f>VLOOKUP($D69,'SMEPA Lines DECEMBER 2016'!$D:$H,3,0)</f>
        <v>0</v>
      </c>
      <c r="G69" s="10">
        <f>VLOOKUP($D69,'SMEPA Lines DECEMBER 2016'!$D:$H,4,0)</f>
        <v>68266.540000000008</v>
      </c>
      <c r="H69" s="10">
        <f>VLOOKUP($D69,'SMEPA Lines DECEMBER 2016'!$D:$H,5,0)</f>
        <v>28493</v>
      </c>
      <c r="I69" s="3">
        <f t="shared" si="8"/>
        <v>96759.540000000008</v>
      </c>
      <c r="J69" s="6">
        <v>0.62</v>
      </c>
      <c r="L69" s="23">
        <f t="shared" si="9"/>
        <v>0</v>
      </c>
      <c r="M69" s="16">
        <f t="shared" si="10"/>
        <v>0</v>
      </c>
      <c r="N69" s="22">
        <f t="shared" si="11"/>
        <v>96759.540000000008</v>
      </c>
    </row>
    <row r="70" spans="1:14" s="6" customFormat="1">
      <c r="A70" s="5">
        <v>115</v>
      </c>
      <c r="B70" s="5" t="s">
        <v>184</v>
      </c>
      <c r="C70" s="396" t="s">
        <v>1479</v>
      </c>
      <c r="D70" s="5" t="s">
        <v>112</v>
      </c>
      <c r="E70" s="10">
        <f>VLOOKUP($D70,'SMEPA Lines DECEMBER 2016'!$D:$H,2,0)</f>
        <v>0</v>
      </c>
      <c r="F70" s="10">
        <f>VLOOKUP($D70,'SMEPA Lines DECEMBER 2016'!$D:$H,3,0)</f>
        <v>0</v>
      </c>
      <c r="G70" s="10">
        <f>VLOOKUP($D70,'SMEPA Lines DECEMBER 2016'!$D:$H,4,0)</f>
        <v>90733.4</v>
      </c>
      <c r="H70" s="10">
        <f>VLOOKUP($D70,'SMEPA Lines DECEMBER 2016'!$D:$H,5,0)</f>
        <v>74050.89</v>
      </c>
      <c r="I70" s="3">
        <f t="shared" si="8"/>
        <v>164784.28999999998</v>
      </c>
      <c r="J70" s="6">
        <v>2.87</v>
      </c>
      <c r="L70" s="23">
        <f t="shared" si="9"/>
        <v>0</v>
      </c>
      <c r="M70" s="16">
        <f t="shared" si="10"/>
        <v>0</v>
      </c>
      <c r="N70" s="22">
        <f t="shared" si="11"/>
        <v>164784.28999999998</v>
      </c>
    </row>
    <row r="71" spans="1:14" s="6" customFormat="1">
      <c r="A71" s="5">
        <v>115</v>
      </c>
      <c r="B71" s="5" t="s">
        <v>184</v>
      </c>
      <c r="C71" s="396" t="s">
        <v>1480</v>
      </c>
      <c r="D71" s="5" t="s">
        <v>113</v>
      </c>
      <c r="E71" s="10">
        <f>VLOOKUP($D71,'SMEPA Lines DECEMBER 2016'!$D:$H,2,0)</f>
        <v>0</v>
      </c>
      <c r="F71" s="10">
        <f>VLOOKUP($D71,'SMEPA Lines DECEMBER 2016'!$D:$H,3,0)</f>
        <v>0</v>
      </c>
      <c r="G71" s="10">
        <f>VLOOKUP($D71,'SMEPA Lines DECEMBER 2016'!$D:$H,4,0)</f>
        <v>374118.14</v>
      </c>
      <c r="H71" s="10">
        <f>VLOOKUP($D71,'SMEPA Lines DECEMBER 2016'!$D:$H,5,0)</f>
        <v>143743.20000000001</v>
      </c>
      <c r="I71" s="3">
        <f t="shared" si="8"/>
        <v>517861.34</v>
      </c>
      <c r="J71" s="6">
        <v>4.99</v>
      </c>
      <c r="L71" s="23">
        <f t="shared" si="9"/>
        <v>0</v>
      </c>
      <c r="M71" s="16">
        <f t="shared" si="10"/>
        <v>0</v>
      </c>
      <c r="N71" s="22">
        <f t="shared" si="11"/>
        <v>517861.34</v>
      </c>
    </row>
    <row r="72" spans="1:14" s="6" customFormat="1">
      <c r="A72" s="5">
        <v>115</v>
      </c>
      <c r="B72" s="5" t="s">
        <v>184</v>
      </c>
      <c r="C72" s="396" t="s">
        <v>1563</v>
      </c>
      <c r="D72" s="5" t="s">
        <v>118</v>
      </c>
      <c r="E72" s="10">
        <f>VLOOKUP($D72,'SMEPA Lines DECEMBER 2016'!$D:$H,2,0)</f>
        <v>0</v>
      </c>
      <c r="F72" s="10">
        <f>VLOOKUP($D72,'SMEPA Lines DECEMBER 2016'!$D:$H,3,0)</f>
        <v>0</v>
      </c>
      <c r="G72" s="10">
        <f>VLOOKUP($D72,'SMEPA Lines DECEMBER 2016'!$D:$H,4,0)</f>
        <v>189346.95</v>
      </c>
      <c r="H72" s="10">
        <f>VLOOKUP($D72,'SMEPA Lines DECEMBER 2016'!$D:$H,5,0)</f>
        <v>186741.87</v>
      </c>
      <c r="I72" s="3">
        <f t="shared" si="8"/>
        <v>376088.82</v>
      </c>
      <c r="J72" s="6">
        <v>3.88</v>
      </c>
      <c r="L72" s="23">
        <f t="shared" si="9"/>
        <v>0</v>
      </c>
      <c r="M72" s="16">
        <f t="shared" si="10"/>
        <v>0</v>
      </c>
      <c r="N72" s="22">
        <f t="shared" si="11"/>
        <v>376088.82</v>
      </c>
    </row>
    <row r="73" spans="1:14" s="6" customFormat="1">
      <c r="A73" s="5">
        <v>115</v>
      </c>
      <c r="B73" s="5" t="s">
        <v>184</v>
      </c>
      <c r="C73" s="396" t="s">
        <v>1485</v>
      </c>
      <c r="D73" s="5" t="s">
        <v>120</v>
      </c>
      <c r="E73" s="10">
        <f>VLOOKUP($D73,'SMEPA Lines DECEMBER 2016'!$D:$H,2,0)</f>
        <v>0</v>
      </c>
      <c r="F73" s="10">
        <f>VLOOKUP($D73,'SMEPA Lines DECEMBER 2016'!$D:$H,3,0)</f>
        <v>0</v>
      </c>
      <c r="G73" s="10">
        <f>VLOOKUP($D73,'SMEPA Lines DECEMBER 2016'!$D:$H,4,0)</f>
        <v>49526.39</v>
      </c>
      <c r="H73" s="10">
        <f>VLOOKUP($D73,'SMEPA Lines DECEMBER 2016'!$D:$H,5,0)</f>
        <v>17014.05</v>
      </c>
      <c r="I73" s="3">
        <f t="shared" si="8"/>
        <v>66540.44</v>
      </c>
      <c r="J73" s="6">
        <v>0.46</v>
      </c>
      <c r="L73" s="23">
        <f t="shared" si="9"/>
        <v>0</v>
      </c>
      <c r="M73" s="16">
        <f t="shared" si="10"/>
        <v>0</v>
      </c>
      <c r="N73" s="22">
        <f t="shared" si="11"/>
        <v>66540.44</v>
      </c>
    </row>
    <row r="74" spans="1:14" s="6" customFormat="1">
      <c r="A74" s="5">
        <v>115</v>
      </c>
      <c r="B74" s="5" t="s">
        <v>184</v>
      </c>
      <c r="C74" s="396" t="s">
        <v>1564</v>
      </c>
      <c r="D74" s="5" t="s">
        <v>128</v>
      </c>
      <c r="E74" s="10">
        <f>VLOOKUP($D74,'SMEPA Lines DECEMBER 2016'!$D:$H,2,0)</f>
        <v>0</v>
      </c>
      <c r="F74" s="10">
        <f>VLOOKUP($D74,'SMEPA Lines DECEMBER 2016'!$D:$H,3,0)</f>
        <v>0</v>
      </c>
      <c r="G74" s="10">
        <f>VLOOKUP($D74,'SMEPA Lines DECEMBER 2016'!$D:$H,4,0)</f>
        <v>182775.02</v>
      </c>
      <c r="H74" s="10">
        <f>VLOOKUP($D74,'SMEPA Lines DECEMBER 2016'!$D:$H,5,0)</f>
        <v>239185.39</v>
      </c>
      <c r="I74" s="3">
        <f t="shared" si="8"/>
        <v>421960.41000000003</v>
      </c>
      <c r="J74" s="6">
        <v>4.9400000000000004</v>
      </c>
      <c r="L74" s="23">
        <f t="shared" si="9"/>
        <v>0</v>
      </c>
      <c r="M74" s="16">
        <f t="shared" si="10"/>
        <v>0</v>
      </c>
      <c r="N74" s="22">
        <f t="shared" si="11"/>
        <v>421960.41000000003</v>
      </c>
    </row>
    <row r="75" spans="1:14" s="6" customFormat="1">
      <c r="A75" s="5">
        <v>115</v>
      </c>
      <c r="B75" s="5" t="s">
        <v>184</v>
      </c>
      <c r="C75" s="396" t="s">
        <v>1492</v>
      </c>
      <c r="D75" s="5" t="s">
        <v>129</v>
      </c>
      <c r="E75" s="10">
        <f>VLOOKUP($D75,'SMEPA Lines DECEMBER 2016'!$D:$H,2,0)</f>
        <v>0</v>
      </c>
      <c r="F75" s="10">
        <f>VLOOKUP($D75,'SMEPA Lines DECEMBER 2016'!$D:$H,3,0)</f>
        <v>0</v>
      </c>
      <c r="G75" s="10">
        <f>VLOOKUP($D75,'SMEPA Lines DECEMBER 2016'!$D:$H,4,0)</f>
        <v>58979.02</v>
      </c>
      <c r="H75" s="10">
        <f>VLOOKUP($D75,'SMEPA Lines DECEMBER 2016'!$D:$H,5,0)</f>
        <v>35957.760000000002</v>
      </c>
      <c r="I75" s="3">
        <f t="shared" si="8"/>
        <v>94936.78</v>
      </c>
      <c r="J75" s="6">
        <v>1.1299999999999999</v>
      </c>
      <c r="L75" s="23">
        <f t="shared" si="9"/>
        <v>0</v>
      </c>
      <c r="M75" s="16">
        <f t="shared" si="10"/>
        <v>0</v>
      </c>
      <c r="N75" s="22">
        <f t="shared" si="11"/>
        <v>94936.78</v>
      </c>
    </row>
    <row r="76" spans="1:14" s="6" customFormat="1">
      <c r="A76" s="5">
        <v>115</v>
      </c>
      <c r="B76" s="5" t="s">
        <v>184</v>
      </c>
      <c r="C76" s="396" t="s">
        <v>1494</v>
      </c>
      <c r="D76" s="5" t="s">
        <v>131</v>
      </c>
      <c r="E76" s="10">
        <f>VLOOKUP($D76,'SMEPA Lines DECEMBER 2016'!$D:$H,2,0)</f>
        <v>0</v>
      </c>
      <c r="F76" s="10">
        <f>VLOOKUP($D76,'SMEPA Lines DECEMBER 2016'!$D:$H,3,0)</f>
        <v>0</v>
      </c>
      <c r="G76" s="10">
        <f>VLOOKUP($D76,'SMEPA Lines DECEMBER 2016'!$D:$H,4,0)</f>
        <v>218992.41</v>
      </c>
      <c r="H76" s="10">
        <f>VLOOKUP($D76,'SMEPA Lines DECEMBER 2016'!$D:$H,5,0)</f>
        <v>357525.17</v>
      </c>
      <c r="I76" s="3">
        <f t="shared" si="8"/>
        <v>576517.57999999996</v>
      </c>
      <c r="J76" s="6">
        <v>5.74</v>
      </c>
      <c r="L76" s="23">
        <f t="shared" si="9"/>
        <v>0</v>
      </c>
      <c r="M76" s="16">
        <f t="shared" si="10"/>
        <v>0</v>
      </c>
      <c r="N76" s="22">
        <f t="shared" si="11"/>
        <v>576517.57999999996</v>
      </c>
    </row>
    <row r="77" spans="1:14" s="6" customFormat="1">
      <c r="A77" s="5">
        <v>115</v>
      </c>
      <c r="B77" s="5" t="s">
        <v>184</v>
      </c>
      <c r="C77" s="396" t="s">
        <v>1496</v>
      </c>
      <c r="D77" s="5" t="s">
        <v>133</v>
      </c>
      <c r="E77" s="10">
        <f>VLOOKUP($D77,'SMEPA Lines DECEMBER 2016'!$D:$H,2,0)</f>
        <v>0</v>
      </c>
      <c r="F77" s="10">
        <f>VLOOKUP($D77,'SMEPA Lines DECEMBER 2016'!$D:$H,3,0)</f>
        <v>0</v>
      </c>
      <c r="G77" s="10">
        <f>VLOOKUP($D77,'SMEPA Lines DECEMBER 2016'!$D:$H,4,0)</f>
        <v>58987.25</v>
      </c>
      <c r="H77" s="10">
        <f>VLOOKUP($D77,'SMEPA Lines DECEMBER 2016'!$D:$H,5,0)</f>
        <v>104343.64</v>
      </c>
      <c r="I77" s="3">
        <f t="shared" si="8"/>
        <v>163330.89000000001</v>
      </c>
      <c r="J77" s="6">
        <v>1.39</v>
      </c>
      <c r="L77" s="23">
        <f t="shared" si="9"/>
        <v>0</v>
      </c>
      <c r="M77" s="16">
        <f t="shared" si="10"/>
        <v>0</v>
      </c>
      <c r="N77" s="22">
        <f t="shared" si="11"/>
        <v>163330.89000000001</v>
      </c>
    </row>
    <row r="78" spans="1:14" s="6" customFormat="1" ht="30">
      <c r="A78" s="5">
        <v>115</v>
      </c>
      <c r="B78" s="5" t="s">
        <v>184</v>
      </c>
      <c r="C78" s="396" t="s">
        <v>1497</v>
      </c>
      <c r="D78" s="5" t="s">
        <v>134</v>
      </c>
      <c r="E78" s="10">
        <f>VLOOKUP($D78,'SMEPA Lines DECEMBER 2016'!$D:$H,2,0)</f>
        <v>0</v>
      </c>
      <c r="F78" s="10">
        <f>VLOOKUP($D78,'SMEPA Lines DECEMBER 2016'!$D:$H,3,0)</f>
        <v>0</v>
      </c>
      <c r="G78" s="10">
        <f>VLOOKUP($D78,'SMEPA Lines DECEMBER 2016'!$D:$H,4,0)</f>
        <v>13507.16</v>
      </c>
      <c r="H78" s="10">
        <f>VLOOKUP($D78,'SMEPA Lines DECEMBER 2016'!$D:$H,5,0)</f>
        <v>17014.68</v>
      </c>
      <c r="I78" s="3">
        <f t="shared" si="8"/>
        <v>30521.84</v>
      </c>
      <c r="J78" s="6">
        <v>0.13</v>
      </c>
      <c r="L78" s="23">
        <f t="shared" si="9"/>
        <v>0</v>
      </c>
      <c r="M78" s="16">
        <f t="shared" si="10"/>
        <v>0</v>
      </c>
      <c r="N78" s="22">
        <f t="shared" si="11"/>
        <v>30521.84</v>
      </c>
    </row>
    <row r="79" spans="1:14" s="6" customFormat="1">
      <c r="A79" s="5">
        <v>115</v>
      </c>
      <c r="B79" s="5" t="s">
        <v>184</v>
      </c>
      <c r="C79" s="396" t="s">
        <v>1499</v>
      </c>
      <c r="D79" s="5" t="s">
        <v>136</v>
      </c>
      <c r="E79" s="10">
        <f>VLOOKUP($D79,'SMEPA Lines DECEMBER 2016'!$D:$H,2,0)</f>
        <v>0</v>
      </c>
      <c r="F79" s="10">
        <f>VLOOKUP($D79,'SMEPA Lines DECEMBER 2016'!$D:$H,3,0)</f>
        <v>0</v>
      </c>
      <c r="G79" s="10">
        <f>VLOOKUP($D79,'SMEPA Lines DECEMBER 2016'!$D:$H,4,0)</f>
        <v>139545.91</v>
      </c>
      <c r="H79" s="10">
        <f>VLOOKUP($D79,'SMEPA Lines DECEMBER 2016'!$D:$H,5,0)</f>
        <v>158238.85</v>
      </c>
      <c r="I79" s="3">
        <f t="shared" si="8"/>
        <v>297784.76</v>
      </c>
      <c r="J79" s="6">
        <v>2.5299999999999998</v>
      </c>
      <c r="L79" s="23">
        <f t="shared" si="9"/>
        <v>0</v>
      </c>
      <c r="M79" s="16">
        <f t="shared" si="10"/>
        <v>0</v>
      </c>
      <c r="N79" s="22">
        <f t="shared" si="11"/>
        <v>297784.76</v>
      </c>
    </row>
    <row r="80" spans="1:14" s="6" customFormat="1">
      <c r="A80" s="5">
        <v>115</v>
      </c>
      <c r="B80" s="5" t="s">
        <v>184</v>
      </c>
      <c r="C80" s="396" t="s">
        <v>1501</v>
      </c>
      <c r="D80" s="5" t="s">
        <v>137</v>
      </c>
      <c r="E80" s="10">
        <f>VLOOKUP($D80,'SMEPA Lines DECEMBER 2016'!$D:$H,2,0)</f>
        <v>0</v>
      </c>
      <c r="F80" s="10">
        <f>VLOOKUP($D80,'SMEPA Lines DECEMBER 2016'!$D:$H,3,0)</f>
        <v>0</v>
      </c>
      <c r="G80" s="10">
        <f>VLOOKUP($D80,'SMEPA Lines DECEMBER 2016'!$D:$H,4,0)</f>
        <v>50084.19</v>
      </c>
      <c r="H80" s="10">
        <f>VLOOKUP($D80,'SMEPA Lines DECEMBER 2016'!$D:$H,5,0)</f>
        <v>32740.62</v>
      </c>
      <c r="I80" s="3">
        <f t="shared" si="8"/>
        <v>82824.81</v>
      </c>
      <c r="J80" s="6">
        <v>0.57999999999999996</v>
      </c>
      <c r="L80" s="23">
        <f t="shared" si="9"/>
        <v>0</v>
      </c>
      <c r="M80" s="16">
        <f t="shared" si="10"/>
        <v>0</v>
      </c>
      <c r="N80" s="22">
        <f t="shared" si="11"/>
        <v>82824.81</v>
      </c>
    </row>
    <row r="81" spans="1:14" s="6" customFormat="1" ht="30">
      <c r="A81" s="5">
        <v>115</v>
      </c>
      <c r="B81" s="5" t="s">
        <v>184</v>
      </c>
      <c r="C81" s="396" t="s">
        <v>1507</v>
      </c>
      <c r="D81" s="5">
        <v>548</v>
      </c>
      <c r="E81" s="10">
        <f>VLOOKUP($D81,'SMEPA Lines DECEMBER 2016'!$D:$H,2,0)</f>
        <v>241402.23</v>
      </c>
      <c r="F81" s="10">
        <f>VLOOKUP($D81,'SMEPA Lines DECEMBER 2016'!$D:$H,3,0)</f>
        <v>0</v>
      </c>
      <c r="G81" s="10">
        <f>VLOOKUP($D81,'SMEPA Lines DECEMBER 2016'!$D:$H,4,0)</f>
        <v>108550.98</v>
      </c>
      <c r="H81" s="10">
        <f>VLOOKUP($D81,'SMEPA Lines DECEMBER 2016'!$D:$H,5,0)</f>
        <v>124456.44</v>
      </c>
      <c r="I81" s="3">
        <f t="shared" si="8"/>
        <v>474409.65</v>
      </c>
      <c r="J81" s="3">
        <v>0.7</v>
      </c>
      <c r="L81" s="23">
        <f t="shared" si="9"/>
        <v>0</v>
      </c>
      <c r="M81" s="16">
        <f t="shared" si="10"/>
        <v>0</v>
      </c>
      <c r="N81" s="22">
        <f t="shared" si="11"/>
        <v>474409.65</v>
      </c>
    </row>
    <row r="82" spans="1:14" s="6" customFormat="1">
      <c r="A82" s="5">
        <v>115</v>
      </c>
      <c r="B82" s="5" t="s">
        <v>184</v>
      </c>
      <c r="C82" s="396" t="s">
        <v>1511</v>
      </c>
      <c r="D82" s="5">
        <v>552</v>
      </c>
      <c r="E82" s="10">
        <f>VLOOKUP($D82,'SMEPA Lines DECEMBER 2016'!$D:$H,2,0)</f>
        <v>0</v>
      </c>
      <c r="F82" s="10">
        <f>VLOOKUP($D82,'SMEPA Lines DECEMBER 2016'!$D:$H,3,0)</f>
        <v>0</v>
      </c>
      <c r="G82" s="10">
        <f>VLOOKUP($D82,'SMEPA Lines DECEMBER 2016'!$D:$H,4,0)</f>
        <v>57008.69</v>
      </c>
      <c r="H82" s="10">
        <f>VLOOKUP($D82,'SMEPA Lines DECEMBER 2016'!$D:$H,5,0)</f>
        <v>40762.19</v>
      </c>
      <c r="I82" s="3">
        <f t="shared" si="8"/>
        <v>97770.880000000005</v>
      </c>
      <c r="J82" s="3">
        <v>0.2</v>
      </c>
      <c r="L82" s="23">
        <f t="shared" si="9"/>
        <v>0</v>
      </c>
      <c r="M82" s="16">
        <f t="shared" si="10"/>
        <v>0</v>
      </c>
      <c r="N82" s="22">
        <f t="shared" si="11"/>
        <v>97770.880000000005</v>
      </c>
    </row>
    <row r="83" spans="1:14" s="6" customFormat="1">
      <c r="A83" s="5">
        <v>115</v>
      </c>
      <c r="B83" s="5" t="s">
        <v>184</v>
      </c>
      <c r="C83" s="396" t="s">
        <v>1517</v>
      </c>
      <c r="D83" s="5">
        <v>557</v>
      </c>
      <c r="E83" s="10">
        <f>VLOOKUP($D83,'SMEPA Lines DECEMBER 2016'!$D:$H,2,0)</f>
        <v>0</v>
      </c>
      <c r="F83" s="10">
        <f>VLOOKUP($D83,'SMEPA Lines DECEMBER 2016'!$D:$H,3,0)</f>
        <v>0</v>
      </c>
      <c r="G83" s="10">
        <f>VLOOKUP($D83,'SMEPA Lines DECEMBER 2016'!$D:$H,4,0)</f>
        <v>200925.1</v>
      </c>
      <c r="H83" s="10">
        <f>VLOOKUP($D83,'SMEPA Lines DECEMBER 2016'!$D:$H,5,0)</f>
        <v>115950.97</v>
      </c>
      <c r="I83" s="3">
        <f t="shared" si="8"/>
        <v>316876.07</v>
      </c>
      <c r="J83" s="3">
        <v>0.39</v>
      </c>
      <c r="L83" s="23">
        <f t="shared" si="9"/>
        <v>0</v>
      </c>
      <c r="M83" s="16">
        <f t="shared" si="10"/>
        <v>0</v>
      </c>
      <c r="N83" s="22">
        <f t="shared" si="11"/>
        <v>316876.07</v>
      </c>
    </row>
    <row r="84" spans="1:14" s="6" customFormat="1">
      <c r="A84" s="5">
        <v>115</v>
      </c>
      <c r="B84" s="5" t="s">
        <v>184</v>
      </c>
      <c r="C84" s="396" t="s">
        <v>1565</v>
      </c>
      <c r="D84" s="5">
        <v>567</v>
      </c>
      <c r="E84" s="10">
        <f>VLOOKUP($D84,'SMEPA Lines DECEMBER 2016'!$D:$H,2,0)</f>
        <v>0</v>
      </c>
      <c r="F84" s="10">
        <f>VLOOKUP($D84,'SMEPA Lines DECEMBER 2016'!$D:$H,3,0)</f>
        <v>0</v>
      </c>
      <c r="G84" s="10">
        <f>VLOOKUP($D84,'SMEPA Lines DECEMBER 2016'!$D:$H,4,0)</f>
        <v>14954.49</v>
      </c>
      <c r="H84" s="10">
        <f>VLOOKUP($D84,'SMEPA Lines DECEMBER 2016'!$D:$H,5,0)</f>
        <v>3443.45</v>
      </c>
      <c r="I84" s="3">
        <f t="shared" si="8"/>
        <v>18397.939999999999</v>
      </c>
      <c r="J84" s="3">
        <v>0.02</v>
      </c>
      <c r="L84" s="23">
        <f t="shared" si="9"/>
        <v>0</v>
      </c>
      <c r="M84" s="16">
        <f t="shared" si="10"/>
        <v>0</v>
      </c>
      <c r="N84" s="22">
        <f t="shared" si="11"/>
        <v>18397.939999999999</v>
      </c>
    </row>
    <row r="85" spans="1:14" s="6" customFormat="1">
      <c r="A85" s="5">
        <v>115</v>
      </c>
      <c r="B85" s="5" t="s">
        <v>184</v>
      </c>
      <c r="C85" s="390" t="s">
        <v>165</v>
      </c>
      <c r="D85" s="5">
        <v>578</v>
      </c>
      <c r="E85" s="10">
        <f>VLOOKUP($D85,'SMEPA Lines DECEMBER 2016'!$D:$H,2,0)</f>
        <v>0</v>
      </c>
      <c r="F85" s="10">
        <f>VLOOKUP($D85,'SMEPA Lines DECEMBER 2016'!$D:$H,3,0)</f>
        <v>0</v>
      </c>
      <c r="G85" s="10">
        <f>VLOOKUP($D85,'SMEPA Lines DECEMBER 2016'!$D:$H,4,0)</f>
        <v>931960.28</v>
      </c>
      <c r="H85" s="10">
        <f>VLOOKUP($D85,'SMEPA Lines DECEMBER 2016'!$D:$H,5,0)</f>
        <v>573906.18999999994</v>
      </c>
      <c r="I85" s="3">
        <f t="shared" si="8"/>
        <v>1505866.47</v>
      </c>
      <c r="J85" s="3">
        <v>1.5</v>
      </c>
      <c r="L85" s="23">
        <f t="shared" si="9"/>
        <v>0</v>
      </c>
      <c r="M85" s="16">
        <f t="shared" si="10"/>
        <v>0</v>
      </c>
      <c r="N85" s="22">
        <f t="shared" si="11"/>
        <v>1505866.47</v>
      </c>
    </row>
    <row r="86" spans="1:14" s="6" customFormat="1">
      <c r="A86" s="5">
        <v>115</v>
      </c>
      <c r="B86" s="5" t="s">
        <v>184</v>
      </c>
      <c r="C86" s="390" t="s">
        <v>167</v>
      </c>
      <c r="D86" s="5">
        <v>582</v>
      </c>
      <c r="E86" s="10">
        <f>VLOOKUP($D86,'SMEPA Lines DECEMBER 2016'!$D:$H,2,0)</f>
        <v>64086.09</v>
      </c>
      <c r="F86" s="10">
        <f>VLOOKUP($D86,'SMEPA Lines DECEMBER 2016'!$D:$H,3,0)</f>
        <v>0</v>
      </c>
      <c r="G86" s="10">
        <f>VLOOKUP($D86,'SMEPA Lines DECEMBER 2016'!$D:$H,4,0)</f>
        <v>41747.69</v>
      </c>
      <c r="H86" s="10">
        <f>VLOOKUP($D86,'SMEPA Lines DECEMBER 2016'!$D:$H,5,0)</f>
        <v>18897.2</v>
      </c>
      <c r="I86" s="3">
        <f t="shared" si="8"/>
        <v>124730.98</v>
      </c>
      <c r="J86" s="3">
        <v>0.01</v>
      </c>
      <c r="L86" s="23">
        <f t="shared" si="9"/>
        <v>0</v>
      </c>
      <c r="M86" s="16">
        <f t="shared" si="10"/>
        <v>0</v>
      </c>
      <c r="N86" s="22">
        <f t="shared" si="11"/>
        <v>124730.98</v>
      </c>
    </row>
    <row r="87" spans="1:14" s="6" customFormat="1">
      <c r="A87" s="5">
        <v>115</v>
      </c>
      <c r="B87" s="5" t="s">
        <v>184</v>
      </c>
      <c r="C87" s="390" t="s">
        <v>168</v>
      </c>
      <c r="D87" s="5">
        <v>590</v>
      </c>
      <c r="E87" s="10">
        <f>VLOOKUP($D87,'SMEPA Lines DECEMBER 2016'!$D:$H,2,0)</f>
        <v>0</v>
      </c>
      <c r="F87" s="10">
        <f>VLOOKUP($D87,'SMEPA Lines DECEMBER 2016'!$D:$H,3,0)</f>
        <v>0</v>
      </c>
      <c r="G87" s="10">
        <f>VLOOKUP($D87,'SMEPA Lines DECEMBER 2016'!$D:$H,4,0)</f>
        <v>120584.98</v>
      </c>
      <c r="H87" s="10">
        <f>VLOOKUP($D87,'SMEPA Lines DECEMBER 2016'!$D:$H,5,0)</f>
        <v>96415.55</v>
      </c>
      <c r="I87" s="3">
        <f t="shared" si="8"/>
        <v>217000.53</v>
      </c>
      <c r="J87" s="3">
        <v>0.13</v>
      </c>
      <c r="L87" s="23">
        <f t="shared" si="9"/>
        <v>0</v>
      </c>
      <c r="M87" s="16">
        <f t="shared" si="10"/>
        <v>0</v>
      </c>
      <c r="N87" s="22">
        <f t="shared" si="11"/>
        <v>217000.53</v>
      </c>
    </row>
    <row r="88" spans="1:14" s="6" customFormat="1">
      <c r="A88" s="5">
        <v>115</v>
      </c>
      <c r="B88" s="5" t="s">
        <v>184</v>
      </c>
      <c r="C88" s="390" t="s">
        <v>169</v>
      </c>
      <c r="D88" s="5">
        <v>593</v>
      </c>
      <c r="E88" s="10">
        <f>VLOOKUP($D88,'SMEPA Lines DECEMBER 2016'!$D:$H,2,0)</f>
        <v>1756</v>
      </c>
      <c r="F88" s="10">
        <f>VLOOKUP($D88,'SMEPA Lines DECEMBER 2016'!$D:$H,3,0)</f>
        <v>0</v>
      </c>
      <c r="G88" s="10">
        <f>VLOOKUP($D88,'SMEPA Lines DECEMBER 2016'!$D:$H,4,0)</f>
        <v>40369.9</v>
      </c>
      <c r="H88" s="10">
        <f>VLOOKUP($D88,'SMEPA Lines DECEMBER 2016'!$D:$H,5,0)</f>
        <v>9835.4699999999993</v>
      </c>
      <c r="I88" s="3">
        <f t="shared" si="8"/>
        <v>51961.37</v>
      </c>
      <c r="J88" s="3">
        <v>1</v>
      </c>
      <c r="L88" s="23">
        <f t="shared" si="9"/>
        <v>0</v>
      </c>
      <c r="M88" s="16">
        <f t="shared" si="10"/>
        <v>0</v>
      </c>
      <c r="N88" s="22">
        <f t="shared" si="11"/>
        <v>51961.37</v>
      </c>
    </row>
    <row r="89" spans="1:14" s="6" customFormat="1">
      <c r="A89" s="5">
        <v>115</v>
      </c>
      <c r="B89" s="5" t="s">
        <v>184</v>
      </c>
      <c r="C89" s="390" t="s">
        <v>170</v>
      </c>
      <c r="D89" s="5">
        <v>594</v>
      </c>
      <c r="E89" s="10">
        <f>VLOOKUP($D89,'SMEPA Lines DECEMBER 2016'!$D:$H,2,0)</f>
        <v>6326.27</v>
      </c>
      <c r="F89" s="10">
        <f>VLOOKUP($D89,'SMEPA Lines DECEMBER 2016'!$D:$H,3,0)</f>
        <v>0</v>
      </c>
      <c r="G89" s="10">
        <f>VLOOKUP($D89,'SMEPA Lines DECEMBER 2016'!$D:$H,4,0)</f>
        <v>55758.91</v>
      </c>
      <c r="H89" s="10">
        <f>VLOOKUP($D89,'SMEPA Lines DECEMBER 2016'!$D:$H,5,0)</f>
        <v>24330.48</v>
      </c>
      <c r="I89" s="3">
        <f t="shared" si="8"/>
        <v>86415.66</v>
      </c>
      <c r="J89" s="3">
        <v>0.09</v>
      </c>
      <c r="L89" s="23">
        <f t="shared" si="9"/>
        <v>0</v>
      </c>
      <c r="M89" s="16">
        <f t="shared" si="10"/>
        <v>0</v>
      </c>
      <c r="N89" s="22">
        <f t="shared" si="11"/>
        <v>86415.66</v>
      </c>
    </row>
    <row r="90" spans="1:14" s="6" customFormat="1">
      <c r="A90" s="5">
        <v>115</v>
      </c>
      <c r="B90" s="5" t="s">
        <v>184</v>
      </c>
      <c r="C90" s="396" t="s">
        <v>1566</v>
      </c>
      <c r="D90" s="5">
        <v>595</v>
      </c>
      <c r="E90" s="10">
        <f>VLOOKUP($D90,'SMEPA Lines DECEMBER 2016'!$D:$H,2,0)</f>
        <v>0</v>
      </c>
      <c r="F90" s="10">
        <f>VLOOKUP($D90,'SMEPA Lines DECEMBER 2016'!$D:$H,3,0)</f>
        <v>0</v>
      </c>
      <c r="G90" s="10">
        <f>VLOOKUP($D90,'SMEPA Lines DECEMBER 2016'!$D:$H,4,0)</f>
        <v>11146.83</v>
      </c>
      <c r="H90" s="10">
        <f>VLOOKUP($D90,'SMEPA Lines DECEMBER 2016'!$D:$H,5,0)</f>
        <v>0</v>
      </c>
      <c r="I90" s="3">
        <f t="shared" si="8"/>
        <v>11146.83</v>
      </c>
      <c r="J90" s="3">
        <v>0.11</v>
      </c>
      <c r="L90" s="23">
        <f t="shared" si="9"/>
        <v>0</v>
      </c>
      <c r="M90" s="16">
        <f t="shared" si="10"/>
        <v>0</v>
      </c>
      <c r="N90" s="22">
        <f t="shared" si="11"/>
        <v>11146.83</v>
      </c>
    </row>
    <row r="91" spans="1:14" s="6" customFormat="1">
      <c r="A91" s="5">
        <v>115</v>
      </c>
      <c r="B91" s="5" t="s">
        <v>184</v>
      </c>
      <c r="C91" s="396" t="s">
        <v>1531</v>
      </c>
      <c r="D91" s="5" t="s">
        <v>164</v>
      </c>
      <c r="E91" s="10">
        <f>VLOOKUP($D91,'SMEPA Lines DECEMBER 2016'!$D:$H,2,0)</f>
        <v>0</v>
      </c>
      <c r="F91" s="10">
        <f>VLOOKUP($D91,'SMEPA Lines DECEMBER 2016'!$D:$H,3,0)</f>
        <v>0</v>
      </c>
      <c r="G91" s="10">
        <f>VLOOKUP($D91,'SMEPA Lines DECEMBER 2016'!$D:$H,4,0)</f>
        <v>137535.62</v>
      </c>
      <c r="H91" s="10">
        <f>VLOOKUP($D91,'SMEPA Lines DECEMBER 2016'!$D:$H,5,0)</f>
        <v>19394.62</v>
      </c>
      <c r="I91" s="3">
        <f t="shared" si="8"/>
        <v>156930.23999999999</v>
      </c>
      <c r="J91" s="3">
        <v>0.03</v>
      </c>
      <c r="L91" s="23">
        <f t="shared" si="9"/>
        <v>0</v>
      </c>
      <c r="M91" s="16">
        <f t="shared" si="10"/>
        <v>0</v>
      </c>
      <c r="N91" s="22">
        <f t="shared" si="11"/>
        <v>156930.23999999999</v>
      </c>
    </row>
    <row r="92" spans="1:14" s="6" customFormat="1">
      <c r="A92" s="5">
        <v>115</v>
      </c>
      <c r="B92" s="329" t="s">
        <v>184</v>
      </c>
      <c r="C92" s="396" t="s">
        <v>1567</v>
      </c>
      <c r="D92" s="5">
        <v>579</v>
      </c>
      <c r="E92" s="10">
        <f>VLOOKUP($D92,'SMEPA Lines DECEMBER 2016'!$D:$H,2,0)</f>
        <v>1169504.27</v>
      </c>
      <c r="F92" s="10">
        <f>VLOOKUP($D92,'SMEPA Lines DECEMBER 2016'!$D:$H,3,0)</f>
        <v>0</v>
      </c>
      <c r="G92" s="10">
        <f>VLOOKUP($D92,'SMEPA Lines DECEMBER 2016'!$D:$H,4,0)</f>
        <v>1071018.49</v>
      </c>
      <c r="H92" s="10">
        <f>VLOOKUP($D92,'SMEPA Lines DECEMBER 2016'!$D:$H,5,0)</f>
        <v>1593112.94</v>
      </c>
      <c r="I92" s="3">
        <f t="shared" si="8"/>
        <v>3833635.6999999997</v>
      </c>
      <c r="J92" s="414">
        <v>3</v>
      </c>
      <c r="L92" s="415">
        <v>0</v>
      </c>
      <c r="M92" s="16"/>
      <c r="N92" s="22">
        <f t="shared" si="11"/>
        <v>3833635.6999999997</v>
      </c>
    </row>
    <row r="93" spans="1:14" s="6" customFormat="1">
      <c r="A93" s="5">
        <v>69</v>
      </c>
      <c r="B93" s="5" t="s">
        <v>184</v>
      </c>
      <c r="C93" s="390" t="s">
        <v>65</v>
      </c>
      <c r="D93" s="329" t="s">
        <v>66</v>
      </c>
      <c r="E93" s="10">
        <f>VLOOKUP($D93,'SMEPA Lines DECEMBER 2016'!$D:$H,2,0)</f>
        <v>0</v>
      </c>
      <c r="F93" s="10">
        <f>VLOOKUP($D93,'SMEPA Lines DECEMBER 2016'!$D:$H,3,0)</f>
        <v>0</v>
      </c>
      <c r="G93" s="10">
        <f>VLOOKUP($D93,'SMEPA Lines DECEMBER 2016'!$D:$H,4,0)</f>
        <v>0</v>
      </c>
      <c r="H93" s="10">
        <f>VLOOKUP($D93,'SMEPA Lines DECEMBER 2016'!$D:$H,5,0)</f>
        <v>0</v>
      </c>
      <c r="I93" s="3">
        <f t="shared" si="8"/>
        <v>0</v>
      </c>
      <c r="J93" s="3">
        <v>6.05</v>
      </c>
      <c r="L93" s="23">
        <f t="shared" si="9"/>
        <v>0</v>
      </c>
      <c r="M93" s="16">
        <f t="shared" si="10"/>
        <v>0</v>
      </c>
      <c r="N93" s="22">
        <f t="shared" si="11"/>
        <v>0</v>
      </c>
    </row>
    <row r="94" spans="1:14" s="6" customFormat="1">
      <c r="A94" s="5">
        <v>115</v>
      </c>
      <c r="B94" s="5" t="s">
        <v>184</v>
      </c>
      <c r="C94" s="390" t="s">
        <v>178</v>
      </c>
      <c r="D94" s="5" t="s">
        <v>176</v>
      </c>
      <c r="E94" s="10">
        <f>VLOOKUP($D94,'SMEPA Lines DECEMBER 2016'!$D:$H,2,0)</f>
        <v>0</v>
      </c>
      <c r="F94" s="10">
        <f>VLOOKUP($D94,'SMEPA Lines DECEMBER 2016'!$D:$H,3,0)</f>
        <v>0</v>
      </c>
      <c r="G94" s="10">
        <f>VLOOKUP($D94,'SMEPA Lines DECEMBER 2016'!$D:$H,4,0)</f>
        <v>10110.459999999999</v>
      </c>
      <c r="H94" s="10">
        <f>VLOOKUP($D94,'SMEPA Lines DECEMBER 2016'!$D:$H,5,0)</f>
        <v>15801.24</v>
      </c>
      <c r="I94" s="3">
        <f t="shared" si="8"/>
        <v>25911.699999999997</v>
      </c>
      <c r="J94" s="3">
        <v>0.08</v>
      </c>
      <c r="L94" s="23">
        <f t="shared" si="9"/>
        <v>0</v>
      </c>
      <c r="M94" s="16">
        <f t="shared" si="10"/>
        <v>0</v>
      </c>
      <c r="N94" s="22">
        <f t="shared" si="11"/>
        <v>25911.699999999997</v>
      </c>
    </row>
    <row r="95" spans="1:14" s="6" customFormat="1">
      <c r="A95" s="5">
        <v>115</v>
      </c>
      <c r="B95" s="5" t="s">
        <v>184</v>
      </c>
      <c r="C95" s="396" t="s">
        <v>1415</v>
      </c>
      <c r="D95" s="5" t="s">
        <v>177</v>
      </c>
      <c r="E95" s="10">
        <f>VLOOKUP($D95,'SMEPA Lines DECEMBER 2016'!$D:$H,2,0)</f>
        <v>0</v>
      </c>
      <c r="F95" s="10">
        <f>VLOOKUP($D95,'SMEPA Lines DECEMBER 2016'!$D:$H,3,0)</f>
        <v>0</v>
      </c>
      <c r="G95" s="10">
        <f>VLOOKUP($D95,'SMEPA Lines DECEMBER 2016'!$D:$H,4,0)</f>
        <v>55012.04</v>
      </c>
      <c r="H95" s="10">
        <f>VLOOKUP($D95,'SMEPA Lines DECEMBER 2016'!$D:$H,5,0)</f>
        <v>122581.71</v>
      </c>
      <c r="I95" s="3">
        <f t="shared" si="8"/>
        <v>177593.75</v>
      </c>
      <c r="J95" s="3">
        <v>0.01</v>
      </c>
      <c r="L95" s="23">
        <f t="shared" si="9"/>
        <v>0</v>
      </c>
      <c r="M95" s="16">
        <f t="shared" si="10"/>
        <v>0</v>
      </c>
      <c r="N95" s="22">
        <f t="shared" si="11"/>
        <v>177593.75</v>
      </c>
    </row>
    <row r="96" spans="1:14" s="6" customFormat="1" ht="30">
      <c r="A96" s="5">
        <v>115</v>
      </c>
      <c r="B96" s="5" t="s">
        <v>890</v>
      </c>
      <c r="C96" s="396" t="s">
        <v>1568</v>
      </c>
      <c r="D96" s="5">
        <v>506</v>
      </c>
      <c r="E96" s="10">
        <f>VLOOKUP($D96,'SMEPA Lines DECEMBER 2016'!$D:$H,2,0)</f>
        <v>0</v>
      </c>
      <c r="F96" s="10">
        <f>VLOOKUP($D96,'SMEPA Lines DECEMBER 2016'!$D:$H,3,0)</f>
        <v>0</v>
      </c>
      <c r="G96" s="10">
        <f>VLOOKUP($D96,'SMEPA Lines DECEMBER 2016'!$D:$H,4,0)</f>
        <v>26706.55</v>
      </c>
      <c r="H96" s="10">
        <f>VLOOKUP($D96,'SMEPA Lines DECEMBER 2016'!$D:$H,5,0)</f>
        <v>13729.29</v>
      </c>
      <c r="I96" s="3">
        <f t="shared" si="8"/>
        <v>40435.839999999997</v>
      </c>
      <c r="J96" s="6">
        <v>1.39</v>
      </c>
      <c r="L96" s="23">
        <f t="shared" si="9"/>
        <v>0</v>
      </c>
      <c r="M96" s="16">
        <f t="shared" si="10"/>
        <v>0</v>
      </c>
      <c r="N96" s="22">
        <f t="shared" si="11"/>
        <v>40435.839999999997</v>
      </c>
    </row>
    <row r="97" spans="1:14" s="6" customFormat="1" ht="30">
      <c r="A97" s="5">
        <v>115</v>
      </c>
      <c r="B97" s="5" t="s">
        <v>890</v>
      </c>
      <c r="C97" s="396" t="s">
        <v>1571</v>
      </c>
      <c r="D97" s="5" t="s">
        <v>103</v>
      </c>
      <c r="E97" s="10">
        <f>VLOOKUP($D97,'SMEPA Lines DECEMBER 2016'!$D:$H,2,0)</f>
        <v>0</v>
      </c>
      <c r="F97" s="10">
        <f>VLOOKUP($D97,'SMEPA Lines DECEMBER 2016'!$D:$H,3,0)</f>
        <v>0</v>
      </c>
      <c r="G97" s="10">
        <f>VLOOKUP($D97,'SMEPA Lines DECEMBER 2016'!$D:$H,4,0)</f>
        <v>52657.02</v>
      </c>
      <c r="H97" s="10">
        <f>VLOOKUP($D97,'SMEPA Lines DECEMBER 2016'!$D:$H,5,0)</f>
        <v>55973.24</v>
      </c>
      <c r="I97" s="3">
        <f t="shared" si="8"/>
        <v>108630.26</v>
      </c>
      <c r="J97" s="6">
        <v>1.53</v>
      </c>
      <c r="L97" s="23">
        <f t="shared" si="9"/>
        <v>0</v>
      </c>
      <c r="M97" s="16">
        <f t="shared" si="10"/>
        <v>0</v>
      </c>
      <c r="N97" s="22">
        <f t="shared" si="11"/>
        <v>108630.26</v>
      </c>
    </row>
    <row r="98" spans="1:14" s="6" customFormat="1" ht="30">
      <c r="A98" s="5">
        <v>115</v>
      </c>
      <c r="B98" s="5" t="s">
        <v>890</v>
      </c>
      <c r="C98" s="396" t="s">
        <v>1510</v>
      </c>
      <c r="D98" s="5">
        <v>551</v>
      </c>
      <c r="E98" s="10">
        <f>VLOOKUP($D98,'SMEPA Lines DECEMBER 2016'!$D:$H,2,0)</f>
        <v>0</v>
      </c>
      <c r="F98" s="10">
        <f>VLOOKUP($D98,'SMEPA Lines DECEMBER 2016'!$D:$H,3,0)</f>
        <v>0</v>
      </c>
      <c r="G98" s="10">
        <f>VLOOKUP($D98,'SMEPA Lines DECEMBER 2016'!$D:$H,4,0)</f>
        <v>210947.8</v>
      </c>
      <c r="H98" s="10">
        <f>VLOOKUP($D98,'SMEPA Lines DECEMBER 2016'!$D:$H,5,0)</f>
        <v>140068.15</v>
      </c>
      <c r="I98" s="3">
        <f t="shared" si="8"/>
        <v>351015.94999999995</v>
      </c>
      <c r="J98" s="3">
        <v>0.49</v>
      </c>
      <c r="L98" s="23">
        <f t="shared" si="9"/>
        <v>0</v>
      </c>
      <c r="M98" s="16">
        <f t="shared" si="10"/>
        <v>0</v>
      </c>
      <c r="N98" s="22">
        <f t="shared" si="11"/>
        <v>351015.94999999995</v>
      </c>
    </row>
    <row r="99" spans="1:14" s="6" customFormat="1">
      <c r="A99" s="5">
        <v>115</v>
      </c>
      <c r="B99" s="5" t="s">
        <v>890</v>
      </c>
      <c r="C99" s="396" t="s">
        <v>1570</v>
      </c>
      <c r="D99" s="5">
        <v>554</v>
      </c>
      <c r="E99" s="10">
        <f>VLOOKUP($D99,'SMEPA Lines DECEMBER 2016'!$D:$H,2,0)</f>
        <v>0</v>
      </c>
      <c r="F99" s="10">
        <f>VLOOKUP($D99,'SMEPA Lines DECEMBER 2016'!$D:$H,3,0)</f>
        <v>0</v>
      </c>
      <c r="G99" s="10">
        <f>VLOOKUP($D99,'SMEPA Lines DECEMBER 2016'!$D:$H,4,0)</f>
        <v>254010.88</v>
      </c>
      <c r="H99" s="10">
        <f>VLOOKUP($D99,'SMEPA Lines DECEMBER 2016'!$D:$H,5,0)</f>
        <v>367548</v>
      </c>
      <c r="I99" s="3">
        <f t="shared" si="8"/>
        <v>621558.88</v>
      </c>
      <c r="J99" s="3">
        <v>2.4</v>
      </c>
      <c r="L99" s="23">
        <f t="shared" si="9"/>
        <v>0</v>
      </c>
      <c r="M99" s="16">
        <f t="shared" si="10"/>
        <v>0</v>
      </c>
      <c r="N99" s="22">
        <f t="shared" si="11"/>
        <v>621558.88</v>
      </c>
    </row>
    <row r="100" spans="1:14" s="243" customFormat="1">
      <c r="A100" s="244">
        <v>115</v>
      </c>
      <c r="B100" s="244" t="s">
        <v>890</v>
      </c>
      <c r="C100" s="418" t="s">
        <v>1515</v>
      </c>
      <c r="D100" s="417" t="s">
        <v>1514</v>
      </c>
      <c r="E100" s="246">
        <f>VLOOKUP($D100,'SMEPA Lines DECEMBER 2016'!$D:$H,2,0)</f>
        <v>0</v>
      </c>
      <c r="F100" s="246">
        <f>VLOOKUP($D100,'SMEPA Lines DECEMBER 2016'!$D:$H,3,0)</f>
        <v>0</v>
      </c>
      <c r="G100" s="354">
        <f>VLOOKUP($D100,'SMEPA Lines DECEMBER 2016'!$D:$H,4,0)</f>
        <v>401833.06</v>
      </c>
      <c r="H100" s="354">
        <f>VLOOKUP($D100,'SMEPA Lines DECEMBER 2016'!$D:$H,5,0)</f>
        <v>721981.95</v>
      </c>
      <c r="I100" s="354">
        <f t="shared" si="8"/>
        <v>1123815.01</v>
      </c>
      <c r="J100" s="246">
        <v>8.18</v>
      </c>
      <c r="K100" s="246">
        <v>0</v>
      </c>
      <c r="L100" s="247">
        <f t="shared" si="9"/>
        <v>0</v>
      </c>
      <c r="M100" s="242">
        <f t="shared" si="10"/>
        <v>0</v>
      </c>
      <c r="N100" s="248">
        <f t="shared" si="11"/>
        <v>1123815.01</v>
      </c>
    </row>
    <row r="101" spans="1:14" s="6" customFormat="1">
      <c r="A101" s="5">
        <v>115</v>
      </c>
      <c r="B101" s="5" t="s">
        <v>890</v>
      </c>
      <c r="C101" s="396" t="s">
        <v>1572</v>
      </c>
      <c r="D101" s="5">
        <v>556</v>
      </c>
      <c r="E101" s="10">
        <f>VLOOKUP($D101,'SMEPA Lines DECEMBER 2016'!$D:$H,2,0)</f>
        <v>0</v>
      </c>
      <c r="F101" s="10">
        <f>VLOOKUP($D101,'SMEPA Lines DECEMBER 2016'!$D:$H,3,0)</f>
        <v>0</v>
      </c>
      <c r="G101" s="10">
        <f>VLOOKUP($D101,'SMEPA Lines DECEMBER 2016'!$D:$H,4,0)</f>
        <v>395290.63</v>
      </c>
      <c r="H101" s="10">
        <f>VLOOKUP($D101,'SMEPA Lines DECEMBER 2016'!$D:$H,5,0)</f>
        <v>579602.04</v>
      </c>
      <c r="I101" s="3">
        <f t="shared" si="8"/>
        <v>974892.67</v>
      </c>
      <c r="J101" s="3">
        <v>2.87</v>
      </c>
      <c r="L101" s="23">
        <f t="shared" si="9"/>
        <v>0</v>
      </c>
      <c r="M101" s="16">
        <f t="shared" si="10"/>
        <v>0</v>
      </c>
      <c r="N101" s="22">
        <f t="shared" si="11"/>
        <v>974892.67</v>
      </c>
    </row>
    <row r="102" spans="1:14" s="6" customFormat="1">
      <c r="A102" s="5">
        <v>115</v>
      </c>
      <c r="B102" s="5" t="s">
        <v>890</v>
      </c>
      <c r="C102" s="396" t="s">
        <v>1573</v>
      </c>
      <c r="D102" s="5">
        <v>558</v>
      </c>
      <c r="E102" s="10">
        <f>VLOOKUP($D102,'SMEPA Lines DECEMBER 2016'!$D:$H,2,0)</f>
        <v>0</v>
      </c>
      <c r="F102" s="10">
        <f>VLOOKUP($D102,'SMEPA Lines DECEMBER 2016'!$D:$H,3,0)</f>
        <v>0</v>
      </c>
      <c r="G102" s="10">
        <f>VLOOKUP($D102,'SMEPA Lines DECEMBER 2016'!$D:$H,4,0)</f>
        <v>472252.52</v>
      </c>
      <c r="H102" s="10">
        <f>VLOOKUP($D102,'SMEPA Lines DECEMBER 2016'!$D:$H,5,0)</f>
        <v>995232.33</v>
      </c>
      <c r="I102" s="3">
        <f t="shared" si="8"/>
        <v>1467484.85</v>
      </c>
      <c r="J102" s="3">
        <v>9.6</v>
      </c>
      <c r="L102" s="23">
        <f t="shared" si="9"/>
        <v>0</v>
      </c>
      <c r="M102" s="16">
        <f t="shared" si="10"/>
        <v>0</v>
      </c>
      <c r="N102" s="22">
        <f t="shared" si="11"/>
        <v>1467484.85</v>
      </c>
    </row>
    <row r="103" spans="1:14" s="6" customFormat="1">
      <c r="A103" s="5">
        <v>115</v>
      </c>
      <c r="B103" s="5" t="s">
        <v>890</v>
      </c>
      <c r="C103" s="396" t="s">
        <v>1519</v>
      </c>
      <c r="D103" s="5">
        <v>559</v>
      </c>
      <c r="E103" s="10">
        <f>VLOOKUP($D103,'SMEPA Lines DECEMBER 2016'!$D:$H,2,0)</f>
        <v>0</v>
      </c>
      <c r="F103" s="10">
        <f>VLOOKUP($D103,'SMEPA Lines DECEMBER 2016'!$D:$H,3,0)</f>
        <v>0</v>
      </c>
      <c r="G103" s="10">
        <f>VLOOKUP($D103,'SMEPA Lines DECEMBER 2016'!$D:$H,4,0)</f>
        <v>185475.35</v>
      </c>
      <c r="H103" s="10">
        <f>VLOOKUP($D103,'SMEPA Lines DECEMBER 2016'!$D:$H,5,0)</f>
        <v>181856.7</v>
      </c>
      <c r="I103" s="3">
        <f t="shared" si="8"/>
        <v>367332.05000000005</v>
      </c>
      <c r="J103" s="3">
        <v>0.45</v>
      </c>
      <c r="L103" s="23">
        <f t="shared" si="9"/>
        <v>0</v>
      </c>
      <c r="M103" s="16">
        <f t="shared" si="10"/>
        <v>0</v>
      </c>
      <c r="N103" s="22">
        <f t="shared" si="11"/>
        <v>367332.05000000005</v>
      </c>
    </row>
    <row r="104" spans="1:14" s="6" customFormat="1">
      <c r="A104" s="5">
        <v>115</v>
      </c>
      <c r="B104" s="5" t="s">
        <v>890</v>
      </c>
      <c r="C104" s="396" t="s">
        <v>1574</v>
      </c>
      <c r="D104" s="5">
        <v>563</v>
      </c>
      <c r="E104" s="10">
        <f>VLOOKUP($D104,'SMEPA Lines DECEMBER 2016'!$D:$H,2,0)</f>
        <v>0</v>
      </c>
      <c r="F104" s="10">
        <f>VLOOKUP($D104,'SMEPA Lines DECEMBER 2016'!$D:$H,3,0)</f>
        <v>0</v>
      </c>
      <c r="G104" s="10">
        <f>VLOOKUP($D104,'SMEPA Lines DECEMBER 2016'!$D:$H,4,0)</f>
        <v>11295.68</v>
      </c>
      <c r="H104" s="10">
        <f>VLOOKUP($D104,'SMEPA Lines DECEMBER 2016'!$D:$H,5,0)</f>
        <v>4980.47</v>
      </c>
      <c r="I104" s="3">
        <f t="shared" si="8"/>
        <v>16276.150000000001</v>
      </c>
      <c r="J104" s="3">
        <v>0.03</v>
      </c>
      <c r="L104" s="23">
        <f t="shared" si="9"/>
        <v>0</v>
      </c>
      <c r="M104" s="16">
        <f t="shared" si="10"/>
        <v>0</v>
      </c>
      <c r="N104" s="22">
        <f t="shared" si="11"/>
        <v>16276.150000000001</v>
      </c>
    </row>
    <row r="105" spans="1:14" s="6" customFormat="1">
      <c r="A105" s="5">
        <v>115</v>
      </c>
      <c r="B105" s="5" t="s">
        <v>890</v>
      </c>
      <c r="C105" s="396" t="s">
        <v>1575</v>
      </c>
      <c r="D105" s="5">
        <v>565</v>
      </c>
      <c r="E105" s="10">
        <f>VLOOKUP($D105,'SMEPA Lines DECEMBER 2016'!$D:$H,2,0)</f>
        <v>0</v>
      </c>
      <c r="F105" s="10">
        <f>VLOOKUP($D105,'SMEPA Lines DECEMBER 2016'!$D:$H,3,0)</f>
        <v>0</v>
      </c>
      <c r="G105" s="10">
        <f>VLOOKUP($D105,'SMEPA Lines DECEMBER 2016'!$D:$H,4,0)</f>
        <v>188261.84</v>
      </c>
      <c r="H105" s="10">
        <f>VLOOKUP($D105,'SMEPA Lines DECEMBER 2016'!$D:$H,5,0)</f>
        <v>186255.34</v>
      </c>
      <c r="I105" s="3">
        <f t="shared" si="8"/>
        <v>374517.18</v>
      </c>
      <c r="J105" s="3">
        <v>2.0099999999999998</v>
      </c>
      <c r="L105" s="23">
        <f t="shared" si="9"/>
        <v>0</v>
      </c>
      <c r="M105" s="16">
        <f t="shared" si="10"/>
        <v>0</v>
      </c>
      <c r="N105" s="22">
        <f t="shared" si="11"/>
        <v>374517.18</v>
      </c>
    </row>
    <row r="106" spans="1:14" s="6" customFormat="1" ht="30">
      <c r="A106" s="5">
        <v>115</v>
      </c>
      <c r="B106" s="5" t="s">
        <v>890</v>
      </c>
      <c r="C106" s="396" t="s">
        <v>1527</v>
      </c>
      <c r="D106" s="5">
        <v>569</v>
      </c>
      <c r="E106" s="10">
        <f>VLOOKUP($D106,'SMEPA Lines DECEMBER 2016'!$D:$H,2,0)</f>
        <v>0</v>
      </c>
      <c r="F106" s="10">
        <f>VLOOKUP($D106,'SMEPA Lines DECEMBER 2016'!$D:$H,3,0)</f>
        <v>0</v>
      </c>
      <c r="G106" s="10">
        <f>VLOOKUP($D106,'SMEPA Lines DECEMBER 2016'!$D:$H,4,0)</f>
        <v>41004.449999999997</v>
      </c>
      <c r="H106" s="10">
        <f>VLOOKUP($D106,'SMEPA Lines DECEMBER 2016'!$D:$H,5,0)</f>
        <v>17935.099999999999</v>
      </c>
      <c r="I106" s="3">
        <f t="shared" si="8"/>
        <v>58939.549999999996</v>
      </c>
      <c r="J106" s="3">
        <v>0.16</v>
      </c>
      <c r="L106" s="23">
        <f t="shared" si="9"/>
        <v>0</v>
      </c>
      <c r="M106" s="16">
        <f t="shared" si="10"/>
        <v>0</v>
      </c>
      <c r="N106" s="22">
        <f t="shared" si="11"/>
        <v>58939.549999999996</v>
      </c>
    </row>
    <row r="107" spans="1:14" s="243" customFormat="1">
      <c r="A107" s="244">
        <v>115</v>
      </c>
      <c r="B107" s="244" t="s">
        <v>890</v>
      </c>
      <c r="C107" s="411" t="s">
        <v>1057</v>
      </c>
      <c r="D107" s="244">
        <v>581</v>
      </c>
      <c r="E107" s="245">
        <f>VLOOKUP($D107,'SMEPA Lines DECEMBER 2016'!$D:$H,2,0)</f>
        <v>1964909.79</v>
      </c>
      <c r="F107" s="245">
        <f>VLOOKUP($D107,'SMEPA Lines DECEMBER 2016'!$D:$H,3,0)</f>
        <v>0</v>
      </c>
      <c r="G107" s="245">
        <f>VLOOKUP($D107,'SMEPA Lines DECEMBER 2016'!$D:$H,4,0)</f>
        <v>888970.19</v>
      </c>
      <c r="H107" s="245">
        <f>VLOOKUP($D107,'SMEPA Lines DECEMBER 2016'!$D:$H,5,0)</f>
        <v>1673868.89</v>
      </c>
      <c r="I107" s="246">
        <f t="shared" si="8"/>
        <v>4527748.87</v>
      </c>
      <c r="J107" s="246">
        <v>9.11</v>
      </c>
      <c r="K107" s="246">
        <v>0</v>
      </c>
      <c r="L107" s="247">
        <f t="shared" si="9"/>
        <v>0</v>
      </c>
      <c r="M107" s="242">
        <f t="shared" si="10"/>
        <v>0</v>
      </c>
      <c r="N107" s="248">
        <f t="shared" si="11"/>
        <v>4527748.87</v>
      </c>
    </row>
    <row r="108" spans="1:14" s="6" customFormat="1">
      <c r="A108" s="5">
        <v>115</v>
      </c>
      <c r="B108" s="5" t="s">
        <v>890</v>
      </c>
      <c r="C108" s="390" t="s">
        <v>152</v>
      </c>
      <c r="D108" s="5" t="s">
        <v>153</v>
      </c>
      <c r="E108" s="10">
        <f>VLOOKUP($D108,'SMEPA Lines DECEMBER 2016'!$D:$H,2,0)</f>
        <v>0</v>
      </c>
      <c r="F108" s="10">
        <f>VLOOKUP($D108,'SMEPA Lines DECEMBER 2016'!$D:$H,3,0)</f>
        <v>0</v>
      </c>
      <c r="G108" s="10">
        <f>VLOOKUP($D108,'SMEPA Lines DECEMBER 2016'!$D:$H,4,0)</f>
        <v>14572.21</v>
      </c>
      <c r="H108" s="10">
        <f>VLOOKUP($D108,'SMEPA Lines DECEMBER 2016'!$D:$H,5,0)</f>
        <v>14383.81</v>
      </c>
      <c r="I108" s="3">
        <f t="shared" si="8"/>
        <v>28956.019999999997</v>
      </c>
      <c r="J108" s="6">
        <v>0.02</v>
      </c>
      <c r="L108" s="23">
        <f t="shared" si="9"/>
        <v>0</v>
      </c>
      <c r="M108" s="16">
        <f t="shared" si="10"/>
        <v>0</v>
      </c>
      <c r="N108" s="22">
        <f t="shared" si="11"/>
        <v>28956.019999999997</v>
      </c>
    </row>
    <row r="109" spans="1:14" s="6" customFormat="1">
      <c r="A109" s="5">
        <v>115</v>
      </c>
      <c r="B109" s="5" t="s">
        <v>890</v>
      </c>
      <c r="C109" s="396" t="s">
        <v>1537</v>
      </c>
      <c r="D109" s="5">
        <v>588</v>
      </c>
      <c r="E109" s="10">
        <f>VLOOKUP($D109,'SMEPA Lines DECEMBER 2016'!$D:$H,2,0)</f>
        <v>438692.07</v>
      </c>
      <c r="F109" s="10">
        <f>VLOOKUP($D109,'SMEPA Lines DECEMBER 2016'!$D:$H,3,0)</f>
        <v>0</v>
      </c>
      <c r="G109" s="10">
        <f>VLOOKUP($D109,'SMEPA Lines DECEMBER 2016'!$D:$H,4,0)</f>
        <v>188689.48</v>
      </c>
      <c r="H109" s="10">
        <f>VLOOKUP($D109,'SMEPA Lines DECEMBER 2016'!$D:$H,5,0)</f>
        <v>481849.26299999998</v>
      </c>
      <c r="I109" s="3">
        <f t="shared" si="8"/>
        <v>1109230.8130000001</v>
      </c>
      <c r="J109" s="3">
        <v>0.7</v>
      </c>
      <c r="L109" s="23">
        <f t="shared" ref="L109" si="12">+ROUND(+K109/J109,2)</f>
        <v>0</v>
      </c>
      <c r="M109" s="16">
        <f t="shared" ref="M109" si="13">IF(L109=0,0,(I109*L109))</f>
        <v>0</v>
      </c>
      <c r="N109" s="22">
        <f t="shared" ref="N109" si="14">+I109-M109</f>
        <v>1109230.8130000001</v>
      </c>
    </row>
    <row r="110" spans="1:14" s="243" customFormat="1" ht="30">
      <c r="A110" s="244">
        <v>115</v>
      </c>
      <c r="B110" s="244" t="s">
        <v>890</v>
      </c>
      <c r="C110" s="418" t="s">
        <v>1526</v>
      </c>
      <c r="D110" s="244" t="s">
        <v>212</v>
      </c>
      <c r="E110" s="245">
        <f>VLOOKUP($D110,'SMEPA Lines DECEMBER 2016'!$D:$H,2,0)</f>
        <v>0</v>
      </c>
      <c r="F110" s="245">
        <f>VLOOKUP($D110,'SMEPA Lines DECEMBER 2016'!$D:$H,3,0)</f>
        <v>0</v>
      </c>
      <c r="G110" s="245">
        <f>VLOOKUP($D110,'SMEPA Lines DECEMBER 2016'!$D:$H,4,0)</f>
        <v>617934.31000000006</v>
      </c>
      <c r="H110" s="245">
        <f>VLOOKUP($D110,'SMEPA Lines DECEMBER 2016'!$D:$H,5,0)</f>
        <v>775946.13</v>
      </c>
      <c r="I110" s="246">
        <f t="shared" si="8"/>
        <v>1393880.44</v>
      </c>
      <c r="J110" s="246">
        <f>6.3+1.14</f>
        <v>7.4399999999999995</v>
      </c>
      <c r="K110" s="243">
        <v>0</v>
      </c>
      <c r="L110" s="247">
        <f t="shared" si="9"/>
        <v>0</v>
      </c>
      <c r="M110" s="242">
        <f t="shared" si="10"/>
        <v>0</v>
      </c>
      <c r="N110" s="248">
        <f t="shared" si="11"/>
        <v>1393880.44</v>
      </c>
    </row>
    <row r="111" spans="1:14" s="6" customFormat="1">
      <c r="A111" s="5">
        <v>69</v>
      </c>
      <c r="B111" s="5" t="s">
        <v>183</v>
      </c>
      <c r="C111" s="396" t="s">
        <v>1313</v>
      </c>
      <c r="D111" s="5" t="s">
        <v>13</v>
      </c>
      <c r="E111" s="10">
        <f>VLOOKUP($D111,'SMEPA Lines DECEMBER 2016'!$D:$H,2,0)</f>
        <v>0</v>
      </c>
      <c r="F111" s="10">
        <f>VLOOKUP($D111,'SMEPA Lines DECEMBER 2016'!$D:$H,3,0)</f>
        <v>0</v>
      </c>
      <c r="G111" s="10">
        <f>VLOOKUP($D111,'SMEPA Lines DECEMBER 2016'!$D:$H,4,0)</f>
        <v>1402261.68</v>
      </c>
      <c r="H111" s="10">
        <f>VLOOKUP($D111,'SMEPA Lines DECEMBER 2016'!$D:$H,5,0)</f>
        <v>1494132.55</v>
      </c>
      <c r="I111" s="3">
        <f t="shared" ref="I111:I154" si="15">SUM(E111:H111)</f>
        <v>2896394.23</v>
      </c>
      <c r="J111" s="6">
        <v>17.43</v>
      </c>
      <c r="K111" s="6">
        <v>17.43</v>
      </c>
      <c r="L111" s="26">
        <f t="shared" ref="L111:L154" si="16">+ROUND(+K111/J111,2)</f>
        <v>1</v>
      </c>
      <c r="M111" s="16">
        <f t="shared" ref="M111:M155" si="17">IF(L111=0,0,(I111*L111))</f>
        <v>2896394.23</v>
      </c>
      <c r="N111" s="22">
        <f t="shared" ref="N111:N154" si="18">+I111-M111</f>
        <v>0</v>
      </c>
    </row>
    <row r="112" spans="1:14" s="169" customFormat="1">
      <c r="A112" s="388">
        <v>69</v>
      </c>
      <c r="B112" s="388" t="s">
        <v>183</v>
      </c>
      <c r="C112" s="410" t="s">
        <v>15</v>
      </c>
      <c r="D112" s="388" t="s">
        <v>16</v>
      </c>
      <c r="E112" s="170">
        <f>VLOOKUP($D112,'SMEPA Lines DECEMBER 2016'!$D:$H,2,0)</f>
        <v>0</v>
      </c>
      <c r="F112" s="170">
        <f>VLOOKUP($D112,'SMEPA Lines DECEMBER 2016'!$D:$H,3,0)</f>
        <v>2572</v>
      </c>
      <c r="G112" s="170">
        <f>VLOOKUP($D112,'SMEPA Lines DECEMBER 2016'!$D:$H,4,0)</f>
        <v>101558.17</v>
      </c>
      <c r="H112" s="170">
        <f>VLOOKUP($D112,'SMEPA Lines DECEMBER 2016'!$D:$H,5,0)</f>
        <v>86993.25</v>
      </c>
      <c r="I112" s="171">
        <f t="shared" si="15"/>
        <v>191123.41999999998</v>
      </c>
      <c r="J112" s="171">
        <v>9.14</v>
      </c>
      <c r="K112" s="169">
        <v>9.14</v>
      </c>
      <c r="L112" s="172">
        <f t="shared" si="16"/>
        <v>1</v>
      </c>
      <c r="M112" s="173">
        <f t="shared" si="17"/>
        <v>191123.41999999998</v>
      </c>
      <c r="N112" s="174">
        <f t="shared" si="18"/>
        <v>0</v>
      </c>
    </row>
    <row r="113" spans="1:14" s="6" customFormat="1" ht="30">
      <c r="A113" s="5">
        <v>69</v>
      </c>
      <c r="B113" s="5" t="s">
        <v>183</v>
      </c>
      <c r="C113" s="396" t="s">
        <v>1579</v>
      </c>
      <c r="D113" s="329" t="s">
        <v>1316</v>
      </c>
      <c r="E113" s="10">
        <f>VLOOKUP($D113,'SMEPA Lines DECEMBER 2016'!$D:$H,2,0)</f>
        <v>0</v>
      </c>
      <c r="F113" s="10">
        <f>VLOOKUP($D113,'SMEPA Lines DECEMBER 2016'!$D:$H,3,0)</f>
        <v>3160.12</v>
      </c>
      <c r="G113" s="10">
        <f>VLOOKUP($D113,'SMEPA Lines DECEMBER 2016'!$D:$H,4,0)</f>
        <v>214867.72</v>
      </c>
      <c r="H113" s="10">
        <f>VLOOKUP($D113,'SMEPA Lines DECEMBER 2016'!$D:$H,5,0)</f>
        <v>98046.33</v>
      </c>
      <c r="I113" s="3">
        <f t="shared" si="15"/>
        <v>316074.17</v>
      </c>
      <c r="J113" s="6">
        <v>16.399999999999999</v>
      </c>
      <c r="K113" s="6">
        <v>16.399999999999999</v>
      </c>
      <c r="L113" s="23">
        <f t="shared" si="16"/>
        <v>1</v>
      </c>
      <c r="M113" s="16">
        <f t="shared" si="17"/>
        <v>316074.17</v>
      </c>
      <c r="N113" s="22">
        <f t="shared" si="18"/>
        <v>0</v>
      </c>
    </row>
    <row r="114" spans="1:14" s="6" customFormat="1" ht="30">
      <c r="A114" s="5">
        <v>69</v>
      </c>
      <c r="B114" s="5" t="s">
        <v>183</v>
      </c>
      <c r="C114" s="396" t="s">
        <v>1580</v>
      </c>
      <c r="D114" s="329" t="s">
        <v>1578</v>
      </c>
      <c r="E114" s="10">
        <f>VLOOKUP($D114,'SMEPA Lines DECEMBER 2016'!$D:$H,2,0)</f>
        <v>116458.3</v>
      </c>
      <c r="F114" s="10">
        <f>VLOOKUP($D114,'SMEPA Lines DECEMBER 2016'!$D:$H,3,0)</f>
        <v>0</v>
      </c>
      <c r="G114" s="10">
        <f>VLOOKUP($D114,'SMEPA Lines DECEMBER 2016'!$D:$H,4,0)</f>
        <v>407506.18</v>
      </c>
      <c r="H114" s="10">
        <f>VLOOKUP($D114,'SMEPA Lines DECEMBER 2016'!$D:$H,5,0)</f>
        <v>818719.37</v>
      </c>
      <c r="I114" s="3">
        <f t="shared" si="15"/>
        <v>1342683.85</v>
      </c>
      <c r="J114" s="6">
        <f>3.91+0.12+0.43</f>
        <v>4.46</v>
      </c>
      <c r="K114" s="6">
        <f>3.91+0.12</f>
        <v>4.03</v>
      </c>
      <c r="L114" s="23">
        <f t="shared" si="16"/>
        <v>0.9</v>
      </c>
      <c r="M114" s="16">
        <f t="shared" si="17"/>
        <v>1208415.4650000001</v>
      </c>
      <c r="N114" s="22">
        <f t="shared" si="18"/>
        <v>134268.38500000001</v>
      </c>
    </row>
    <row r="115" spans="1:14" s="6" customFormat="1" ht="30">
      <c r="A115" s="5">
        <v>69</v>
      </c>
      <c r="B115" s="5" t="s">
        <v>183</v>
      </c>
      <c r="C115" s="396" t="s">
        <v>1581</v>
      </c>
      <c r="D115" s="329" t="s">
        <v>1320</v>
      </c>
      <c r="E115" s="10">
        <f>VLOOKUP($D115,'SMEPA Lines DECEMBER 2016'!$D:$H,2,0)</f>
        <v>0</v>
      </c>
      <c r="F115" s="10">
        <f>VLOOKUP($D115,'SMEPA Lines DECEMBER 2016'!$D:$H,3,0)</f>
        <v>3405.24</v>
      </c>
      <c r="G115" s="10">
        <f>VLOOKUP($D115,'SMEPA Lines DECEMBER 2016'!$D:$H,4,0)</f>
        <v>22910.46</v>
      </c>
      <c r="H115" s="10">
        <f>VLOOKUP($D115,'SMEPA Lines DECEMBER 2016'!$D:$H,5,0)</f>
        <v>53829.51</v>
      </c>
      <c r="I115" s="3">
        <f t="shared" si="15"/>
        <v>80145.209999999992</v>
      </c>
      <c r="J115" s="6">
        <f>1.05+0.03</f>
        <v>1.08</v>
      </c>
      <c r="K115" s="3">
        <v>1.05</v>
      </c>
      <c r="L115" s="23">
        <f t="shared" si="16"/>
        <v>0.97</v>
      </c>
      <c r="M115" s="16">
        <f t="shared" si="17"/>
        <v>77740.853699999992</v>
      </c>
      <c r="N115" s="22">
        <f t="shared" si="18"/>
        <v>2404.3562999999995</v>
      </c>
    </row>
    <row r="116" spans="1:14" s="169" customFormat="1">
      <c r="A116" s="388">
        <v>69</v>
      </c>
      <c r="B116" s="388" t="s">
        <v>183</v>
      </c>
      <c r="C116" s="405" t="s">
        <v>1321</v>
      </c>
      <c r="D116" s="388" t="s">
        <v>17</v>
      </c>
      <c r="E116" s="170">
        <f>VLOOKUP($D116,'SMEPA Lines DECEMBER 2016'!$D:$H,2,0)</f>
        <v>0</v>
      </c>
      <c r="F116" s="170">
        <f>VLOOKUP($D116,'SMEPA Lines DECEMBER 2016'!$D:$H,3,0)</f>
        <v>0</v>
      </c>
      <c r="G116" s="170">
        <f>VLOOKUP($D116,'SMEPA Lines DECEMBER 2016'!$D:$H,4,0)</f>
        <v>236900.49</v>
      </c>
      <c r="H116" s="170">
        <f>VLOOKUP($D116,'SMEPA Lines DECEMBER 2016'!$D:$H,5,0)</f>
        <v>92365.7</v>
      </c>
      <c r="I116" s="171">
        <f t="shared" si="15"/>
        <v>329266.19</v>
      </c>
      <c r="J116" s="169">
        <v>9.1199999999999992</v>
      </c>
      <c r="K116" s="169">
        <v>9.1199999999999992</v>
      </c>
      <c r="L116" s="172">
        <f t="shared" si="16"/>
        <v>1</v>
      </c>
      <c r="M116" s="173">
        <f t="shared" si="17"/>
        <v>329266.19</v>
      </c>
      <c r="N116" s="174">
        <f t="shared" si="18"/>
        <v>0</v>
      </c>
    </row>
    <row r="117" spans="1:14" s="169" customFormat="1">
      <c r="A117" s="388">
        <v>69</v>
      </c>
      <c r="B117" s="388" t="s">
        <v>183</v>
      </c>
      <c r="C117" s="405" t="s">
        <v>1582</v>
      </c>
      <c r="D117" s="298" t="s">
        <v>1583</v>
      </c>
      <c r="E117" s="170">
        <f>VLOOKUP($D117,'SMEPA Lines DECEMBER 2016'!$D:$H,2,0)</f>
        <v>0</v>
      </c>
      <c r="F117" s="170">
        <f>VLOOKUP($D117,'SMEPA Lines DECEMBER 2016'!$D:$H,3,0)</f>
        <v>0</v>
      </c>
      <c r="G117" s="170">
        <f>VLOOKUP($D117,'SMEPA Lines DECEMBER 2016'!$D:$H,4,0)</f>
        <v>460517.74</v>
      </c>
      <c r="H117" s="170">
        <f>VLOOKUP($D117,'SMEPA Lines DECEMBER 2016'!$D:$H,5,0)</f>
        <v>997633.23</v>
      </c>
      <c r="I117" s="171">
        <f t="shared" si="15"/>
        <v>1458150.97</v>
      </c>
      <c r="J117" s="468">
        <f>6.6+0.08</f>
        <v>6.68</v>
      </c>
      <c r="K117" s="468">
        <v>6.6</v>
      </c>
      <c r="L117" s="172">
        <f t="shared" si="16"/>
        <v>0.99</v>
      </c>
      <c r="M117" s="173">
        <f t="shared" si="17"/>
        <v>1443569.4602999999</v>
      </c>
      <c r="N117" s="174">
        <f t="shared" si="18"/>
        <v>14581.509700000053</v>
      </c>
    </row>
    <row r="118" spans="1:14" s="169" customFormat="1">
      <c r="A118" s="388">
        <v>69</v>
      </c>
      <c r="B118" s="388" t="s">
        <v>183</v>
      </c>
      <c r="C118" s="405" t="s">
        <v>1322</v>
      </c>
      <c r="D118" s="298" t="s">
        <v>1309</v>
      </c>
      <c r="E118" s="170">
        <f>VLOOKUP($D118,'SMEPA Lines DECEMBER 2016'!$D:$H,2,0)</f>
        <v>0</v>
      </c>
      <c r="F118" s="170">
        <f>VLOOKUP($D118,'SMEPA Lines DECEMBER 2016'!$D:$H,3,0)</f>
        <v>0</v>
      </c>
      <c r="G118" s="170">
        <f>VLOOKUP($D118,'SMEPA Lines DECEMBER 2016'!$D:$H,4,0)</f>
        <v>188037.22</v>
      </c>
      <c r="H118" s="170">
        <f>VLOOKUP($D118,'SMEPA Lines DECEMBER 2016'!$D:$H,5,0)</f>
        <v>163568.38</v>
      </c>
      <c r="I118" s="171">
        <f t="shared" si="15"/>
        <v>351605.6</v>
      </c>
      <c r="J118" s="169">
        <f>7.94+7.39</f>
        <v>15.33</v>
      </c>
      <c r="K118" s="169">
        <v>15.33</v>
      </c>
      <c r="L118" s="172">
        <f t="shared" si="16"/>
        <v>1</v>
      </c>
      <c r="M118" s="173">
        <f t="shared" si="17"/>
        <v>351605.6</v>
      </c>
      <c r="N118" s="174">
        <f t="shared" si="18"/>
        <v>0</v>
      </c>
    </row>
    <row r="119" spans="1:14" s="6" customFormat="1">
      <c r="A119" s="5">
        <v>69</v>
      </c>
      <c r="B119" s="5" t="s">
        <v>183</v>
      </c>
      <c r="C119" s="396" t="s">
        <v>1584</v>
      </c>
      <c r="D119" s="5">
        <v>17</v>
      </c>
      <c r="E119" s="10">
        <f>VLOOKUP($D119,'SMEPA Lines DECEMBER 2016'!$D:$H,2,0)</f>
        <v>0</v>
      </c>
      <c r="F119" s="10">
        <f>VLOOKUP($D119,'SMEPA Lines DECEMBER 2016'!$D:$H,3,0)</f>
        <v>0</v>
      </c>
      <c r="G119" s="10">
        <f>VLOOKUP($D119,'SMEPA Lines DECEMBER 2016'!$D:$H,4,0)</f>
        <v>7978.77</v>
      </c>
      <c r="H119" s="10">
        <f>VLOOKUP($D119,'SMEPA Lines DECEMBER 2016'!$D:$H,5,0)</f>
        <v>17153.009999999998</v>
      </c>
      <c r="I119" s="3">
        <f t="shared" si="15"/>
        <v>25131.78</v>
      </c>
      <c r="J119" s="3">
        <v>0.5</v>
      </c>
      <c r="K119" s="3">
        <v>0.5</v>
      </c>
      <c r="L119" s="23">
        <f t="shared" si="16"/>
        <v>1</v>
      </c>
      <c r="M119" s="16">
        <f t="shared" si="17"/>
        <v>25131.78</v>
      </c>
      <c r="N119" s="22">
        <f t="shared" si="18"/>
        <v>0</v>
      </c>
    </row>
    <row r="120" spans="1:14" s="6" customFormat="1" ht="30">
      <c r="A120" s="5">
        <v>69</v>
      </c>
      <c r="B120" s="329" t="s">
        <v>183</v>
      </c>
      <c r="C120" s="396" t="s">
        <v>1328</v>
      </c>
      <c r="D120" s="329" t="s">
        <v>1310</v>
      </c>
      <c r="E120" s="10">
        <f>VLOOKUP($D120,'SMEPA Lines DECEMBER 2016'!$D:$H,2,0)</f>
        <v>0</v>
      </c>
      <c r="F120" s="10">
        <f>VLOOKUP($D120,'SMEPA Lines DECEMBER 2016'!$D:$H,3,0)</f>
        <v>0</v>
      </c>
      <c r="G120" s="10">
        <f>VLOOKUP($D120,'SMEPA Lines DECEMBER 2016'!$D:$H,4,0)</f>
        <v>302105.49</v>
      </c>
      <c r="H120" s="10">
        <f>VLOOKUP($D120,'SMEPA Lines DECEMBER 2016'!$D:$H,5,0)</f>
        <v>143198.34</v>
      </c>
      <c r="I120" s="3">
        <f t="shared" ref="I120:I121" si="19">SUM(E120:H120)</f>
        <v>445303.82999999996</v>
      </c>
      <c r="J120" s="3">
        <f>12.01+0.03</f>
        <v>12.04</v>
      </c>
      <c r="K120" s="3">
        <v>12.01</v>
      </c>
      <c r="L120" s="419">
        <f>+ROUND(+K120/J120,3)</f>
        <v>0.998</v>
      </c>
      <c r="M120" s="16">
        <f t="shared" ref="M120:M121" si="20">IF(L120=0,0,(I120*L120))</f>
        <v>444413.22233999998</v>
      </c>
      <c r="N120" s="22">
        <f t="shared" ref="N120:N121" si="21">+I120-M120</f>
        <v>890.60765999997966</v>
      </c>
    </row>
    <row r="121" spans="1:14" s="6" customFormat="1">
      <c r="A121" s="5">
        <v>69</v>
      </c>
      <c r="B121" s="329" t="s">
        <v>183</v>
      </c>
      <c r="C121" s="396" t="s">
        <v>1329</v>
      </c>
      <c r="D121" s="329" t="s">
        <v>154</v>
      </c>
      <c r="E121" s="10">
        <f>VLOOKUP($D121,'SMEPA Lines DECEMBER 2016'!$D:$H,2,0)</f>
        <v>0</v>
      </c>
      <c r="F121" s="10">
        <f>VLOOKUP($D121,'SMEPA Lines DECEMBER 2016'!$D:$H,3,0)</f>
        <v>0</v>
      </c>
      <c r="G121" s="10">
        <f>VLOOKUP($D121,'SMEPA Lines DECEMBER 2016'!$D:$H,4,0)</f>
        <v>12316.98</v>
      </c>
      <c r="H121" s="10">
        <f>VLOOKUP($D121,'SMEPA Lines DECEMBER 2016'!$D:$H,5,0)</f>
        <v>49713.86</v>
      </c>
      <c r="I121" s="3">
        <f t="shared" si="19"/>
        <v>62030.84</v>
      </c>
      <c r="J121" s="3">
        <v>0.06</v>
      </c>
      <c r="K121" s="3"/>
      <c r="L121" s="23">
        <f t="shared" ref="L121" si="22">+ROUND(+K121/J121,2)</f>
        <v>0</v>
      </c>
      <c r="M121" s="16">
        <f t="shared" si="20"/>
        <v>0</v>
      </c>
      <c r="N121" s="22">
        <f t="shared" si="21"/>
        <v>62030.84</v>
      </c>
    </row>
    <row r="122" spans="1:14" s="6" customFormat="1">
      <c r="A122" s="5">
        <v>69</v>
      </c>
      <c r="B122" s="5" t="s">
        <v>183</v>
      </c>
      <c r="C122" s="396" t="s">
        <v>1331</v>
      </c>
      <c r="D122" s="5" t="s">
        <v>19</v>
      </c>
      <c r="E122" s="10">
        <f>VLOOKUP($D122,'SMEPA Lines DECEMBER 2016'!$D:$H,2,0)</f>
        <v>0</v>
      </c>
      <c r="F122" s="10">
        <f>VLOOKUP($D122,'SMEPA Lines DECEMBER 2016'!$D:$H,3,0)</f>
        <v>0</v>
      </c>
      <c r="G122" s="10">
        <f>VLOOKUP($D122,'SMEPA Lines DECEMBER 2016'!$D:$H,4,0)</f>
        <v>129436.93</v>
      </c>
      <c r="H122" s="10">
        <f>VLOOKUP($D122,'SMEPA Lines DECEMBER 2016'!$D:$H,5,0)</f>
        <v>235895.95</v>
      </c>
      <c r="I122" s="3">
        <f t="shared" si="15"/>
        <v>365332.88</v>
      </c>
      <c r="J122" s="6">
        <v>7.2</v>
      </c>
      <c r="K122" s="6">
        <v>7.2</v>
      </c>
      <c r="L122" s="23">
        <f t="shared" si="16"/>
        <v>1</v>
      </c>
      <c r="M122" s="16">
        <f t="shared" si="17"/>
        <v>365332.88</v>
      </c>
      <c r="N122" s="22">
        <f t="shared" si="18"/>
        <v>0</v>
      </c>
    </row>
    <row r="123" spans="1:14" s="6" customFormat="1">
      <c r="A123" s="5">
        <v>69</v>
      </c>
      <c r="B123" s="5" t="s">
        <v>183</v>
      </c>
      <c r="C123" s="396" t="s">
        <v>1333</v>
      </c>
      <c r="D123" s="5" t="s">
        <v>21</v>
      </c>
      <c r="E123" s="10">
        <f>VLOOKUP($D123,'SMEPA Lines DECEMBER 2016'!$D:$H,2,0)</f>
        <v>0</v>
      </c>
      <c r="F123" s="10">
        <f>VLOOKUP($D123,'SMEPA Lines DECEMBER 2016'!$D:$H,3,0)</f>
        <v>0</v>
      </c>
      <c r="G123" s="10">
        <f>VLOOKUP($D123,'SMEPA Lines DECEMBER 2016'!$D:$H,4,0)</f>
        <v>212317.75</v>
      </c>
      <c r="H123" s="10">
        <f>VLOOKUP($D123,'SMEPA Lines DECEMBER 2016'!$D:$H,5,0)</f>
        <v>403521.05</v>
      </c>
      <c r="I123" s="3">
        <f t="shared" si="15"/>
        <v>615838.80000000005</v>
      </c>
      <c r="J123" s="6">
        <v>10.65</v>
      </c>
      <c r="K123" s="6">
        <v>10.65</v>
      </c>
      <c r="L123" s="23">
        <f t="shared" si="16"/>
        <v>1</v>
      </c>
      <c r="M123" s="16">
        <f t="shared" si="17"/>
        <v>615838.80000000005</v>
      </c>
      <c r="N123" s="22">
        <f t="shared" si="18"/>
        <v>0</v>
      </c>
    </row>
    <row r="124" spans="1:14" s="6" customFormat="1" ht="30">
      <c r="A124" s="5">
        <v>69</v>
      </c>
      <c r="B124" s="5" t="s">
        <v>183</v>
      </c>
      <c r="C124" s="396" t="s">
        <v>1585</v>
      </c>
      <c r="D124" s="329" t="s">
        <v>1337</v>
      </c>
      <c r="E124" s="10">
        <f>VLOOKUP($D124,'SMEPA Lines DECEMBER 2016'!$D:$H,2,0)</f>
        <v>0</v>
      </c>
      <c r="F124" s="10">
        <f>VLOOKUP($D124,'SMEPA Lines DECEMBER 2016'!$D:$H,3,0)</f>
        <v>4752.3599999999997</v>
      </c>
      <c r="G124" s="10">
        <f>VLOOKUP($D124,'SMEPA Lines DECEMBER 2016'!$D:$H,4,0)</f>
        <v>177856.36</v>
      </c>
      <c r="H124" s="10">
        <f>VLOOKUP($D124,'SMEPA Lines DECEMBER 2016'!$D:$H,5,0)</f>
        <v>181153.42</v>
      </c>
      <c r="I124" s="3">
        <f t="shared" si="15"/>
        <v>363762.14</v>
      </c>
      <c r="J124" s="6">
        <f>2.74+3.69</f>
        <v>6.43</v>
      </c>
      <c r="K124" s="6">
        <v>6.43</v>
      </c>
      <c r="L124" s="23">
        <f t="shared" si="16"/>
        <v>1</v>
      </c>
      <c r="M124" s="16">
        <f t="shared" si="17"/>
        <v>363762.14</v>
      </c>
      <c r="N124" s="22">
        <f t="shared" si="18"/>
        <v>0</v>
      </c>
    </row>
    <row r="125" spans="1:14" s="6" customFormat="1">
      <c r="A125" s="5">
        <v>69</v>
      </c>
      <c r="B125" s="5" t="s">
        <v>183</v>
      </c>
      <c r="C125" s="390" t="s">
        <v>22</v>
      </c>
      <c r="D125" s="5" t="s">
        <v>23</v>
      </c>
      <c r="E125" s="10">
        <f>VLOOKUP($D125,'SMEPA Lines DECEMBER 2016'!$D:$H,2,0)</f>
        <v>0</v>
      </c>
      <c r="F125" s="10">
        <f>VLOOKUP($D125,'SMEPA Lines DECEMBER 2016'!$D:$H,3,0)</f>
        <v>2679.65</v>
      </c>
      <c r="G125" s="10">
        <f>VLOOKUP($D125,'SMEPA Lines DECEMBER 2016'!$D:$H,4,0)</f>
        <v>88644.23</v>
      </c>
      <c r="H125" s="10">
        <f>VLOOKUP($D125,'SMEPA Lines DECEMBER 2016'!$D:$H,5,0)</f>
        <v>100054.42</v>
      </c>
      <c r="I125" s="3">
        <f t="shared" si="15"/>
        <v>191378.3</v>
      </c>
      <c r="J125" s="3">
        <v>10.57</v>
      </c>
      <c r="K125" s="6">
        <v>10.57</v>
      </c>
      <c r="L125" s="23">
        <f t="shared" si="16"/>
        <v>1</v>
      </c>
      <c r="M125" s="16">
        <f t="shared" si="17"/>
        <v>191378.3</v>
      </c>
      <c r="N125" s="22">
        <f t="shared" si="18"/>
        <v>0</v>
      </c>
    </row>
    <row r="126" spans="1:14" s="6" customFormat="1">
      <c r="A126" s="5">
        <v>69</v>
      </c>
      <c r="B126" s="5" t="s">
        <v>183</v>
      </c>
      <c r="C126" s="396" t="s">
        <v>1339</v>
      </c>
      <c r="D126" s="5" t="s">
        <v>24</v>
      </c>
      <c r="E126" s="10">
        <f>VLOOKUP($D126,'SMEPA Lines DECEMBER 2016'!$D:$H,2,0)</f>
        <v>0</v>
      </c>
      <c r="F126" s="10">
        <f>VLOOKUP($D126,'SMEPA Lines DECEMBER 2016'!$D:$H,3,0)</f>
        <v>0</v>
      </c>
      <c r="G126" s="10">
        <f>VLOOKUP($D126,'SMEPA Lines DECEMBER 2016'!$D:$H,4,0)</f>
        <v>68755.31</v>
      </c>
      <c r="H126" s="10">
        <f>VLOOKUP($D126,'SMEPA Lines DECEMBER 2016'!$D:$H,5,0)</f>
        <v>42624.71</v>
      </c>
      <c r="I126" s="3">
        <f t="shared" si="15"/>
        <v>111380.01999999999</v>
      </c>
      <c r="J126" s="6">
        <v>8.5</v>
      </c>
      <c r="K126" s="6">
        <v>8.5</v>
      </c>
      <c r="L126" s="23">
        <f t="shared" si="16"/>
        <v>1</v>
      </c>
      <c r="M126" s="16">
        <f t="shared" si="17"/>
        <v>111380.01999999999</v>
      </c>
      <c r="N126" s="22">
        <f t="shared" si="18"/>
        <v>0</v>
      </c>
    </row>
    <row r="127" spans="1:14" s="6" customFormat="1" ht="30">
      <c r="A127" s="5">
        <v>69</v>
      </c>
      <c r="B127" s="5" t="s">
        <v>183</v>
      </c>
      <c r="C127" s="396" t="s">
        <v>1342</v>
      </c>
      <c r="D127" s="329" t="s">
        <v>1341</v>
      </c>
      <c r="E127" s="10">
        <f>VLOOKUP($D127,'SMEPA Lines DECEMBER 2016'!$D:$H,2,0)</f>
        <v>0</v>
      </c>
      <c r="F127" s="10">
        <f>VLOOKUP($D127,'SMEPA Lines DECEMBER 2016'!$D:$H,3,0)</f>
        <v>3405.2</v>
      </c>
      <c r="G127" s="10">
        <f>VLOOKUP($D127,'SMEPA Lines DECEMBER 2016'!$D:$H,4,0)</f>
        <v>88314.98</v>
      </c>
      <c r="H127" s="10">
        <f>VLOOKUP($D127,'SMEPA Lines DECEMBER 2016'!$D:$H,5,0)</f>
        <v>77166.679999999993</v>
      </c>
      <c r="I127" s="3">
        <f t="shared" si="15"/>
        <v>168886.86</v>
      </c>
      <c r="J127" s="6">
        <f>7.01+0.05</f>
        <v>7.06</v>
      </c>
      <c r="K127" s="3">
        <v>7.01</v>
      </c>
      <c r="L127" s="419">
        <f t="shared" si="16"/>
        <v>0.99</v>
      </c>
      <c r="M127" s="16">
        <f t="shared" si="17"/>
        <v>167197.9914</v>
      </c>
      <c r="N127" s="22">
        <f t="shared" si="18"/>
        <v>1688.8685999999871</v>
      </c>
    </row>
    <row r="128" spans="1:14" s="169" customFormat="1" ht="30">
      <c r="A128" s="388">
        <v>69</v>
      </c>
      <c r="B128" s="388" t="s">
        <v>183</v>
      </c>
      <c r="C128" s="405" t="s">
        <v>1346</v>
      </c>
      <c r="D128" s="298" t="s">
        <v>1345</v>
      </c>
      <c r="E128" s="170">
        <f>VLOOKUP($D128,'SMEPA Lines DECEMBER 2016'!$D:$H,2,0)</f>
        <v>0</v>
      </c>
      <c r="F128" s="170">
        <f>VLOOKUP($D128,'SMEPA Lines DECEMBER 2016'!$D:$H,3,0)</f>
        <v>2666.08</v>
      </c>
      <c r="G128" s="170">
        <f>VLOOKUP($D128,'SMEPA Lines DECEMBER 2016'!$D:$H,4,0)</f>
        <v>214988.91999999998</v>
      </c>
      <c r="H128" s="170">
        <f>VLOOKUP($D128,'SMEPA Lines DECEMBER 2016'!$D:$H,5,0)</f>
        <v>160052.61000000002</v>
      </c>
      <c r="I128" s="171">
        <f t="shared" si="15"/>
        <v>377707.61</v>
      </c>
      <c r="J128" s="468">
        <f>2.8+0.03+14.9</f>
        <v>17.73</v>
      </c>
      <c r="K128" s="468">
        <f>2.8+14.9</f>
        <v>17.7</v>
      </c>
      <c r="L128" s="426">
        <f>+ROUND(+K128/J128,3)</f>
        <v>0.998</v>
      </c>
      <c r="M128" s="173">
        <f>IF(L128=0,0,(I128*L128))</f>
        <v>376952.19477999996</v>
      </c>
      <c r="N128" s="174">
        <f>+I128-M128</f>
        <v>755.41522000002442</v>
      </c>
    </row>
    <row r="129" spans="1:14" s="276" customFormat="1">
      <c r="A129" s="400"/>
      <c r="B129" s="400"/>
      <c r="C129" s="428" t="s">
        <v>947</v>
      </c>
      <c r="D129" s="400"/>
      <c r="E129" s="401"/>
      <c r="F129" s="401"/>
      <c r="G129" s="401">
        <v>83357.63</v>
      </c>
      <c r="H129" s="401">
        <v>111651.25</v>
      </c>
      <c r="I129" s="402">
        <f t="shared" si="15"/>
        <v>195008.88</v>
      </c>
      <c r="J129" s="429">
        <v>1</v>
      </c>
      <c r="K129" s="429">
        <v>1</v>
      </c>
      <c r="L129" s="403">
        <f>+ROUND(+K129/J129,2)</f>
        <v>1</v>
      </c>
      <c r="M129" s="277">
        <f>IF(L129=0,0,(I129*L129))</f>
        <v>195008.88</v>
      </c>
      <c r="N129" s="404">
        <f>+I129-M129</f>
        <v>0</v>
      </c>
    </row>
    <row r="130" spans="1:14" s="6" customFormat="1" ht="30">
      <c r="A130" s="5">
        <v>69</v>
      </c>
      <c r="B130" s="5" t="s">
        <v>183</v>
      </c>
      <c r="C130" s="396" t="s">
        <v>1348</v>
      </c>
      <c r="D130" s="329" t="s">
        <v>1347</v>
      </c>
      <c r="E130" s="10">
        <f>VLOOKUP($D130,'SMEPA Lines DECEMBER 2016'!$D:$H,2,0)</f>
        <v>0</v>
      </c>
      <c r="F130" s="10">
        <f>VLOOKUP($D130,'SMEPA Lines DECEMBER 2016'!$D:$H,3,0)</f>
        <v>0</v>
      </c>
      <c r="G130" s="10">
        <f>VLOOKUP($D130,'SMEPA Lines DECEMBER 2016'!$D:$H,4,0)</f>
        <v>134978.69</v>
      </c>
      <c r="H130" s="10">
        <f>VLOOKUP($D130,'SMEPA Lines DECEMBER 2016'!$D:$H,5,0)</f>
        <v>71402.66</v>
      </c>
      <c r="I130" s="3">
        <f t="shared" si="15"/>
        <v>206381.35</v>
      </c>
      <c r="J130" s="6">
        <f>2.89+7.73</f>
        <v>10.620000000000001</v>
      </c>
      <c r="K130" s="6">
        <v>2.89</v>
      </c>
      <c r="L130" s="23">
        <f t="shared" si="16"/>
        <v>0.27</v>
      </c>
      <c r="M130" s="16">
        <f t="shared" si="17"/>
        <v>55722.964500000002</v>
      </c>
      <c r="N130" s="22">
        <f t="shared" si="18"/>
        <v>150658.3855</v>
      </c>
    </row>
    <row r="131" spans="1:14" s="169" customFormat="1">
      <c r="A131" s="388">
        <v>69</v>
      </c>
      <c r="B131" s="388" t="s">
        <v>183</v>
      </c>
      <c r="C131" s="405" t="s">
        <v>1352</v>
      </c>
      <c r="D131" s="298" t="s">
        <v>1351</v>
      </c>
      <c r="E131" s="170">
        <f>VLOOKUP($D131,'SMEPA Lines DECEMBER 2016'!$D:$H,2,0)</f>
        <v>0</v>
      </c>
      <c r="F131" s="170">
        <f>VLOOKUP($D131,'SMEPA Lines DECEMBER 2016'!$D:$H,3,0)</f>
        <v>3040.05</v>
      </c>
      <c r="G131" s="170">
        <f>VLOOKUP($D131,'SMEPA Lines DECEMBER 2016'!$D:$H,4,0)</f>
        <v>159954.45000000001</v>
      </c>
      <c r="H131" s="170">
        <f>VLOOKUP($D131,'SMEPA Lines DECEMBER 2016'!$D:$H,5,0)</f>
        <v>134656.76999999999</v>
      </c>
      <c r="I131" s="171">
        <f t="shared" si="15"/>
        <v>297651.27</v>
      </c>
      <c r="J131" s="169">
        <f>17.31+0.05</f>
        <v>17.36</v>
      </c>
      <c r="K131" s="169">
        <v>17.309999999999999</v>
      </c>
      <c r="L131" s="426">
        <f>+ROUND(+K131/J131,3)</f>
        <v>0.997</v>
      </c>
      <c r="M131" s="173">
        <f t="shared" si="17"/>
        <v>296758.31619000004</v>
      </c>
      <c r="N131" s="174">
        <f t="shared" si="18"/>
        <v>892.95380999997724</v>
      </c>
    </row>
    <row r="132" spans="1:14" s="6" customFormat="1" ht="30">
      <c r="A132" s="5">
        <v>69</v>
      </c>
      <c r="B132" s="5" t="s">
        <v>183</v>
      </c>
      <c r="C132" s="396" t="s">
        <v>1361</v>
      </c>
      <c r="D132" s="329" t="s">
        <v>1360</v>
      </c>
      <c r="E132" s="10">
        <f>VLOOKUP($D132,'SMEPA Lines DECEMBER 2016'!$D:$H,2,0)</f>
        <v>0</v>
      </c>
      <c r="F132" s="10">
        <f>VLOOKUP($D132,'SMEPA Lines DECEMBER 2016'!$D:$H,3,0)</f>
        <v>2749.04</v>
      </c>
      <c r="G132" s="10">
        <f>VLOOKUP($D132,'SMEPA Lines DECEMBER 2016'!$D:$H,4,0)</f>
        <v>2659084.6</v>
      </c>
      <c r="H132" s="10">
        <f>VLOOKUP($D132,'SMEPA Lines DECEMBER 2016'!$D:$H,5,0)</f>
        <v>2201107.4700000002</v>
      </c>
      <c r="I132" s="414">
        <f t="shared" si="15"/>
        <v>4862941.1100000003</v>
      </c>
      <c r="J132" s="6">
        <f>16.38+0.17</f>
        <v>16.55</v>
      </c>
      <c r="K132" s="6">
        <v>16.38</v>
      </c>
      <c r="L132" s="26">
        <f>+ROUND(+K132/J132,3)</f>
        <v>0.99</v>
      </c>
      <c r="M132" s="16">
        <f t="shared" si="17"/>
        <v>4814311.6989000002</v>
      </c>
      <c r="N132" s="22">
        <f t="shared" si="18"/>
        <v>48629.411100000143</v>
      </c>
    </row>
    <row r="133" spans="1:14" s="6" customFormat="1">
      <c r="A133" s="5">
        <v>69</v>
      </c>
      <c r="B133" s="5" t="s">
        <v>183</v>
      </c>
      <c r="C133" s="390" t="s">
        <v>25</v>
      </c>
      <c r="D133" s="5" t="s">
        <v>26</v>
      </c>
      <c r="E133" s="10">
        <f>VLOOKUP($D133,'SMEPA Lines DECEMBER 2016'!$D:$H,2,0)</f>
        <v>0</v>
      </c>
      <c r="F133" s="10">
        <f>VLOOKUP($D133,'SMEPA Lines DECEMBER 2016'!$D:$H,3,0)</f>
        <v>2858.49</v>
      </c>
      <c r="G133" s="10">
        <f>VLOOKUP($D133,'SMEPA Lines DECEMBER 2016'!$D:$H,4,0)</f>
        <v>722323.35</v>
      </c>
      <c r="H133" s="10">
        <f>VLOOKUP($D133,'SMEPA Lines DECEMBER 2016'!$D:$H,5,0)</f>
        <v>833113.2</v>
      </c>
      <c r="I133" s="3">
        <f t="shared" si="15"/>
        <v>1558295.04</v>
      </c>
      <c r="J133" s="3">
        <v>6.75</v>
      </c>
      <c r="K133" s="6">
        <v>6.75</v>
      </c>
      <c r="L133" s="23">
        <f t="shared" si="16"/>
        <v>1</v>
      </c>
      <c r="M133" s="16">
        <f t="shared" si="17"/>
        <v>1558295.04</v>
      </c>
      <c r="N133" s="22">
        <f t="shared" si="18"/>
        <v>0</v>
      </c>
    </row>
    <row r="134" spans="1:14" s="6" customFormat="1">
      <c r="A134" s="5">
        <v>69</v>
      </c>
      <c r="B134" s="329" t="s">
        <v>183</v>
      </c>
      <c r="C134" s="396" t="s">
        <v>1586</v>
      </c>
      <c r="D134" s="329" t="s">
        <v>28</v>
      </c>
      <c r="E134" s="10">
        <f>VLOOKUP($D134,'SMEPA Lines DECEMBER 2016'!$D:$H,2,0)</f>
        <v>0</v>
      </c>
      <c r="F134" s="10">
        <f>VLOOKUP($D134,'SMEPA Lines DECEMBER 2016'!$D:$H,3,0)</f>
        <v>0</v>
      </c>
      <c r="G134" s="10">
        <f>VLOOKUP($D134,'SMEPA Lines DECEMBER 2016'!$D:$H,4,0)</f>
        <v>39484.68</v>
      </c>
      <c r="H134" s="10">
        <f>VLOOKUP($D134,'SMEPA Lines DECEMBER 2016'!$D:$H,5,0)</f>
        <v>37705.78</v>
      </c>
      <c r="I134" s="3">
        <f t="shared" ref="I134:I136" si="23">SUM(E134:H134)</f>
        <v>77190.459999999992</v>
      </c>
      <c r="J134" s="3">
        <v>3.64</v>
      </c>
      <c r="K134" s="6">
        <v>3.64</v>
      </c>
      <c r="L134" s="23">
        <f t="shared" ref="L134:L136" si="24">+ROUND(+K134/J134,2)</f>
        <v>1</v>
      </c>
      <c r="M134" s="16">
        <f t="shared" ref="M134:M136" si="25">IF(L134=0,0,(I134*L134))</f>
        <v>77190.459999999992</v>
      </c>
      <c r="N134" s="22">
        <f t="shared" ref="N134:N136" si="26">+I134-M134</f>
        <v>0</v>
      </c>
    </row>
    <row r="135" spans="1:14" s="6" customFormat="1">
      <c r="A135" s="5">
        <v>69</v>
      </c>
      <c r="B135" s="329" t="s">
        <v>183</v>
      </c>
      <c r="C135" s="396" t="s">
        <v>1587</v>
      </c>
      <c r="D135" s="329" t="s">
        <v>29</v>
      </c>
      <c r="E135" s="10">
        <f>VLOOKUP($D135,'SMEPA Lines DECEMBER 2016'!$D:$H,2,0)</f>
        <v>0</v>
      </c>
      <c r="F135" s="10">
        <f>VLOOKUP($D135,'SMEPA Lines DECEMBER 2016'!$D:$H,3,0)</f>
        <v>0</v>
      </c>
      <c r="G135" s="10">
        <f>VLOOKUP($D135,'SMEPA Lines DECEMBER 2016'!$D:$H,4,0)</f>
        <v>60859.26</v>
      </c>
      <c r="H135" s="10">
        <f>VLOOKUP($D135,'SMEPA Lines DECEMBER 2016'!$D:$H,5,0)</f>
        <v>91702.34</v>
      </c>
      <c r="I135" s="3">
        <f t="shared" si="23"/>
        <v>152561.60000000001</v>
      </c>
      <c r="J135" s="3">
        <v>4.84</v>
      </c>
      <c r="K135" s="6">
        <v>4.84</v>
      </c>
      <c r="L135" s="23">
        <f t="shared" si="24"/>
        <v>1</v>
      </c>
      <c r="M135" s="16">
        <f t="shared" si="25"/>
        <v>152561.60000000001</v>
      </c>
      <c r="N135" s="22">
        <f t="shared" si="26"/>
        <v>0</v>
      </c>
    </row>
    <row r="136" spans="1:14" s="169" customFormat="1">
      <c r="A136" s="388">
        <v>69</v>
      </c>
      <c r="B136" s="298" t="s">
        <v>183</v>
      </c>
      <c r="C136" s="405" t="s">
        <v>1363</v>
      </c>
      <c r="D136" s="298" t="s">
        <v>30</v>
      </c>
      <c r="E136" s="170">
        <f>VLOOKUP($D136,'SMEPA Lines DECEMBER 2016'!$D:$H,2,0)</f>
        <v>0</v>
      </c>
      <c r="F136" s="170">
        <f>VLOOKUP($D136,'SMEPA Lines DECEMBER 2016'!$D:$H,3,0)</f>
        <v>1717.66</v>
      </c>
      <c r="G136" s="170">
        <f>VLOOKUP($D136,'SMEPA Lines DECEMBER 2016'!$D:$H,4,0)</f>
        <v>78743.45</v>
      </c>
      <c r="H136" s="170">
        <f>VLOOKUP($D136,'SMEPA Lines DECEMBER 2016'!$D:$H,5,0)</f>
        <v>84142.56</v>
      </c>
      <c r="I136" s="171">
        <f t="shared" si="23"/>
        <v>164603.66999999998</v>
      </c>
      <c r="J136" s="171">
        <v>7.22</v>
      </c>
      <c r="L136" s="172">
        <f t="shared" si="24"/>
        <v>0</v>
      </c>
      <c r="M136" s="173">
        <f t="shared" si="25"/>
        <v>0</v>
      </c>
      <c r="N136" s="174">
        <f t="shared" si="26"/>
        <v>164603.66999999998</v>
      </c>
    </row>
    <row r="137" spans="1:14" s="6" customFormat="1">
      <c r="A137" s="5">
        <v>69</v>
      </c>
      <c r="B137" s="5" t="s">
        <v>183</v>
      </c>
      <c r="C137" s="396" t="s">
        <v>1364</v>
      </c>
      <c r="D137" s="5" t="s">
        <v>31</v>
      </c>
      <c r="E137" s="10">
        <f>VLOOKUP($D137,'SMEPA Lines DECEMBER 2016'!$D:$H,2,0)</f>
        <v>0</v>
      </c>
      <c r="F137" s="10">
        <f>VLOOKUP($D137,'SMEPA Lines DECEMBER 2016'!$D:$H,3,0)</f>
        <v>0</v>
      </c>
      <c r="G137" s="10">
        <f>VLOOKUP($D137,'SMEPA Lines DECEMBER 2016'!$D:$H,4,0)</f>
        <v>1556689.79</v>
      </c>
      <c r="H137" s="10">
        <f>VLOOKUP($D137,'SMEPA Lines DECEMBER 2016'!$D:$H,5,0)</f>
        <v>1713482.09</v>
      </c>
      <c r="I137" s="3">
        <f t="shared" si="15"/>
        <v>3270171.88</v>
      </c>
      <c r="J137" s="6">
        <v>17.04</v>
      </c>
      <c r="K137" s="6">
        <v>17.04</v>
      </c>
      <c r="L137" s="23">
        <f t="shared" si="16"/>
        <v>1</v>
      </c>
      <c r="M137" s="16">
        <f t="shared" si="17"/>
        <v>3270171.88</v>
      </c>
      <c r="N137" s="22">
        <f t="shared" si="18"/>
        <v>0</v>
      </c>
    </row>
    <row r="138" spans="1:14" s="6" customFormat="1">
      <c r="A138" s="5">
        <v>69</v>
      </c>
      <c r="B138" s="5" t="s">
        <v>183</v>
      </c>
      <c r="C138" s="396" t="s">
        <v>1370</v>
      </c>
      <c r="D138" s="5" t="s">
        <v>33</v>
      </c>
      <c r="E138" s="10">
        <f>VLOOKUP($D138,'SMEPA Lines DECEMBER 2016'!$D:$H,2,0)</f>
        <v>0</v>
      </c>
      <c r="F138" s="10">
        <f>VLOOKUP($D138,'SMEPA Lines DECEMBER 2016'!$D:$H,3,0)</f>
        <v>0</v>
      </c>
      <c r="G138" s="10">
        <f>VLOOKUP($D138,'SMEPA Lines DECEMBER 2016'!$D:$H,4,0)</f>
        <v>144832.93</v>
      </c>
      <c r="H138" s="10">
        <f>VLOOKUP($D138,'SMEPA Lines DECEMBER 2016'!$D:$H,5,0)</f>
        <v>94220.44</v>
      </c>
      <c r="I138" s="3">
        <f t="shared" si="15"/>
        <v>239053.37</v>
      </c>
      <c r="J138" s="6">
        <v>13.65</v>
      </c>
      <c r="K138" s="6">
        <v>13.65</v>
      </c>
      <c r="L138" s="23">
        <f t="shared" si="16"/>
        <v>1</v>
      </c>
      <c r="M138" s="16">
        <f t="shared" si="17"/>
        <v>239053.37</v>
      </c>
      <c r="N138" s="22">
        <f t="shared" si="18"/>
        <v>0</v>
      </c>
    </row>
    <row r="139" spans="1:14" s="6" customFormat="1">
      <c r="A139" s="5">
        <v>69</v>
      </c>
      <c r="B139" s="5" t="s">
        <v>183</v>
      </c>
      <c r="C139" s="390" t="s">
        <v>34</v>
      </c>
      <c r="D139" s="5" t="s">
        <v>35</v>
      </c>
      <c r="E139" s="10">
        <f>VLOOKUP($D139,'SMEPA Lines DECEMBER 2016'!$D:$H,2,0)</f>
        <v>0</v>
      </c>
      <c r="F139" s="10">
        <f>VLOOKUP($D139,'SMEPA Lines DECEMBER 2016'!$D:$H,3,0)</f>
        <v>3016.56</v>
      </c>
      <c r="G139" s="10">
        <f>VLOOKUP($D139,'SMEPA Lines DECEMBER 2016'!$D:$H,4,0)</f>
        <v>107881.37000000001</v>
      </c>
      <c r="H139" s="10">
        <f>VLOOKUP($D139,'SMEPA Lines DECEMBER 2016'!$D:$H,5,0)</f>
        <v>106449.04</v>
      </c>
      <c r="I139" s="3">
        <f t="shared" si="15"/>
        <v>217346.97</v>
      </c>
      <c r="J139" s="6">
        <v>14.68</v>
      </c>
      <c r="K139" s="6">
        <v>14.68</v>
      </c>
      <c r="L139" s="23">
        <f t="shared" si="16"/>
        <v>1</v>
      </c>
      <c r="M139" s="16">
        <f t="shared" si="17"/>
        <v>217346.97</v>
      </c>
      <c r="N139" s="22">
        <f t="shared" si="18"/>
        <v>0</v>
      </c>
    </row>
    <row r="140" spans="1:14" s="6" customFormat="1">
      <c r="A140" s="5">
        <v>69</v>
      </c>
      <c r="B140" s="5" t="s">
        <v>183</v>
      </c>
      <c r="C140" s="396" t="s">
        <v>1588</v>
      </c>
      <c r="D140" s="5">
        <v>48</v>
      </c>
      <c r="E140" s="10">
        <f>VLOOKUP($D140,'SMEPA Lines DECEMBER 2016'!$D:$H,2,0)</f>
        <v>0</v>
      </c>
      <c r="F140" s="10">
        <f>VLOOKUP($D140,'SMEPA Lines DECEMBER 2016'!$D:$H,3,0)</f>
        <v>0</v>
      </c>
      <c r="G140" s="10">
        <f>VLOOKUP($D140,'SMEPA Lines DECEMBER 2016'!$D:$H,4,0)</f>
        <v>123933.87</v>
      </c>
      <c r="H140" s="10">
        <f>VLOOKUP($D140,'SMEPA Lines DECEMBER 2016'!$D:$H,5,0)</f>
        <v>64366.92</v>
      </c>
      <c r="I140" s="3">
        <f t="shared" si="15"/>
        <v>188300.78999999998</v>
      </c>
      <c r="J140" s="6">
        <v>10.25</v>
      </c>
      <c r="K140" s="6">
        <v>10.25</v>
      </c>
      <c r="L140" s="23">
        <f t="shared" si="16"/>
        <v>1</v>
      </c>
      <c r="M140" s="16">
        <f t="shared" si="17"/>
        <v>188300.78999999998</v>
      </c>
      <c r="N140" s="22">
        <f t="shared" si="18"/>
        <v>0</v>
      </c>
    </row>
    <row r="141" spans="1:14" s="6" customFormat="1">
      <c r="A141" s="5">
        <v>69</v>
      </c>
      <c r="B141" s="5" t="s">
        <v>183</v>
      </c>
      <c r="C141" s="396" t="s">
        <v>1589</v>
      </c>
      <c r="D141" s="5" t="s">
        <v>37</v>
      </c>
      <c r="E141" s="10">
        <f>VLOOKUP($D141,'SMEPA Lines DECEMBER 2016'!$D:$H,2,0)</f>
        <v>0</v>
      </c>
      <c r="F141" s="10">
        <f>VLOOKUP($D141,'SMEPA Lines DECEMBER 2016'!$D:$H,3,0)</f>
        <v>0</v>
      </c>
      <c r="G141" s="10">
        <f>VLOOKUP($D141,'SMEPA Lines DECEMBER 2016'!$D:$H,4,0)</f>
        <v>72594.59</v>
      </c>
      <c r="H141" s="10">
        <f>VLOOKUP($D141,'SMEPA Lines DECEMBER 2016'!$D:$H,5,0)</f>
        <v>53363.54</v>
      </c>
      <c r="I141" s="3">
        <f t="shared" si="15"/>
        <v>125958.13</v>
      </c>
      <c r="J141" s="6">
        <v>4.63</v>
      </c>
      <c r="K141" s="6">
        <v>4.63</v>
      </c>
      <c r="L141" s="23">
        <f t="shared" si="16"/>
        <v>1</v>
      </c>
      <c r="M141" s="16">
        <f t="shared" si="17"/>
        <v>125958.13</v>
      </c>
      <c r="N141" s="22">
        <f t="shared" si="18"/>
        <v>0</v>
      </c>
    </row>
    <row r="142" spans="1:14" s="169" customFormat="1" ht="15.75" customHeight="1">
      <c r="A142" s="388">
        <v>69</v>
      </c>
      <c r="B142" s="388" t="s">
        <v>183</v>
      </c>
      <c r="C142" s="405" t="s">
        <v>1378</v>
      </c>
      <c r="D142" s="388" t="s">
        <v>38</v>
      </c>
      <c r="E142" s="170">
        <f>VLOOKUP($D142,'SMEPA Lines DECEMBER 2016'!$D:$H,2,0)</f>
        <v>0</v>
      </c>
      <c r="F142" s="170">
        <f>VLOOKUP($D142,'SMEPA Lines DECEMBER 2016'!$D:$H,3,0)</f>
        <v>0</v>
      </c>
      <c r="G142" s="170">
        <f>VLOOKUP($D142,'SMEPA Lines DECEMBER 2016'!$D:$H,4,0)</f>
        <v>147779.10999999999</v>
      </c>
      <c r="H142" s="170">
        <f>VLOOKUP($D142,'SMEPA Lines DECEMBER 2016'!$D:$H,5,0)</f>
        <v>98365.36</v>
      </c>
      <c r="I142" s="171">
        <f t="shared" si="15"/>
        <v>246144.46999999997</v>
      </c>
      <c r="J142" s="169">
        <v>12.54</v>
      </c>
      <c r="K142" s="169">
        <v>12.54</v>
      </c>
      <c r="L142" s="172">
        <f t="shared" si="16"/>
        <v>1</v>
      </c>
      <c r="M142" s="173">
        <f t="shared" si="17"/>
        <v>246144.46999999997</v>
      </c>
      <c r="N142" s="174">
        <f t="shared" si="18"/>
        <v>0</v>
      </c>
    </row>
    <row r="143" spans="1:14" s="6" customFormat="1">
      <c r="A143" s="5">
        <v>69</v>
      </c>
      <c r="B143" s="5" t="s">
        <v>183</v>
      </c>
      <c r="C143" s="396" t="s">
        <v>1590</v>
      </c>
      <c r="D143" s="5">
        <v>54</v>
      </c>
      <c r="E143" s="10">
        <f>VLOOKUP($D143,'SMEPA Lines DECEMBER 2016'!$D:$H,2,0)</f>
        <v>0</v>
      </c>
      <c r="F143" s="10">
        <f>VLOOKUP($D143,'SMEPA Lines DECEMBER 2016'!$D:$H,3,0)</f>
        <v>0</v>
      </c>
      <c r="G143" s="10">
        <f>VLOOKUP($D143,'SMEPA Lines DECEMBER 2016'!$D:$H,4,0)</f>
        <v>210266.7</v>
      </c>
      <c r="H143" s="10">
        <f>VLOOKUP($D143,'SMEPA Lines DECEMBER 2016'!$D:$H,5,0)</f>
        <v>128069.75999999999</v>
      </c>
      <c r="I143" s="3">
        <f t="shared" si="15"/>
        <v>338336.46</v>
      </c>
      <c r="J143" s="6">
        <v>13.61</v>
      </c>
      <c r="K143" s="6">
        <v>13.61</v>
      </c>
      <c r="L143" s="23">
        <f t="shared" si="16"/>
        <v>1</v>
      </c>
      <c r="M143" s="16">
        <f t="shared" si="17"/>
        <v>338336.46</v>
      </c>
      <c r="N143" s="22">
        <f t="shared" si="18"/>
        <v>0</v>
      </c>
    </row>
    <row r="144" spans="1:14" s="6" customFormat="1">
      <c r="A144" s="5">
        <v>69</v>
      </c>
      <c r="B144" s="5" t="s">
        <v>183</v>
      </c>
      <c r="C144" s="396" t="s">
        <v>1387</v>
      </c>
      <c r="D144" s="5" t="s">
        <v>39</v>
      </c>
      <c r="E144" s="10">
        <f>VLOOKUP($D144,'SMEPA Lines DECEMBER 2016'!$D:$H,2,0)</f>
        <v>0</v>
      </c>
      <c r="F144" s="10">
        <f>VLOOKUP($D144,'SMEPA Lines DECEMBER 2016'!$D:$H,3,0)</f>
        <v>0</v>
      </c>
      <c r="G144" s="10">
        <f>VLOOKUP($D144,'SMEPA Lines DECEMBER 2016'!$D:$H,4,0)</f>
        <v>82473.69</v>
      </c>
      <c r="H144" s="10">
        <f>VLOOKUP($D144,'SMEPA Lines DECEMBER 2016'!$D:$H,5,0)</f>
        <v>46734.66</v>
      </c>
      <c r="I144" s="3">
        <f t="shared" si="15"/>
        <v>129208.35</v>
      </c>
      <c r="J144" s="6">
        <v>8.07</v>
      </c>
      <c r="K144" s="6">
        <v>8.07</v>
      </c>
      <c r="L144" s="23">
        <f t="shared" si="16"/>
        <v>1</v>
      </c>
      <c r="M144" s="16">
        <f t="shared" si="17"/>
        <v>129208.35</v>
      </c>
      <c r="N144" s="22">
        <f t="shared" si="18"/>
        <v>0</v>
      </c>
    </row>
    <row r="145" spans="1:14" s="6" customFormat="1">
      <c r="A145" s="5">
        <v>69</v>
      </c>
      <c r="B145" s="5" t="s">
        <v>183</v>
      </c>
      <c r="C145" s="396" t="s">
        <v>1388</v>
      </c>
      <c r="D145" s="5" t="s">
        <v>40</v>
      </c>
      <c r="E145" s="10">
        <f>VLOOKUP($D145,'SMEPA Lines DECEMBER 2016'!$D:$H,2,0)</f>
        <v>0</v>
      </c>
      <c r="F145" s="10">
        <f>VLOOKUP($D145,'SMEPA Lines DECEMBER 2016'!$D:$H,3,0)</f>
        <v>0</v>
      </c>
      <c r="G145" s="10">
        <f>VLOOKUP($D145,'SMEPA Lines DECEMBER 2016'!$D:$H,4,0)</f>
        <v>65844.67</v>
      </c>
      <c r="H145" s="10">
        <f>VLOOKUP($D145,'SMEPA Lines DECEMBER 2016'!$D:$H,5,0)</f>
        <v>43853.279999999999</v>
      </c>
      <c r="I145" s="3">
        <f t="shared" si="15"/>
        <v>109697.95</v>
      </c>
      <c r="J145" s="6">
        <v>5.55</v>
      </c>
      <c r="K145" s="6">
        <v>5.55</v>
      </c>
      <c r="L145" s="23">
        <f t="shared" si="16"/>
        <v>1</v>
      </c>
      <c r="M145" s="16">
        <f t="shared" si="17"/>
        <v>109697.95</v>
      </c>
      <c r="N145" s="22">
        <f t="shared" si="18"/>
        <v>0</v>
      </c>
    </row>
    <row r="146" spans="1:14" s="6" customFormat="1">
      <c r="A146" s="5">
        <v>69</v>
      </c>
      <c r="B146" s="5" t="s">
        <v>183</v>
      </c>
      <c r="C146" s="396" t="s">
        <v>1591</v>
      </c>
      <c r="D146" s="5" t="s">
        <v>41</v>
      </c>
      <c r="E146" s="10">
        <f>VLOOKUP($D146,'SMEPA Lines DECEMBER 2016'!$D:$H,2,0)</f>
        <v>0</v>
      </c>
      <c r="F146" s="10">
        <f>VLOOKUP($D146,'SMEPA Lines DECEMBER 2016'!$D:$H,3,0)</f>
        <v>0</v>
      </c>
      <c r="G146" s="10">
        <f>VLOOKUP($D146,'SMEPA Lines DECEMBER 2016'!$D:$H,4,0)</f>
        <v>120567.41</v>
      </c>
      <c r="H146" s="10">
        <f>VLOOKUP($D146,'SMEPA Lines DECEMBER 2016'!$D:$H,5,0)</f>
        <v>78498.62</v>
      </c>
      <c r="I146" s="3">
        <f t="shared" si="15"/>
        <v>199066.03</v>
      </c>
      <c r="J146" s="6">
        <v>7.77</v>
      </c>
      <c r="K146" s="6">
        <v>7.77</v>
      </c>
      <c r="L146" s="23">
        <f t="shared" si="16"/>
        <v>1</v>
      </c>
      <c r="M146" s="16">
        <f t="shared" si="17"/>
        <v>199066.03</v>
      </c>
      <c r="N146" s="22">
        <f t="shared" si="18"/>
        <v>0</v>
      </c>
    </row>
    <row r="147" spans="1:14" s="6" customFormat="1">
      <c r="A147" s="5">
        <v>69</v>
      </c>
      <c r="B147" s="5" t="s">
        <v>183</v>
      </c>
      <c r="C147" s="396" t="s">
        <v>1390</v>
      </c>
      <c r="D147" s="329" t="s">
        <v>1592</v>
      </c>
      <c r="E147" s="10">
        <f>VLOOKUP($D147,'SMEPA Lines DECEMBER 2016'!$D:$H,2,0)</f>
        <v>0</v>
      </c>
      <c r="F147" s="10">
        <f>VLOOKUP($D147,'SMEPA Lines DECEMBER 2016'!$D:$H,3,0)</f>
        <v>0</v>
      </c>
      <c r="G147" s="10">
        <f>VLOOKUP($D147,'SMEPA Lines DECEMBER 2016'!$D:$H,4,0)</f>
        <v>258483.87</v>
      </c>
      <c r="H147" s="10">
        <f>VLOOKUP($D147,'SMEPA Lines DECEMBER 2016'!$D:$H,5,0)</f>
        <v>94509.24</v>
      </c>
      <c r="I147" s="3">
        <f t="shared" si="15"/>
        <v>352993.11</v>
      </c>
      <c r="J147" s="6">
        <f>6.67+0.03</f>
        <v>6.7</v>
      </c>
      <c r="K147" s="6">
        <v>6.67</v>
      </c>
      <c r="L147" s="419">
        <f>+ROUND(+K147/J147,3)</f>
        <v>0.996</v>
      </c>
      <c r="M147" s="16">
        <f t="shared" si="17"/>
        <v>351581.13756</v>
      </c>
      <c r="N147" s="22">
        <f t="shared" si="18"/>
        <v>1411.9724399999832</v>
      </c>
    </row>
    <row r="148" spans="1:14" s="169" customFormat="1">
      <c r="A148" s="388">
        <v>69</v>
      </c>
      <c r="B148" s="388" t="s">
        <v>183</v>
      </c>
      <c r="C148" s="405" t="s">
        <v>1393</v>
      </c>
      <c r="D148" s="430">
        <v>62</v>
      </c>
      <c r="E148" s="170">
        <f>VLOOKUP($D148,'SMEPA Lines DECEMBER 2016'!$D:$H,2,0)</f>
        <v>0</v>
      </c>
      <c r="F148" s="170">
        <f>VLOOKUP($D148,'SMEPA Lines DECEMBER 2016'!$D:$H,3,0)</f>
        <v>6145.57</v>
      </c>
      <c r="G148" s="170">
        <f>VLOOKUP($D148,'SMEPA Lines DECEMBER 2016'!$D:$H,4,0)</f>
        <v>222014.57</v>
      </c>
      <c r="H148" s="170">
        <f>VLOOKUP($D148,'SMEPA Lines DECEMBER 2016'!$D:$H,5,0)</f>
        <v>197697.72</v>
      </c>
      <c r="I148" s="171">
        <f t="shared" si="15"/>
        <v>425857.86</v>
      </c>
      <c r="J148" s="171">
        <v>8.92</v>
      </c>
      <c r="K148" s="169">
        <v>8.92</v>
      </c>
      <c r="L148" s="172">
        <f t="shared" si="16"/>
        <v>1</v>
      </c>
      <c r="M148" s="173">
        <f t="shared" si="17"/>
        <v>425857.86</v>
      </c>
      <c r="N148" s="174">
        <f t="shared" si="18"/>
        <v>0</v>
      </c>
    </row>
    <row r="149" spans="1:14" s="169" customFormat="1">
      <c r="A149" s="388">
        <v>69</v>
      </c>
      <c r="B149" s="388" t="s">
        <v>183</v>
      </c>
      <c r="C149" s="405" t="s">
        <v>1397</v>
      </c>
      <c r="D149" s="388" t="s">
        <v>43</v>
      </c>
      <c r="E149" s="170">
        <f>VLOOKUP($D149,'SMEPA Lines DECEMBER 2016'!$D:$H,2,0)</f>
        <v>0</v>
      </c>
      <c r="F149" s="170">
        <f>VLOOKUP($D149,'SMEPA Lines DECEMBER 2016'!$D:$H,3,0)</f>
        <v>0</v>
      </c>
      <c r="G149" s="170">
        <f>VLOOKUP($D149,'SMEPA Lines DECEMBER 2016'!$D:$H,4,0)</f>
        <v>1291138.5900000001</v>
      </c>
      <c r="H149" s="170">
        <f>VLOOKUP($D149,'SMEPA Lines DECEMBER 2016'!$D:$H,5,0)</f>
        <v>851391.12</v>
      </c>
      <c r="I149" s="171">
        <f t="shared" si="15"/>
        <v>2142529.71</v>
      </c>
      <c r="J149" s="169">
        <v>10.36</v>
      </c>
      <c r="K149" s="169">
        <v>10.36</v>
      </c>
      <c r="L149" s="172">
        <f t="shared" si="16"/>
        <v>1</v>
      </c>
      <c r="M149" s="173">
        <f t="shared" si="17"/>
        <v>2142529.71</v>
      </c>
      <c r="N149" s="174">
        <f t="shared" si="18"/>
        <v>0</v>
      </c>
    </row>
    <row r="150" spans="1:14" s="169" customFormat="1">
      <c r="A150" s="388">
        <v>69</v>
      </c>
      <c r="B150" s="388" t="s">
        <v>183</v>
      </c>
      <c r="C150" s="405" t="s">
        <v>1398</v>
      </c>
      <c r="D150" s="388" t="s">
        <v>44</v>
      </c>
      <c r="E150" s="170">
        <f>VLOOKUP($D150,'SMEPA Lines DECEMBER 2016'!$D:$H,2,0)</f>
        <v>9246.25</v>
      </c>
      <c r="F150" s="170">
        <f>VLOOKUP($D150,'SMEPA Lines DECEMBER 2016'!$D:$H,3,0)</f>
        <v>0</v>
      </c>
      <c r="G150" s="170">
        <f>VLOOKUP($D150,'SMEPA Lines DECEMBER 2016'!$D:$H,4,0)</f>
        <v>79944.639999999999</v>
      </c>
      <c r="H150" s="170">
        <f>VLOOKUP($D150,'SMEPA Lines DECEMBER 2016'!$D:$H,5,0)</f>
        <v>72805.039999999994</v>
      </c>
      <c r="I150" s="171">
        <f t="shared" si="15"/>
        <v>161995.93</v>
      </c>
      <c r="J150" s="171">
        <v>3.26</v>
      </c>
      <c r="K150" s="171"/>
      <c r="L150" s="172">
        <f t="shared" si="16"/>
        <v>0</v>
      </c>
      <c r="M150" s="173">
        <f t="shared" si="17"/>
        <v>0</v>
      </c>
      <c r="N150" s="174">
        <f t="shared" si="18"/>
        <v>161995.93</v>
      </c>
    </row>
    <row r="151" spans="1:14" s="6" customFormat="1">
      <c r="A151" s="5">
        <v>69</v>
      </c>
      <c r="B151" s="5" t="s">
        <v>183</v>
      </c>
      <c r="C151" s="390" t="s">
        <v>45</v>
      </c>
      <c r="D151" s="5" t="s">
        <v>46</v>
      </c>
      <c r="E151" s="10">
        <f>VLOOKUP($D151,'SMEPA Lines DECEMBER 2016'!$D:$H,2,0)</f>
        <v>0</v>
      </c>
      <c r="F151" s="10">
        <f>VLOOKUP($D151,'SMEPA Lines DECEMBER 2016'!$D:$H,3,0)</f>
        <v>0</v>
      </c>
      <c r="G151" s="10">
        <f>VLOOKUP($D151,'SMEPA Lines DECEMBER 2016'!$D:$H,4,0)</f>
        <v>4956.6400000000003</v>
      </c>
      <c r="H151" s="10">
        <f>VLOOKUP($D151,'SMEPA Lines DECEMBER 2016'!$D:$H,5,0)</f>
        <v>4595.0200000000004</v>
      </c>
      <c r="I151" s="3">
        <f t="shared" si="15"/>
        <v>9551.66</v>
      </c>
      <c r="J151" s="6">
        <v>0.72</v>
      </c>
      <c r="L151" s="23">
        <f t="shared" si="16"/>
        <v>0</v>
      </c>
      <c r="M151" s="16">
        <f t="shared" si="17"/>
        <v>0</v>
      </c>
      <c r="N151" s="22">
        <f t="shared" si="18"/>
        <v>9551.66</v>
      </c>
    </row>
    <row r="152" spans="1:14" s="6" customFormat="1">
      <c r="A152" s="5">
        <v>69</v>
      </c>
      <c r="B152" s="5" t="s">
        <v>183</v>
      </c>
      <c r="C152" s="390" t="s">
        <v>47</v>
      </c>
      <c r="D152" s="5" t="s">
        <v>48</v>
      </c>
      <c r="E152" s="10">
        <f>VLOOKUP($D152,'SMEPA Lines DECEMBER 2016'!$D:$H,2,0)</f>
        <v>0</v>
      </c>
      <c r="F152" s="10">
        <f>VLOOKUP($D152,'SMEPA Lines DECEMBER 2016'!$D:$H,3,0)</f>
        <v>0</v>
      </c>
      <c r="G152" s="10">
        <f>VLOOKUP($D152,'SMEPA Lines DECEMBER 2016'!$D:$H,4,0)</f>
        <v>14433.71</v>
      </c>
      <c r="H152" s="10">
        <f>VLOOKUP($D152,'SMEPA Lines DECEMBER 2016'!$D:$H,5,0)</f>
        <v>7394.2</v>
      </c>
      <c r="I152" s="3">
        <f t="shared" si="15"/>
        <v>21827.91</v>
      </c>
      <c r="J152" s="6">
        <v>1.34</v>
      </c>
      <c r="L152" s="23">
        <f t="shared" si="16"/>
        <v>0</v>
      </c>
      <c r="M152" s="16">
        <f t="shared" si="17"/>
        <v>0</v>
      </c>
      <c r="N152" s="22">
        <f t="shared" si="18"/>
        <v>21827.91</v>
      </c>
    </row>
    <row r="153" spans="1:14" s="169" customFormat="1">
      <c r="A153" s="388">
        <v>69</v>
      </c>
      <c r="B153" s="388" t="s">
        <v>183</v>
      </c>
      <c r="C153" s="410" t="s">
        <v>49</v>
      </c>
      <c r="D153" s="388" t="s">
        <v>50</v>
      </c>
      <c r="E153" s="170">
        <f>VLOOKUP($D153,'SMEPA Lines DECEMBER 2016'!$D:$H,2,0)</f>
        <v>0</v>
      </c>
      <c r="F153" s="170">
        <f>VLOOKUP($D153,'SMEPA Lines DECEMBER 2016'!$D:$H,3,0)</f>
        <v>0</v>
      </c>
      <c r="G153" s="170">
        <f>VLOOKUP($D153,'SMEPA Lines DECEMBER 2016'!$D:$H,4,0)</f>
        <v>20482.599999999999</v>
      </c>
      <c r="H153" s="170">
        <f>VLOOKUP($D153,'SMEPA Lines DECEMBER 2016'!$D:$H,5,0)</f>
        <v>11152.15</v>
      </c>
      <c r="I153" s="171">
        <f t="shared" si="15"/>
        <v>31634.75</v>
      </c>
      <c r="J153" s="169">
        <v>2.0699999999999998</v>
      </c>
      <c r="L153" s="172">
        <f t="shared" si="16"/>
        <v>0</v>
      </c>
      <c r="M153" s="173">
        <f t="shared" si="17"/>
        <v>0</v>
      </c>
      <c r="N153" s="174">
        <f t="shared" si="18"/>
        <v>31634.75</v>
      </c>
    </row>
    <row r="154" spans="1:14" s="6" customFormat="1">
      <c r="A154" s="5">
        <v>69</v>
      </c>
      <c r="B154" s="5" t="s">
        <v>183</v>
      </c>
      <c r="C154" s="396" t="s">
        <v>1399</v>
      </c>
      <c r="D154" s="5" t="s">
        <v>51</v>
      </c>
      <c r="E154" s="10">
        <f>VLOOKUP($D154,'SMEPA Lines DECEMBER 2016'!$D:$H,2,0)</f>
        <v>0</v>
      </c>
      <c r="F154" s="10">
        <f>VLOOKUP($D154,'SMEPA Lines DECEMBER 2016'!$D:$H,3,0)</f>
        <v>0</v>
      </c>
      <c r="G154" s="10">
        <f>VLOOKUP($D154,'SMEPA Lines DECEMBER 2016'!$D:$H,4,0)</f>
        <v>94551.75</v>
      </c>
      <c r="H154" s="10">
        <f>VLOOKUP($D154,'SMEPA Lines DECEMBER 2016'!$D:$H,5,0)</f>
        <v>57468.29</v>
      </c>
      <c r="I154" s="3">
        <f t="shared" si="15"/>
        <v>152020.04</v>
      </c>
      <c r="J154" s="6">
        <v>9.4600000000000009</v>
      </c>
      <c r="L154" s="23">
        <f t="shared" si="16"/>
        <v>0</v>
      </c>
      <c r="M154" s="16">
        <f t="shared" si="17"/>
        <v>0</v>
      </c>
      <c r="N154" s="22">
        <f t="shared" si="18"/>
        <v>152020.04</v>
      </c>
    </row>
    <row r="155" spans="1:14" s="169" customFormat="1">
      <c r="A155" s="388">
        <v>69</v>
      </c>
      <c r="B155" s="388" t="s">
        <v>183</v>
      </c>
      <c r="C155" s="405" t="s">
        <v>1594</v>
      </c>
      <c r="D155" s="420" t="s">
        <v>1400</v>
      </c>
      <c r="E155" s="170">
        <f>VLOOKUP($D155,'SMEPA Lines DECEMBER 2016'!$D:$H,2,0)</f>
        <v>0</v>
      </c>
      <c r="F155" s="170">
        <f>VLOOKUP($D155,'SMEPA Lines DECEMBER 2016'!$D:$H,3,0)</f>
        <v>0</v>
      </c>
      <c r="G155" s="170">
        <f>VLOOKUP($D155,'SMEPA Lines DECEMBER 2016'!$D:$H,4,0)</f>
        <v>77078.52</v>
      </c>
      <c r="H155" s="170">
        <f>VLOOKUP($D155,'SMEPA Lines DECEMBER 2016'!$D:$H,5,0)</f>
        <v>125781.29</v>
      </c>
      <c r="I155" s="171">
        <f t="shared" ref="I155:I221" si="27">SUM(E155:H155)</f>
        <v>202859.81</v>
      </c>
      <c r="J155" s="468">
        <f>7.93+0.04</f>
        <v>7.97</v>
      </c>
      <c r="K155" s="468">
        <v>7.93</v>
      </c>
      <c r="L155" s="172">
        <f t="shared" ref="L155:L221" si="28">+ROUND(+K155/J155,2)</f>
        <v>0.99</v>
      </c>
      <c r="M155" s="173">
        <f t="shared" si="17"/>
        <v>200831.21189999999</v>
      </c>
      <c r="N155" s="174">
        <f t="shared" ref="N155:N221" si="29">+I155-M155</f>
        <v>2028.5981000000029</v>
      </c>
    </row>
    <row r="156" spans="1:14" s="6" customFormat="1">
      <c r="A156" s="5">
        <v>69</v>
      </c>
      <c r="B156" s="5" t="s">
        <v>183</v>
      </c>
      <c r="C156" s="390" t="s">
        <v>52</v>
      </c>
      <c r="D156" s="5" t="s">
        <v>53</v>
      </c>
      <c r="E156" s="10">
        <f>VLOOKUP($D156,'SMEPA Lines DECEMBER 2016'!$D:$H,2,0)</f>
        <v>10830.46</v>
      </c>
      <c r="F156" s="10">
        <f>VLOOKUP($D156,'SMEPA Lines DECEMBER 2016'!$D:$H,3,0)</f>
        <v>0</v>
      </c>
      <c r="G156" s="10">
        <f>VLOOKUP($D156,'SMEPA Lines DECEMBER 2016'!$D:$H,4,0)</f>
        <v>169572.21</v>
      </c>
      <c r="H156" s="10">
        <f>VLOOKUP($D156,'SMEPA Lines DECEMBER 2016'!$D:$H,5,0)</f>
        <v>116520.5</v>
      </c>
      <c r="I156" s="3">
        <f t="shared" si="27"/>
        <v>296923.17</v>
      </c>
      <c r="J156" s="6">
        <v>9.15</v>
      </c>
      <c r="K156" s="6">
        <v>9.15</v>
      </c>
      <c r="L156" s="23">
        <f t="shared" si="28"/>
        <v>1</v>
      </c>
      <c r="M156" s="16">
        <f t="shared" ref="M156:M222" si="30">IF(L156=0,0,(I156*L156))</f>
        <v>296923.17</v>
      </c>
      <c r="N156" s="22">
        <f t="shared" si="29"/>
        <v>0</v>
      </c>
    </row>
    <row r="157" spans="1:14" s="169" customFormat="1" ht="45">
      <c r="A157" s="388">
        <v>69</v>
      </c>
      <c r="B157" s="388" t="s">
        <v>183</v>
      </c>
      <c r="C157" s="405" t="s">
        <v>1405</v>
      </c>
      <c r="D157" s="298" t="s">
        <v>1595</v>
      </c>
      <c r="E157" s="170">
        <f>VLOOKUP($D157,'SMEPA Lines DECEMBER 2016'!$D:$H,2,0)</f>
        <v>0</v>
      </c>
      <c r="F157" s="170">
        <f>VLOOKUP($D157,'SMEPA Lines DECEMBER 2016'!$D:$H,3,0)</f>
        <v>0</v>
      </c>
      <c r="G157" s="170">
        <f>VLOOKUP($D157,'SMEPA Lines DECEMBER 2016'!$D:$H,4,0)</f>
        <v>158544.53</v>
      </c>
      <c r="H157" s="170">
        <f>VLOOKUP($D157,'SMEPA Lines DECEMBER 2016'!$D:$H,5,0)</f>
        <v>127685.20000000001</v>
      </c>
      <c r="I157" s="171">
        <f t="shared" si="27"/>
        <v>286229.73</v>
      </c>
      <c r="J157" s="169">
        <f>0.5+0.94+3.1</f>
        <v>4.54</v>
      </c>
      <c r="K157" s="169">
        <v>4.54</v>
      </c>
      <c r="L157" s="172">
        <f t="shared" si="28"/>
        <v>1</v>
      </c>
      <c r="M157" s="173">
        <f t="shared" si="30"/>
        <v>286229.73</v>
      </c>
      <c r="N157" s="174">
        <f t="shared" si="29"/>
        <v>0</v>
      </c>
    </row>
    <row r="158" spans="1:14" s="6" customFormat="1">
      <c r="A158" s="5">
        <v>69</v>
      </c>
      <c r="B158" s="5" t="s">
        <v>183</v>
      </c>
      <c r="C158" s="396" t="s">
        <v>1409</v>
      </c>
      <c r="D158" s="5" t="s">
        <v>56</v>
      </c>
      <c r="E158" s="10">
        <f>VLOOKUP($D158,'SMEPA Lines DECEMBER 2016'!$D:$H,2,0)</f>
        <v>0</v>
      </c>
      <c r="F158" s="10">
        <f>VLOOKUP($D158,'SMEPA Lines DECEMBER 2016'!$D:$H,3,0)</f>
        <v>0</v>
      </c>
      <c r="G158" s="10">
        <f>VLOOKUP($D158,'SMEPA Lines DECEMBER 2016'!$D:$H,4,0)</f>
        <v>75256.899999999994</v>
      </c>
      <c r="H158" s="10">
        <f>VLOOKUP($D158,'SMEPA Lines DECEMBER 2016'!$D:$H,5,0)</f>
        <v>52814.18</v>
      </c>
      <c r="I158" s="3">
        <f t="shared" si="27"/>
        <v>128071.07999999999</v>
      </c>
      <c r="J158" s="6">
        <v>7.87</v>
      </c>
      <c r="L158" s="23">
        <f t="shared" si="28"/>
        <v>0</v>
      </c>
      <c r="M158" s="16">
        <f t="shared" si="30"/>
        <v>0</v>
      </c>
      <c r="N158" s="22">
        <f t="shared" si="29"/>
        <v>128071.07999999999</v>
      </c>
    </row>
    <row r="159" spans="1:14" s="6" customFormat="1">
      <c r="A159" s="5">
        <v>69</v>
      </c>
      <c r="B159" s="5" t="s">
        <v>183</v>
      </c>
      <c r="C159" s="396" t="s">
        <v>1411</v>
      </c>
      <c r="D159" s="5">
        <v>81</v>
      </c>
      <c r="E159" s="10">
        <f>VLOOKUP($D159,'SMEPA Lines DECEMBER 2016'!$D:$H,2,0)</f>
        <v>0</v>
      </c>
      <c r="F159" s="10">
        <f>VLOOKUP($D159,'SMEPA Lines DECEMBER 2016'!$D:$H,3,0)</f>
        <v>0</v>
      </c>
      <c r="G159" s="10">
        <f>VLOOKUP($D159,'SMEPA Lines DECEMBER 2016'!$D:$H,4,0)</f>
        <v>7303.19</v>
      </c>
      <c r="H159" s="10">
        <f>VLOOKUP($D159,'SMEPA Lines DECEMBER 2016'!$D:$H,5,0)</f>
        <v>48590.42</v>
      </c>
      <c r="I159" s="3">
        <f t="shared" si="27"/>
        <v>55893.61</v>
      </c>
      <c r="J159" s="6">
        <v>0.03</v>
      </c>
      <c r="L159" s="23">
        <f t="shared" si="28"/>
        <v>0</v>
      </c>
      <c r="M159" s="16">
        <f t="shared" si="30"/>
        <v>0</v>
      </c>
      <c r="N159" s="22">
        <f t="shared" si="29"/>
        <v>55893.61</v>
      </c>
    </row>
    <row r="160" spans="1:14" s="6" customFormat="1">
      <c r="A160" s="5">
        <v>69</v>
      </c>
      <c r="B160" s="5" t="s">
        <v>183</v>
      </c>
      <c r="C160" s="390" t="s">
        <v>57</v>
      </c>
      <c r="D160" s="5" t="s">
        <v>58</v>
      </c>
      <c r="E160" s="10">
        <f>VLOOKUP($D160,'SMEPA Lines DECEMBER 2016'!$D:$H,2,0)</f>
        <v>0</v>
      </c>
      <c r="F160" s="10">
        <f>VLOOKUP($D160,'SMEPA Lines DECEMBER 2016'!$D:$H,3,0)</f>
        <v>5275.91</v>
      </c>
      <c r="G160" s="10">
        <f>VLOOKUP($D160,'SMEPA Lines DECEMBER 2016'!$D:$H,4,0)</f>
        <v>48211.3</v>
      </c>
      <c r="H160" s="10">
        <f>VLOOKUP($D160,'SMEPA Lines DECEMBER 2016'!$D:$H,5,0)</f>
        <v>89278.39</v>
      </c>
      <c r="I160" s="3">
        <f t="shared" si="27"/>
        <v>142765.6</v>
      </c>
      <c r="J160" s="3">
        <v>1.73</v>
      </c>
      <c r="L160" s="23">
        <f t="shared" si="28"/>
        <v>0</v>
      </c>
      <c r="M160" s="16">
        <f t="shared" si="30"/>
        <v>0</v>
      </c>
      <c r="N160" s="22">
        <f t="shared" si="29"/>
        <v>142765.6</v>
      </c>
    </row>
    <row r="161" spans="1:14" s="169" customFormat="1">
      <c r="A161" s="388">
        <v>69</v>
      </c>
      <c r="B161" s="388" t="s">
        <v>183</v>
      </c>
      <c r="C161" s="410" t="s">
        <v>59</v>
      </c>
      <c r="D161" s="388" t="s">
        <v>60</v>
      </c>
      <c r="E161" s="170">
        <f>VLOOKUP($D161,'SMEPA Lines DECEMBER 2016'!$D:$H,2,0)</f>
        <v>0</v>
      </c>
      <c r="F161" s="170">
        <f>VLOOKUP($D161,'SMEPA Lines DECEMBER 2016'!$D:$H,3,0)</f>
        <v>0</v>
      </c>
      <c r="G161" s="170">
        <f>VLOOKUP($D161,'SMEPA Lines DECEMBER 2016'!$D:$H,4,0)</f>
        <v>44358.11</v>
      </c>
      <c r="H161" s="170">
        <f>VLOOKUP($D161,'SMEPA Lines DECEMBER 2016'!$D:$H,5,0)</f>
        <v>111392.91</v>
      </c>
      <c r="I161" s="171">
        <f t="shared" si="27"/>
        <v>155751.02000000002</v>
      </c>
      <c r="J161" s="171">
        <v>3.07</v>
      </c>
      <c r="L161" s="172">
        <f t="shared" si="28"/>
        <v>0</v>
      </c>
      <c r="M161" s="173">
        <f t="shared" si="30"/>
        <v>0</v>
      </c>
      <c r="N161" s="174">
        <f t="shared" si="29"/>
        <v>155751.02000000002</v>
      </c>
    </row>
    <row r="162" spans="1:14" s="169" customFormat="1">
      <c r="A162" s="388">
        <v>69</v>
      </c>
      <c r="B162" s="388" t="s">
        <v>183</v>
      </c>
      <c r="C162" s="405" t="s">
        <v>1412</v>
      </c>
      <c r="D162" s="388" t="s">
        <v>61</v>
      </c>
      <c r="E162" s="170">
        <f>VLOOKUP($D162,'SMEPA Lines DECEMBER 2016'!$D:$H,2,0)</f>
        <v>0</v>
      </c>
      <c r="F162" s="170">
        <f>VLOOKUP($D162,'SMEPA Lines DECEMBER 2016'!$D:$H,3,0)</f>
        <v>0</v>
      </c>
      <c r="G162" s="170">
        <f>VLOOKUP($D162,'SMEPA Lines DECEMBER 2016'!$D:$H,4,0)</f>
        <v>139554.85999999999</v>
      </c>
      <c r="H162" s="170">
        <f>VLOOKUP($D162,'SMEPA Lines DECEMBER 2016'!$D:$H,5,0)</f>
        <v>157689.22</v>
      </c>
      <c r="I162" s="171">
        <f t="shared" si="27"/>
        <v>297244.07999999996</v>
      </c>
      <c r="J162" s="468">
        <f>8.34+0.47</f>
        <v>8.81</v>
      </c>
      <c r="K162" s="169">
        <v>8.34</v>
      </c>
      <c r="L162" s="431">
        <f>+ROUND(+K162/J162,3)</f>
        <v>0.94699999999999995</v>
      </c>
      <c r="M162" s="173">
        <f t="shared" si="30"/>
        <v>281490.14375999995</v>
      </c>
      <c r="N162" s="174">
        <f t="shared" si="29"/>
        <v>15753.93624000001</v>
      </c>
    </row>
    <row r="163" spans="1:14" s="6" customFormat="1">
      <c r="A163" s="5">
        <v>69</v>
      </c>
      <c r="B163" s="5" t="s">
        <v>183</v>
      </c>
      <c r="C163" s="396" t="s">
        <v>1413</v>
      </c>
      <c r="D163" s="5" t="s">
        <v>62</v>
      </c>
      <c r="E163" s="10">
        <f>VLOOKUP($D163,'SMEPA Lines DECEMBER 2016'!$D:$H,2,0)</f>
        <v>0</v>
      </c>
      <c r="F163" s="10">
        <f>VLOOKUP($D163,'SMEPA Lines DECEMBER 2016'!$D:$H,3,0)</f>
        <v>0</v>
      </c>
      <c r="G163" s="10">
        <f>VLOOKUP($D163,'SMEPA Lines DECEMBER 2016'!$D:$H,4,0)</f>
        <v>105400.63</v>
      </c>
      <c r="H163" s="10">
        <f>VLOOKUP($D163,'SMEPA Lines DECEMBER 2016'!$D:$H,5,0)</f>
        <v>103780.41</v>
      </c>
      <c r="I163" s="3">
        <f t="shared" si="27"/>
        <v>209181.04</v>
      </c>
      <c r="J163" s="3">
        <v>7.04</v>
      </c>
      <c r="L163" s="23">
        <f t="shared" si="28"/>
        <v>0</v>
      </c>
      <c r="M163" s="16">
        <f t="shared" si="30"/>
        <v>0</v>
      </c>
      <c r="N163" s="22">
        <f t="shared" si="29"/>
        <v>209181.04</v>
      </c>
    </row>
    <row r="164" spans="1:14" s="6" customFormat="1">
      <c r="A164" s="5">
        <v>69</v>
      </c>
      <c r="B164" s="5" t="s">
        <v>183</v>
      </c>
      <c r="C164" s="390" t="s">
        <v>67</v>
      </c>
      <c r="D164" s="5" t="s">
        <v>68</v>
      </c>
      <c r="E164" s="10">
        <f>VLOOKUP($D164,'SMEPA Lines DECEMBER 2016'!$D:$H,2,0)</f>
        <v>0</v>
      </c>
      <c r="F164" s="10">
        <f>VLOOKUP($D164,'SMEPA Lines DECEMBER 2016'!$D:$H,3,0)</f>
        <v>5040.67</v>
      </c>
      <c r="G164" s="10">
        <f>VLOOKUP($D164,'SMEPA Lines DECEMBER 2016'!$D:$H,4,0)</f>
        <v>8942.8700000000008</v>
      </c>
      <c r="H164" s="10">
        <f>VLOOKUP($D164,'SMEPA Lines DECEMBER 2016'!$D:$H,5,0)</f>
        <v>35610.660000000003</v>
      </c>
      <c r="I164" s="3">
        <f t="shared" si="27"/>
        <v>49594.200000000004</v>
      </c>
      <c r="J164" s="3">
        <v>0.3</v>
      </c>
      <c r="L164" s="23">
        <f t="shared" si="28"/>
        <v>0</v>
      </c>
      <c r="M164" s="16">
        <f t="shared" si="30"/>
        <v>0</v>
      </c>
      <c r="N164" s="22">
        <f t="shared" si="29"/>
        <v>49594.200000000004</v>
      </c>
    </row>
    <row r="165" spans="1:14" s="6" customFormat="1">
      <c r="A165" s="5">
        <v>69</v>
      </c>
      <c r="B165" s="5" t="s">
        <v>183</v>
      </c>
      <c r="C165" s="390" t="s">
        <v>69</v>
      </c>
      <c r="D165" s="5" t="s">
        <v>70</v>
      </c>
      <c r="E165" s="10">
        <f>VLOOKUP($D165,'SMEPA Lines DECEMBER 2016'!$D:$H,2,0)</f>
        <v>0</v>
      </c>
      <c r="F165" s="10">
        <f>VLOOKUP($D165,'SMEPA Lines DECEMBER 2016'!$D:$H,3,0)</f>
        <v>0</v>
      </c>
      <c r="G165" s="10">
        <f>VLOOKUP($D165,'SMEPA Lines DECEMBER 2016'!$D:$H,4,0)</f>
        <v>113299.38</v>
      </c>
      <c r="H165" s="10">
        <f>VLOOKUP($D165,'SMEPA Lines DECEMBER 2016'!$D:$H,5,0)</f>
        <v>107430.31</v>
      </c>
      <c r="I165" s="3">
        <f t="shared" si="27"/>
        <v>220729.69</v>
      </c>
      <c r="J165" s="6">
        <v>5.0999999999999996</v>
      </c>
      <c r="L165" s="23">
        <f t="shared" si="28"/>
        <v>0</v>
      </c>
      <c r="M165" s="16">
        <f t="shared" si="30"/>
        <v>0</v>
      </c>
      <c r="N165" s="22">
        <f t="shared" si="29"/>
        <v>220729.69</v>
      </c>
    </row>
    <row r="166" spans="1:14" s="6" customFormat="1">
      <c r="A166" s="5">
        <v>69</v>
      </c>
      <c r="B166" s="5" t="s">
        <v>183</v>
      </c>
      <c r="C166" s="396" t="s">
        <v>1416</v>
      </c>
      <c r="D166" s="5" t="s">
        <v>71</v>
      </c>
      <c r="E166" s="10">
        <f>VLOOKUP($D166,'SMEPA Lines DECEMBER 2016'!$D:$H,2,0)</f>
        <v>0</v>
      </c>
      <c r="F166" s="10">
        <f>VLOOKUP($D166,'SMEPA Lines DECEMBER 2016'!$D:$H,3,0)</f>
        <v>0</v>
      </c>
      <c r="G166" s="10">
        <f>VLOOKUP($D166,'SMEPA Lines DECEMBER 2016'!$D:$H,4,0)</f>
        <v>74878.740000000005</v>
      </c>
      <c r="H166" s="10">
        <f>VLOOKUP($D166,'SMEPA Lines DECEMBER 2016'!$D:$H,5,0)</f>
        <v>22336.58</v>
      </c>
      <c r="I166" s="3">
        <f t="shared" si="27"/>
        <v>97215.32</v>
      </c>
      <c r="J166" s="6">
        <v>5.94</v>
      </c>
      <c r="L166" s="23">
        <f t="shared" si="28"/>
        <v>0</v>
      </c>
      <c r="M166" s="16">
        <f t="shared" si="30"/>
        <v>0</v>
      </c>
      <c r="N166" s="22">
        <f t="shared" si="29"/>
        <v>97215.32</v>
      </c>
    </row>
    <row r="167" spans="1:14" s="6" customFormat="1">
      <c r="A167" s="5">
        <v>69</v>
      </c>
      <c r="B167" s="5" t="s">
        <v>183</v>
      </c>
      <c r="C167" s="390" t="s">
        <v>72</v>
      </c>
      <c r="D167" s="5" t="s">
        <v>73</v>
      </c>
      <c r="E167" s="10">
        <f>VLOOKUP($D167,'SMEPA Lines DECEMBER 2016'!$D:$H,2,0)</f>
        <v>0</v>
      </c>
      <c r="F167" s="10">
        <f>VLOOKUP($D167,'SMEPA Lines DECEMBER 2016'!$D:$H,3,0)</f>
        <v>0</v>
      </c>
      <c r="G167" s="10">
        <f>VLOOKUP($D167,'SMEPA Lines DECEMBER 2016'!$D:$H,4,0)</f>
        <v>45299.77</v>
      </c>
      <c r="H167" s="10">
        <f>VLOOKUP($D167,'SMEPA Lines DECEMBER 2016'!$D:$H,5,0)</f>
        <v>53164.68</v>
      </c>
      <c r="I167" s="3">
        <f t="shared" si="27"/>
        <v>98464.45</v>
      </c>
      <c r="J167" s="3">
        <v>1.38</v>
      </c>
      <c r="L167" s="23">
        <f t="shared" si="28"/>
        <v>0</v>
      </c>
      <c r="M167" s="16">
        <f t="shared" si="30"/>
        <v>0</v>
      </c>
      <c r="N167" s="22">
        <f t="shared" si="29"/>
        <v>98464.45</v>
      </c>
    </row>
    <row r="168" spans="1:14" s="6" customFormat="1">
      <c r="A168" s="5">
        <v>69</v>
      </c>
      <c r="B168" s="5" t="s">
        <v>183</v>
      </c>
      <c r="C168" s="396" t="s">
        <v>1417</v>
      </c>
      <c r="D168" s="5" t="s">
        <v>74</v>
      </c>
      <c r="E168" s="10">
        <f>VLOOKUP($D168,'SMEPA Lines DECEMBER 2016'!$D:$H,2,0)</f>
        <v>0</v>
      </c>
      <c r="F168" s="10">
        <f>VLOOKUP($D168,'SMEPA Lines DECEMBER 2016'!$D:$H,3,0)</f>
        <v>0</v>
      </c>
      <c r="G168" s="10">
        <f>VLOOKUP($D168,'SMEPA Lines DECEMBER 2016'!$D:$H,4,0)</f>
        <v>111412.25</v>
      </c>
      <c r="H168" s="10">
        <f>VLOOKUP($D168,'SMEPA Lines DECEMBER 2016'!$D:$H,5,0)</f>
        <v>182636.06</v>
      </c>
      <c r="I168" s="3">
        <f t="shared" si="27"/>
        <v>294048.31</v>
      </c>
      <c r="J168" s="3">
        <v>3.61</v>
      </c>
      <c r="L168" s="23">
        <f t="shared" si="28"/>
        <v>0</v>
      </c>
      <c r="M168" s="16">
        <f t="shared" si="30"/>
        <v>0</v>
      </c>
      <c r="N168" s="22">
        <f t="shared" si="29"/>
        <v>294048.31</v>
      </c>
    </row>
    <row r="169" spans="1:14" s="6" customFormat="1">
      <c r="A169" s="5">
        <v>69</v>
      </c>
      <c r="B169" s="5" t="s">
        <v>183</v>
      </c>
      <c r="C169" s="390" t="s">
        <v>75</v>
      </c>
      <c r="D169" s="5" t="s">
        <v>76</v>
      </c>
      <c r="E169" s="10">
        <f>VLOOKUP($D169,'SMEPA Lines DECEMBER 2016'!$D:$H,2,0)</f>
        <v>0</v>
      </c>
      <c r="F169" s="10">
        <f>VLOOKUP($D169,'SMEPA Lines DECEMBER 2016'!$D:$H,3,0)</f>
        <v>6856</v>
      </c>
      <c r="G169" s="10">
        <f>VLOOKUP($D169,'SMEPA Lines DECEMBER 2016'!$D:$H,4,0)</f>
        <v>42361.9</v>
      </c>
      <c r="H169" s="10">
        <f>VLOOKUP($D169,'SMEPA Lines DECEMBER 2016'!$D:$H,5,0)</f>
        <v>48139.74</v>
      </c>
      <c r="I169" s="3">
        <f t="shared" si="27"/>
        <v>97357.64</v>
      </c>
      <c r="J169" s="3">
        <v>0.57999999999999996</v>
      </c>
      <c r="L169" s="23">
        <f t="shared" si="28"/>
        <v>0</v>
      </c>
      <c r="M169" s="16">
        <f t="shared" si="30"/>
        <v>0</v>
      </c>
      <c r="N169" s="22">
        <f t="shared" si="29"/>
        <v>97357.64</v>
      </c>
    </row>
    <row r="170" spans="1:14" s="6" customFormat="1">
      <c r="A170" s="5">
        <v>69</v>
      </c>
      <c r="B170" s="5" t="s">
        <v>183</v>
      </c>
      <c r="C170" s="390" t="s">
        <v>77</v>
      </c>
      <c r="D170" s="5" t="s">
        <v>78</v>
      </c>
      <c r="E170" s="10">
        <f>VLOOKUP($D170,'SMEPA Lines DECEMBER 2016'!$D:$H,2,0)</f>
        <v>0</v>
      </c>
      <c r="F170" s="10">
        <f>VLOOKUP($D170,'SMEPA Lines DECEMBER 2016'!$D:$H,3,0)</f>
        <v>0</v>
      </c>
      <c r="G170" s="10">
        <f>VLOOKUP($D170,'SMEPA Lines DECEMBER 2016'!$D:$H,4,0)</f>
        <v>20042.66</v>
      </c>
      <c r="H170" s="10">
        <f>VLOOKUP($D170,'SMEPA Lines DECEMBER 2016'!$D:$H,5,0)</f>
        <v>12570.45</v>
      </c>
      <c r="I170" s="3">
        <f t="shared" si="27"/>
        <v>32613.11</v>
      </c>
      <c r="J170" s="3">
        <v>0.11</v>
      </c>
      <c r="L170" s="23">
        <f t="shared" si="28"/>
        <v>0</v>
      </c>
      <c r="M170" s="16">
        <f t="shared" si="30"/>
        <v>0</v>
      </c>
      <c r="N170" s="22">
        <f t="shared" si="29"/>
        <v>32613.11</v>
      </c>
    </row>
    <row r="171" spans="1:14" s="6" customFormat="1">
      <c r="A171" s="5">
        <v>69</v>
      </c>
      <c r="B171" s="5" t="s">
        <v>183</v>
      </c>
      <c r="C171" s="396" t="s">
        <v>1596</v>
      </c>
      <c r="D171" s="5" t="s">
        <v>79</v>
      </c>
      <c r="E171" s="10">
        <f>VLOOKUP($D171,'SMEPA Lines DECEMBER 2016'!$D:$H,2,0)</f>
        <v>0</v>
      </c>
      <c r="F171" s="10">
        <f>VLOOKUP($D171,'SMEPA Lines DECEMBER 2016'!$D:$H,3,0)</f>
        <v>0</v>
      </c>
      <c r="G171" s="10">
        <f>VLOOKUP($D171,'SMEPA Lines DECEMBER 2016'!$D:$H,4,0)</f>
        <v>141357.92000000001</v>
      </c>
      <c r="H171" s="10">
        <f>VLOOKUP($D171,'SMEPA Lines DECEMBER 2016'!$D:$H,5,0)</f>
        <v>97476.84</v>
      </c>
      <c r="I171" s="3">
        <f t="shared" si="27"/>
        <v>238834.76</v>
      </c>
      <c r="J171" s="3">
        <v>1.78</v>
      </c>
      <c r="L171" s="23">
        <f t="shared" si="28"/>
        <v>0</v>
      </c>
      <c r="M171" s="16">
        <f t="shared" si="30"/>
        <v>0</v>
      </c>
      <c r="N171" s="22">
        <f t="shared" si="29"/>
        <v>238834.76</v>
      </c>
    </row>
    <row r="172" spans="1:14" s="6" customFormat="1">
      <c r="A172" s="5">
        <v>69</v>
      </c>
      <c r="B172" s="5" t="s">
        <v>183</v>
      </c>
      <c r="C172" s="396" t="s">
        <v>1419</v>
      </c>
      <c r="D172" s="5" t="s">
        <v>80</v>
      </c>
      <c r="E172" s="10">
        <f>VLOOKUP($D172,'SMEPA Lines DECEMBER 2016'!$D:$H,2,0)</f>
        <v>0</v>
      </c>
      <c r="F172" s="10">
        <f>VLOOKUP($D172,'SMEPA Lines DECEMBER 2016'!$D:$H,3,0)</f>
        <v>0</v>
      </c>
      <c r="G172" s="10">
        <f>VLOOKUP($D172,'SMEPA Lines DECEMBER 2016'!$D:$H,4,0)</f>
        <v>10549.43</v>
      </c>
      <c r="H172" s="10">
        <f>VLOOKUP($D172,'SMEPA Lines DECEMBER 2016'!$D:$H,5,0)</f>
        <v>27807.8</v>
      </c>
      <c r="I172" s="3">
        <f t="shared" si="27"/>
        <v>38357.229999999996</v>
      </c>
      <c r="J172" s="3">
        <v>0.09</v>
      </c>
      <c r="L172" s="23">
        <f t="shared" si="28"/>
        <v>0</v>
      </c>
      <c r="M172" s="16">
        <f t="shared" si="30"/>
        <v>0</v>
      </c>
      <c r="N172" s="22">
        <f t="shared" si="29"/>
        <v>38357.229999999996</v>
      </c>
    </row>
    <row r="173" spans="1:14" s="6" customFormat="1">
      <c r="A173" s="5">
        <v>69</v>
      </c>
      <c r="B173" s="5" t="s">
        <v>183</v>
      </c>
      <c r="C173" s="390" t="s">
        <v>81</v>
      </c>
      <c r="D173" s="5" t="s">
        <v>82</v>
      </c>
      <c r="E173" s="10">
        <f>VLOOKUP($D173,'SMEPA Lines DECEMBER 2016'!$D:$H,2,0)</f>
        <v>0</v>
      </c>
      <c r="F173" s="10">
        <f>VLOOKUP($D173,'SMEPA Lines DECEMBER 2016'!$D:$H,3,0)</f>
        <v>0</v>
      </c>
      <c r="G173" s="10">
        <f>VLOOKUP($D173,'SMEPA Lines DECEMBER 2016'!$D:$H,4,0)</f>
        <v>194113.72999999995</v>
      </c>
      <c r="H173" s="10">
        <f>VLOOKUP($D173,'SMEPA Lines DECEMBER 2016'!$D:$H,5,0)</f>
        <v>255879.29000000004</v>
      </c>
      <c r="I173" s="3">
        <f t="shared" si="27"/>
        <v>449993.02</v>
      </c>
      <c r="J173" s="3">
        <v>4.12</v>
      </c>
      <c r="L173" s="23">
        <f t="shared" si="28"/>
        <v>0</v>
      </c>
      <c r="M173" s="16">
        <f t="shared" si="30"/>
        <v>0</v>
      </c>
      <c r="N173" s="22">
        <f t="shared" si="29"/>
        <v>449993.02</v>
      </c>
    </row>
    <row r="174" spans="1:14" s="6" customFormat="1">
      <c r="A174" s="5">
        <v>69</v>
      </c>
      <c r="B174" s="5" t="s">
        <v>183</v>
      </c>
      <c r="C174" s="396" t="s">
        <v>1420</v>
      </c>
      <c r="D174" s="5">
        <v>100</v>
      </c>
      <c r="E174" s="10">
        <f>VLOOKUP($D174,'SMEPA Lines DECEMBER 2016'!$D:$H,2,0)</f>
        <v>0</v>
      </c>
      <c r="F174" s="10">
        <f>VLOOKUP($D174,'SMEPA Lines DECEMBER 2016'!$D:$H,3,0)</f>
        <v>0</v>
      </c>
      <c r="G174" s="10">
        <f>VLOOKUP($D174,'SMEPA Lines DECEMBER 2016'!$D:$H,4,0)</f>
        <v>310810.3</v>
      </c>
      <c r="H174" s="10">
        <f>VLOOKUP($D174,'SMEPA Lines DECEMBER 2016'!$D:$H,5,0)</f>
        <v>441545.31</v>
      </c>
      <c r="I174" s="3">
        <f t="shared" si="27"/>
        <v>752355.61</v>
      </c>
      <c r="J174" s="3">
        <v>4.33</v>
      </c>
      <c r="K174" s="6">
        <v>4.33</v>
      </c>
      <c r="L174" s="23">
        <f t="shared" si="28"/>
        <v>1</v>
      </c>
      <c r="M174" s="16">
        <f t="shared" si="30"/>
        <v>752355.61</v>
      </c>
      <c r="N174" s="22">
        <f t="shared" si="29"/>
        <v>0</v>
      </c>
    </row>
    <row r="175" spans="1:14" s="6" customFormat="1" ht="30">
      <c r="A175" s="5">
        <v>69</v>
      </c>
      <c r="B175" s="5" t="s">
        <v>183</v>
      </c>
      <c r="C175" s="396" t="s">
        <v>1422</v>
      </c>
      <c r="D175" s="329" t="s">
        <v>1421</v>
      </c>
      <c r="E175" s="10">
        <f>VLOOKUP($D175,'SMEPA Lines DECEMBER 2016'!$D:$H,2,0)</f>
        <v>0</v>
      </c>
      <c r="F175" s="10">
        <f>VLOOKUP($D175,'SMEPA Lines DECEMBER 2016'!$D:$H,3,0)</f>
        <v>0</v>
      </c>
      <c r="G175" s="10">
        <f>VLOOKUP($D175,'SMEPA Lines DECEMBER 2016'!$D:$H,4,0)</f>
        <v>191727.81</v>
      </c>
      <c r="H175" s="10">
        <f>VLOOKUP($D175,'SMEPA Lines DECEMBER 2016'!$D:$H,5,0)</f>
        <v>175641.21</v>
      </c>
      <c r="I175" s="3">
        <f t="shared" si="27"/>
        <v>367369.02</v>
      </c>
      <c r="J175" s="3">
        <f>1.27+0.22</f>
        <v>1.49</v>
      </c>
      <c r="K175" s="6">
        <v>1.27</v>
      </c>
      <c r="L175" s="23">
        <f t="shared" si="28"/>
        <v>0.85</v>
      </c>
      <c r="M175" s="16">
        <f t="shared" si="30"/>
        <v>312263.66700000002</v>
      </c>
      <c r="N175" s="22">
        <f t="shared" si="29"/>
        <v>55105.353000000003</v>
      </c>
    </row>
    <row r="176" spans="1:14" s="6" customFormat="1">
      <c r="A176" s="5">
        <v>69</v>
      </c>
      <c r="B176" s="5" t="s">
        <v>183</v>
      </c>
      <c r="C176" s="396" t="s">
        <v>1423</v>
      </c>
      <c r="D176" s="5">
        <v>102</v>
      </c>
      <c r="E176" s="10">
        <f>VLOOKUP($D176,'SMEPA Lines DECEMBER 2016'!$D:$H,2,0)</f>
        <v>0</v>
      </c>
      <c r="F176" s="10">
        <f>VLOOKUP($D176,'SMEPA Lines DECEMBER 2016'!$D:$H,3,0)</f>
        <v>0</v>
      </c>
      <c r="G176" s="10">
        <f>VLOOKUP($D176,'SMEPA Lines DECEMBER 2016'!$D:$H,4,0)</f>
        <v>184975.4</v>
      </c>
      <c r="H176" s="10">
        <f>VLOOKUP($D176,'SMEPA Lines DECEMBER 2016'!$D:$H,5,0)</f>
        <v>256770.57</v>
      </c>
      <c r="I176" s="3">
        <f t="shared" si="27"/>
        <v>441745.97</v>
      </c>
      <c r="J176" s="3">
        <v>3.33</v>
      </c>
      <c r="L176" s="23">
        <f t="shared" si="28"/>
        <v>0</v>
      </c>
      <c r="M176" s="16">
        <f t="shared" si="30"/>
        <v>0</v>
      </c>
      <c r="N176" s="22">
        <f t="shared" si="29"/>
        <v>441745.97</v>
      </c>
    </row>
    <row r="177" spans="1:14" s="6" customFormat="1">
      <c r="A177" s="5">
        <v>69</v>
      </c>
      <c r="B177" s="5" t="s">
        <v>183</v>
      </c>
      <c r="C177" s="396" t="s">
        <v>1424</v>
      </c>
      <c r="D177" s="5">
        <v>103</v>
      </c>
      <c r="E177" s="10">
        <f>VLOOKUP($D177,'SMEPA Lines DECEMBER 2016'!$D:$H,2,0)</f>
        <v>0</v>
      </c>
      <c r="F177" s="10">
        <f>VLOOKUP($D177,'SMEPA Lines DECEMBER 2016'!$D:$H,3,0)</f>
        <v>0</v>
      </c>
      <c r="G177" s="10">
        <f>VLOOKUP($D177,'SMEPA Lines DECEMBER 2016'!$D:$H,4,0)</f>
        <v>627589.37</v>
      </c>
      <c r="H177" s="10">
        <f>VLOOKUP($D177,'SMEPA Lines DECEMBER 2016'!$D:$H,5,0)</f>
        <v>718013.61</v>
      </c>
      <c r="I177" s="3">
        <f t="shared" si="27"/>
        <v>1345602.98</v>
      </c>
      <c r="J177" s="3">
        <v>8.67</v>
      </c>
      <c r="K177" s="3">
        <v>8.67</v>
      </c>
      <c r="L177" s="23">
        <f t="shared" si="28"/>
        <v>1</v>
      </c>
      <c r="M177" s="16">
        <f t="shared" si="30"/>
        <v>1345602.98</v>
      </c>
      <c r="N177" s="22">
        <f t="shared" si="29"/>
        <v>0</v>
      </c>
    </row>
    <row r="178" spans="1:14" s="6" customFormat="1">
      <c r="A178" s="5">
        <v>69</v>
      </c>
      <c r="B178" s="5" t="s">
        <v>183</v>
      </c>
      <c r="C178" s="396" t="s">
        <v>1425</v>
      </c>
      <c r="D178" s="5">
        <v>104</v>
      </c>
      <c r="E178" s="10">
        <f>VLOOKUP($D178,'SMEPA Lines DECEMBER 2016'!$D:$H,2,0)</f>
        <v>0</v>
      </c>
      <c r="F178" s="10">
        <f>VLOOKUP($D178,'SMEPA Lines DECEMBER 2016'!$D:$H,3,0)</f>
        <v>0</v>
      </c>
      <c r="G178" s="10">
        <f>VLOOKUP($D178,'SMEPA Lines DECEMBER 2016'!$D:$H,4,0)</f>
        <v>499931.93</v>
      </c>
      <c r="H178" s="10">
        <f>VLOOKUP($D178,'SMEPA Lines DECEMBER 2016'!$D:$H,5,0)</f>
        <v>792226.61</v>
      </c>
      <c r="I178" s="3">
        <f t="shared" si="27"/>
        <v>1292158.54</v>
      </c>
      <c r="J178" s="3">
        <v>6.09</v>
      </c>
      <c r="K178" s="6">
        <v>6.09</v>
      </c>
      <c r="L178" s="23">
        <f t="shared" si="28"/>
        <v>1</v>
      </c>
      <c r="M178" s="16">
        <f t="shared" si="30"/>
        <v>1292158.54</v>
      </c>
      <c r="N178" s="22">
        <f t="shared" si="29"/>
        <v>0</v>
      </c>
    </row>
    <row r="179" spans="1:14" s="6" customFormat="1">
      <c r="A179" s="5">
        <v>69</v>
      </c>
      <c r="B179" s="5" t="s">
        <v>183</v>
      </c>
      <c r="C179" s="396" t="s">
        <v>1597</v>
      </c>
      <c r="D179" s="5">
        <v>105</v>
      </c>
      <c r="E179" s="10">
        <f>VLOOKUP($D179,'SMEPA Lines DECEMBER 2016'!$D:$H,2,0)</f>
        <v>0</v>
      </c>
      <c r="F179" s="10">
        <f>VLOOKUP($D179,'SMEPA Lines DECEMBER 2016'!$D:$H,3,0)</f>
        <v>0</v>
      </c>
      <c r="G179" s="10">
        <f>VLOOKUP($D179,'SMEPA Lines DECEMBER 2016'!$D:$H,4,0)</f>
        <v>970318.96</v>
      </c>
      <c r="H179" s="10">
        <f>VLOOKUP($D179,'SMEPA Lines DECEMBER 2016'!$D:$H,5,0)</f>
        <v>1447627.34</v>
      </c>
      <c r="I179" s="3">
        <f t="shared" si="27"/>
        <v>2417946.2999999998</v>
      </c>
      <c r="J179" s="3">
        <v>11.84</v>
      </c>
      <c r="K179" s="6">
        <v>11.84</v>
      </c>
      <c r="L179" s="23">
        <f t="shared" si="28"/>
        <v>1</v>
      </c>
      <c r="M179" s="16">
        <f t="shared" si="30"/>
        <v>2417946.2999999998</v>
      </c>
      <c r="N179" s="22">
        <f t="shared" si="29"/>
        <v>0</v>
      </c>
    </row>
    <row r="180" spans="1:14" s="6" customFormat="1">
      <c r="A180" s="5">
        <v>69</v>
      </c>
      <c r="B180" s="5" t="s">
        <v>183</v>
      </c>
      <c r="C180" s="396" t="s">
        <v>1427</v>
      </c>
      <c r="D180" s="5">
        <v>106</v>
      </c>
      <c r="E180" s="10">
        <f>VLOOKUP($D180,'SMEPA Lines DECEMBER 2016'!$D:$H,2,0)</f>
        <v>0</v>
      </c>
      <c r="F180" s="10">
        <f>VLOOKUP($D180,'SMEPA Lines DECEMBER 2016'!$D:$H,3,0)</f>
        <v>0</v>
      </c>
      <c r="G180" s="10">
        <f>VLOOKUP($D180,'SMEPA Lines DECEMBER 2016'!$D:$H,4,0)</f>
        <v>520586.69</v>
      </c>
      <c r="H180" s="10">
        <f>VLOOKUP($D180,'SMEPA Lines DECEMBER 2016'!$D:$H,5,0)</f>
        <v>861546.78</v>
      </c>
      <c r="I180" s="3">
        <f t="shared" si="27"/>
        <v>1382133.47</v>
      </c>
      <c r="J180" s="3">
        <v>10.66</v>
      </c>
      <c r="K180" s="6">
        <v>10.66</v>
      </c>
      <c r="L180" s="23">
        <f t="shared" si="28"/>
        <v>1</v>
      </c>
      <c r="M180" s="16">
        <f t="shared" si="30"/>
        <v>1382133.47</v>
      </c>
      <c r="N180" s="22">
        <f t="shared" si="29"/>
        <v>0</v>
      </c>
    </row>
    <row r="181" spans="1:14" s="6" customFormat="1">
      <c r="A181" s="5">
        <v>69</v>
      </c>
      <c r="B181" s="5" t="s">
        <v>183</v>
      </c>
      <c r="C181" s="396" t="s">
        <v>1428</v>
      </c>
      <c r="D181" s="5">
        <v>108</v>
      </c>
      <c r="E181" s="10">
        <f>VLOOKUP($D181,'SMEPA Lines DECEMBER 2016'!$D:$H,2,0)</f>
        <v>0</v>
      </c>
      <c r="F181" s="10">
        <f>VLOOKUP($D181,'SMEPA Lines DECEMBER 2016'!$D:$H,3,0)</f>
        <v>10438.44</v>
      </c>
      <c r="G181" s="10">
        <f>VLOOKUP($D181,'SMEPA Lines DECEMBER 2016'!$D:$H,4,0)</f>
        <v>886437.38</v>
      </c>
      <c r="H181" s="10">
        <f>VLOOKUP($D181,'SMEPA Lines DECEMBER 2016'!$D:$H,5,0)</f>
        <v>1979958</v>
      </c>
      <c r="I181" s="3">
        <f t="shared" si="27"/>
        <v>2876833.82</v>
      </c>
      <c r="J181" s="3">
        <v>16.93</v>
      </c>
      <c r="K181" s="6">
        <v>16.93</v>
      </c>
      <c r="L181" s="23">
        <f t="shared" si="28"/>
        <v>1</v>
      </c>
      <c r="M181" s="16">
        <f t="shared" si="30"/>
        <v>2876833.82</v>
      </c>
      <c r="N181" s="22">
        <f t="shared" si="29"/>
        <v>0</v>
      </c>
    </row>
    <row r="182" spans="1:14" s="6" customFormat="1">
      <c r="A182" s="5">
        <v>69</v>
      </c>
      <c r="B182" s="5" t="s">
        <v>183</v>
      </c>
      <c r="C182" s="396" t="s">
        <v>1429</v>
      </c>
      <c r="D182" s="5">
        <v>109</v>
      </c>
      <c r="E182" s="10">
        <f>VLOOKUP($D182,'SMEPA Lines DECEMBER 2016'!$D:$H,2,0)</f>
        <v>0</v>
      </c>
      <c r="F182" s="10">
        <f>VLOOKUP($D182,'SMEPA Lines DECEMBER 2016'!$D:$H,3,0)</f>
        <v>0</v>
      </c>
      <c r="G182" s="10">
        <f>VLOOKUP($D182,'SMEPA Lines DECEMBER 2016'!$D:$H,4,0)</f>
        <v>1166274.5</v>
      </c>
      <c r="H182" s="10">
        <f>VLOOKUP($D182,'SMEPA Lines DECEMBER 2016'!$D:$H,5,0)</f>
        <v>1249171.53</v>
      </c>
      <c r="I182" s="3">
        <f t="shared" si="27"/>
        <v>2415446.0300000003</v>
      </c>
      <c r="J182" s="3">
        <v>12.82</v>
      </c>
      <c r="K182" s="6">
        <v>12.82</v>
      </c>
      <c r="L182" s="23">
        <f t="shared" si="28"/>
        <v>1</v>
      </c>
      <c r="M182" s="16">
        <f t="shared" si="30"/>
        <v>2415446.0300000003</v>
      </c>
      <c r="N182" s="22">
        <f t="shared" si="29"/>
        <v>0</v>
      </c>
    </row>
    <row r="183" spans="1:14" s="6" customFormat="1">
      <c r="A183" s="5">
        <v>69</v>
      </c>
      <c r="B183" s="5" t="s">
        <v>183</v>
      </c>
      <c r="C183" s="396" t="s">
        <v>1430</v>
      </c>
      <c r="D183" s="5">
        <v>110</v>
      </c>
      <c r="E183" s="10">
        <f>VLOOKUP($D183,'SMEPA Lines DECEMBER 2016'!$D:$H,2,0)</f>
        <v>0</v>
      </c>
      <c r="F183" s="10">
        <f>VLOOKUP($D183,'SMEPA Lines DECEMBER 2016'!$D:$H,3,0)</f>
        <v>0</v>
      </c>
      <c r="G183" s="10">
        <f>VLOOKUP($D183,'SMEPA Lines DECEMBER 2016'!$D:$H,4,0)</f>
        <v>535846.96</v>
      </c>
      <c r="H183" s="10">
        <f>VLOOKUP($D183,'SMEPA Lines DECEMBER 2016'!$D:$H,5,0)</f>
        <v>505722.44</v>
      </c>
      <c r="I183" s="3">
        <f t="shared" si="27"/>
        <v>1041569.3999999999</v>
      </c>
      <c r="J183" s="3">
        <v>2.91</v>
      </c>
      <c r="K183" s="3">
        <v>2.91</v>
      </c>
      <c r="L183" s="23">
        <f t="shared" si="28"/>
        <v>1</v>
      </c>
      <c r="M183" s="16">
        <f t="shared" si="30"/>
        <v>1041569.3999999999</v>
      </c>
      <c r="N183" s="22">
        <f t="shared" si="29"/>
        <v>0</v>
      </c>
    </row>
    <row r="184" spans="1:14" s="6" customFormat="1">
      <c r="A184" s="5">
        <v>69</v>
      </c>
      <c r="B184" s="5" t="s">
        <v>183</v>
      </c>
      <c r="C184" s="396" t="s">
        <v>1431</v>
      </c>
      <c r="D184" s="5">
        <v>111</v>
      </c>
      <c r="E184" s="10">
        <f>VLOOKUP($D184,'SMEPA Lines DECEMBER 2016'!$D:$H,2,0)</f>
        <v>1422969.47</v>
      </c>
      <c r="F184" s="10">
        <f>VLOOKUP($D184,'SMEPA Lines DECEMBER 2016'!$D:$H,3,0)</f>
        <v>0</v>
      </c>
      <c r="G184" s="10">
        <f>VLOOKUP($D184,'SMEPA Lines DECEMBER 2016'!$D:$H,4,0)</f>
        <v>1478008.89</v>
      </c>
      <c r="H184" s="10">
        <f>VLOOKUP($D184,'SMEPA Lines DECEMBER 2016'!$D:$H,5,0)</f>
        <v>3268808.21</v>
      </c>
      <c r="I184" s="3">
        <f t="shared" si="27"/>
        <v>6169786.5700000003</v>
      </c>
      <c r="J184" s="3">
        <v>18</v>
      </c>
      <c r="K184" s="6">
        <v>18</v>
      </c>
      <c r="L184" s="23">
        <f t="shared" si="28"/>
        <v>1</v>
      </c>
      <c r="M184" s="16">
        <f t="shared" si="30"/>
        <v>6169786.5700000003</v>
      </c>
      <c r="N184" s="22">
        <f t="shared" si="29"/>
        <v>0</v>
      </c>
    </row>
    <row r="185" spans="1:14" s="6" customFormat="1">
      <c r="A185" s="5">
        <v>69</v>
      </c>
      <c r="B185" s="5" t="s">
        <v>183</v>
      </c>
      <c r="C185" s="396" t="s">
        <v>1598</v>
      </c>
      <c r="D185" s="5">
        <v>112</v>
      </c>
      <c r="E185" s="10">
        <f>VLOOKUP($D185,'SMEPA Lines DECEMBER 2016'!$D:$H,2,0)</f>
        <v>0</v>
      </c>
      <c r="F185" s="10">
        <f>VLOOKUP($D185,'SMEPA Lines DECEMBER 2016'!$D:$H,3,0)</f>
        <v>0</v>
      </c>
      <c r="G185" s="10">
        <f>VLOOKUP($D185,'SMEPA Lines DECEMBER 2016'!$D:$H,4,0)</f>
        <v>469387.64</v>
      </c>
      <c r="H185" s="10">
        <f>VLOOKUP($D185,'SMEPA Lines DECEMBER 2016'!$D:$H,5,0)</f>
        <v>584024.09</v>
      </c>
      <c r="I185" s="3">
        <f t="shared" si="27"/>
        <v>1053411.73</v>
      </c>
      <c r="J185" s="3">
        <v>5.8</v>
      </c>
      <c r="L185" s="23">
        <f t="shared" si="28"/>
        <v>0</v>
      </c>
      <c r="M185" s="16">
        <f t="shared" si="30"/>
        <v>0</v>
      </c>
      <c r="N185" s="22">
        <f t="shared" si="29"/>
        <v>1053411.73</v>
      </c>
    </row>
    <row r="186" spans="1:14" s="231" customFormat="1">
      <c r="A186" s="237">
        <v>69</v>
      </c>
      <c r="B186" s="237" t="s">
        <v>183</v>
      </c>
      <c r="C186" s="421" t="s">
        <v>1432</v>
      </c>
      <c r="D186" s="237">
        <v>113</v>
      </c>
      <c r="E186" s="238">
        <f>VLOOKUP($D186,'SMEPA Lines DECEMBER 2016'!$D:$H,2,0)</f>
        <v>0</v>
      </c>
      <c r="F186" s="238">
        <f>VLOOKUP($D186,'SMEPA Lines DECEMBER 2016'!$D:$H,3,0)</f>
        <v>0</v>
      </c>
      <c r="G186" s="238">
        <f>VLOOKUP($D186,'SMEPA Lines DECEMBER 2016'!$D:$H,4,0)</f>
        <v>1246963.92</v>
      </c>
      <c r="H186" s="238">
        <f>VLOOKUP($D186,'SMEPA Lines DECEMBER 2016'!$D:$H,5,0)</f>
        <v>1067790.1100000001</v>
      </c>
      <c r="I186" s="239">
        <f t="shared" si="27"/>
        <v>2314754.0300000003</v>
      </c>
      <c r="J186" s="239">
        <v>8.91</v>
      </c>
      <c r="K186" s="231">
        <v>0</v>
      </c>
      <c r="L186" s="240">
        <f t="shared" si="28"/>
        <v>0</v>
      </c>
      <c r="M186" s="230">
        <f t="shared" si="30"/>
        <v>0</v>
      </c>
      <c r="N186" s="241">
        <f t="shared" si="29"/>
        <v>2314754.0300000003</v>
      </c>
    </row>
    <row r="187" spans="1:14" s="6" customFormat="1">
      <c r="A187" s="5">
        <v>69</v>
      </c>
      <c r="B187" s="5" t="s">
        <v>183</v>
      </c>
      <c r="C187" s="396" t="s">
        <v>1434</v>
      </c>
      <c r="D187" s="5">
        <v>114</v>
      </c>
      <c r="E187" s="10">
        <f>VLOOKUP($D187,'SMEPA Lines DECEMBER 2016'!$D:$H,2,0)</f>
        <v>1382661.17</v>
      </c>
      <c r="F187" s="10">
        <f>VLOOKUP($D187,'SMEPA Lines DECEMBER 2016'!$D:$H,3,0)</f>
        <v>0</v>
      </c>
      <c r="G187" s="10">
        <f>VLOOKUP($D187,'SMEPA Lines DECEMBER 2016'!$D:$H,4,0)</f>
        <v>995212.61</v>
      </c>
      <c r="H187" s="10">
        <f>VLOOKUP($D187,'SMEPA Lines DECEMBER 2016'!$D:$H,5,0)</f>
        <v>2621011.9300000002</v>
      </c>
      <c r="I187" s="3">
        <f t="shared" si="27"/>
        <v>4998885.71</v>
      </c>
      <c r="J187" s="3">
        <v>17.88</v>
      </c>
      <c r="K187" s="6">
        <v>17.88</v>
      </c>
      <c r="L187" s="23">
        <f t="shared" si="28"/>
        <v>1</v>
      </c>
      <c r="M187" s="16">
        <f t="shared" si="30"/>
        <v>4998885.71</v>
      </c>
      <c r="N187" s="22">
        <f t="shared" si="29"/>
        <v>0</v>
      </c>
    </row>
    <row r="188" spans="1:14" s="169" customFormat="1">
      <c r="A188" s="388">
        <v>115</v>
      </c>
      <c r="B188" s="388" t="s">
        <v>183</v>
      </c>
      <c r="C188" s="405" t="s">
        <v>1599</v>
      </c>
      <c r="D188" s="422" t="s">
        <v>83</v>
      </c>
      <c r="E188" s="170">
        <f>VLOOKUP($D188,'SMEPA Lines DECEMBER 2016'!$D:$H,2,0)</f>
        <v>0</v>
      </c>
      <c r="F188" s="170">
        <f>VLOOKUP($D188,'SMEPA Lines DECEMBER 2016'!$D:$H,3,0)</f>
        <v>0</v>
      </c>
      <c r="G188" s="170">
        <f>VLOOKUP($D188,'SMEPA Lines DECEMBER 2016'!$D:$H,4,0)</f>
        <v>59161.16</v>
      </c>
      <c r="H188" s="170">
        <f>VLOOKUP($D188,'SMEPA Lines DECEMBER 2016'!$D:$H,5,0)</f>
        <v>38236.589999999997</v>
      </c>
      <c r="I188" s="171">
        <f t="shared" si="27"/>
        <v>97397.75</v>
      </c>
      <c r="J188" s="171">
        <v>3.91</v>
      </c>
      <c r="L188" s="172">
        <f t="shared" si="28"/>
        <v>0</v>
      </c>
      <c r="M188" s="173">
        <f t="shared" si="30"/>
        <v>0</v>
      </c>
      <c r="N188" s="174">
        <f t="shared" si="29"/>
        <v>97397.75</v>
      </c>
    </row>
    <row r="189" spans="1:14" s="6" customFormat="1">
      <c r="A189" s="5">
        <v>69</v>
      </c>
      <c r="B189" s="5" t="s">
        <v>183</v>
      </c>
      <c r="C189" s="390" t="s">
        <v>162</v>
      </c>
      <c r="D189" s="5">
        <v>116</v>
      </c>
      <c r="E189" s="10">
        <f>VLOOKUP($D189,'SMEPA Lines DECEMBER 2016'!$D:$H,2,0)</f>
        <v>32215.47</v>
      </c>
      <c r="F189" s="10">
        <f>VLOOKUP($D189,'SMEPA Lines DECEMBER 2016'!$D:$H,3,0)</f>
        <v>0</v>
      </c>
      <c r="G189" s="10">
        <f>VLOOKUP($D189,'SMEPA Lines DECEMBER 2016'!$D:$H,4,0)</f>
        <v>43240.480000000003</v>
      </c>
      <c r="H189" s="10">
        <f>VLOOKUP($D189,'SMEPA Lines DECEMBER 2016'!$D:$H,5,0)</f>
        <v>162712.75</v>
      </c>
      <c r="I189" s="3">
        <f t="shared" si="27"/>
        <v>238168.7</v>
      </c>
      <c r="J189" s="3">
        <v>0.34</v>
      </c>
      <c r="L189" s="23">
        <f t="shared" si="28"/>
        <v>0</v>
      </c>
      <c r="M189" s="16">
        <f t="shared" si="30"/>
        <v>0</v>
      </c>
      <c r="N189" s="22">
        <f t="shared" si="29"/>
        <v>238168.7</v>
      </c>
    </row>
    <row r="190" spans="1:14" s="6" customFormat="1">
      <c r="A190" s="5">
        <v>69</v>
      </c>
      <c r="B190" s="5" t="s">
        <v>183</v>
      </c>
      <c r="C190" s="396" t="s">
        <v>1436</v>
      </c>
      <c r="D190" s="5">
        <v>118</v>
      </c>
      <c r="E190" s="10">
        <f>VLOOKUP($D190,'SMEPA Lines DECEMBER 2016'!$D:$H,2,0)</f>
        <v>0</v>
      </c>
      <c r="F190" s="10">
        <f>VLOOKUP($D190,'SMEPA Lines DECEMBER 2016'!$D:$H,3,0)</f>
        <v>0</v>
      </c>
      <c r="G190" s="10">
        <f>VLOOKUP($D190,'SMEPA Lines DECEMBER 2016'!$D:$H,4,0)</f>
        <v>0</v>
      </c>
      <c r="H190" s="10">
        <f>VLOOKUP($D190,'SMEPA Lines DECEMBER 2016'!$D:$H,5,0)</f>
        <v>14699.58</v>
      </c>
      <c r="I190" s="3">
        <f t="shared" si="27"/>
        <v>14699.58</v>
      </c>
      <c r="J190" s="3">
        <v>1.0000000000000001E-5</v>
      </c>
      <c r="L190" s="23">
        <f t="shared" si="28"/>
        <v>0</v>
      </c>
      <c r="M190" s="16">
        <f t="shared" si="30"/>
        <v>0</v>
      </c>
      <c r="N190" s="22">
        <f t="shared" si="29"/>
        <v>14699.58</v>
      </c>
    </row>
    <row r="191" spans="1:14" s="6" customFormat="1">
      <c r="A191" s="5">
        <v>69</v>
      </c>
      <c r="B191" s="5" t="s">
        <v>183</v>
      </c>
      <c r="C191" s="390" t="s">
        <v>163</v>
      </c>
      <c r="D191" s="5">
        <v>119</v>
      </c>
      <c r="E191" s="10">
        <f>VLOOKUP($D191,'SMEPA Lines DECEMBER 2016'!$D:$H,2,0)</f>
        <v>16413.5</v>
      </c>
      <c r="F191" s="10">
        <f>VLOOKUP($D191,'SMEPA Lines DECEMBER 2016'!$D:$H,3,0)</f>
        <v>0</v>
      </c>
      <c r="G191" s="10">
        <f>VLOOKUP($D191,'SMEPA Lines DECEMBER 2016'!$D:$H,4,0)</f>
        <v>31727.85</v>
      </c>
      <c r="H191" s="10">
        <f>VLOOKUP($D191,'SMEPA Lines DECEMBER 2016'!$D:$H,5,0)</f>
        <v>186754.42</v>
      </c>
      <c r="I191" s="3">
        <f t="shared" si="27"/>
        <v>234895.77000000002</v>
      </c>
      <c r="J191" s="3">
        <v>0.04</v>
      </c>
      <c r="L191" s="23">
        <f t="shared" si="28"/>
        <v>0</v>
      </c>
      <c r="M191" s="16">
        <f t="shared" si="30"/>
        <v>0</v>
      </c>
      <c r="N191" s="22">
        <f t="shared" si="29"/>
        <v>234895.77000000002</v>
      </c>
    </row>
    <row r="192" spans="1:14" s="169" customFormat="1">
      <c r="A192" s="388">
        <v>69</v>
      </c>
      <c r="B192" s="298" t="s">
        <v>183</v>
      </c>
      <c r="C192" s="405" t="s">
        <v>1437</v>
      </c>
      <c r="D192" s="388">
        <v>120</v>
      </c>
      <c r="E192" s="170">
        <f>VLOOKUP($D192,'SMEPA Lines DECEMBER 2016'!$D:$H,2,0)</f>
        <v>1669327.65</v>
      </c>
      <c r="F192" s="170">
        <f>VLOOKUP($D192,'SMEPA Lines DECEMBER 2016'!$D:$H,3,0)</f>
        <v>0</v>
      </c>
      <c r="G192" s="170">
        <f>VLOOKUP($D192,'SMEPA Lines DECEMBER 2016'!$D:$H,4,0)</f>
        <v>1206396.04</v>
      </c>
      <c r="H192" s="170">
        <f>VLOOKUP($D192,'SMEPA Lines DECEMBER 2016'!$D:$H,5,0)</f>
        <v>5056628.34</v>
      </c>
      <c r="I192" s="171">
        <f t="shared" ref="I192" si="31">SUM(E192:H192)</f>
        <v>7932352.0299999993</v>
      </c>
      <c r="J192" s="171">
        <v>13.29</v>
      </c>
      <c r="K192" s="169">
        <v>13.29</v>
      </c>
      <c r="L192" s="172">
        <f t="shared" ref="L192" si="32">+ROUND(+K192/J192,2)</f>
        <v>1</v>
      </c>
      <c r="M192" s="173">
        <f t="shared" ref="M192" si="33">IF(L192=0,0,(I192*L192))</f>
        <v>7932352.0299999993</v>
      </c>
      <c r="N192" s="174">
        <f t="shared" ref="N192" si="34">+I192-M192</f>
        <v>0</v>
      </c>
    </row>
    <row r="193" spans="1:14" s="169" customFormat="1">
      <c r="A193" s="388">
        <v>69</v>
      </c>
      <c r="B193" s="298" t="s">
        <v>183</v>
      </c>
      <c r="C193" s="405" t="s">
        <v>1600</v>
      </c>
      <c r="D193" s="388">
        <v>122</v>
      </c>
      <c r="E193" s="170">
        <f>VLOOKUP($D193,'SMEPA Lines DECEMBER 2016'!$D:$H,2,0)</f>
        <v>10966.3</v>
      </c>
      <c r="F193" s="170">
        <f>VLOOKUP($D193,'SMEPA Lines DECEMBER 2016'!$D:$H,3,0)</f>
        <v>0</v>
      </c>
      <c r="G193" s="170">
        <f>VLOOKUP($D193,'SMEPA Lines DECEMBER 2016'!$D:$H,4,0)</f>
        <v>28789.37</v>
      </c>
      <c r="H193" s="170">
        <f>VLOOKUP($D193,'SMEPA Lines DECEMBER 2016'!$D:$H,5,0)</f>
        <v>153020.88</v>
      </c>
      <c r="I193" s="171">
        <f t="shared" ref="I193" si="35">SUM(E193:H193)</f>
        <v>192776.55</v>
      </c>
      <c r="J193" s="171">
        <v>0.1</v>
      </c>
      <c r="L193" s="172">
        <f t="shared" ref="L193" si="36">+ROUND(+K193/J193,2)</f>
        <v>0</v>
      </c>
      <c r="M193" s="173">
        <f t="shared" ref="M193" si="37">IF(L193=0,0,(I193*L193))</f>
        <v>0</v>
      </c>
      <c r="N193" s="174">
        <f t="shared" ref="N193" si="38">+I193-M193</f>
        <v>192776.55</v>
      </c>
    </row>
    <row r="194" spans="1:14" s="6" customFormat="1">
      <c r="A194" s="5">
        <v>161</v>
      </c>
      <c r="B194" s="5" t="s">
        <v>183</v>
      </c>
      <c r="C194" s="396" t="s">
        <v>1439</v>
      </c>
      <c r="D194" s="5" t="s">
        <v>84</v>
      </c>
      <c r="E194" s="10">
        <f>VLOOKUP($D194,'SMEPA Lines DECEMBER 2016'!$D:$H,2,0)</f>
        <v>0</v>
      </c>
      <c r="F194" s="10">
        <f>VLOOKUP($D194,'SMEPA Lines DECEMBER 2016'!$D:$H,3,0)</f>
        <v>0</v>
      </c>
      <c r="G194" s="10">
        <f>VLOOKUP($D194,'SMEPA Lines DECEMBER 2016'!$D:$H,4,0)</f>
        <v>499896.78</v>
      </c>
      <c r="H194" s="10">
        <f>VLOOKUP($D194,'SMEPA Lines DECEMBER 2016'!$D:$H,5,0)</f>
        <v>281821.52</v>
      </c>
      <c r="I194" s="3">
        <f t="shared" si="27"/>
        <v>781718.3</v>
      </c>
      <c r="J194" s="6">
        <v>32.92</v>
      </c>
      <c r="K194" s="6">
        <v>32.92</v>
      </c>
      <c r="L194" s="23">
        <f t="shared" si="28"/>
        <v>1</v>
      </c>
      <c r="M194" s="16">
        <f t="shared" si="30"/>
        <v>781718.3</v>
      </c>
      <c r="N194" s="22">
        <f t="shared" si="29"/>
        <v>0</v>
      </c>
    </row>
    <row r="195" spans="1:14" s="169" customFormat="1">
      <c r="A195" s="388">
        <v>161</v>
      </c>
      <c r="B195" s="388" t="s">
        <v>183</v>
      </c>
      <c r="C195" s="405" t="s">
        <v>1440</v>
      </c>
      <c r="D195" s="388" t="s">
        <v>85</v>
      </c>
      <c r="E195" s="170">
        <f>VLOOKUP($D195,'SMEPA Lines DECEMBER 2016'!$D:$H,2,0)</f>
        <v>0</v>
      </c>
      <c r="F195" s="170">
        <f>VLOOKUP($D195,'SMEPA Lines DECEMBER 2016'!$D:$H,3,0)</f>
        <v>0</v>
      </c>
      <c r="G195" s="170">
        <f>VLOOKUP($D195,'SMEPA Lines DECEMBER 2016'!$D:$H,4,0)</f>
        <v>599093.47</v>
      </c>
      <c r="H195" s="170">
        <f>VLOOKUP($D195,'SMEPA Lines DECEMBER 2016'!$D:$H,5,0)</f>
        <v>423986.34</v>
      </c>
      <c r="I195" s="171">
        <f t="shared" si="27"/>
        <v>1023079.81</v>
      </c>
      <c r="J195" s="169">
        <v>33.840000000000003</v>
      </c>
      <c r="K195" s="169">
        <v>33.840000000000003</v>
      </c>
      <c r="L195" s="172">
        <f t="shared" si="28"/>
        <v>1</v>
      </c>
      <c r="M195" s="173">
        <f t="shared" si="30"/>
        <v>1023079.81</v>
      </c>
      <c r="N195" s="174">
        <f t="shared" si="29"/>
        <v>0</v>
      </c>
    </row>
    <row r="196" spans="1:14" s="169" customFormat="1">
      <c r="A196" s="388">
        <v>161</v>
      </c>
      <c r="B196" s="388" t="s">
        <v>183</v>
      </c>
      <c r="C196" s="405" t="s">
        <v>1443</v>
      </c>
      <c r="D196" s="388" t="s">
        <v>86</v>
      </c>
      <c r="E196" s="170">
        <f>VLOOKUP($D196,'SMEPA Lines DECEMBER 2016'!$D:$H,2,0)</f>
        <v>0</v>
      </c>
      <c r="F196" s="170">
        <f>VLOOKUP($D196,'SMEPA Lines DECEMBER 2016'!$D:$H,3,0)</f>
        <v>0</v>
      </c>
      <c r="G196" s="170">
        <f>VLOOKUP($D196,'SMEPA Lines DECEMBER 2016'!$D:$H,4,0)</f>
        <v>739771.4</v>
      </c>
      <c r="H196" s="170">
        <f>VLOOKUP($D196,'SMEPA Lines DECEMBER 2016'!$D:$H,5,0)</f>
        <v>1499046.28</v>
      </c>
      <c r="I196" s="171">
        <f t="shared" si="27"/>
        <v>2238817.6800000002</v>
      </c>
      <c r="J196" s="169">
        <v>28.43</v>
      </c>
      <c r="K196" s="169">
        <v>28.43</v>
      </c>
      <c r="L196" s="172">
        <f t="shared" si="28"/>
        <v>1</v>
      </c>
      <c r="M196" s="173">
        <f t="shared" si="30"/>
        <v>2238817.6800000002</v>
      </c>
      <c r="N196" s="174">
        <f t="shared" si="29"/>
        <v>0</v>
      </c>
    </row>
    <row r="197" spans="1:14" s="6" customFormat="1">
      <c r="A197" s="5">
        <v>161</v>
      </c>
      <c r="B197" s="5" t="s">
        <v>183</v>
      </c>
      <c r="C197" s="396" t="s">
        <v>1444</v>
      </c>
      <c r="D197" s="5" t="s">
        <v>87</v>
      </c>
      <c r="E197" s="10">
        <f>VLOOKUP($D197,'SMEPA Lines DECEMBER 2016'!$D:$H,2,0)</f>
        <v>0</v>
      </c>
      <c r="F197" s="10">
        <f>VLOOKUP($D197,'SMEPA Lines DECEMBER 2016'!$D:$H,3,0)</f>
        <v>0</v>
      </c>
      <c r="G197" s="10">
        <f>VLOOKUP($D197,'SMEPA Lines DECEMBER 2016'!$D:$H,4,0)</f>
        <v>288973.89</v>
      </c>
      <c r="H197" s="10">
        <f>VLOOKUP($D197,'SMEPA Lines DECEMBER 2016'!$D:$H,5,0)</f>
        <v>256372.9</v>
      </c>
      <c r="I197" s="3">
        <f t="shared" si="27"/>
        <v>545346.79</v>
      </c>
      <c r="J197" s="6">
        <v>11.93</v>
      </c>
      <c r="K197" s="6">
        <v>11.93</v>
      </c>
      <c r="L197" s="23">
        <f t="shared" si="28"/>
        <v>1</v>
      </c>
      <c r="M197" s="16">
        <f t="shared" si="30"/>
        <v>545346.79</v>
      </c>
      <c r="N197" s="22">
        <f t="shared" si="29"/>
        <v>0</v>
      </c>
    </row>
    <row r="198" spans="1:14" s="6" customFormat="1">
      <c r="A198" s="5">
        <v>161</v>
      </c>
      <c r="B198" s="5" t="s">
        <v>183</v>
      </c>
      <c r="C198" s="396" t="s">
        <v>1601</v>
      </c>
      <c r="D198" s="5" t="s">
        <v>88</v>
      </c>
      <c r="E198" s="10">
        <f>VLOOKUP($D198,'SMEPA Lines DECEMBER 2016'!$D:$H,2,0)</f>
        <v>0</v>
      </c>
      <c r="F198" s="10">
        <f>VLOOKUP($D198,'SMEPA Lines DECEMBER 2016'!$D:$H,3,0)</f>
        <v>0</v>
      </c>
      <c r="G198" s="10">
        <f>VLOOKUP($D198,'SMEPA Lines DECEMBER 2016'!$D:$H,4,0)</f>
        <v>686015.7</v>
      </c>
      <c r="H198" s="10">
        <f>VLOOKUP($D198,'SMEPA Lines DECEMBER 2016'!$D:$H,5,0)</f>
        <v>541242.09</v>
      </c>
      <c r="I198" s="3">
        <f t="shared" si="27"/>
        <v>1227257.79</v>
      </c>
      <c r="J198" s="6">
        <v>23.6</v>
      </c>
      <c r="K198" s="6">
        <v>23.6</v>
      </c>
      <c r="L198" s="23">
        <f t="shared" si="28"/>
        <v>1</v>
      </c>
      <c r="M198" s="16">
        <f t="shared" si="30"/>
        <v>1227257.79</v>
      </c>
      <c r="N198" s="22">
        <f t="shared" si="29"/>
        <v>0</v>
      </c>
    </row>
    <row r="199" spans="1:14" s="6" customFormat="1">
      <c r="A199" s="5">
        <v>161</v>
      </c>
      <c r="B199" s="5" t="s">
        <v>183</v>
      </c>
      <c r="C199" s="396" t="s">
        <v>1446</v>
      </c>
      <c r="D199" s="5" t="s">
        <v>89</v>
      </c>
      <c r="E199" s="10">
        <f>VLOOKUP($D199,'SMEPA Lines DECEMBER 2016'!$D:$H,2,0)</f>
        <v>0</v>
      </c>
      <c r="F199" s="10">
        <f>VLOOKUP($D199,'SMEPA Lines DECEMBER 2016'!$D:$H,3,0)</f>
        <v>0</v>
      </c>
      <c r="G199" s="10">
        <f>VLOOKUP($D199,'SMEPA Lines DECEMBER 2016'!$D:$H,4,0)</f>
        <v>1105741.05</v>
      </c>
      <c r="H199" s="10">
        <f>VLOOKUP($D199,'SMEPA Lines DECEMBER 2016'!$D:$H,5,0)</f>
        <v>954841.97</v>
      </c>
      <c r="I199" s="3">
        <f t="shared" si="27"/>
        <v>2060583.02</v>
      </c>
      <c r="J199" s="6">
        <v>7.25</v>
      </c>
      <c r="K199" s="6">
        <v>7.25</v>
      </c>
      <c r="L199" s="23">
        <f t="shared" si="28"/>
        <v>1</v>
      </c>
      <c r="M199" s="16">
        <f t="shared" si="30"/>
        <v>2060583.02</v>
      </c>
      <c r="N199" s="22">
        <f t="shared" si="29"/>
        <v>0</v>
      </c>
    </row>
    <row r="200" spans="1:14" s="169" customFormat="1">
      <c r="A200" s="388">
        <v>161</v>
      </c>
      <c r="B200" s="388" t="s">
        <v>183</v>
      </c>
      <c r="C200" s="405" t="s">
        <v>1449</v>
      </c>
      <c r="D200" s="388" t="s">
        <v>90</v>
      </c>
      <c r="E200" s="170">
        <f>VLOOKUP($D200,'SMEPA Lines DECEMBER 2016'!$D:$H,2,0)</f>
        <v>0</v>
      </c>
      <c r="F200" s="170">
        <f>VLOOKUP($D200,'SMEPA Lines DECEMBER 2016'!$D:$H,3,0)</f>
        <v>0</v>
      </c>
      <c r="G200" s="170">
        <f>VLOOKUP($D200,'SMEPA Lines DECEMBER 2016'!$D:$H,4,0)</f>
        <v>433878.67</v>
      </c>
      <c r="H200" s="170">
        <f>VLOOKUP($D200,'SMEPA Lines DECEMBER 2016'!$D:$H,5,0)</f>
        <v>1107752.1299999999</v>
      </c>
      <c r="I200" s="171">
        <f t="shared" si="27"/>
        <v>1541630.7999999998</v>
      </c>
      <c r="J200" s="468">
        <v>4.5199999999999996</v>
      </c>
      <c r="K200" s="468">
        <v>4.5199999999999996</v>
      </c>
      <c r="L200" s="172">
        <f t="shared" si="28"/>
        <v>1</v>
      </c>
      <c r="M200" s="173">
        <f t="shared" si="30"/>
        <v>1541630.7999999998</v>
      </c>
      <c r="N200" s="174">
        <f t="shared" si="29"/>
        <v>0</v>
      </c>
    </row>
    <row r="201" spans="1:14" s="169" customFormat="1">
      <c r="A201" s="441">
        <v>161</v>
      </c>
      <c r="B201" s="441" t="s">
        <v>183</v>
      </c>
      <c r="C201" s="405" t="s">
        <v>1449</v>
      </c>
      <c r="D201" s="441" t="s">
        <v>91</v>
      </c>
      <c r="E201" s="170">
        <f>VLOOKUP($D201,'SMEPA Lines DECEMBER 2016'!$D:$H,2,0)</f>
        <v>0</v>
      </c>
      <c r="F201" s="170">
        <f>VLOOKUP($D201,'SMEPA Lines DECEMBER 2016'!$D:$H,3,0)</f>
        <v>0</v>
      </c>
      <c r="G201" s="170">
        <f>VLOOKUP($D201,'SMEPA Lines DECEMBER 2016'!$D:$H,4,0)</f>
        <v>587827.14</v>
      </c>
      <c r="H201" s="170">
        <f>VLOOKUP($D201,'SMEPA Lines DECEMBER 2016'!$D:$H,5,0)</f>
        <v>1059251.95</v>
      </c>
      <c r="I201" s="171">
        <f t="shared" si="27"/>
        <v>1647079.0899999999</v>
      </c>
      <c r="J201" s="468">
        <v>4.54</v>
      </c>
      <c r="K201" s="468">
        <v>4.54</v>
      </c>
      <c r="L201" s="172">
        <f t="shared" si="28"/>
        <v>1</v>
      </c>
      <c r="M201" s="173">
        <f t="shared" si="30"/>
        <v>1647079.0899999999</v>
      </c>
      <c r="N201" s="174">
        <f t="shared" si="29"/>
        <v>0</v>
      </c>
    </row>
    <row r="202" spans="1:14" s="6" customFormat="1">
      <c r="A202" s="5">
        <v>161</v>
      </c>
      <c r="B202" s="5" t="s">
        <v>183</v>
      </c>
      <c r="C202" s="396" t="s">
        <v>1450</v>
      </c>
      <c r="D202" s="5" t="s">
        <v>92</v>
      </c>
      <c r="E202" s="10">
        <f>VLOOKUP($D202,'SMEPA Lines DECEMBER 2016'!$D:$H,2,0)</f>
        <v>0</v>
      </c>
      <c r="F202" s="10">
        <f>VLOOKUP($D202,'SMEPA Lines DECEMBER 2016'!$D:$H,3,0)</f>
        <v>0</v>
      </c>
      <c r="G202" s="10">
        <f>VLOOKUP($D202,'SMEPA Lines DECEMBER 2016'!$D:$H,4,0)</f>
        <v>870307.45</v>
      </c>
      <c r="H202" s="10">
        <f>VLOOKUP($D202,'SMEPA Lines DECEMBER 2016'!$D:$H,5,0)</f>
        <v>850022.06</v>
      </c>
      <c r="I202" s="3">
        <f t="shared" si="27"/>
        <v>1720329.51</v>
      </c>
      <c r="J202" s="6">
        <v>33.29</v>
      </c>
      <c r="K202" s="6">
        <v>33.29</v>
      </c>
      <c r="L202" s="23">
        <f t="shared" si="28"/>
        <v>1</v>
      </c>
      <c r="M202" s="16">
        <f t="shared" si="30"/>
        <v>1720329.51</v>
      </c>
      <c r="N202" s="22">
        <f t="shared" si="29"/>
        <v>0</v>
      </c>
    </row>
    <row r="203" spans="1:14" s="6" customFormat="1">
      <c r="A203" s="5">
        <v>161</v>
      </c>
      <c r="B203" s="5" t="s">
        <v>183</v>
      </c>
      <c r="C203" s="396" t="s">
        <v>1451</v>
      </c>
      <c r="D203" s="5" t="s">
        <v>93</v>
      </c>
      <c r="E203" s="10">
        <f>VLOOKUP($D203,'SMEPA Lines DECEMBER 2016'!$D:$H,2,0)</f>
        <v>0</v>
      </c>
      <c r="F203" s="10">
        <f>VLOOKUP($D203,'SMEPA Lines DECEMBER 2016'!$D:$H,3,0)</f>
        <v>0</v>
      </c>
      <c r="G203" s="10">
        <f>VLOOKUP($D203,'SMEPA Lines DECEMBER 2016'!$D:$H,4,0)</f>
        <v>709623.49</v>
      </c>
      <c r="H203" s="10">
        <f>VLOOKUP($D203,'SMEPA Lines DECEMBER 2016'!$D:$H,5,0)</f>
        <v>700689.53</v>
      </c>
      <c r="I203" s="3">
        <f t="shared" si="27"/>
        <v>1410313.02</v>
      </c>
      <c r="J203" s="6">
        <v>16.97</v>
      </c>
      <c r="K203" s="6">
        <v>16.97</v>
      </c>
      <c r="L203" s="23">
        <f t="shared" si="28"/>
        <v>1</v>
      </c>
      <c r="M203" s="16">
        <f t="shared" si="30"/>
        <v>1410313.02</v>
      </c>
      <c r="N203" s="22">
        <f t="shared" si="29"/>
        <v>0</v>
      </c>
    </row>
    <row r="204" spans="1:14" s="6" customFormat="1">
      <c r="A204" s="5">
        <v>161</v>
      </c>
      <c r="B204" s="329" t="s">
        <v>183</v>
      </c>
      <c r="C204" s="396" t="s">
        <v>1452</v>
      </c>
      <c r="D204" s="329" t="s">
        <v>195</v>
      </c>
      <c r="E204" s="10">
        <f>VLOOKUP($D204,'SMEPA Lines DECEMBER 2016'!$D:$H,2,0)</f>
        <v>0</v>
      </c>
      <c r="F204" s="10">
        <f>VLOOKUP($D204,'SMEPA Lines DECEMBER 2016'!$D:$H,3,0)</f>
        <v>0</v>
      </c>
      <c r="G204" s="10">
        <f>VLOOKUP($D204,'SMEPA Lines DECEMBER 2016'!$D:$H,4,0)</f>
        <v>39681.78</v>
      </c>
      <c r="H204" s="10">
        <f>VLOOKUP($D204,'SMEPA Lines DECEMBER 2016'!$D:$H,5,0)</f>
        <v>14936.05</v>
      </c>
      <c r="I204" s="3">
        <f t="shared" ref="I204" si="39">SUM(E204:H204)</f>
        <v>54617.83</v>
      </c>
      <c r="J204" s="6">
        <v>13.37</v>
      </c>
      <c r="K204" s="6">
        <v>13.37</v>
      </c>
      <c r="L204" s="23">
        <f t="shared" ref="L204" si="40">+ROUND(+K204/J204,2)</f>
        <v>1</v>
      </c>
      <c r="M204" s="16">
        <f t="shared" ref="M204" si="41">IF(L204=0,0,(I204*L204))</f>
        <v>54617.83</v>
      </c>
      <c r="N204" s="22">
        <f t="shared" ref="N204" si="42">+I204-M204</f>
        <v>0</v>
      </c>
    </row>
    <row r="205" spans="1:14" s="6" customFormat="1">
      <c r="A205" s="5">
        <v>161</v>
      </c>
      <c r="B205" s="5" t="s">
        <v>183</v>
      </c>
      <c r="C205" s="396" t="s">
        <v>1453</v>
      </c>
      <c r="D205" s="5" t="s">
        <v>94</v>
      </c>
      <c r="E205" s="10">
        <f>VLOOKUP($D205,'SMEPA Lines DECEMBER 2016'!$D:$H,2,0)</f>
        <v>0</v>
      </c>
      <c r="F205" s="10">
        <f>VLOOKUP($D205,'SMEPA Lines DECEMBER 2016'!$D:$H,3,0)</f>
        <v>0</v>
      </c>
      <c r="G205" s="10">
        <f>VLOOKUP($D205,'SMEPA Lines DECEMBER 2016'!$D:$H,4,0)</f>
        <v>1579735.07</v>
      </c>
      <c r="H205" s="10">
        <f>VLOOKUP($D205,'SMEPA Lines DECEMBER 2016'!$D:$H,5,0)</f>
        <v>1571392.36</v>
      </c>
      <c r="I205" s="3">
        <f t="shared" si="27"/>
        <v>3151127.43</v>
      </c>
      <c r="J205" s="3">
        <v>30.11</v>
      </c>
      <c r="K205" s="6">
        <v>30.11</v>
      </c>
      <c r="L205" s="23">
        <f t="shared" si="28"/>
        <v>1</v>
      </c>
      <c r="M205" s="16">
        <f t="shared" si="30"/>
        <v>3151127.43</v>
      </c>
      <c r="N205" s="22">
        <f t="shared" si="29"/>
        <v>0</v>
      </c>
    </row>
    <row r="206" spans="1:14" s="6" customFormat="1" ht="30">
      <c r="A206" s="5">
        <v>161</v>
      </c>
      <c r="B206" s="5" t="s">
        <v>183</v>
      </c>
      <c r="C206" s="396" t="s">
        <v>1454</v>
      </c>
      <c r="D206" s="5">
        <v>175</v>
      </c>
      <c r="E206" s="10">
        <f>VLOOKUP($D206,'SMEPA Lines DECEMBER 2016'!$D:$H,2,0)</f>
        <v>0</v>
      </c>
      <c r="F206" s="10">
        <f>VLOOKUP($D206,'SMEPA Lines DECEMBER 2016'!$D:$H,3,0)</f>
        <v>0</v>
      </c>
      <c r="G206" s="10">
        <f>VLOOKUP($D206,'SMEPA Lines DECEMBER 2016'!$D:$H,4,0)</f>
        <v>31142.04</v>
      </c>
      <c r="H206" s="10">
        <f>VLOOKUP($D206,'SMEPA Lines DECEMBER 2016'!$D:$H,5,0)</f>
        <v>37406.03</v>
      </c>
      <c r="I206" s="3">
        <f t="shared" si="27"/>
        <v>68548.070000000007</v>
      </c>
      <c r="J206" s="3">
        <v>0.04</v>
      </c>
      <c r="K206" s="3">
        <v>0.04</v>
      </c>
      <c r="L206" s="23">
        <f t="shared" si="28"/>
        <v>1</v>
      </c>
      <c r="M206" s="16">
        <f t="shared" si="30"/>
        <v>68548.070000000007</v>
      </c>
      <c r="N206" s="22">
        <f t="shared" si="29"/>
        <v>0</v>
      </c>
    </row>
    <row r="207" spans="1:14" s="6" customFormat="1">
      <c r="A207" s="5">
        <v>161</v>
      </c>
      <c r="B207" s="5" t="s">
        <v>183</v>
      </c>
      <c r="C207" s="396" t="s">
        <v>1602</v>
      </c>
      <c r="D207" s="422">
        <v>176</v>
      </c>
      <c r="E207" s="10">
        <f>VLOOKUP($D207,'SMEPA Lines DECEMBER 2016'!$D:$H,2,0)</f>
        <v>0</v>
      </c>
      <c r="F207" s="10">
        <f>VLOOKUP($D207,'SMEPA Lines DECEMBER 2016'!$D:$H,3,0)</f>
        <v>0</v>
      </c>
      <c r="G207" s="10">
        <f>VLOOKUP($D207,'SMEPA Lines DECEMBER 2016'!$D:$H,4,0)</f>
        <v>27058.720000000001</v>
      </c>
      <c r="H207" s="10">
        <f>VLOOKUP($D207,'SMEPA Lines DECEMBER 2016'!$D:$H,5,0)</f>
        <v>9977.3700000000008</v>
      </c>
      <c r="I207" s="3">
        <f t="shared" si="27"/>
        <v>37036.090000000004</v>
      </c>
      <c r="J207" s="3">
        <v>0.03</v>
      </c>
      <c r="K207" s="462">
        <v>0.03</v>
      </c>
      <c r="L207" s="23">
        <f t="shared" si="28"/>
        <v>1</v>
      </c>
      <c r="M207" s="16">
        <f t="shared" si="30"/>
        <v>37036.090000000004</v>
      </c>
      <c r="N207" s="22">
        <f t="shared" si="29"/>
        <v>0</v>
      </c>
    </row>
    <row r="208" spans="1:14" s="6" customFormat="1">
      <c r="A208" s="5">
        <v>161</v>
      </c>
      <c r="B208" s="5" t="s">
        <v>183</v>
      </c>
      <c r="C208" s="396" t="s">
        <v>1456</v>
      </c>
      <c r="D208" s="5">
        <v>177</v>
      </c>
      <c r="E208" s="10">
        <f>VLOOKUP($D208,'SMEPA Lines DECEMBER 2016'!$D:$H,2,0)</f>
        <v>581563.43999999994</v>
      </c>
      <c r="F208" s="10">
        <f>VLOOKUP($D208,'SMEPA Lines DECEMBER 2016'!$D:$H,3,0)</f>
        <v>0</v>
      </c>
      <c r="G208" s="10">
        <f>VLOOKUP($D208,'SMEPA Lines DECEMBER 2016'!$D:$H,4,0)</f>
        <v>495614.43</v>
      </c>
      <c r="H208" s="10">
        <f>VLOOKUP($D208,'SMEPA Lines DECEMBER 2016'!$D:$H,5,0)</f>
        <v>1141746.45</v>
      </c>
      <c r="I208" s="3">
        <f t="shared" si="27"/>
        <v>2218924.3199999998</v>
      </c>
      <c r="J208" s="3">
        <v>6.44</v>
      </c>
      <c r="K208" s="6">
        <v>6.44</v>
      </c>
      <c r="L208" s="23">
        <f t="shared" si="28"/>
        <v>1</v>
      </c>
      <c r="M208" s="16">
        <f t="shared" si="30"/>
        <v>2218924.3199999998</v>
      </c>
      <c r="N208" s="22">
        <f t="shared" si="29"/>
        <v>0</v>
      </c>
    </row>
    <row r="209" spans="1:14" s="6" customFormat="1">
      <c r="A209" s="5">
        <v>161</v>
      </c>
      <c r="B209" s="5" t="s">
        <v>183</v>
      </c>
      <c r="C209" s="396" t="s">
        <v>1457</v>
      </c>
      <c r="D209" s="5">
        <v>178</v>
      </c>
      <c r="E209" s="10">
        <f>VLOOKUP($D209,'SMEPA Lines DECEMBER 2016'!$D:$H,2,0)</f>
        <v>493941.18</v>
      </c>
      <c r="F209" s="10">
        <f>VLOOKUP($D209,'SMEPA Lines DECEMBER 2016'!$D:$H,3,0)</f>
        <v>0</v>
      </c>
      <c r="G209" s="10">
        <f>VLOOKUP($D209,'SMEPA Lines DECEMBER 2016'!$D:$H,4,0)</f>
        <v>426005.84</v>
      </c>
      <c r="H209" s="10">
        <f>VLOOKUP($D209,'SMEPA Lines DECEMBER 2016'!$D:$H,5,0)</f>
        <v>1191396.8500000001</v>
      </c>
      <c r="I209" s="3">
        <f t="shared" si="27"/>
        <v>2111343.87</v>
      </c>
      <c r="J209" s="3">
        <v>5.99</v>
      </c>
      <c r="K209" s="6">
        <v>5.99</v>
      </c>
      <c r="L209" s="23">
        <f t="shared" si="28"/>
        <v>1</v>
      </c>
      <c r="M209" s="16">
        <f t="shared" si="30"/>
        <v>2111343.87</v>
      </c>
      <c r="N209" s="22">
        <f t="shared" si="29"/>
        <v>0</v>
      </c>
    </row>
    <row r="210" spans="1:14" s="6" customFormat="1">
      <c r="A210" s="5">
        <v>161</v>
      </c>
      <c r="B210" s="5" t="s">
        <v>183</v>
      </c>
      <c r="C210" s="396" t="s">
        <v>1458</v>
      </c>
      <c r="D210" s="5">
        <v>179</v>
      </c>
      <c r="E210" s="10">
        <f>VLOOKUP($D210,'SMEPA Lines DECEMBER 2016'!$D:$H,2,0)</f>
        <v>522673.78</v>
      </c>
      <c r="F210" s="10">
        <f>VLOOKUP($D210,'SMEPA Lines DECEMBER 2016'!$D:$H,3,0)</f>
        <v>0</v>
      </c>
      <c r="G210" s="10">
        <f>VLOOKUP($D210,'SMEPA Lines DECEMBER 2016'!$D:$H,4,0)</f>
        <v>766652.55</v>
      </c>
      <c r="H210" s="10">
        <f>VLOOKUP($D210,'SMEPA Lines DECEMBER 2016'!$D:$H,5,0)</f>
        <v>1438378.83</v>
      </c>
      <c r="I210" s="3">
        <f t="shared" si="27"/>
        <v>2727705.16</v>
      </c>
      <c r="J210" s="3">
        <v>6.17</v>
      </c>
      <c r="K210" s="6">
        <v>6.17</v>
      </c>
      <c r="L210" s="23">
        <f t="shared" si="28"/>
        <v>1</v>
      </c>
      <c r="M210" s="16">
        <f t="shared" si="30"/>
        <v>2727705.16</v>
      </c>
      <c r="N210" s="22">
        <f t="shared" si="29"/>
        <v>0</v>
      </c>
    </row>
    <row r="211" spans="1:14" s="276" customFormat="1">
      <c r="A211" s="400">
        <v>161</v>
      </c>
      <c r="B211" s="400" t="s">
        <v>183</v>
      </c>
      <c r="C211" s="432" t="s">
        <v>1459</v>
      </c>
      <c r="D211" s="400">
        <v>180</v>
      </c>
      <c r="E211" s="401">
        <f>VLOOKUP($D211,'SMEPA Lines DECEMBER 2016'!$D:$H,2,0)</f>
        <v>3064200.41</v>
      </c>
      <c r="F211" s="401">
        <f>VLOOKUP($D211,'SMEPA Lines DECEMBER 2016'!$D:$H,3,0)</f>
        <v>0</v>
      </c>
      <c r="G211" s="401">
        <f>VLOOKUP($D211,'SMEPA Lines DECEMBER 2016'!$D:$H,4,0)</f>
        <v>1795292.98</v>
      </c>
      <c r="H211" s="401">
        <f>VLOOKUP($D211,'SMEPA Lines DECEMBER 2016'!$D:$H,5,0)</f>
        <v>5401884.8799999999</v>
      </c>
      <c r="I211" s="402">
        <f t="shared" si="27"/>
        <v>10261378.27</v>
      </c>
      <c r="J211" s="469">
        <v>19.600000000000001</v>
      </c>
      <c r="K211" s="466">
        <v>19.600000000000001</v>
      </c>
      <c r="L211" s="403">
        <f t="shared" si="28"/>
        <v>1</v>
      </c>
      <c r="M211" s="277">
        <f t="shared" si="30"/>
        <v>10261378.27</v>
      </c>
      <c r="N211" s="404">
        <f t="shared" si="29"/>
        <v>0</v>
      </c>
    </row>
    <row r="212" spans="1:14" s="6" customFormat="1">
      <c r="A212" s="5">
        <v>161</v>
      </c>
      <c r="B212" s="5" t="s">
        <v>183</v>
      </c>
      <c r="C212" s="396" t="s">
        <v>1460</v>
      </c>
      <c r="D212" s="422">
        <v>181</v>
      </c>
      <c r="E212" s="10">
        <f>VLOOKUP($D212,'SMEPA Lines DECEMBER 2016'!$D:$H,2,0)</f>
        <v>0</v>
      </c>
      <c r="F212" s="10">
        <f>VLOOKUP($D212,'SMEPA Lines DECEMBER 2016'!$D:$H,3,0)</f>
        <v>0</v>
      </c>
      <c r="G212" s="10">
        <f>VLOOKUP($D212,'SMEPA Lines DECEMBER 2016'!$D:$H,4,0)</f>
        <v>197172.01</v>
      </c>
      <c r="H212" s="10">
        <f>VLOOKUP($D212,'SMEPA Lines DECEMBER 2016'!$D:$H,5,0)</f>
        <v>46542.19</v>
      </c>
      <c r="I212" s="3">
        <f t="shared" si="27"/>
        <v>243714.2</v>
      </c>
      <c r="J212" s="3">
        <v>0.5</v>
      </c>
      <c r="K212" s="462">
        <v>0.5</v>
      </c>
      <c r="L212" s="23">
        <f t="shared" si="28"/>
        <v>1</v>
      </c>
      <c r="M212" s="16">
        <f t="shared" si="30"/>
        <v>243714.2</v>
      </c>
      <c r="N212" s="22">
        <f t="shared" si="29"/>
        <v>0</v>
      </c>
    </row>
    <row r="213" spans="1:14" s="6" customFormat="1">
      <c r="A213" s="5">
        <v>161</v>
      </c>
      <c r="B213" s="5" t="s">
        <v>183</v>
      </c>
      <c r="C213" s="396" t="s">
        <v>1461</v>
      </c>
      <c r="D213" s="422">
        <v>182</v>
      </c>
      <c r="E213" s="10">
        <f>VLOOKUP($D213,'SMEPA Lines DECEMBER 2016'!$D:$H,2,0)</f>
        <v>0</v>
      </c>
      <c r="F213" s="10">
        <f>VLOOKUP($D213,'SMEPA Lines DECEMBER 2016'!$D:$H,3,0)</f>
        <v>0</v>
      </c>
      <c r="G213" s="10">
        <f>VLOOKUP($D213,'SMEPA Lines DECEMBER 2016'!$D:$H,4,0)</f>
        <v>15120.88</v>
      </c>
      <c r="H213" s="10">
        <f>VLOOKUP($D213,'SMEPA Lines DECEMBER 2016'!$D:$H,5,0)</f>
        <v>29958.12</v>
      </c>
      <c r="I213" s="3">
        <f t="shared" si="27"/>
        <v>45079</v>
      </c>
      <c r="J213" s="3">
        <v>0.32</v>
      </c>
      <c r="K213" s="462">
        <v>0.32</v>
      </c>
      <c r="L213" s="23">
        <f t="shared" si="28"/>
        <v>1</v>
      </c>
      <c r="M213" s="16">
        <f t="shared" si="30"/>
        <v>45079</v>
      </c>
      <c r="N213" s="22">
        <f t="shared" si="29"/>
        <v>0</v>
      </c>
    </row>
    <row r="214" spans="1:14" s="169" customFormat="1">
      <c r="A214" s="388">
        <v>161</v>
      </c>
      <c r="B214" s="298" t="s">
        <v>186</v>
      </c>
      <c r="C214" s="465" t="s">
        <v>1718</v>
      </c>
      <c r="D214" s="388">
        <v>184</v>
      </c>
      <c r="E214" s="170">
        <f>VLOOKUP($D214,'SMEPA Lines DECEMBER 2016'!$D:$H,2,0)</f>
        <v>19142.3</v>
      </c>
      <c r="F214" s="170">
        <f>VLOOKUP($D214,'SMEPA Lines DECEMBER 2016'!$D:$H,3,0)</f>
        <v>0</v>
      </c>
      <c r="G214" s="170">
        <f>VLOOKUP($D214,'SMEPA Lines DECEMBER 2016'!$D:$H,4,0)</f>
        <v>0</v>
      </c>
      <c r="H214" s="170">
        <f>VLOOKUP($D214,'SMEPA Lines DECEMBER 2016'!$D:$H,5,0)</f>
        <v>0</v>
      </c>
      <c r="I214" s="171">
        <f t="shared" ref="I214" si="43">SUM(E214:H214)</f>
        <v>19142.3</v>
      </c>
      <c r="J214" s="464">
        <v>0.39</v>
      </c>
      <c r="K214" s="462">
        <v>0.39</v>
      </c>
      <c r="L214" s="172">
        <f t="shared" ref="L214" si="44">+ROUND(+K214/J214,2)</f>
        <v>1</v>
      </c>
      <c r="M214" s="173">
        <f t="shared" ref="M214" si="45">IF(L214=0,0,(I214*L214))</f>
        <v>19142.3</v>
      </c>
      <c r="N214" s="174">
        <f t="shared" ref="N214" si="46">+I214-M214</f>
        <v>0</v>
      </c>
    </row>
    <row r="215" spans="1:14" s="6" customFormat="1" ht="30">
      <c r="A215" s="5">
        <v>161</v>
      </c>
      <c r="B215" s="329" t="s">
        <v>183</v>
      </c>
      <c r="C215" s="396" t="s">
        <v>1156</v>
      </c>
      <c r="D215" s="5">
        <v>186</v>
      </c>
      <c r="E215" s="10">
        <f>VLOOKUP($D215,'SMEPA Lines DECEMBER 2016'!$D:$H,2,0)</f>
        <v>0</v>
      </c>
      <c r="F215" s="10">
        <f>VLOOKUP($D215,'SMEPA Lines DECEMBER 2016'!$D:$H,3,0)</f>
        <v>0</v>
      </c>
      <c r="G215" s="10">
        <f>VLOOKUP($D215,'SMEPA Lines DECEMBER 2016'!$D:$H,4,0)</f>
        <v>38505.089999999997</v>
      </c>
      <c r="H215" s="10">
        <f>VLOOKUP($D215,'SMEPA Lines DECEMBER 2016'!$D:$H,5,0)</f>
        <v>604.08000000000004</v>
      </c>
      <c r="I215" s="3">
        <f t="shared" si="27"/>
        <v>39109.17</v>
      </c>
      <c r="J215" s="463">
        <v>0.11</v>
      </c>
      <c r="K215" s="462">
        <v>0.11</v>
      </c>
      <c r="L215" s="23">
        <v>1</v>
      </c>
      <c r="M215" s="16">
        <f t="shared" ref="M215" si="47">IF(L215=0,0,(I215*L215))</f>
        <v>39109.17</v>
      </c>
      <c r="N215" s="22">
        <f t="shared" ref="N215" si="48">+I215-M215</f>
        <v>0</v>
      </c>
    </row>
    <row r="216" spans="1:14" s="6" customFormat="1" ht="30">
      <c r="A216" s="5">
        <v>230</v>
      </c>
      <c r="B216" s="5" t="s">
        <v>183</v>
      </c>
      <c r="C216" s="396" t="s">
        <v>1464</v>
      </c>
      <c r="D216" s="5" t="s">
        <v>95</v>
      </c>
      <c r="E216" s="10">
        <f>VLOOKUP($D216,'SMEPA Lines DECEMBER 2016'!$D:$H,2,0)</f>
        <v>0</v>
      </c>
      <c r="F216" s="10">
        <f>VLOOKUP($D216,'SMEPA Lines DECEMBER 2016'!$D:$H,3,0)</f>
        <v>0</v>
      </c>
      <c r="G216" s="10">
        <f>VLOOKUP($D216,'SMEPA Lines DECEMBER 2016'!$D:$H,4,0)</f>
        <v>837666.81</v>
      </c>
      <c r="H216" s="10">
        <f>VLOOKUP($D216,'SMEPA Lines DECEMBER 2016'!$D:$H,5,0)</f>
        <v>979915.26</v>
      </c>
      <c r="I216" s="3">
        <f t="shared" si="27"/>
        <v>1817582.07</v>
      </c>
      <c r="J216" s="3">
        <v>18.39</v>
      </c>
      <c r="K216" s="6">
        <v>18.39</v>
      </c>
      <c r="L216" s="23">
        <f t="shared" si="28"/>
        <v>1</v>
      </c>
      <c r="M216" s="16">
        <f t="shared" si="30"/>
        <v>1817582.07</v>
      </c>
      <c r="N216" s="22">
        <f t="shared" si="29"/>
        <v>0</v>
      </c>
    </row>
    <row r="217" spans="1:14" s="6" customFormat="1">
      <c r="A217" s="5">
        <v>230</v>
      </c>
      <c r="B217" s="5" t="s">
        <v>183</v>
      </c>
      <c r="C217" s="396" t="s">
        <v>1466</v>
      </c>
      <c r="D217" s="5">
        <v>232</v>
      </c>
      <c r="E217" s="10">
        <f>VLOOKUP($D217,'SMEPA Lines DECEMBER 2016'!$D:$H,2,0)</f>
        <v>0</v>
      </c>
      <c r="F217" s="10">
        <f>VLOOKUP($D217,'SMEPA Lines DECEMBER 2016'!$D:$H,3,0)</f>
        <v>0</v>
      </c>
      <c r="G217" s="10">
        <f>VLOOKUP($D217,'SMEPA Lines DECEMBER 2016'!$D:$H,4,0)</f>
        <v>3837427.85</v>
      </c>
      <c r="H217" s="10">
        <f>VLOOKUP($D217,'SMEPA Lines DECEMBER 2016'!$D:$H,5,0)</f>
        <v>2951109.26</v>
      </c>
      <c r="I217" s="3">
        <f t="shared" si="27"/>
        <v>6788537.1099999994</v>
      </c>
      <c r="J217" s="3">
        <v>38.31</v>
      </c>
      <c r="K217" s="6">
        <v>38.31</v>
      </c>
      <c r="L217" s="23">
        <f t="shared" si="28"/>
        <v>1</v>
      </c>
      <c r="M217" s="16">
        <f t="shared" si="30"/>
        <v>6788537.1099999994</v>
      </c>
      <c r="N217" s="22">
        <f t="shared" si="29"/>
        <v>0</v>
      </c>
    </row>
    <row r="218" spans="1:14" s="6" customFormat="1">
      <c r="A218" s="5">
        <v>69</v>
      </c>
      <c r="B218" s="5" t="s">
        <v>183</v>
      </c>
      <c r="C218" s="396" t="s">
        <v>1603</v>
      </c>
      <c r="D218" s="329" t="s">
        <v>1282</v>
      </c>
      <c r="E218" s="10">
        <f>VLOOKUP($D218,'SMEPA Lines DECEMBER 2016'!$D:$H,2,0)</f>
        <v>0</v>
      </c>
      <c r="F218" s="10">
        <f>VLOOKUP($D218,'SMEPA Lines DECEMBER 2016'!$D:$H,3,0)</f>
        <v>0</v>
      </c>
      <c r="G218" s="10">
        <f>VLOOKUP($D218,'SMEPA Lines DECEMBER 2016'!$D:$H,4,0)</f>
        <v>330496.34000000003</v>
      </c>
      <c r="H218" s="10">
        <f>VLOOKUP($D218,'SMEPA Lines DECEMBER 2016'!$D:$H,5,0)</f>
        <v>220971.86</v>
      </c>
      <c r="I218" s="3">
        <f t="shared" si="27"/>
        <v>551468.19999999995</v>
      </c>
      <c r="J218" s="6">
        <f>10.08+13.87</f>
        <v>23.95</v>
      </c>
      <c r="K218" s="6">
        <v>23.95</v>
      </c>
      <c r="L218" s="23">
        <f t="shared" si="28"/>
        <v>1</v>
      </c>
      <c r="M218" s="16">
        <f t="shared" si="30"/>
        <v>551468.19999999995</v>
      </c>
      <c r="N218" s="22">
        <f t="shared" si="29"/>
        <v>0</v>
      </c>
    </row>
    <row r="219" spans="1:14" s="6" customFormat="1">
      <c r="A219" s="5">
        <v>69</v>
      </c>
      <c r="B219" s="5" t="s">
        <v>183</v>
      </c>
      <c r="C219" s="396" t="s">
        <v>1436</v>
      </c>
      <c r="D219" s="5" t="s">
        <v>172</v>
      </c>
      <c r="E219" s="10">
        <f>VLOOKUP($D219,'SMEPA Lines DECEMBER 2016'!$D:$H,2,0)</f>
        <v>0</v>
      </c>
      <c r="F219" s="10">
        <f>VLOOKUP($D219,'SMEPA Lines DECEMBER 2016'!$D:$H,3,0)</f>
        <v>0</v>
      </c>
      <c r="G219" s="10">
        <f>VLOOKUP($D219,'SMEPA Lines DECEMBER 2016'!$D:$H,4,0)</f>
        <v>10658.39</v>
      </c>
      <c r="H219" s="10">
        <f>VLOOKUP($D219,'SMEPA Lines DECEMBER 2016'!$D:$H,5,0)</f>
        <v>21823.3</v>
      </c>
      <c r="I219" s="3">
        <f t="shared" si="27"/>
        <v>32481.69</v>
      </c>
      <c r="J219" s="3">
        <v>9.9999999999999995E-7</v>
      </c>
      <c r="L219" s="23">
        <f t="shared" si="28"/>
        <v>0</v>
      </c>
      <c r="M219" s="16">
        <f t="shared" si="30"/>
        <v>0</v>
      </c>
      <c r="N219" s="22">
        <f t="shared" si="29"/>
        <v>32481.69</v>
      </c>
    </row>
    <row r="220" spans="1:14" s="169" customFormat="1" ht="30">
      <c r="A220" s="388">
        <v>69</v>
      </c>
      <c r="B220" s="388" t="s">
        <v>183</v>
      </c>
      <c r="C220" s="410" t="s">
        <v>1323</v>
      </c>
      <c r="D220" s="298" t="s">
        <v>1259</v>
      </c>
      <c r="E220" s="170">
        <f>VLOOKUP($D220,'SMEPA Lines DECEMBER 2016'!$D:$H,2,0)</f>
        <v>16335.43</v>
      </c>
      <c r="F220" s="170">
        <f>VLOOKUP($D220,'SMEPA Lines DECEMBER 2016'!$D:$H,3,0)</f>
        <v>0</v>
      </c>
      <c r="G220" s="170">
        <f>VLOOKUP($D220,'SMEPA Lines DECEMBER 2016'!$D:$H,4,0)</f>
        <v>499430.60000000003</v>
      </c>
      <c r="H220" s="170">
        <f>VLOOKUP($D220,'SMEPA Lines DECEMBER 2016'!$D:$H,5,0)</f>
        <v>629454.67999999993</v>
      </c>
      <c r="I220" s="171">
        <f t="shared" si="27"/>
        <v>1145220.71</v>
      </c>
      <c r="J220" s="468">
        <f>5.59+2.73+0.28</f>
        <v>8.6</v>
      </c>
      <c r="K220" s="469">
        <v>8.32</v>
      </c>
      <c r="L220" s="172">
        <f t="shared" si="28"/>
        <v>0.97</v>
      </c>
      <c r="M220" s="173">
        <f t="shared" si="30"/>
        <v>1110864.0887</v>
      </c>
      <c r="N220" s="174">
        <f t="shared" si="29"/>
        <v>34356.621299999999</v>
      </c>
    </row>
    <row r="221" spans="1:14" s="6" customFormat="1" ht="30">
      <c r="A221" s="5">
        <v>69</v>
      </c>
      <c r="B221" s="5" t="s">
        <v>183</v>
      </c>
      <c r="C221" s="396" t="s">
        <v>1325</v>
      </c>
      <c r="D221" s="329" t="s">
        <v>1260</v>
      </c>
      <c r="E221" s="10">
        <f>VLOOKUP($D221,'SMEPA Lines DECEMBER 2016'!$D:$H,2,0)</f>
        <v>0</v>
      </c>
      <c r="F221" s="10">
        <f>VLOOKUP($D221,'SMEPA Lines DECEMBER 2016'!$D:$H,3,0)</f>
        <v>3696.64</v>
      </c>
      <c r="G221" s="10">
        <f>VLOOKUP($D221,'SMEPA Lines DECEMBER 2016'!$D:$H,4,0)</f>
        <v>179929.64</v>
      </c>
      <c r="H221" s="10">
        <f>VLOOKUP($D221,'SMEPA Lines DECEMBER 2016'!$D:$H,5,0)</f>
        <v>138358.5</v>
      </c>
      <c r="I221" s="3">
        <f t="shared" si="27"/>
        <v>321984.78000000003</v>
      </c>
      <c r="J221" s="6">
        <f>6.63+0.04+4.75</f>
        <v>11.42</v>
      </c>
      <c r="K221" s="6">
        <f>6.63+4.75</f>
        <v>11.379999999999999</v>
      </c>
      <c r="L221" s="23">
        <f t="shared" si="28"/>
        <v>1</v>
      </c>
      <c r="M221" s="16">
        <f t="shared" si="30"/>
        <v>321984.78000000003</v>
      </c>
      <c r="N221" s="22">
        <f t="shared" si="29"/>
        <v>0</v>
      </c>
    </row>
    <row r="222" spans="1:14" s="6" customFormat="1">
      <c r="A222" s="5">
        <v>69</v>
      </c>
      <c r="B222" s="5" t="s">
        <v>183</v>
      </c>
      <c r="C222" s="396" t="s">
        <v>1326</v>
      </c>
      <c r="D222" s="329" t="s">
        <v>1281</v>
      </c>
      <c r="E222" s="10">
        <f>VLOOKUP($D222,'SMEPA Lines DECEMBER 2016'!$D:$H,2,0)</f>
        <v>0</v>
      </c>
      <c r="F222" s="10">
        <f>VLOOKUP($D222,'SMEPA Lines DECEMBER 2016'!$D:$H,3,0)</f>
        <v>0</v>
      </c>
      <c r="G222" s="10">
        <f>VLOOKUP($D222,'SMEPA Lines DECEMBER 2016'!$D:$H,4,0)</f>
        <v>199220.34</v>
      </c>
      <c r="H222" s="10">
        <f>VLOOKUP($D222,'SMEPA Lines DECEMBER 2016'!$D:$H,5,0)</f>
        <v>109345.4</v>
      </c>
      <c r="I222" s="3">
        <f t="shared" ref="I222:I269" si="49">SUM(E222:H222)</f>
        <v>308565.74</v>
      </c>
      <c r="J222" s="6">
        <f>3.98+8.37</f>
        <v>12.35</v>
      </c>
      <c r="K222" s="6">
        <f>3.98+8.37</f>
        <v>12.35</v>
      </c>
      <c r="L222" s="23">
        <f t="shared" ref="L222:L268" si="50">+ROUND(+K222/J222,2)</f>
        <v>1</v>
      </c>
      <c r="M222" s="16">
        <f t="shared" si="30"/>
        <v>308565.74</v>
      </c>
      <c r="N222" s="22">
        <f t="shared" ref="N222:N268" si="51">+I222-M222</f>
        <v>0</v>
      </c>
    </row>
    <row r="223" spans="1:14" s="6" customFormat="1" ht="30">
      <c r="A223" s="5">
        <v>161</v>
      </c>
      <c r="B223" s="5" t="s">
        <v>183</v>
      </c>
      <c r="C223" s="396" t="s">
        <v>1441</v>
      </c>
      <c r="D223" s="5" t="s">
        <v>213</v>
      </c>
      <c r="E223" s="10">
        <f>VLOOKUP($D223,'SMEPA Lines DECEMBER 2016'!$D:$H,2,0)</f>
        <v>0</v>
      </c>
      <c r="F223" s="10">
        <f>VLOOKUP($D223,'SMEPA Lines DECEMBER 2016'!$D:$H,3,0)</f>
        <v>0</v>
      </c>
      <c r="G223" s="10">
        <f>VLOOKUP($D223,'SMEPA Lines DECEMBER 2016'!$D:$H,4,0)</f>
        <v>1171691.69</v>
      </c>
      <c r="H223" s="10">
        <f>VLOOKUP($D223,'SMEPA Lines DECEMBER 2016'!$D:$H,5,0)</f>
        <v>1932789.38</v>
      </c>
      <c r="I223" s="3">
        <f t="shared" si="49"/>
        <v>3104481.07</v>
      </c>
      <c r="J223" s="6">
        <v>38.630000000000003</v>
      </c>
      <c r="K223" s="6">
        <v>38.630000000000003</v>
      </c>
      <c r="L223" s="23">
        <f t="shared" si="50"/>
        <v>1</v>
      </c>
      <c r="M223" s="16">
        <f t="shared" ref="M223:M268" si="52">IF(L223=0,0,(I223*L223))</f>
        <v>3104481.07</v>
      </c>
      <c r="N223" s="22">
        <f t="shared" si="51"/>
        <v>0</v>
      </c>
    </row>
    <row r="224" spans="1:14" s="6" customFormat="1" ht="30">
      <c r="A224" s="5">
        <v>161</v>
      </c>
      <c r="B224" s="5" t="s">
        <v>183</v>
      </c>
      <c r="C224" s="396" t="s">
        <v>1604</v>
      </c>
      <c r="D224" s="5" t="s">
        <v>214</v>
      </c>
      <c r="E224" s="10">
        <f>VLOOKUP($D224,'SMEPA Lines DECEMBER 2016'!$D:$H,2,0)</f>
        <v>0</v>
      </c>
      <c r="F224" s="10">
        <f>VLOOKUP($D224,'SMEPA Lines DECEMBER 2016'!$D:$H,3,0)</f>
        <v>0</v>
      </c>
      <c r="G224" s="10">
        <f>VLOOKUP($D224,'SMEPA Lines DECEMBER 2016'!$D:$H,4,0)</f>
        <v>870056.3</v>
      </c>
      <c r="H224" s="10">
        <f>VLOOKUP($D224,'SMEPA Lines DECEMBER 2016'!$D:$H,5,0)</f>
        <v>1238233.43</v>
      </c>
      <c r="I224" s="3">
        <f t="shared" si="49"/>
        <v>2108289.73</v>
      </c>
      <c r="J224" s="6">
        <v>31.14</v>
      </c>
      <c r="K224" s="6">
        <v>31.14</v>
      </c>
      <c r="L224" s="23">
        <f t="shared" si="50"/>
        <v>1</v>
      </c>
      <c r="M224" s="16">
        <f t="shared" si="52"/>
        <v>2108289.73</v>
      </c>
      <c r="N224" s="22">
        <f t="shared" si="51"/>
        <v>0</v>
      </c>
    </row>
    <row r="225" spans="1:14" s="6" customFormat="1">
      <c r="A225" s="5">
        <v>161</v>
      </c>
      <c r="B225" s="5" t="s">
        <v>183</v>
      </c>
      <c r="C225" s="396" t="s">
        <v>1605</v>
      </c>
      <c r="D225" s="5" t="s">
        <v>174</v>
      </c>
      <c r="E225" s="10">
        <f>VLOOKUP($D225,'SMEPA Lines DECEMBER 2016'!$D:$H,2,0)</f>
        <v>0</v>
      </c>
      <c r="F225" s="10">
        <f>VLOOKUP($D225,'SMEPA Lines DECEMBER 2016'!$D:$H,3,0)</f>
        <v>0</v>
      </c>
      <c r="G225" s="10">
        <f>VLOOKUP($D225,'SMEPA Lines DECEMBER 2016'!$D:$H,4,0)</f>
        <v>41219.29</v>
      </c>
      <c r="H225" s="10">
        <f>VLOOKUP($D225,'SMEPA Lines DECEMBER 2016'!$D:$H,5,0)</f>
        <v>8670.58</v>
      </c>
      <c r="I225" s="3">
        <f t="shared" si="49"/>
        <v>49889.87</v>
      </c>
      <c r="J225" s="6">
        <v>11.52</v>
      </c>
      <c r="K225" s="6">
        <v>11.52</v>
      </c>
      <c r="L225" s="23">
        <f t="shared" si="50"/>
        <v>1</v>
      </c>
      <c r="M225" s="16">
        <f t="shared" si="52"/>
        <v>49889.87</v>
      </c>
      <c r="N225" s="22">
        <f t="shared" si="51"/>
        <v>0</v>
      </c>
    </row>
    <row r="226" spans="1:14" s="6" customFormat="1">
      <c r="A226" s="5">
        <v>161</v>
      </c>
      <c r="B226" s="5" t="s">
        <v>183</v>
      </c>
      <c r="C226" s="396" t="s">
        <v>1606</v>
      </c>
      <c r="D226" s="5" t="s">
        <v>175</v>
      </c>
      <c r="E226" s="10">
        <f>VLOOKUP($D226,'SMEPA Lines DECEMBER 2016'!$D:$H,2,0)</f>
        <v>0</v>
      </c>
      <c r="F226" s="10">
        <f>VLOOKUP($D226,'SMEPA Lines DECEMBER 2016'!$D:$H,3,0)</f>
        <v>0</v>
      </c>
      <c r="G226" s="10">
        <f>VLOOKUP($D226,'SMEPA Lines DECEMBER 2016'!$D:$H,4,0)</f>
        <v>30179.77</v>
      </c>
      <c r="H226" s="10">
        <f>VLOOKUP($D226,'SMEPA Lines DECEMBER 2016'!$D:$H,5,0)</f>
        <v>9912.75</v>
      </c>
      <c r="I226" s="3">
        <f t="shared" si="49"/>
        <v>40092.520000000004</v>
      </c>
      <c r="J226" s="6">
        <v>23.93</v>
      </c>
      <c r="K226" s="6">
        <v>23.93</v>
      </c>
      <c r="L226" s="23">
        <f t="shared" si="50"/>
        <v>1</v>
      </c>
      <c r="M226" s="16">
        <f t="shared" si="52"/>
        <v>40092.520000000004</v>
      </c>
      <c r="N226" s="22">
        <f t="shared" si="51"/>
        <v>0</v>
      </c>
    </row>
    <row r="227" spans="1:14" s="6" customFormat="1">
      <c r="A227" s="5">
        <v>69</v>
      </c>
      <c r="B227" s="5" t="s">
        <v>183</v>
      </c>
      <c r="C227" s="396" t="s">
        <v>1330</v>
      </c>
      <c r="D227" s="329" t="s">
        <v>1283</v>
      </c>
      <c r="E227" s="10">
        <f>VLOOKUP($D227,'SMEPA Lines DECEMBER 2016'!$D:$H,2,0)</f>
        <v>0</v>
      </c>
      <c r="F227" s="10">
        <f>VLOOKUP($D227,'SMEPA Lines DECEMBER 2016'!$D:$H,3,0)</f>
        <v>0</v>
      </c>
      <c r="G227" s="10">
        <f>VLOOKUP($D227,'SMEPA Lines DECEMBER 2016'!$D:$H,4,0)</f>
        <v>105716.22</v>
      </c>
      <c r="H227" s="10">
        <f>VLOOKUP($D227,'SMEPA Lines DECEMBER 2016'!$D:$H,5,0)</f>
        <v>87040.97</v>
      </c>
      <c r="I227" s="3">
        <f t="shared" si="49"/>
        <v>192757.19</v>
      </c>
      <c r="J227" s="6">
        <f>4.57+6.01</f>
        <v>10.58</v>
      </c>
      <c r="K227" s="6">
        <v>10.58</v>
      </c>
      <c r="L227" s="23">
        <f t="shared" si="50"/>
        <v>1</v>
      </c>
      <c r="M227" s="16">
        <f t="shared" si="52"/>
        <v>192757.19</v>
      </c>
      <c r="N227" s="22">
        <f t="shared" si="51"/>
        <v>0</v>
      </c>
    </row>
    <row r="228" spans="1:14" s="169" customFormat="1">
      <c r="A228" s="388">
        <v>69</v>
      </c>
      <c r="B228" s="388" t="s">
        <v>183</v>
      </c>
      <c r="C228" s="405" t="s">
        <v>1332</v>
      </c>
      <c r="D228" s="388" t="s">
        <v>20</v>
      </c>
      <c r="E228" s="170">
        <f>VLOOKUP($D228,'SMEPA Lines DECEMBER 2016'!$D:$H,2,0)</f>
        <v>0</v>
      </c>
      <c r="F228" s="170">
        <f>VLOOKUP($D228,'SMEPA Lines DECEMBER 2016'!$D:$H,3,0)</f>
        <v>0</v>
      </c>
      <c r="G228" s="170">
        <f>VLOOKUP($D228,'SMEPA Lines DECEMBER 2016'!$D:$H,4,0)</f>
        <v>9458.81</v>
      </c>
      <c r="H228" s="170">
        <f>VLOOKUP($D228,'SMEPA Lines DECEMBER 2016'!$D:$H,5,0)</f>
        <v>6055.32</v>
      </c>
      <c r="I228" s="171">
        <f t="shared" si="49"/>
        <v>15514.13</v>
      </c>
      <c r="J228" s="169">
        <v>0.06</v>
      </c>
      <c r="L228" s="172">
        <f t="shared" si="50"/>
        <v>0</v>
      </c>
      <c r="M228" s="173">
        <f t="shared" si="52"/>
        <v>0</v>
      </c>
      <c r="N228" s="174">
        <f t="shared" si="51"/>
        <v>15514.13</v>
      </c>
    </row>
    <row r="229" spans="1:14" s="6" customFormat="1">
      <c r="A229" s="5">
        <v>69</v>
      </c>
      <c r="B229" s="5" t="s">
        <v>183</v>
      </c>
      <c r="C229" s="390" t="s">
        <v>12</v>
      </c>
      <c r="D229" s="329" t="s">
        <v>1314</v>
      </c>
      <c r="E229" s="10">
        <f>VLOOKUP($D229,'SMEPA Lines DECEMBER 2016'!$D:$H,2,0)</f>
        <v>0</v>
      </c>
      <c r="F229" s="10">
        <f>VLOOKUP($D229,'SMEPA Lines DECEMBER 2016'!$D:$H,3,0)</f>
        <v>0</v>
      </c>
      <c r="G229" s="10">
        <f>VLOOKUP($D229,'SMEPA Lines DECEMBER 2016'!$D:$H,4,0)</f>
        <v>1215221.1400000001</v>
      </c>
      <c r="H229" s="10">
        <f>VLOOKUP($D229,'SMEPA Lines DECEMBER 2016'!$D:$H,5,0)</f>
        <v>1284698.73</v>
      </c>
      <c r="I229" s="3">
        <f t="shared" si="49"/>
        <v>2499919.87</v>
      </c>
      <c r="J229" s="6">
        <v>14.63</v>
      </c>
      <c r="K229" s="6">
        <v>14.63</v>
      </c>
      <c r="L229" s="23">
        <f t="shared" si="50"/>
        <v>1</v>
      </c>
      <c r="M229" s="16">
        <f t="shared" si="52"/>
        <v>2499919.87</v>
      </c>
      <c r="N229" s="22">
        <f t="shared" si="51"/>
        <v>0</v>
      </c>
    </row>
    <row r="230" spans="1:14" s="6" customFormat="1" ht="30">
      <c r="A230" s="5">
        <v>69</v>
      </c>
      <c r="B230" s="5" t="s">
        <v>183</v>
      </c>
      <c r="C230" s="396" t="s">
        <v>1334</v>
      </c>
      <c r="D230" s="5" t="s">
        <v>1336</v>
      </c>
      <c r="E230" s="10">
        <f>VLOOKUP($D230,'SMEPA Lines DECEMBER 2016'!$D:$H,2,0)</f>
        <v>0</v>
      </c>
      <c r="F230" s="10">
        <f>VLOOKUP($D230,'SMEPA Lines DECEMBER 2016'!$D:$H,3,0)</f>
        <v>0</v>
      </c>
      <c r="G230" s="10">
        <f>VLOOKUP($D230,'SMEPA Lines DECEMBER 2016'!$D:$H,4,0)</f>
        <v>42913.640000000007</v>
      </c>
      <c r="H230" s="10">
        <f>VLOOKUP($D230,'SMEPA Lines DECEMBER 2016'!$D:$H,5,0)</f>
        <v>25158.199999999997</v>
      </c>
      <c r="I230" s="3">
        <f t="shared" si="49"/>
        <v>68071.839999999997</v>
      </c>
      <c r="J230" s="6">
        <f>3.75+0.1</f>
        <v>3.85</v>
      </c>
      <c r="K230" s="6">
        <v>3.75</v>
      </c>
      <c r="L230" s="23">
        <f t="shared" si="50"/>
        <v>0.97</v>
      </c>
      <c r="M230" s="16">
        <f t="shared" si="52"/>
        <v>66029.684799999988</v>
      </c>
      <c r="N230" s="22">
        <f t="shared" si="51"/>
        <v>2042.1552000000083</v>
      </c>
    </row>
    <row r="231" spans="1:14" s="276" customFormat="1" ht="30">
      <c r="A231" s="400">
        <v>230</v>
      </c>
      <c r="B231" s="400" t="s">
        <v>183</v>
      </c>
      <c r="C231" s="432" t="s">
        <v>1465</v>
      </c>
      <c r="D231" s="400" t="s">
        <v>215</v>
      </c>
      <c r="E231" s="401">
        <f>VLOOKUP($D231,'SMEPA Lines DECEMBER 2016'!$D:$H,2,0)</f>
        <v>0</v>
      </c>
      <c r="F231" s="401">
        <f>VLOOKUP($D231,'SMEPA Lines DECEMBER 2016'!$D:$H,3,0)</f>
        <v>0</v>
      </c>
      <c r="G231" s="401">
        <f>VLOOKUP($D231,'SMEPA Lines DECEMBER 2016'!$D:$H,4,0)</f>
        <v>2033593.43</v>
      </c>
      <c r="H231" s="401">
        <f>VLOOKUP($D231,'SMEPA Lines DECEMBER 2016'!$D:$H,5,0)</f>
        <v>1843610.33</v>
      </c>
      <c r="I231" s="402">
        <f t="shared" si="49"/>
        <v>3877203.76</v>
      </c>
      <c r="J231" s="276">
        <f>20.09+6.52</f>
        <v>26.61</v>
      </c>
      <c r="K231" s="276">
        <v>26.61</v>
      </c>
      <c r="L231" s="403">
        <f t="shared" si="50"/>
        <v>1</v>
      </c>
      <c r="M231" s="277">
        <f t="shared" si="52"/>
        <v>3877203.76</v>
      </c>
      <c r="N231" s="404">
        <f t="shared" si="51"/>
        <v>0</v>
      </c>
    </row>
    <row r="232" spans="1:14" s="169" customFormat="1" ht="30">
      <c r="A232" s="388">
        <v>69</v>
      </c>
      <c r="B232" s="388" t="s">
        <v>183</v>
      </c>
      <c r="C232" s="405" t="s">
        <v>1340</v>
      </c>
      <c r="D232" s="298" t="s">
        <v>1607</v>
      </c>
      <c r="E232" s="170">
        <f>VLOOKUP($D232,'SMEPA Lines DECEMBER 2016'!$D:$H,2,0)</f>
        <v>64341.9</v>
      </c>
      <c r="F232" s="170">
        <f>VLOOKUP($D232,'SMEPA Lines DECEMBER 2016'!$D:$H,3,0)</f>
        <v>0</v>
      </c>
      <c r="G232" s="170">
        <f>VLOOKUP($D232,'SMEPA Lines DECEMBER 2016'!$D:$H,4,0)</f>
        <v>355500.18000000005</v>
      </c>
      <c r="H232" s="170">
        <f>VLOOKUP($D232,'SMEPA Lines DECEMBER 2016'!$D:$H,5,0)</f>
        <v>297244.76</v>
      </c>
      <c r="I232" s="171">
        <f t="shared" si="49"/>
        <v>717086.84000000008</v>
      </c>
      <c r="J232" s="468">
        <f>9.56+5.1+0.18</f>
        <v>14.84</v>
      </c>
      <c r="K232" s="468">
        <v>14.66</v>
      </c>
      <c r="L232" s="172">
        <f t="shared" si="50"/>
        <v>0.99</v>
      </c>
      <c r="M232" s="173">
        <f t="shared" si="52"/>
        <v>709915.97160000005</v>
      </c>
      <c r="N232" s="174">
        <f t="shared" si="51"/>
        <v>7170.8684000000358</v>
      </c>
    </row>
    <row r="233" spans="1:14" s="169" customFormat="1" ht="30">
      <c r="A233" s="388">
        <v>69</v>
      </c>
      <c r="B233" s="388" t="s">
        <v>183</v>
      </c>
      <c r="C233" s="405" t="s">
        <v>1343</v>
      </c>
      <c r="D233" s="298" t="s">
        <v>1344</v>
      </c>
      <c r="E233" s="170">
        <f>VLOOKUP($D233,'SMEPA Lines DECEMBER 2016'!$D:$H,2,0)</f>
        <v>0</v>
      </c>
      <c r="F233" s="170">
        <f>VLOOKUP($D233,'SMEPA Lines DECEMBER 2016'!$D:$H,3,0)</f>
        <v>3682.04</v>
      </c>
      <c r="G233" s="170">
        <f>VLOOKUP($D233,'SMEPA Lines DECEMBER 2016'!$D:$H,4,0)</f>
        <v>93933.22</v>
      </c>
      <c r="H233" s="170">
        <f>VLOOKUP($D233,'SMEPA Lines DECEMBER 2016'!$D:$H,5,0)</f>
        <v>115919.78</v>
      </c>
      <c r="I233" s="171">
        <f t="shared" si="49"/>
        <v>213535.03999999998</v>
      </c>
      <c r="J233" s="169">
        <f>10.22+0.81</f>
        <v>11.030000000000001</v>
      </c>
      <c r="K233" s="169">
        <f>10.12+0.81</f>
        <v>10.93</v>
      </c>
      <c r="L233" s="172">
        <f t="shared" si="50"/>
        <v>0.99</v>
      </c>
      <c r="M233" s="173">
        <f t="shared" si="52"/>
        <v>211399.68959999998</v>
      </c>
      <c r="N233" s="174">
        <f t="shared" si="51"/>
        <v>2135.3503999999957</v>
      </c>
    </row>
    <row r="234" spans="1:14" s="6" customFormat="1">
      <c r="A234" s="5">
        <v>69</v>
      </c>
      <c r="B234" s="5" t="s">
        <v>183</v>
      </c>
      <c r="C234" s="396" t="s">
        <v>1349</v>
      </c>
      <c r="D234" s="329" t="s">
        <v>1350</v>
      </c>
      <c r="E234" s="10">
        <f>VLOOKUP($D234,'SMEPA Lines DECEMBER 2016'!$D:$H,2,0)</f>
        <v>0</v>
      </c>
      <c r="F234" s="10">
        <f>VLOOKUP($D234,'SMEPA Lines DECEMBER 2016'!$D:$H,3,0)</f>
        <v>0</v>
      </c>
      <c r="G234" s="10">
        <f>VLOOKUP($D234,'SMEPA Lines DECEMBER 2016'!$D:$H,4,0)</f>
        <v>121356.43</v>
      </c>
      <c r="H234" s="10">
        <f>VLOOKUP($D234,'SMEPA Lines DECEMBER 2016'!$D:$H,5,0)</f>
        <v>135700.79</v>
      </c>
      <c r="I234" s="3">
        <f t="shared" si="49"/>
        <v>257057.22</v>
      </c>
      <c r="J234" s="6">
        <f>10.18+0.64</f>
        <v>10.82</v>
      </c>
      <c r="K234" s="6">
        <v>10.82</v>
      </c>
      <c r="L234" s="23">
        <f t="shared" si="50"/>
        <v>1</v>
      </c>
      <c r="M234" s="16">
        <f t="shared" si="52"/>
        <v>257057.22</v>
      </c>
      <c r="N234" s="22">
        <f t="shared" si="51"/>
        <v>0</v>
      </c>
    </row>
    <row r="235" spans="1:14" s="169" customFormat="1" ht="30">
      <c r="A235" s="388">
        <v>69</v>
      </c>
      <c r="B235" s="388" t="s">
        <v>183</v>
      </c>
      <c r="C235" s="405" t="s">
        <v>1354</v>
      </c>
      <c r="D235" s="298" t="s">
        <v>1353</v>
      </c>
      <c r="E235" s="170">
        <f>VLOOKUP($D235,'SMEPA Lines DECEMBER 2016'!$D:$H,2,0)</f>
        <v>0</v>
      </c>
      <c r="F235" s="170">
        <f>VLOOKUP($D235,'SMEPA Lines DECEMBER 2016'!$D:$H,3,0)</f>
        <v>2640.54</v>
      </c>
      <c r="G235" s="170">
        <f>VLOOKUP($D235,'SMEPA Lines DECEMBER 2016'!$D:$H,4,0)</f>
        <v>221167.44</v>
      </c>
      <c r="H235" s="170">
        <f>VLOOKUP($D235,'SMEPA Lines DECEMBER 2016'!$D:$H,5,0)</f>
        <v>203769.60000000001</v>
      </c>
      <c r="I235" s="171">
        <f t="shared" si="49"/>
        <v>427577.58</v>
      </c>
      <c r="J235" s="169">
        <f>18.07+2.7</f>
        <v>20.77</v>
      </c>
      <c r="K235" s="171">
        <v>18.07</v>
      </c>
      <c r="L235" s="172">
        <f t="shared" si="50"/>
        <v>0.87</v>
      </c>
      <c r="M235" s="173">
        <f t="shared" si="52"/>
        <v>371992.49460000003</v>
      </c>
      <c r="N235" s="174">
        <f t="shared" si="51"/>
        <v>55585.085399999982</v>
      </c>
    </row>
    <row r="236" spans="1:14" s="6" customFormat="1" ht="30">
      <c r="A236" s="5">
        <v>69</v>
      </c>
      <c r="B236" s="5" t="s">
        <v>183</v>
      </c>
      <c r="C236" s="396" t="s">
        <v>1355</v>
      </c>
      <c r="D236" s="329" t="s">
        <v>1236</v>
      </c>
      <c r="E236" s="10">
        <f>VLOOKUP($D236,'SMEPA Lines DECEMBER 2016'!$D:$H,2,0)</f>
        <v>0</v>
      </c>
      <c r="F236" s="10">
        <f>VLOOKUP($D236,'SMEPA Lines DECEMBER 2016'!$D:$H,3,0)</f>
        <v>4542.9799999999996</v>
      </c>
      <c r="G236" s="10">
        <f>VLOOKUP($D236,'SMEPA Lines DECEMBER 2016'!$D:$H,4,0)</f>
        <v>455631.35</v>
      </c>
      <c r="H236" s="10">
        <f>VLOOKUP($D236,'SMEPA Lines DECEMBER 2016'!$D:$H,5,0)</f>
        <v>247413.68</v>
      </c>
      <c r="I236" s="3">
        <f t="shared" si="49"/>
        <v>707588.01</v>
      </c>
      <c r="J236" s="6">
        <f>12.07+5.52+0.02+1.39</f>
        <v>19</v>
      </c>
      <c r="K236" s="6">
        <v>18.98</v>
      </c>
      <c r="L236" s="419">
        <f>+ROUND(+K236/J236,3)</f>
        <v>0.999</v>
      </c>
      <c r="M236" s="16">
        <f t="shared" si="52"/>
        <v>706880.42199000006</v>
      </c>
      <c r="N236" s="22">
        <f t="shared" si="51"/>
        <v>707.58800999994855</v>
      </c>
    </row>
    <row r="237" spans="1:14" s="169" customFormat="1">
      <c r="A237" s="441">
        <v>69</v>
      </c>
      <c r="B237" s="441" t="s">
        <v>183</v>
      </c>
      <c r="C237" s="405" t="s">
        <v>1357</v>
      </c>
      <c r="D237" s="298" t="s">
        <v>1356</v>
      </c>
      <c r="E237" s="170">
        <f>VLOOKUP($D237,'SMEPA Lines DECEMBER 2016'!$D:$H,2,0)</f>
        <v>0</v>
      </c>
      <c r="F237" s="170">
        <f>VLOOKUP($D237,'SMEPA Lines DECEMBER 2016'!$D:$H,3,0)</f>
        <v>0</v>
      </c>
      <c r="G237" s="170">
        <f>VLOOKUP($D237,'SMEPA Lines DECEMBER 2016'!$D:$H,4,0)</f>
        <v>167273.25</v>
      </c>
      <c r="H237" s="170">
        <f>VLOOKUP($D237,'SMEPA Lines DECEMBER 2016'!$D:$H,5,0)</f>
        <v>90983.87</v>
      </c>
      <c r="I237" s="171">
        <f t="shared" si="49"/>
        <v>258257.12</v>
      </c>
      <c r="J237" s="169">
        <f>7.97+0.72</f>
        <v>8.69</v>
      </c>
      <c r="K237" s="169">
        <v>7.97</v>
      </c>
      <c r="L237" s="172">
        <f t="shared" si="50"/>
        <v>0.92</v>
      </c>
      <c r="M237" s="173">
        <f t="shared" si="52"/>
        <v>237596.55040000001</v>
      </c>
      <c r="N237" s="174">
        <f t="shared" si="51"/>
        <v>20660.569599999988</v>
      </c>
    </row>
    <row r="238" spans="1:14" s="169" customFormat="1" ht="30">
      <c r="A238" s="388">
        <v>69</v>
      </c>
      <c r="B238" s="388" t="s">
        <v>183</v>
      </c>
      <c r="C238" s="405" t="s">
        <v>1358</v>
      </c>
      <c r="D238" s="298" t="s">
        <v>191</v>
      </c>
      <c r="E238" s="170">
        <f>VLOOKUP($D238,'SMEPA Lines DECEMBER 2016'!$D:$H,2,0)</f>
        <v>0</v>
      </c>
      <c r="F238" s="170">
        <f>VLOOKUP($D238,'SMEPA Lines DECEMBER 2016'!$D:$H,3,0)</f>
        <v>5333.69</v>
      </c>
      <c r="G238" s="170">
        <f>VLOOKUP($D238,'SMEPA Lines DECEMBER 2016'!$D:$H,4,0)</f>
        <v>237212.72</v>
      </c>
      <c r="H238" s="170">
        <f>VLOOKUP($D238,'SMEPA Lines DECEMBER 2016'!$D:$H,5,0)</f>
        <v>167568.31000000003</v>
      </c>
      <c r="I238" s="171">
        <f t="shared" si="49"/>
        <v>410114.72000000003</v>
      </c>
      <c r="J238" s="387">
        <f>11.37+1.33</f>
        <v>12.7</v>
      </c>
      <c r="K238" s="169">
        <v>12.7</v>
      </c>
      <c r="L238" s="172">
        <f t="shared" si="50"/>
        <v>1</v>
      </c>
      <c r="M238" s="173">
        <f t="shared" si="52"/>
        <v>410114.72000000003</v>
      </c>
      <c r="N238" s="174">
        <f t="shared" si="51"/>
        <v>0</v>
      </c>
    </row>
    <row r="239" spans="1:14" s="6" customFormat="1">
      <c r="A239" s="5">
        <v>69</v>
      </c>
      <c r="B239" s="329" t="s">
        <v>183</v>
      </c>
      <c r="C239" s="396" t="s">
        <v>1359</v>
      </c>
      <c r="D239" s="329" t="s">
        <v>190</v>
      </c>
      <c r="E239" s="10">
        <f>VLOOKUP($D239,'SMEPA Lines DECEMBER 2016'!$D:$H,2,0)</f>
        <v>0</v>
      </c>
      <c r="F239" s="10">
        <f>VLOOKUP($D239,'SMEPA Lines DECEMBER 2016'!$D:$H,3,0)</f>
        <v>0</v>
      </c>
      <c r="G239" s="10">
        <f>VLOOKUP($D239,'SMEPA Lines DECEMBER 2016'!$D:$H,4,0)</f>
        <v>30421.37</v>
      </c>
      <c r="H239" s="10">
        <f>VLOOKUP($D239,'SMEPA Lines DECEMBER 2016'!$D:$H,5,0)</f>
        <v>20083.14</v>
      </c>
      <c r="I239" s="3">
        <f t="shared" si="49"/>
        <v>50504.509999999995</v>
      </c>
      <c r="J239" s="6">
        <v>0.09</v>
      </c>
      <c r="L239" s="23">
        <f t="shared" si="50"/>
        <v>0</v>
      </c>
      <c r="M239" s="16">
        <f t="shared" si="52"/>
        <v>0</v>
      </c>
      <c r="N239" s="22">
        <f t="shared" si="51"/>
        <v>50504.509999999995</v>
      </c>
    </row>
    <row r="240" spans="1:14" s="6" customFormat="1" ht="30">
      <c r="A240" s="5">
        <v>69</v>
      </c>
      <c r="B240" s="5" t="s">
        <v>183</v>
      </c>
      <c r="C240" s="396" t="s">
        <v>1366</v>
      </c>
      <c r="D240" s="329" t="s">
        <v>1365</v>
      </c>
      <c r="E240" s="10">
        <f>VLOOKUP($D240,'SMEPA Lines DECEMBER 2016'!$D:$H,2,0)</f>
        <v>0</v>
      </c>
      <c r="F240" s="10">
        <f>VLOOKUP($D240,'SMEPA Lines DECEMBER 2016'!$D:$H,3,0)</f>
        <v>10471.67</v>
      </c>
      <c r="G240" s="10">
        <f>VLOOKUP($D240,'SMEPA Lines DECEMBER 2016'!$D:$H,4,0)</f>
        <v>398157.73</v>
      </c>
      <c r="H240" s="10">
        <f>VLOOKUP($D240,'SMEPA Lines DECEMBER 2016'!$D:$H,5,0)</f>
        <v>204394.29</v>
      </c>
      <c r="I240" s="3">
        <f t="shared" si="49"/>
        <v>613023.68999999994</v>
      </c>
      <c r="J240" s="6">
        <f>3.95+7.87+4.49+0.07</f>
        <v>16.380000000000003</v>
      </c>
      <c r="K240" s="6">
        <f>3.95+7.87+4.49</f>
        <v>16.310000000000002</v>
      </c>
      <c r="L240" s="419">
        <f>+ROUND(+K240/J240,3)</f>
        <v>0.996</v>
      </c>
      <c r="M240" s="16">
        <f t="shared" si="52"/>
        <v>610571.59523999994</v>
      </c>
      <c r="N240" s="22">
        <f t="shared" si="51"/>
        <v>2452.0947600000072</v>
      </c>
    </row>
    <row r="241" spans="1:14" s="6" customFormat="1" ht="30">
      <c r="A241" s="5">
        <v>69</v>
      </c>
      <c r="B241" s="5" t="s">
        <v>183</v>
      </c>
      <c r="C241" s="396" t="s">
        <v>1608</v>
      </c>
      <c r="D241" s="329" t="s">
        <v>1315</v>
      </c>
      <c r="E241" s="10">
        <f>VLOOKUP($D241,'SMEPA Lines DECEMBER 2016'!$D:$H,2,0)</f>
        <v>0</v>
      </c>
      <c r="F241" s="10">
        <f>VLOOKUP($D241,'SMEPA Lines DECEMBER 2016'!$D:$H,3,0)</f>
        <v>3997.73</v>
      </c>
      <c r="G241" s="10">
        <f>VLOOKUP($D241,'SMEPA Lines DECEMBER 2016'!$D:$H,4,0)</f>
        <v>277527.84000000003</v>
      </c>
      <c r="H241" s="10">
        <f>VLOOKUP($D241,'SMEPA Lines DECEMBER 2016'!$D:$H,5,0)</f>
        <v>287965.27</v>
      </c>
      <c r="I241" s="3">
        <f t="shared" si="49"/>
        <v>569490.84000000008</v>
      </c>
      <c r="J241" s="6">
        <f>11.52+0.51+16.29+0.06</f>
        <v>28.38</v>
      </c>
      <c r="K241" s="3">
        <f>11.52+16.29</f>
        <v>27.81</v>
      </c>
      <c r="L241" s="23">
        <f t="shared" si="50"/>
        <v>0.98</v>
      </c>
      <c r="M241" s="16">
        <f t="shared" si="52"/>
        <v>558101.02320000005</v>
      </c>
      <c r="N241" s="22">
        <f t="shared" si="51"/>
        <v>11389.81680000003</v>
      </c>
    </row>
    <row r="242" spans="1:14" s="6" customFormat="1" ht="30">
      <c r="A242" s="5">
        <v>69</v>
      </c>
      <c r="B242" s="5" t="s">
        <v>183</v>
      </c>
      <c r="C242" s="396" t="s">
        <v>1367</v>
      </c>
      <c r="D242" s="5" t="s">
        <v>32</v>
      </c>
      <c r="E242" s="10">
        <f>VLOOKUP($D242,'SMEPA Lines DECEMBER 2016'!$D:$H,2,0)</f>
        <v>0</v>
      </c>
      <c r="F242" s="10">
        <f>VLOOKUP($D242,'SMEPA Lines DECEMBER 2016'!$D:$H,3,0)</f>
        <v>0</v>
      </c>
      <c r="G242" s="10">
        <f>VLOOKUP($D242,'SMEPA Lines DECEMBER 2016'!$D:$H,4,0)</f>
        <v>198229.76000000001</v>
      </c>
      <c r="H242" s="10">
        <f>VLOOKUP($D242,'SMEPA Lines DECEMBER 2016'!$D:$H,5,0)</f>
        <v>105076.61</v>
      </c>
      <c r="I242" s="3">
        <f t="shared" si="49"/>
        <v>303306.37</v>
      </c>
      <c r="J242" s="6">
        <f>5.11+0.54+5.35</f>
        <v>11</v>
      </c>
      <c r="K242" s="6">
        <f>5.11+0.54+5.31</f>
        <v>10.96</v>
      </c>
      <c r="L242" s="419">
        <f>+ROUND(+K242/J242,3)</f>
        <v>0.996</v>
      </c>
      <c r="M242" s="16">
        <f t="shared" si="52"/>
        <v>302093.14451999997</v>
      </c>
      <c r="N242" s="22">
        <f t="shared" si="51"/>
        <v>1213.2254800000228</v>
      </c>
    </row>
    <row r="243" spans="1:14" s="6" customFormat="1" ht="30">
      <c r="A243" s="5">
        <v>69</v>
      </c>
      <c r="B243" s="5" t="s">
        <v>183</v>
      </c>
      <c r="C243" s="396" t="s">
        <v>1368</v>
      </c>
      <c r="D243" s="5" t="s">
        <v>151</v>
      </c>
      <c r="E243" s="10">
        <f>VLOOKUP($D243,'SMEPA Lines DECEMBER 2016'!$D:$H,2,0)</f>
        <v>0</v>
      </c>
      <c r="F243" s="10">
        <f>VLOOKUP($D243,'SMEPA Lines DECEMBER 2016'!$D:$H,3,0)</f>
        <v>0</v>
      </c>
      <c r="G243" s="10">
        <f>VLOOKUP($D243,'SMEPA Lines DECEMBER 2016'!$D:$H,4,0)</f>
        <v>142873.46</v>
      </c>
      <c r="H243" s="10">
        <f>VLOOKUP($D243,'SMEPA Lines DECEMBER 2016'!$D:$H,5,0)</f>
        <v>85285.82</v>
      </c>
      <c r="I243" s="3">
        <f t="shared" si="49"/>
        <v>228159.28</v>
      </c>
      <c r="J243" s="6">
        <f>4.78+5.59</f>
        <v>10.370000000000001</v>
      </c>
      <c r="K243" s="6">
        <v>10.37</v>
      </c>
      <c r="L243" s="23">
        <f t="shared" si="50"/>
        <v>1</v>
      </c>
      <c r="M243" s="16">
        <f t="shared" si="52"/>
        <v>228159.28</v>
      </c>
      <c r="N243" s="22">
        <f t="shared" si="51"/>
        <v>0</v>
      </c>
    </row>
    <row r="244" spans="1:14" s="6" customFormat="1">
      <c r="A244" s="5">
        <v>69</v>
      </c>
      <c r="B244" s="5" t="s">
        <v>183</v>
      </c>
      <c r="C244" s="390" t="s">
        <v>149</v>
      </c>
      <c r="D244" s="5" t="s">
        <v>150</v>
      </c>
      <c r="E244" s="10">
        <f>VLOOKUP($D244,'SMEPA Lines DECEMBER 2016'!$D:$H,2,0)</f>
        <v>0</v>
      </c>
      <c r="F244" s="10">
        <f>VLOOKUP($D244,'SMEPA Lines DECEMBER 2016'!$D:$H,3,0)</f>
        <v>0</v>
      </c>
      <c r="G244" s="10">
        <f>VLOOKUP($D244,'SMEPA Lines DECEMBER 2016'!$D:$H,4,0)</f>
        <v>19080.099999999999</v>
      </c>
      <c r="H244" s="10">
        <f>VLOOKUP($D244,'SMEPA Lines DECEMBER 2016'!$D:$H,5,0)</f>
        <v>80822.84</v>
      </c>
      <c r="I244" s="3">
        <f t="shared" si="49"/>
        <v>99902.94</v>
      </c>
      <c r="J244" s="6">
        <v>0.04</v>
      </c>
      <c r="K244" s="3"/>
      <c r="L244" s="23">
        <f t="shared" si="50"/>
        <v>0</v>
      </c>
      <c r="M244" s="16">
        <f t="shared" si="52"/>
        <v>0</v>
      </c>
      <c r="N244" s="22">
        <f t="shared" si="51"/>
        <v>99902.94</v>
      </c>
    </row>
    <row r="245" spans="1:14" s="6" customFormat="1">
      <c r="A245" s="5">
        <v>69</v>
      </c>
      <c r="B245" s="5" t="s">
        <v>183</v>
      </c>
      <c r="C245" s="396" t="s">
        <v>1369</v>
      </c>
      <c r="D245" s="5">
        <v>42</v>
      </c>
      <c r="E245" s="10">
        <f>VLOOKUP($D245,'SMEPA Lines DECEMBER 2016'!$D:$H,2,0)</f>
        <v>0</v>
      </c>
      <c r="F245" s="10">
        <f>VLOOKUP($D245,'SMEPA Lines DECEMBER 2016'!$D:$H,3,0)</f>
        <v>3499.41</v>
      </c>
      <c r="G245" s="10">
        <f>VLOOKUP($D245,'SMEPA Lines DECEMBER 2016'!$D:$H,4,0)</f>
        <v>91974.87</v>
      </c>
      <c r="H245" s="10">
        <f>VLOOKUP($D245,'SMEPA Lines DECEMBER 2016'!$D:$H,5,0)</f>
        <v>106589.92</v>
      </c>
      <c r="I245" s="3">
        <f t="shared" si="49"/>
        <v>202064.2</v>
      </c>
      <c r="J245" s="6">
        <v>11.17</v>
      </c>
      <c r="K245" s="6">
        <v>11.17</v>
      </c>
      <c r="L245" s="23">
        <f t="shared" si="50"/>
        <v>1</v>
      </c>
      <c r="M245" s="16">
        <f t="shared" si="52"/>
        <v>202064.2</v>
      </c>
      <c r="N245" s="22">
        <f t="shared" si="51"/>
        <v>0</v>
      </c>
    </row>
    <row r="246" spans="1:14" s="6" customFormat="1" ht="30">
      <c r="A246" s="5">
        <v>69</v>
      </c>
      <c r="B246" s="5" t="s">
        <v>183</v>
      </c>
      <c r="C246" s="396" t="s">
        <v>1371</v>
      </c>
      <c r="D246" s="329" t="s">
        <v>1372</v>
      </c>
      <c r="E246" s="10">
        <f>VLOOKUP($D246,'SMEPA Lines DECEMBER 2016'!$D:$H,2,0)</f>
        <v>0</v>
      </c>
      <c r="F246" s="10">
        <f>VLOOKUP($D246,'SMEPA Lines DECEMBER 2016'!$D:$H,3,0)</f>
        <v>3459.86</v>
      </c>
      <c r="G246" s="10">
        <f>VLOOKUP($D246,'SMEPA Lines DECEMBER 2016'!$D:$H,4,0)</f>
        <v>114375.94</v>
      </c>
      <c r="H246" s="10">
        <f>VLOOKUP($D246,'SMEPA Lines DECEMBER 2016'!$D:$H,5,0)</f>
        <v>108690.54</v>
      </c>
      <c r="I246" s="3">
        <f t="shared" si="49"/>
        <v>226526.34</v>
      </c>
      <c r="J246" s="6">
        <f>10.96+0.14</f>
        <v>11.100000000000001</v>
      </c>
      <c r="K246" s="6">
        <v>10.96</v>
      </c>
      <c r="L246" s="23">
        <f t="shared" si="50"/>
        <v>0.99</v>
      </c>
      <c r="M246" s="16">
        <f t="shared" si="52"/>
        <v>224261.0766</v>
      </c>
      <c r="N246" s="22">
        <f t="shared" si="51"/>
        <v>2265.2633999999962</v>
      </c>
    </row>
    <row r="247" spans="1:14" s="6" customFormat="1">
      <c r="A247" s="5">
        <v>69</v>
      </c>
      <c r="B247" s="5" t="s">
        <v>183</v>
      </c>
      <c r="C247" s="396" t="s">
        <v>1374</v>
      </c>
      <c r="D247" s="329" t="s">
        <v>1373</v>
      </c>
      <c r="E247" s="10">
        <f>VLOOKUP($D247,'SMEPA Lines DECEMBER 2016'!$D:$H,2,0)</f>
        <v>0</v>
      </c>
      <c r="F247" s="10">
        <f>VLOOKUP($D247,'SMEPA Lines DECEMBER 2016'!$D:$H,3,0)</f>
        <v>3090.75</v>
      </c>
      <c r="G247" s="10">
        <f>VLOOKUP($D247,'SMEPA Lines DECEMBER 2016'!$D:$H,4,0)</f>
        <v>264511.84000000003</v>
      </c>
      <c r="H247" s="10">
        <f>VLOOKUP($D247,'SMEPA Lines DECEMBER 2016'!$D:$H,5,0)</f>
        <v>149935.99</v>
      </c>
      <c r="I247" s="3">
        <f t="shared" si="49"/>
        <v>417538.58</v>
      </c>
      <c r="J247" s="6">
        <f>16+7.2</f>
        <v>23.2</v>
      </c>
      <c r="K247" s="6">
        <v>23.2</v>
      </c>
      <c r="L247" s="23">
        <f t="shared" si="50"/>
        <v>1</v>
      </c>
      <c r="M247" s="16">
        <f t="shared" si="52"/>
        <v>417538.58</v>
      </c>
      <c r="N247" s="22">
        <f t="shared" si="51"/>
        <v>0</v>
      </c>
    </row>
    <row r="248" spans="1:14" s="169" customFormat="1">
      <c r="A248" s="388">
        <v>69</v>
      </c>
      <c r="B248" s="388" t="s">
        <v>183</v>
      </c>
      <c r="C248" s="405" t="s">
        <v>1375</v>
      </c>
      <c r="D248" s="388" t="s">
        <v>205</v>
      </c>
      <c r="E248" s="170">
        <f>VLOOKUP($D248,'SMEPA Lines DECEMBER 2016'!$D:$H,2,0)</f>
        <v>0</v>
      </c>
      <c r="F248" s="170">
        <f>VLOOKUP($D248,'SMEPA Lines DECEMBER 2016'!$D:$H,3,0)</f>
        <v>2664.88</v>
      </c>
      <c r="G248" s="170">
        <f>VLOOKUP($D248,'SMEPA Lines DECEMBER 2016'!$D:$H,4,0)</f>
        <v>72823.960000000006</v>
      </c>
      <c r="H248" s="170">
        <f>VLOOKUP($D248,'SMEPA Lines DECEMBER 2016'!$D:$H,5,0)</f>
        <v>90328.78</v>
      </c>
      <c r="I248" s="171">
        <f t="shared" si="49"/>
        <v>165817.62</v>
      </c>
      <c r="J248" s="169">
        <f>10.67+0.06</f>
        <v>10.73</v>
      </c>
      <c r="K248" s="169">
        <v>10.67</v>
      </c>
      <c r="L248" s="172">
        <f t="shared" si="50"/>
        <v>0.99</v>
      </c>
      <c r="M248" s="173">
        <f t="shared" si="52"/>
        <v>164159.44380000001</v>
      </c>
      <c r="N248" s="174">
        <f t="shared" si="51"/>
        <v>1658.1761999999871</v>
      </c>
    </row>
    <row r="249" spans="1:14" s="6" customFormat="1">
      <c r="A249" s="5">
        <v>69</v>
      </c>
      <c r="B249" s="5" t="s">
        <v>183</v>
      </c>
      <c r="C249" s="396" t="s">
        <v>1376</v>
      </c>
      <c r="D249" s="5" t="s">
        <v>173</v>
      </c>
      <c r="E249" s="10">
        <f>VLOOKUP($D249,'SMEPA Lines DECEMBER 2016'!$D:$H,2,0)</f>
        <v>0</v>
      </c>
      <c r="F249" s="10">
        <f>VLOOKUP($D249,'SMEPA Lines DECEMBER 2016'!$D:$H,3,0)</f>
        <v>0</v>
      </c>
      <c r="G249" s="10">
        <f>VLOOKUP($D249,'SMEPA Lines DECEMBER 2016'!$D:$H,4,0)</f>
        <v>9491.6299999999992</v>
      </c>
      <c r="H249" s="10">
        <f>VLOOKUP($D249,'SMEPA Lines DECEMBER 2016'!$D:$H,5,0)</f>
        <v>69009.259999999995</v>
      </c>
      <c r="I249" s="3">
        <f t="shared" si="49"/>
        <v>78500.89</v>
      </c>
      <c r="J249" s="3">
        <v>0.01</v>
      </c>
      <c r="K249" s="3"/>
      <c r="L249" s="23">
        <f t="shared" si="50"/>
        <v>0</v>
      </c>
      <c r="M249" s="16">
        <f t="shared" si="52"/>
        <v>0</v>
      </c>
      <c r="N249" s="22">
        <f t="shared" si="51"/>
        <v>78500.89</v>
      </c>
    </row>
    <row r="250" spans="1:14" s="6" customFormat="1" ht="30">
      <c r="A250" s="5">
        <v>69</v>
      </c>
      <c r="B250" s="5" t="s">
        <v>183</v>
      </c>
      <c r="C250" s="396" t="s">
        <v>1379</v>
      </c>
      <c r="D250" s="5" t="s">
        <v>206</v>
      </c>
      <c r="E250" s="10">
        <f>VLOOKUP($D250,'SMEPA Lines DECEMBER 2016'!$D:$H,2,0)</f>
        <v>0</v>
      </c>
      <c r="F250" s="10">
        <f>VLOOKUP($D250,'SMEPA Lines DECEMBER 2016'!$D:$H,3,0)</f>
        <v>2422.02</v>
      </c>
      <c r="G250" s="10">
        <f>VLOOKUP($D250,'SMEPA Lines DECEMBER 2016'!$D:$H,4,0)</f>
        <v>64998.92</v>
      </c>
      <c r="H250" s="10">
        <f>VLOOKUP($D250,'SMEPA Lines DECEMBER 2016'!$D:$H,5,0)</f>
        <v>71209.27</v>
      </c>
      <c r="I250" s="3">
        <f t="shared" si="49"/>
        <v>138630.21000000002</v>
      </c>
      <c r="J250" s="6">
        <f>3.21+0.04</f>
        <v>3.25</v>
      </c>
      <c r="K250" s="3">
        <v>3.21</v>
      </c>
      <c r="L250" s="23">
        <f t="shared" si="50"/>
        <v>0.99</v>
      </c>
      <c r="M250" s="16">
        <f t="shared" si="52"/>
        <v>137243.90790000002</v>
      </c>
      <c r="N250" s="22">
        <f t="shared" si="51"/>
        <v>1386.3021000000008</v>
      </c>
    </row>
    <row r="251" spans="1:14" s="6" customFormat="1">
      <c r="A251" s="5">
        <v>69</v>
      </c>
      <c r="B251" s="5" t="s">
        <v>183</v>
      </c>
      <c r="C251" s="396" t="s">
        <v>1380</v>
      </c>
      <c r="D251" s="5" t="s">
        <v>207</v>
      </c>
      <c r="E251" s="10">
        <f>VLOOKUP($D251,'SMEPA Lines DECEMBER 2016'!$D:$H,2,0)</f>
        <v>403697.56</v>
      </c>
      <c r="F251" s="10">
        <f>VLOOKUP($D251,'SMEPA Lines DECEMBER 2016'!$D:$H,3,0)</f>
        <v>0</v>
      </c>
      <c r="G251" s="10">
        <f>VLOOKUP($D251,'SMEPA Lines DECEMBER 2016'!$D:$H,4,0)</f>
        <v>738752.86</v>
      </c>
      <c r="H251" s="10">
        <f>VLOOKUP($D251,'SMEPA Lines DECEMBER 2016'!$D:$H,5,0)</f>
        <v>782395.33</v>
      </c>
      <c r="I251" s="3">
        <f t="shared" si="49"/>
        <v>1924845.75</v>
      </c>
      <c r="J251" s="6">
        <f>9.19+0.06</f>
        <v>9.25</v>
      </c>
      <c r="K251" s="6">
        <v>9.19</v>
      </c>
      <c r="L251" s="23">
        <f t="shared" si="50"/>
        <v>0.99</v>
      </c>
      <c r="M251" s="16">
        <f t="shared" si="52"/>
        <v>1905597.2925</v>
      </c>
      <c r="N251" s="22">
        <f t="shared" si="51"/>
        <v>19248.457500000019</v>
      </c>
    </row>
    <row r="252" spans="1:14" s="6" customFormat="1" ht="30">
      <c r="A252" s="5">
        <v>69</v>
      </c>
      <c r="B252" s="5" t="s">
        <v>183</v>
      </c>
      <c r="C252" s="396" t="s">
        <v>1382</v>
      </c>
      <c r="D252" s="329" t="s">
        <v>1381</v>
      </c>
      <c r="E252" s="10">
        <f>VLOOKUP($D252,'SMEPA Lines DECEMBER 2016'!$D:$H,2,0)</f>
        <v>0</v>
      </c>
      <c r="F252" s="10">
        <f>VLOOKUP($D252,'SMEPA Lines DECEMBER 2016'!$D:$H,3,0)</f>
        <v>6036.16</v>
      </c>
      <c r="G252" s="10">
        <f>VLOOKUP($D252,'SMEPA Lines DECEMBER 2016'!$D:$H,4,0)</f>
        <v>531255.06999999995</v>
      </c>
      <c r="H252" s="10">
        <f>VLOOKUP($D252,'SMEPA Lines DECEMBER 2016'!$D:$H,5,0)</f>
        <v>451342.49</v>
      </c>
      <c r="I252" s="3">
        <f t="shared" si="49"/>
        <v>988633.72</v>
      </c>
      <c r="J252" s="6">
        <f>9.04+3.53+5.28+0.06</f>
        <v>17.909999999999997</v>
      </c>
      <c r="K252" s="6">
        <f>9.04+3.53+5.28</f>
        <v>17.849999999999998</v>
      </c>
      <c r="L252" s="419">
        <f>+ROUND(+K252/J252,3)</f>
        <v>0.997</v>
      </c>
      <c r="M252" s="16">
        <f t="shared" si="52"/>
        <v>985667.81883999996</v>
      </c>
      <c r="N252" s="22">
        <f t="shared" si="51"/>
        <v>2965.9011600000085</v>
      </c>
    </row>
    <row r="253" spans="1:14" s="6" customFormat="1">
      <c r="A253" s="5">
        <v>69</v>
      </c>
      <c r="B253" s="329" t="s">
        <v>183</v>
      </c>
      <c r="C253" s="396" t="s">
        <v>1384</v>
      </c>
      <c r="D253" s="329" t="s">
        <v>192</v>
      </c>
      <c r="E253" s="10">
        <f>VLOOKUP($D253,'SMEPA Lines DECEMBER 2016'!$D:$H,2,0)</f>
        <v>0</v>
      </c>
      <c r="F253" s="10">
        <f>VLOOKUP($D253,'SMEPA Lines DECEMBER 2016'!$D:$H,3,0)</f>
        <v>0</v>
      </c>
      <c r="G253" s="10">
        <f>VLOOKUP($D253,'SMEPA Lines DECEMBER 2016'!$D:$H,4,0)</f>
        <v>0</v>
      </c>
      <c r="H253" s="10">
        <f>VLOOKUP($D253,'SMEPA Lines DECEMBER 2016'!$D:$H,5,0)</f>
        <v>133.97999999999999</v>
      </c>
      <c r="I253" s="3">
        <f t="shared" si="49"/>
        <v>133.97999999999999</v>
      </c>
      <c r="J253" s="24">
        <v>1E-4</v>
      </c>
      <c r="L253" s="23">
        <f t="shared" si="50"/>
        <v>0</v>
      </c>
      <c r="M253" s="16">
        <f t="shared" si="52"/>
        <v>0</v>
      </c>
      <c r="N253" s="22">
        <f t="shared" si="51"/>
        <v>133.97999999999999</v>
      </c>
    </row>
    <row r="254" spans="1:14" s="6" customFormat="1">
      <c r="A254" s="5">
        <v>69</v>
      </c>
      <c r="B254" s="329" t="s">
        <v>183</v>
      </c>
      <c r="C254" s="396" t="s">
        <v>1384</v>
      </c>
      <c r="D254" s="329" t="s">
        <v>193</v>
      </c>
      <c r="E254" s="10">
        <f>VLOOKUP($D254,'SMEPA Lines DECEMBER 2016'!$D:$H,2,0)</f>
        <v>0</v>
      </c>
      <c r="F254" s="10">
        <f>VLOOKUP($D254,'SMEPA Lines DECEMBER 2016'!$D:$H,3,0)</f>
        <v>0</v>
      </c>
      <c r="G254" s="10">
        <f>VLOOKUP($D254,'SMEPA Lines DECEMBER 2016'!$D:$H,4,0)</f>
        <v>37759.03</v>
      </c>
      <c r="H254" s="10">
        <f>VLOOKUP($D254,'SMEPA Lines DECEMBER 2016'!$D:$H,5,0)</f>
        <v>26734.46</v>
      </c>
      <c r="I254" s="3">
        <f t="shared" si="49"/>
        <v>64493.49</v>
      </c>
      <c r="J254" s="24">
        <v>1E-4</v>
      </c>
      <c r="L254" s="23">
        <f t="shared" si="50"/>
        <v>0</v>
      </c>
      <c r="M254" s="16">
        <f t="shared" si="52"/>
        <v>0</v>
      </c>
      <c r="N254" s="22">
        <f t="shared" si="51"/>
        <v>64493.49</v>
      </c>
    </row>
    <row r="255" spans="1:14" s="6" customFormat="1">
      <c r="A255" s="5">
        <v>69</v>
      </c>
      <c r="B255" s="5" t="s">
        <v>183</v>
      </c>
      <c r="C255" s="396" t="s">
        <v>1385</v>
      </c>
      <c r="D255" s="329" t="s">
        <v>1386</v>
      </c>
      <c r="E255" s="10">
        <f>VLOOKUP($D255,'SMEPA Lines DECEMBER 2016'!$D:$H,2,0)</f>
        <v>0</v>
      </c>
      <c r="F255" s="10">
        <f>VLOOKUP($D255,'SMEPA Lines DECEMBER 2016'!$D:$H,3,0)</f>
        <v>2941.23</v>
      </c>
      <c r="G255" s="10">
        <f>VLOOKUP($D255,'SMEPA Lines DECEMBER 2016'!$D:$H,4,0)</f>
        <v>204505.27</v>
      </c>
      <c r="H255" s="10">
        <f>VLOOKUP($D255,'SMEPA Lines DECEMBER 2016'!$D:$H,5,0)</f>
        <v>224663.47</v>
      </c>
      <c r="I255" s="3">
        <f t="shared" si="49"/>
        <v>432109.97</v>
      </c>
      <c r="J255" s="6">
        <v>10.050000000000001</v>
      </c>
      <c r="K255" s="3">
        <v>10</v>
      </c>
      <c r="L255" s="419">
        <f>+ROUND(+K255/J255,3)</f>
        <v>0.995</v>
      </c>
      <c r="M255" s="16">
        <f t="shared" si="52"/>
        <v>429949.42014999996</v>
      </c>
      <c r="N255" s="22">
        <f t="shared" si="51"/>
        <v>2160.5498500000103</v>
      </c>
    </row>
    <row r="256" spans="1:14" s="169" customFormat="1" ht="30">
      <c r="A256" s="388">
        <v>69</v>
      </c>
      <c r="B256" s="388" t="s">
        <v>183</v>
      </c>
      <c r="C256" s="405" t="s">
        <v>1391</v>
      </c>
      <c r="D256" s="388" t="s">
        <v>208</v>
      </c>
      <c r="E256" s="170">
        <f>VLOOKUP($D256,'SMEPA Lines DECEMBER 2016'!$D:$H,2,0)</f>
        <v>0</v>
      </c>
      <c r="F256" s="170">
        <f>VLOOKUP($D256,'SMEPA Lines DECEMBER 2016'!$D:$H,3,0)</f>
        <v>6791.95</v>
      </c>
      <c r="G256" s="170">
        <f>VLOOKUP($D256,'SMEPA Lines DECEMBER 2016'!$D:$H,4,0)</f>
        <v>398657.94</v>
      </c>
      <c r="H256" s="170">
        <f>VLOOKUP($D256,'SMEPA Lines DECEMBER 2016'!$D:$H,5,0)</f>
        <v>411973.84</v>
      </c>
      <c r="I256" s="171">
        <f t="shared" si="49"/>
        <v>817423.73</v>
      </c>
      <c r="J256" s="169">
        <f>12.37+1.49+0.44+0.04</f>
        <v>14.339999999999998</v>
      </c>
      <c r="K256" s="169">
        <f>12.37+1.49</f>
        <v>13.86</v>
      </c>
      <c r="L256" s="172">
        <f t="shared" si="50"/>
        <v>0.97</v>
      </c>
      <c r="M256" s="173">
        <f t="shared" si="52"/>
        <v>792901.01809999999</v>
      </c>
      <c r="N256" s="174">
        <f t="shared" si="51"/>
        <v>24522.711899999995</v>
      </c>
    </row>
    <row r="257" spans="1:14" s="6" customFormat="1" ht="30">
      <c r="A257" s="5">
        <v>69</v>
      </c>
      <c r="B257" s="5" t="s">
        <v>183</v>
      </c>
      <c r="C257" s="396" t="s">
        <v>1392</v>
      </c>
      <c r="D257" s="5" t="s">
        <v>42</v>
      </c>
      <c r="E257" s="10">
        <f>VLOOKUP($D257,'SMEPA Lines DECEMBER 2016'!$D:$H,2,0)</f>
        <v>16542.060000000001</v>
      </c>
      <c r="F257" s="10">
        <f>VLOOKUP($D257,'SMEPA Lines DECEMBER 2016'!$D:$H,3,0)</f>
        <v>0</v>
      </c>
      <c r="G257" s="10">
        <f>VLOOKUP($D257,'SMEPA Lines DECEMBER 2016'!$D:$H,4,0)</f>
        <v>1087928.54</v>
      </c>
      <c r="H257" s="10">
        <f>VLOOKUP($D257,'SMEPA Lines DECEMBER 2016'!$D:$H,5,0)</f>
        <v>1738046.08</v>
      </c>
      <c r="I257" s="3">
        <f t="shared" si="49"/>
        <v>2842516.68</v>
      </c>
      <c r="J257" s="6">
        <f>6.42+0.08+7.91</f>
        <v>14.41</v>
      </c>
      <c r="K257" s="6">
        <f>6.42+7.91</f>
        <v>14.33</v>
      </c>
      <c r="L257" s="23">
        <f t="shared" si="50"/>
        <v>0.99</v>
      </c>
      <c r="M257" s="16">
        <f t="shared" si="52"/>
        <v>2814091.5131999999</v>
      </c>
      <c r="N257" s="22">
        <f t="shared" si="51"/>
        <v>28425.166800000239</v>
      </c>
    </row>
    <row r="258" spans="1:14" s="169" customFormat="1">
      <c r="A258" s="388">
        <v>69</v>
      </c>
      <c r="B258" s="298" t="s">
        <v>183</v>
      </c>
      <c r="C258" s="405" t="s">
        <v>1395</v>
      </c>
      <c r="D258" s="298" t="s">
        <v>1394</v>
      </c>
      <c r="E258" s="170">
        <f>VLOOKUP($D258,'SMEPA Lines DECEMBER 2016'!$D:$H,2,0)</f>
        <v>0</v>
      </c>
      <c r="F258" s="170">
        <f>VLOOKUP($D258,'SMEPA Lines DECEMBER 2016'!$D:$H,3,0)</f>
        <v>0</v>
      </c>
      <c r="G258" s="170">
        <f>VLOOKUP($D258,'SMEPA Lines DECEMBER 2016'!$D:$H,4,0)</f>
        <v>118927.8</v>
      </c>
      <c r="H258" s="170">
        <f>VLOOKUP($D258,'SMEPA Lines DECEMBER 2016'!$D:$H,5,0)</f>
        <v>89716.38</v>
      </c>
      <c r="I258" s="171">
        <f t="shared" si="49"/>
        <v>208644.18</v>
      </c>
      <c r="J258" s="468">
        <f>10.6+0.8</f>
        <v>11.4</v>
      </c>
      <c r="K258" s="468">
        <v>11.4</v>
      </c>
      <c r="L258" s="172">
        <f t="shared" si="50"/>
        <v>1</v>
      </c>
      <c r="M258" s="173">
        <f t="shared" si="52"/>
        <v>208644.18</v>
      </c>
      <c r="N258" s="174">
        <f t="shared" si="51"/>
        <v>0</v>
      </c>
    </row>
    <row r="259" spans="1:14" s="6" customFormat="1">
      <c r="A259" s="5">
        <v>69</v>
      </c>
      <c r="B259" s="329" t="s">
        <v>183</v>
      </c>
      <c r="C259" s="396" t="s">
        <v>1396</v>
      </c>
      <c r="D259" s="329" t="s">
        <v>194</v>
      </c>
      <c r="E259" s="10">
        <f>VLOOKUP($D259,'SMEPA Lines DECEMBER 2016'!$D:$H,2,0)</f>
        <v>13150</v>
      </c>
      <c r="F259" s="10">
        <f>VLOOKUP($D259,'SMEPA Lines DECEMBER 2016'!$D:$H,3,0)</f>
        <v>0</v>
      </c>
      <c r="G259" s="10">
        <f>VLOOKUP($D259,'SMEPA Lines DECEMBER 2016'!$D:$H,4,0)</f>
        <v>108960.55</v>
      </c>
      <c r="H259" s="10">
        <f>VLOOKUP($D259,'SMEPA Lines DECEMBER 2016'!$D:$H,5,0)</f>
        <v>69845.210000000006</v>
      </c>
      <c r="I259" s="3">
        <f t="shared" si="49"/>
        <v>191955.76</v>
      </c>
      <c r="J259" s="6">
        <v>0.59</v>
      </c>
      <c r="L259" s="23">
        <f t="shared" si="50"/>
        <v>0</v>
      </c>
      <c r="M259" s="16">
        <f t="shared" si="52"/>
        <v>0</v>
      </c>
      <c r="N259" s="22">
        <f t="shared" si="51"/>
        <v>191955.76</v>
      </c>
    </row>
    <row r="260" spans="1:14" s="169" customFormat="1" ht="30">
      <c r="A260" s="388">
        <v>69</v>
      </c>
      <c r="B260" s="388" t="s">
        <v>183</v>
      </c>
      <c r="C260" s="405" t="s">
        <v>1403</v>
      </c>
      <c r="D260" s="298" t="s">
        <v>1402</v>
      </c>
      <c r="E260" s="170">
        <f>VLOOKUP($D260,'SMEPA Lines DECEMBER 2016'!$D:$H,2,0)</f>
        <v>0</v>
      </c>
      <c r="F260" s="170">
        <f>VLOOKUP($D260,'SMEPA Lines DECEMBER 2016'!$D:$H,3,0)</f>
        <v>2961.41</v>
      </c>
      <c r="G260" s="170">
        <f>VLOOKUP($D260,'SMEPA Lines DECEMBER 2016'!$D:$H,4,0)</f>
        <v>397301.27</v>
      </c>
      <c r="H260" s="170">
        <f>VLOOKUP($D260,'SMEPA Lines DECEMBER 2016'!$D:$H,5,0)</f>
        <v>545442.25</v>
      </c>
      <c r="I260" s="171">
        <f t="shared" si="49"/>
        <v>945704.92999999993</v>
      </c>
      <c r="J260" s="169">
        <f>11.97+1.3+0.04</f>
        <v>13.31</v>
      </c>
      <c r="K260" s="171">
        <f>11.97+1.3</f>
        <v>13.270000000000001</v>
      </c>
      <c r="L260" s="426">
        <f>+ROUND(+K260/J260,3)</f>
        <v>0.997</v>
      </c>
      <c r="M260" s="173">
        <f t="shared" si="52"/>
        <v>942867.81520999991</v>
      </c>
      <c r="N260" s="174">
        <f t="shared" si="51"/>
        <v>2837.1147900000215</v>
      </c>
    </row>
    <row r="261" spans="1:14" s="6" customFormat="1">
      <c r="A261" s="5"/>
      <c r="B261" s="329" t="s">
        <v>183</v>
      </c>
      <c r="C261" s="390" t="s">
        <v>946</v>
      </c>
      <c r="D261" s="5"/>
      <c r="E261" s="5"/>
      <c r="F261" s="5"/>
      <c r="G261" s="10">
        <v>83787.8</v>
      </c>
      <c r="H261" s="10">
        <v>107484.73</v>
      </c>
      <c r="I261" s="3">
        <f t="shared" si="49"/>
        <v>191272.53</v>
      </c>
      <c r="J261" s="24">
        <v>1</v>
      </c>
      <c r="K261" s="3">
        <v>1</v>
      </c>
      <c r="L261" s="23">
        <f t="shared" si="50"/>
        <v>1</v>
      </c>
      <c r="M261" s="16">
        <f t="shared" ref="M261" si="53">IF(L261=0,0,(I261*L261))</f>
        <v>191272.53</v>
      </c>
      <c r="N261" s="22">
        <f t="shared" ref="N261" si="54">+I261-M261</f>
        <v>0</v>
      </c>
    </row>
    <row r="262" spans="1:14" s="169" customFormat="1" ht="30">
      <c r="A262" s="388">
        <v>69</v>
      </c>
      <c r="B262" s="388" t="s">
        <v>183</v>
      </c>
      <c r="C262" s="405" t="s">
        <v>1404</v>
      </c>
      <c r="D262" s="430" t="s">
        <v>160</v>
      </c>
      <c r="E262" s="170">
        <f>VLOOKUP($D262,'SMEPA Lines DECEMBER 2016'!$D:$H,2,0)</f>
        <v>0</v>
      </c>
      <c r="F262" s="170">
        <f>VLOOKUP($D262,'SMEPA Lines DECEMBER 2016'!$D:$H,3,0)</f>
        <v>0</v>
      </c>
      <c r="G262" s="170">
        <f>VLOOKUP($D262,'SMEPA Lines DECEMBER 2016'!$D:$H,4,0)</f>
        <v>159463.21</v>
      </c>
      <c r="H262" s="170">
        <f>VLOOKUP($D262,'SMEPA Lines DECEMBER 2016'!$D:$H,5,0)</f>
        <v>123257.78</v>
      </c>
      <c r="I262" s="171">
        <f t="shared" si="49"/>
        <v>282720.99</v>
      </c>
      <c r="J262" s="169">
        <f>8.14+0.03</f>
        <v>8.17</v>
      </c>
      <c r="K262" s="169">
        <v>8.14</v>
      </c>
      <c r="L262" s="426">
        <f>+ROUND(+K262/J262,3)</f>
        <v>0.996</v>
      </c>
      <c r="M262" s="173">
        <f t="shared" si="52"/>
        <v>281590.10603999998</v>
      </c>
      <c r="N262" s="174">
        <f t="shared" si="51"/>
        <v>1130.8839600000065</v>
      </c>
    </row>
    <row r="263" spans="1:14" s="6" customFormat="1">
      <c r="A263" s="5">
        <v>69</v>
      </c>
      <c r="B263" s="5" t="s">
        <v>183</v>
      </c>
      <c r="C263" s="396" t="s">
        <v>1406</v>
      </c>
      <c r="D263" s="13" t="s">
        <v>161</v>
      </c>
      <c r="E263" s="10">
        <f>VLOOKUP($D263,'SMEPA Lines DECEMBER 2016'!$D:$H,2,0)</f>
        <v>12447.51</v>
      </c>
      <c r="F263" s="10">
        <f>VLOOKUP($D263,'SMEPA Lines DECEMBER 2016'!$D:$H,3,0)</f>
        <v>3441.5</v>
      </c>
      <c r="G263" s="10">
        <f>VLOOKUP($D263,'SMEPA Lines DECEMBER 2016'!$D:$H,4,0)</f>
        <v>7613.75</v>
      </c>
      <c r="H263" s="10">
        <f>VLOOKUP($D263,'SMEPA Lines DECEMBER 2016'!$D:$H,5,0)</f>
        <v>194473.01</v>
      </c>
      <c r="I263" s="3">
        <f t="shared" si="49"/>
        <v>217975.77000000002</v>
      </c>
      <c r="J263" s="3">
        <v>0.33</v>
      </c>
      <c r="K263" s="3">
        <v>0.33</v>
      </c>
      <c r="L263" s="23">
        <f t="shared" si="50"/>
        <v>1</v>
      </c>
      <c r="M263" s="16">
        <f t="shared" si="52"/>
        <v>217975.77000000002</v>
      </c>
      <c r="N263" s="22">
        <f t="shared" si="51"/>
        <v>0</v>
      </c>
    </row>
    <row r="264" spans="1:14" s="6" customFormat="1" ht="30">
      <c r="A264" s="5">
        <v>69</v>
      </c>
      <c r="B264" s="5" t="s">
        <v>183</v>
      </c>
      <c r="C264" s="396" t="s">
        <v>1408</v>
      </c>
      <c r="D264" s="329" t="s">
        <v>1407</v>
      </c>
      <c r="E264" s="10">
        <f>VLOOKUP($D264,'SMEPA Lines DECEMBER 2016'!$D:$H,2,0)</f>
        <v>0</v>
      </c>
      <c r="F264" s="10">
        <f>VLOOKUP($D264,'SMEPA Lines DECEMBER 2016'!$D:$H,3,0)</f>
        <v>0</v>
      </c>
      <c r="G264" s="10">
        <f>VLOOKUP($D264,'SMEPA Lines DECEMBER 2016'!$D:$H,4,0)</f>
        <v>257590.29</v>
      </c>
      <c r="H264" s="10">
        <f>VLOOKUP($D264,'SMEPA Lines DECEMBER 2016'!$D:$H,5,0)</f>
        <v>229332.35</v>
      </c>
      <c r="I264" s="3">
        <f t="shared" si="49"/>
        <v>486922.64</v>
      </c>
      <c r="J264" s="6">
        <f>9.22+6.65+0.04</f>
        <v>15.91</v>
      </c>
      <c r="K264" s="6">
        <f>9.14+6.73</f>
        <v>15.870000000000001</v>
      </c>
      <c r="L264" s="419">
        <f>+ROUND(+K264/J264,3)</f>
        <v>0.997</v>
      </c>
      <c r="M264" s="16">
        <f t="shared" si="52"/>
        <v>485461.87208</v>
      </c>
      <c r="N264" s="22">
        <f t="shared" si="51"/>
        <v>1460.767920000013</v>
      </c>
    </row>
    <row r="265" spans="1:14" s="6" customFormat="1">
      <c r="A265" s="5">
        <v>69</v>
      </c>
      <c r="B265" s="5" t="s">
        <v>183</v>
      </c>
      <c r="C265" s="390" t="s">
        <v>54</v>
      </c>
      <c r="D265" s="5" t="s">
        <v>55</v>
      </c>
      <c r="E265" s="10">
        <f>VLOOKUP($D265,'SMEPA Lines DECEMBER 2016'!$D:$H,2,0)</f>
        <v>0</v>
      </c>
      <c r="F265" s="10">
        <f>VLOOKUP($D265,'SMEPA Lines DECEMBER 2016'!$D:$H,3,0)</f>
        <v>0</v>
      </c>
      <c r="G265" s="10">
        <f>VLOOKUP($D265,'SMEPA Lines DECEMBER 2016'!$D:$H,4,0)</f>
        <v>3800.73</v>
      </c>
      <c r="H265" s="10">
        <f>VLOOKUP($D265,'SMEPA Lines DECEMBER 2016'!$D:$H,5,0)</f>
        <v>35074.5</v>
      </c>
      <c r="I265" s="3">
        <f t="shared" si="49"/>
        <v>38875.230000000003</v>
      </c>
      <c r="J265" s="3">
        <v>0.42</v>
      </c>
      <c r="L265" s="23">
        <f t="shared" si="50"/>
        <v>0</v>
      </c>
      <c r="M265" s="16">
        <f t="shared" si="52"/>
        <v>0</v>
      </c>
      <c r="N265" s="22">
        <f t="shared" si="51"/>
        <v>38875.230000000003</v>
      </c>
    </row>
    <row r="266" spans="1:14" s="6" customFormat="1">
      <c r="A266" s="5">
        <v>69</v>
      </c>
      <c r="B266" s="5" t="s">
        <v>183</v>
      </c>
      <c r="C266" s="390" t="s">
        <v>1318</v>
      </c>
      <c r="D266" s="329" t="s">
        <v>1335</v>
      </c>
      <c r="E266" s="10">
        <f>VLOOKUP($D266,'SMEPA Lines DECEMBER 2016'!$D:$H,2,0)</f>
        <v>0</v>
      </c>
      <c r="F266" s="10">
        <f>VLOOKUP($D266,'SMEPA Lines DECEMBER 2016'!$D:$H,3,0)</f>
        <v>0</v>
      </c>
      <c r="G266" s="10">
        <f>VLOOKUP($D266,'SMEPA Lines DECEMBER 2016'!$D:$H,4,0)</f>
        <v>248147.42</v>
      </c>
      <c r="H266" s="10">
        <f>VLOOKUP($D266,'SMEPA Lines DECEMBER 2016'!$D:$H,5,0)</f>
        <v>88776.54</v>
      </c>
      <c r="I266" s="3">
        <f t="shared" si="49"/>
        <v>336923.96</v>
      </c>
      <c r="J266" s="6">
        <f>4.56+5.85</f>
        <v>10.41</v>
      </c>
      <c r="K266" s="6">
        <v>10.41</v>
      </c>
      <c r="L266" s="26">
        <f t="shared" si="50"/>
        <v>1</v>
      </c>
      <c r="M266" s="16">
        <f t="shared" si="52"/>
        <v>336923.96</v>
      </c>
      <c r="N266" s="22">
        <f t="shared" si="51"/>
        <v>0</v>
      </c>
    </row>
    <row r="267" spans="1:14" s="6" customFormat="1">
      <c r="A267" s="5">
        <v>69</v>
      </c>
      <c r="B267" s="329" t="s">
        <v>183</v>
      </c>
      <c r="C267" s="396" t="s">
        <v>1410</v>
      </c>
      <c r="D267" s="5" t="s">
        <v>209</v>
      </c>
      <c r="E267" s="10">
        <f>VLOOKUP($D267,'SMEPA Lines DECEMBER 2016'!$D:$H,2,0)</f>
        <v>0</v>
      </c>
      <c r="F267" s="10">
        <f>VLOOKUP($D267,'SMEPA Lines DECEMBER 2016'!$D:$H,3,0)</f>
        <v>3562.79</v>
      </c>
      <c r="G267" s="10">
        <f>VLOOKUP($D267,'SMEPA Lines DECEMBER 2016'!$D:$H,4,0)</f>
        <v>125929.18</v>
      </c>
      <c r="H267" s="10">
        <f>VLOOKUP($D267,'SMEPA Lines DECEMBER 2016'!$D:$H,5,0)</f>
        <v>165942.51</v>
      </c>
      <c r="I267" s="3">
        <f t="shared" si="49"/>
        <v>295434.48</v>
      </c>
      <c r="J267" s="6">
        <f>2.5+2.87</f>
        <v>5.37</v>
      </c>
      <c r="K267" s="3">
        <v>2.87</v>
      </c>
      <c r="L267" s="23">
        <f t="shared" si="50"/>
        <v>0.53</v>
      </c>
      <c r="M267" s="16">
        <f t="shared" si="52"/>
        <v>156580.27439999999</v>
      </c>
      <c r="N267" s="22">
        <f t="shared" si="51"/>
        <v>138854.20559999999</v>
      </c>
    </row>
    <row r="268" spans="1:14" s="6" customFormat="1">
      <c r="A268" s="5" t="s">
        <v>181</v>
      </c>
      <c r="B268" s="5"/>
      <c r="C268" s="390" t="s">
        <v>146</v>
      </c>
      <c r="D268" s="416">
        <v>508509</v>
      </c>
      <c r="E268" s="10">
        <f>VLOOKUP($D268,'SMEPA Lines DECEMBER 2016'!$D:$H,2,0)</f>
        <v>0</v>
      </c>
      <c r="F268" s="10">
        <f>VLOOKUP($D268,'SMEPA Lines DECEMBER 2016'!$D:$H,3,0)</f>
        <v>0</v>
      </c>
      <c r="G268" s="10">
        <f>VLOOKUP($D268,'SMEPA Lines DECEMBER 2016'!$D:$H,4,0)</f>
        <v>0</v>
      </c>
      <c r="H268" s="10">
        <f>VLOOKUP($D268,'SMEPA Lines DECEMBER 2016'!$D:$H,5,0)</f>
        <v>0</v>
      </c>
      <c r="I268" s="3">
        <f t="shared" si="49"/>
        <v>0</v>
      </c>
      <c r="J268" s="24">
        <v>1.0000000000000001E-5</v>
      </c>
      <c r="L268" s="23">
        <f t="shared" si="50"/>
        <v>0</v>
      </c>
      <c r="M268" s="16">
        <f t="shared" si="52"/>
        <v>0</v>
      </c>
      <c r="N268" s="22">
        <f t="shared" si="51"/>
        <v>0</v>
      </c>
    </row>
    <row r="269" spans="1:14" s="6" customFormat="1">
      <c r="A269" s="5"/>
      <c r="B269" s="5"/>
      <c r="C269" s="390" t="s">
        <v>892</v>
      </c>
      <c r="D269" s="153" t="s">
        <v>886</v>
      </c>
      <c r="E269" s="10">
        <f>VLOOKUP($D269,'SMEPA Lines DECEMBER 2016'!$D:$H,2,0)</f>
        <v>20970330.18</v>
      </c>
      <c r="F269" s="10">
        <f>VLOOKUP($D269,'SMEPA Lines DECEMBER 2016'!$D:$H,3,0)</f>
        <v>0</v>
      </c>
      <c r="G269" s="10">
        <f>VLOOKUP($D269,'SMEPA Lines DECEMBER 2016'!$D:$H,4,0)</f>
        <v>0</v>
      </c>
      <c r="H269" s="10">
        <f>VLOOKUP($D269,'SMEPA Lines DECEMBER 2016'!$D:$H,5,0)</f>
        <v>0</v>
      </c>
      <c r="I269" s="3">
        <f t="shared" si="49"/>
        <v>20970330.18</v>
      </c>
      <c r="J269" s="3">
        <v>1E-4</v>
      </c>
      <c r="K269" s="24">
        <v>1E-4</v>
      </c>
      <c r="L269" s="23">
        <f t="shared" ref="L269" si="55">+ROUND(+K269/J269,2)</f>
        <v>1</v>
      </c>
      <c r="M269" s="274">
        <f>+I269*M285</f>
        <v>14543883.078328308</v>
      </c>
      <c r="N269" s="275">
        <f>+I269*N285</f>
        <v>6426447.101671692</v>
      </c>
    </row>
    <row r="270" spans="1:14" s="6" customFormat="1">
      <c r="A270" s="5"/>
      <c r="B270" s="5"/>
      <c r="C270" s="390"/>
      <c r="E270" s="16"/>
      <c r="I270" s="2"/>
      <c r="J270" s="22"/>
      <c r="K270" s="22"/>
      <c r="M270" s="159" t="s">
        <v>944</v>
      </c>
      <c r="N270" s="157"/>
    </row>
    <row r="271" spans="1:14" s="6" customFormat="1">
      <c r="A271" s="5"/>
      <c r="B271" s="5"/>
      <c r="C271" s="390"/>
      <c r="E271" s="16"/>
      <c r="I271" s="2"/>
      <c r="J271" s="22"/>
      <c r="K271" s="22"/>
      <c r="M271" s="158"/>
    </row>
    <row r="272" spans="1:14" s="6" customFormat="1">
      <c r="C272" s="396" t="s">
        <v>1168</v>
      </c>
      <c r="E272" s="17">
        <f>SUM(E10:E269)</f>
        <v>35439372.299999997</v>
      </c>
      <c r="F272" s="17">
        <f>SUM(F10:F269)</f>
        <v>155846.52000000002</v>
      </c>
      <c r="G272" s="17">
        <f>SUM(G10:G269)</f>
        <v>77334586.720000014</v>
      </c>
      <c r="H272" s="17">
        <f>SUM(H10:H269)</f>
        <v>95752841.983000055</v>
      </c>
      <c r="I272" s="17">
        <f>SUM(E272:H272)</f>
        <v>208682647.52300006</v>
      </c>
      <c r="J272" s="18"/>
      <c r="K272" s="23"/>
      <c r="M272" s="22">
        <f>SUM(M10:M270)</f>
        <v>150665295.69912836</v>
      </c>
      <c r="N272" s="22">
        <f>SUM(N10:N270)</f>
        <v>58017351.823871687</v>
      </c>
    </row>
    <row r="273" spans="2:14" s="6" customFormat="1">
      <c r="C273" s="390"/>
      <c r="E273" s="2"/>
      <c r="F273" s="2"/>
      <c r="G273" s="2"/>
      <c r="H273" s="2"/>
      <c r="I273" s="160" t="s">
        <v>893</v>
      </c>
      <c r="J273" s="167"/>
      <c r="M273" s="17"/>
      <c r="N273" s="17"/>
    </row>
    <row r="274" spans="2:14" s="6" customFormat="1">
      <c r="C274" s="390"/>
      <c r="D274" s="6" t="s">
        <v>227</v>
      </c>
      <c r="E274" s="17">
        <f>SUM(E111:E267)</f>
        <v>9879124.1400000006</v>
      </c>
      <c r="F274" s="17">
        <f>SUM(F111:F267)</f>
        <v>145016.29</v>
      </c>
      <c r="G274" s="17">
        <f>SUM(G111:G267)</f>
        <v>57130771.560000002</v>
      </c>
      <c r="H274" s="17">
        <f>SUM(H111:H267)</f>
        <v>73833241.479999989</v>
      </c>
      <c r="I274" s="165">
        <f>SUM(I111:I267)</f>
        <v>140988153.47000003</v>
      </c>
      <c r="J274" s="31"/>
      <c r="K274" s="37" t="s">
        <v>227</v>
      </c>
      <c r="L274" s="38"/>
      <c r="M274" s="39">
        <f>SUM(M111:M267)+M269</f>
        <v>146665590.33912832</v>
      </c>
      <c r="N274" s="40">
        <f>SUM(N111:N267)+N269</f>
        <v>15292893.310871691</v>
      </c>
    </row>
    <row r="275" spans="2:14" s="6" customFormat="1">
      <c r="B275" s="15"/>
      <c r="C275" s="390"/>
      <c r="D275" s="6" t="s">
        <v>228</v>
      </c>
      <c r="E275" s="17">
        <f>SUM(E10:E64)</f>
        <v>702338.37</v>
      </c>
      <c r="F275" s="17">
        <f>SUM(F10:F64)</f>
        <v>10830.23</v>
      </c>
      <c r="G275" s="17">
        <f>SUM(G10:G64)</f>
        <v>9841508.339999998</v>
      </c>
      <c r="H275" s="17">
        <f>SUM(H10:H64)</f>
        <v>9584621.6400000043</v>
      </c>
      <c r="I275" s="165">
        <f>SUM(I10:I64)</f>
        <v>20139298.580000002</v>
      </c>
      <c r="J275" s="31"/>
      <c r="K275" s="41" t="s">
        <v>228</v>
      </c>
      <c r="L275" s="42"/>
      <c r="M275" s="43">
        <f>SUM(M10:M64)</f>
        <v>3999705.3600000003</v>
      </c>
      <c r="N275" s="44">
        <f>SUM(N10:N64)</f>
        <v>16139593.220000003</v>
      </c>
    </row>
    <row r="276" spans="2:14" s="6" customFormat="1">
      <c r="C276" s="390"/>
      <c r="D276" s="6" t="s">
        <v>229</v>
      </c>
      <c r="E276" s="17">
        <f>SUM(E65:E110)</f>
        <v>3887579.61</v>
      </c>
      <c r="F276" s="17">
        <f>SUM(F65:F110)</f>
        <v>0</v>
      </c>
      <c r="G276" s="17">
        <f>SUM(G65:G110)</f>
        <v>10362306.82</v>
      </c>
      <c r="H276" s="17">
        <f>SUM(H65:H110)</f>
        <v>12334978.863000004</v>
      </c>
      <c r="I276" s="165">
        <f>SUM(I65:I110)</f>
        <v>26584865.293000005</v>
      </c>
      <c r="K276" s="41" t="s">
        <v>229</v>
      </c>
      <c r="L276" s="42"/>
      <c r="M276" s="43">
        <f>SUM(M65:M110)</f>
        <v>0</v>
      </c>
      <c r="N276" s="44">
        <f>SUM(N65:N110)</f>
        <v>26584865.293000005</v>
      </c>
    </row>
    <row r="277" spans="2:14" s="6" customFormat="1">
      <c r="C277" s="390"/>
      <c r="E277" s="17">
        <f t="shared" ref="E277:H277" si="56">SUM(E274:E276)</f>
        <v>14469042.119999999</v>
      </c>
      <c r="F277" s="17">
        <f t="shared" si="56"/>
        <v>155846.52000000002</v>
      </c>
      <c r="G277" s="17">
        <f t="shared" si="56"/>
        <v>77334586.719999999</v>
      </c>
      <c r="H277" s="17">
        <f t="shared" si="56"/>
        <v>95752841.982999995</v>
      </c>
      <c r="I277" s="166">
        <f>SUM(I274:I276)</f>
        <v>187712317.34300005</v>
      </c>
      <c r="J277" s="157" t="s">
        <v>226</v>
      </c>
      <c r="K277" s="45"/>
      <c r="L277" s="46"/>
      <c r="M277" s="47">
        <f t="shared" ref="M277:N277" si="57">SUM(M274:M276)</f>
        <v>150665295.69912833</v>
      </c>
      <c r="N277" s="48">
        <f t="shared" si="57"/>
        <v>58017351.823871702</v>
      </c>
    </row>
    <row r="278" spans="2:14" s="6" customFormat="1" ht="15.75">
      <c r="C278" s="390"/>
      <c r="E278" s="17"/>
      <c r="F278" s="2"/>
      <c r="G278" s="2"/>
      <c r="H278" s="2"/>
      <c r="I278" s="261" t="s">
        <v>1125</v>
      </c>
      <c r="K278" s="33" t="s">
        <v>896</v>
      </c>
      <c r="M278" s="18"/>
      <c r="N278" s="304">
        <f>+I272-M277-N277</f>
        <v>0</v>
      </c>
    </row>
    <row r="279" spans="2:14">
      <c r="G279" s="302" t="s">
        <v>196</v>
      </c>
      <c r="H279" s="302" t="s">
        <v>196</v>
      </c>
      <c r="I279" s="302" t="s">
        <v>196</v>
      </c>
      <c r="J279" s="36" t="s">
        <v>226</v>
      </c>
      <c r="L279" s="34"/>
      <c r="M279" s="36" t="s">
        <v>230</v>
      </c>
      <c r="N279" s="28"/>
    </row>
    <row r="280" spans="2:14">
      <c r="G280" s="27"/>
      <c r="H280" s="27"/>
      <c r="I280" s="27"/>
      <c r="J280" s="27">
        <f>+I277</f>
        <v>187712317.34300005</v>
      </c>
      <c r="K280" s="27">
        <f>SUM(M10:M268)</f>
        <v>136121412.62080005</v>
      </c>
      <c r="M280" s="29">
        <f>+K280/J280</f>
        <v>0.72515972605074297</v>
      </c>
    </row>
    <row r="281" spans="2:14">
      <c r="C281" s="412" t="s">
        <v>267</v>
      </c>
      <c r="J281" s="27"/>
      <c r="K281" s="27"/>
      <c r="M281" s="155"/>
    </row>
    <row r="282" spans="2:14">
      <c r="H282" s="27"/>
      <c r="I282" s="7"/>
      <c r="J282" s="279" t="s">
        <v>1138</v>
      </c>
      <c r="K282" s="276"/>
      <c r="L282" s="276"/>
      <c r="M282" s="277"/>
      <c r="N282" s="277"/>
    </row>
    <row r="283" spans="2:14" ht="30">
      <c r="B283" s="25" t="s">
        <v>220</v>
      </c>
      <c r="C283" s="408" t="s">
        <v>217</v>
      </c>
      <c r="I283" s="7"/>
      <c r="J283" s="276" t="s">
        <v>1139</v>
      </c>
      <c r="K283" s="276"/>
      <c r="L283" s="276"/>
      <c r="M283" s="276" t="s">
        <v>204</v>
      </c>
      <c r="N283" s="276" t="s">
        <v>202</v>
      </c>
    </row>
    <row r="284" spans="2:14" ht="30">
      <c r="B284" s="25" t="s">
        <v>219</v>
      </c>
      <c r="C284" s="408" t="s">
        <v>218</v>
      </c>
      <c r="I284" s="7"/>
      <c r="J284" s="276"/>
      <c r="K284" s="278">
        <f>SUM(M284:N284)</f>
        <v>20976270.18</v>
      </c>
      <c r="L284" s="276"/>
      <c r="M284" s="277">
        <v>14548002.74</v>
      </c>
      <c r="N284" s="277">
        <v>6428267.4400000004</v>
      </c>
    </row>
    <row r="285" spans="2:14">
      <c r="B285" s="25" t="s">
        <v>221</v>
      </c>
      <c r="C285" s="408" t="s">
        <v>222</v>
      </c>
      <c r="I285" s="7"/>
      <c r="J285" s="279"/>
      <c r="K285" s="276"/>
      <c r="L285" s="425" t="s">
        <v>1609</v>
      </c>
      <c r="M285" s="278">
        <f>+M284/K284</f>
        <v>0.6935457359750693</v>
      </c>
      <c r="N285" s="278">
        <f>+N284/K284</f>
        <v>0.3064542640249307</v>
      </c>
    </row>
    <row r="286" spans="2:14">
      <c r="B286" s="35" t="s">
        <v>223</v>
      </c>
      <c r="C286" s="412" t="s">
        <v>268</v>
      </c>
      <c r="I286" s="7"/>
      <c r="J286" s="399" t="s">
        <v>1610</v>
      </c>
      <c r="K286" s="277"/>
      <c r="L286" s="399"/>
      <c r="M286" s="277"/>
      <c r="N286" s="277"/>
    </row>
    <row r="287" spans="2:14">
      <c r="B287" s="35" t="s">
        <v>224</v>
      </c>
      <c r="C287" s="412" t="s">
        <v>269</v>
      </c>
      <c r="I287" s="27"/>
      <c r="K287" s="32"/>
      <c r="M287" s="7"/>
      <c r="N287" s="27"/>
    </row>
    <row r="288" spans="2:14">
      <c r="B288" s="35" t="s">
        <v>226</v>
      </c>
      <c r="C288" s="412" t="s">
        <v>940</v>
      </c>
    </row>
    <row r="289" spans="2:13" ht="45">
      <c r="B289" s="35" t="s">
        <v>230</v>
      </c>
      <c r="C289" s="412" t="s">
        <v>942</v>
      </c>
    </row>
    <row r="290" spans="2:13" ht="30">
      <c r="C290" s="413" t="s">
        <v>264</v>
      </c>
      <c r="K290" s="32" t="s">
        <v>266</v>
      </c>
      <c r="M290" s="7">
        <f>+$M$280*$I$269</f>
        <v>15206838.888522428</v>
      </c>
    </row>
    <row r="291" spans="2:13">
      <c r="B291" s="35" t="s">
        <v>886</v>
      </c>
      <c r="C291" s="396" t="s">
        <v>941</v>
      </c>
    </row>
    <row r="292" spans="2:13" ht="30">
      <c r="B292" s="35" t="s">
        <v>944</v>
      </c>
      <c r="C292" s="396" t="s">
        <v>943</v>
      </c>
    </row>
    <row r="293" spans="2:13" ht="30">
      <c r="B293" s="35" t="s">
        <v>1125</v>
      </c>
      <c r="C293" s="405" t="s">
        <v>1126</v>
      </c>
      <c r="D293" s="169"/>
      <c r="E293" s="173"/>
    </row>
  </sheetData>
  <sortState ref="A54:N97">
    <sortCondition ref="B54:B97"/>
    <sortCondition ref="D54:D97"/>
  </sortState>
  <pageMargins left="0.5" right="0.5" top="0.5" bottom="0.5" header="0.5" footer="0.5"/>
  <pageSetup scale="37" fitToHeight="0"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J374"/>
  <sheetViews>
    <sheetView zoomScale="90" zoomScaleNormal="90" zoomScaleSheetLayoutView="87" workbookViewId="0">
      <pane xSplit="2" ySplit="8" topLeftCell="C333" activePane="bottomRight" state="frozen"/>
      <selection pane="topRight" activeCell="C1" sqref="C1"/>
      <selection pane="bottomLeft" activeCell="A7" sqref="A7"/>
      <selection pane="bottomRight" activeCell="J343" sqref="J343"/>
    </sheetView>
  </sheetViews>
  <sheetFormatPr defaultRowHeight="15"/>
  <cols>
    <col min="1" max="1" width="11.33203125" style="54" customWidth="1"/>
    <col min="2" max="2" width="41" style="51" bestFit="1" customWidth="1"/>
    <col min="3" max="3" width="8.33203125" style="51" customWidth="1"/>
    <col min="4" max="4" width="13.6640625" style="53" bestFit="1" customWidth="1"/>
    <col min="5" max="5" width="14.6640625" style="51" bestFit="1" customWidth="1"/>
    <col min="6" max="6" width="15.21875" style="51" customWidth="1"/>
    <col min="7" max="7" width="15.88671875" style="52" customWidth="1"/>
    <col min="8" max="8" width="14.5546875" style="51" bestFit="1" customWidth="1"/>
    <col min="9" max="9" width="13.5546875" style="51" bestFit="1" customWidth="1"/>
    <col min="10" max="10" width="17" style="51" customWidth="1"/>
    <col min="11" max="16384" width="8.88671875" style="51"/>
  </cols>
  <sheetData>
    <row r="1" spans="1:9">
      <c r="B1" s="51" t="s">
        <v>880</v>
      </c>
    </row>
    <row r="2" spans="1:9">
      <c r="B2" s="51" t="s">
        <v>879</v>
      </c>
      <c r="D2" s="384" t="s">
        <v>1289</v>
      </c>
      <c r="E2" s="385"/>
      <c r="F2" s="385"/>
      <c r="G2" s="386"/>
      <c r="H2" s="385"/>
    </row>
    <row r="3" spans="1:9">
      <c r="B3" s="85" t="s">
        <v>1258</v>
      </c>
      <c r="D3" s="230" t="s">
        <v>1054</v>
      </c>
      <c r="E3" s="231"/>
      <c r="F3" s="231"/>
      <c r="G3" s="231"/>
      <c r="H3" s="231"/>
    </row>
    <row r="4" spans="1:9">
      <c r="B4" s="85"/>
      <c r="D4" s="180" t="s">
        <v>1635</v>
      </c>
      <c r="E4" s="169"/>
      <c r="F4" s="169"/>
      <c r="G4" s="169"/>
      <c r="H4" s="169"/>
    </row>
    <row r="5" spans="1:9">
      <c r="B5" s="85"/>
      <c r="D5" s="12"/>
      <c r="E5" s="6"/>
      <c r="F5" s="6"/>
      <c r="G5" s="6"/>
      <c r="H5" s="6"/>
      <c r="I5" s="87" t="s">
        <v>219</v>
      </c>
    </row>
    <row r="6" spans="1:9">
      <c r="C6" s="51" t="s">
        <v>878</v>
      </c>
      <c r="D6" s="83">
        <v>350</v>
      </c>
      <c r="E6" s="83">
        <v>352</v>
      </c>
      <c r="F6" s="83">
        <v>353</v>
      </c>
      <c r="G6" s="82"/>
      <c r="H6" s="83" t="s">
        <v>240</v>
      </c>
      <c r="I6" s="83" t="s">
        <v>240</v>
      </c>
    </row>
    <row r="7" spans="1:9">
      <c r="A7" s="54" t="s">
        <v>881</v>
      </c>
      <c r="C7" s="51" t="s">
        <v>877</v>
      </c>
      <c r="D7" s="84" t="s">
        <v>875</v>
      </c>
      <c r="E7" s="83" t="s">
        <v>874</v>
      </c>
      <c r="F7" s="83" t="s">
        <v>873</v>
      </c>
      <c r="G7" s="82"/>
      <c r="H7" s="81" t="s">
        <v>870</v>
      </c>
      <c r="I7" s="81" t="s">
        <v>869</v>
      </c>
    </row>
    <row r="8" spans="1:9">
      <c r="B8" s="57" t="s">
        <v>868</v>
      </c>
      <c r="C8" s="57" t="s">
        <v>867</v>
      </c>
      <c r="D8" s="80" t="s">
        <v>866</v>
      </c>
      <c r="E8" s="78" t="s">
        <v>865</v>
      </c>
      <c r="F8" s="78" t="s">
        <v>864</v>
      </c>
      <c r="G8" s="79" t="s">
        <v>272</v>
      </c>
      <c r="H8" s="78" t="s">
        <v>203</v>
      </c>
      <c r="I8" s="78" t="s">
        <v>203</v>
      </c>
    </row>
    <row r="9" spans="1:9" s="69" customFormat="1" ht="15" customHeight="1">
      <c r="A9" s="65" t="s">
        <v>863</v>
      </c>
      <c r="B9" s="72" t="s">
        <v>862</v>
      </c>
      <c r="C9" s="72" t="s">
        <v>186</v>
      </c>
      <c r="D9" s="76">
        <f>VLOOKUP($A9,'SMEPA Stations December 2016'!$A:$G,5,0)</f>
        <v>0</v>
      </c>
      <c r="E9" s="76">
        <f>VLOOKUP($A9,'SMEPA Stations December 2016'!$A:$G,6,0)</f>
        <v>0</v>
      </c>
      <c r="F9" s="76">
        <f>VLOOKUP($A9,'SMEPA Stations December 2016'!$A:$G,7,0)</f>
        <v>20393.68</v>
      </c>
      <c r="G9" s="75">
        <f t="shared" ref="G9:G91" si="0">SUM(D9:F9)</f>
        <v>20393.68</v>
      </c>
      <c r="H9" s="65"/>
      <c r="I9" s="73">
        <f t="shared" ref="I9:I91" si="1">+G9-H9</f>
        <v>20393.68</v>
      </c>
    </row>
    <row r="10" spans="1:9" s="229" customFormat="1" ht="15" customHeight="1">
      <c r="A10" s="175" t="s">
        <v>1612</v>
      </c>
      <c r="B10" s="176" t="s">
        <v>1613</v>
      </c>
      <c r="C10" s="176" t="s">
        <v>186</v>
      </c>
      <c r="D10" s="177">
        <v>387.5</v>
      </c>
      <c r="E10" s="177">
        <v>1286.19</v>
      </c>
      <c r="F10" s="177">
        <v>58478.61</v>
      </c>
      <c r="G10" s="178">
        <f t="shared" si="0"/>
        <v>60152.3</v>
      </c>
      <c r="H10" s="179">
        <f>+G10</f>
        <v>60152.3</v>
      </c>
      <c r="I10" s="179">
        <f t="shared" si="1"/>
        <v>0</v>
      </c>
    </row>
    <row r="11" spans="1:9" s="69" customFormat="1" ht="15" customHeight="1">
      <c r="A11" s="65" t="s">
        <v>859</v>
      </c>
      <c r="B11" s="72" t="s">
        <v>858</v>
      </c>
      <c r="C11" s="72" t="s">
        <v>186</v>
      </c>
      <c r="D11" s="76">
        <f>VLOOKUP($A11,'SMEPA Stations December 2016'!$A:$G,5,0)</f>
        <v>0</v>
      </c>
      <c r="E11" s="76">
        <f>VLOOKUP($A11,'SMEPA Stations December 2016'!$A:$G,6,0)</f>
        <v>0</v>
      </c>
      <c r="F11" s="76">
        <f>VLOOKUP($A11,'SMEPA Stations December 2016'!$A:$G,7,0)</f>
        <v>9726.06</v>
      </c>
      <c r="G11" s="75">
        <f t="shared" si="0"/>
        <v>9726.06</v>
      </c>
      <c r="H11" s="65"/>
      <c r="I11" s="73">
        <f t="shared" si="1"/>
        <v>9726.06</v>
      </c>
    </row>
    <row r="12" spans="1:9" s="69" customFormat="1" ht="15" customHeight="1">
      <c r="A12" s="65" t="s">
        <v>855</v>
      </c>
      <c r="B12" s="72" t="s">
        <v>854</v>
      </c>
      <c r="C12" s="72" t="s">
        <v>186</v>
      </c>
      <c r="D12" s="76">
        <f>VLOOKUP($A12,'SMEPA Stations December 2016'!$A:$G,5,0)</f>
        <v>0</v>
      </c>
      <c r="E12" s="76">
        <f>VLOOKUP($A12,'SMEPA Stations December 2016'!$A:$G,6,0)</f>
        <v>0</v>
      </c>
      <c r="F12" s="76">
        <f>VLOOKUP($A12,'SMEPA Stations December 2016'!$A:$G,7,0)</f>
        <v>8462.92</v>
      </c>
      <c r="G12" s="75">
        <f t="shared" si="0"/>
        <v>8462.92</v>
      </c>
      <c r="H12" s="65"/>
      <c r="I12" s="73">
        <f t="shared" si="1"/>
        <v>8462.92</v>
      </c>
    </row>
    <row r="13" spans="1:9" s="69" customFormat="1" ht="15" customHeight="1">
      <c r="A13" s="65" t="s">
        <v>1058</v>
      </c>
      <c r="B13" s="72" t="s">
        <v>1059</v>
      </c>
      <c r="C13" s="72" t="s">
        <v>186</v>
      </c>
      <c r="D13" s="76">
        <f>VLOOKUP($A13,'SMEPA Stations December 2016'!$A:$G,5,0)</f>
        <v>25065.27</v>
      </c>
      <c r="E13" s="76">
        <f>VLOOKUP($A13,'SMEPA Stations December 2016'!$A:$G,6,0)</f>
        <v>0</v>
      </c>
      <c r="F13" s="76">
        <f>VLOOKUP($A13,'SMEPA Stations December 2016'!$A:$G,7,0)</f>
        <v>0</v>
      </c>
      <c r="G13" s="75">
        <f t="shared" ref="G13" si="2">SUM(D13:F13)</f>
        <v>25065.27</v>
      </c>
      <c r="H13" s="65"/>
      <c r="I13" s="73">
        <f t="shared" ref="I13" si="3">+G13-H13</f>
        <v>25065.27</v>
      </c>
    </row>
    <row r="14" spans="1:9" s="69" customFormat="1" ht="15" customHeight="1">
      <c r="A14" s="65" t="s">
        <v>853</v>
      </c>
      <c r="B14" s="72" t="s">
        <v>882</v>
      </c>
      <c r="C14" s="72" t="s">
        <v>186</v>
      </c>
      <c r="D14" s="76">
        <f>VLOOKUP($A14,'SMEPA Stations December 2016'!$A:$G,5,0)</f>
        <v>11187.35</v>
      </c>
      <c r="E14" s="76">
        <f>VLOOKUP($A14,'SMEPA Stations December 2016'!$A:$G,6,0)</f>
        <v>500068.49</v>
      </c>
      <c r="F14" s="76">
        <f>VLOOKUP($A14,'SMEPA Stations December 2016'!$A:$G,7,0)</f>
        <v>213588.86</v>
      </c>
      <c r="G14" s="75">
        <f t="shared" si="0"/>
        <v>724844.7</v>
      </c>
      <c r="H14" s="73">
        <f>G14</f>
        <v>724844.7</v>
      </c>
      <c r="I14" s="73">
        <f t="shared" si="1"/>
        <v>0</v>
      </c>
    </row>
    <row r="15" spans="1:9" s="69" customFormat="1" ht="15" customHeight="1">
      <c r="A15" s="65" t="s">
        <v>851</v>
      </c>
      <c r="B15" s="72" t="s">
        <v>850</v>
      </c>
      <c r="C15" s="72" t="s">
        <v>186</v>
      </c>
      <c r="D15" s="76">
        <f>VLOOKUP($A15,'SMEPA Stations December 2016'!$A:$G,5,0)</f>
        <v>0</v>
      </c>
      <c r="E15" s="76">
        <f>VLOOKUP($A15,'SMEPA Stations December 2016'!$A:$G,6,0)</f>
        <v>0</v>
      </c>
      <c r="F15" s="76">
        <f>VLOOKUP($A15,'SMEPA Stations December 2016'!$A:$G,7,0)</f>
        <v>45562.36</v>
      </c>
      <c r="G15" s="75">
        <f t="shared" si="0"/>
        <v>45562.36</v>
      </c>
      <c r="H15" s="65"/>
      <c r="I15" s="73">
        <f t="shared" si="1"/>
        <v>45562.36</v>
      </c>
    </row>
    <row r="16" spans="1:9" s="236" customFormat="1" ht="15" customHeight="1">
      <c r="A16" s="232" t="s">
        <v>849</v>
      </c>
      <c r="B16" s="233" t="s">
        <v>1055</v>
      </c>
      <c r="C16" s="233" t="s">
        <v>186</v>
      </c>
      <c r="D16" s="252">
        <f>VLOOKUP($A16,'SMEPA Stations December 2016'!$A:$G,5,0)</f>
        <v>0</v>
      </c>
      <c r="E16" s="252">
        <f>VLOOKUP($A16,'SMEPA Stations December 2016'!$A:$G,6,0)</f>
        <v>44706.14</v>
      </c>
      <c r="F16" s="252">
        <f>VLOOKUP($A16,'SMEPA Stations December 2016'!$A:$G,7,0)</f>
        <v>128997.92</v>
      </c>
      <c r="G16" s="234">
        <f t="shared" si="0"/>
        <v>173704.06</v>
      </c>
      <c r="H16" s="253">
        <f>+G16</f>
        <v>173704.06</v>
      </c>
      <c r="I16" s="235">
        <f t="shared" si="1"/>
        <v>0</v>
      </c>
    </row>
    <row r="17" spans="1:9" s="69" customFormat="1" ht="15" customHeight="1">
      <c r="A17" s="65" t="s">
        <v>847</v>
      </c>
      <c r="B17" s="72" t="s">
        <v>846</v>
      </c>
      <c r="C17" s="72" t="s">
        <v>186</v>
      </c>
      <c r="D17" s="76">
        <f>VLOOKUP($A17,'SMEPA Stations December 2016'!$A:$G,5,0)</f>
        <v>0</v>
      </c>
      <c r="E17" s="76">
        <f>VLOOKUP($A17,'SMEPA Stations December 2016'!$A:$G,6,0)</f>
        <v>0</v>
      </c>
      <c r="F17" s="76">
        <f>VLOOKUP($A17,'SMEPA Stations December 2016'!$A:$G,7,0)</f>
        <v>9982.07</v>
      </c>
      <c r="G17" s="75">
        <f t="shared" si="0"/>
        <v>9982.07</v>
      </c>
      <c r="H17" s="65"/>
      <c r="I17" s="73">
        <f t="shared" si="1"/>
        <v>9982.07</v>
      </c>
    </row>
    <row r="18" spans="1:9" s="69" customFormat="1" ht="15" customHeight="1">
      <c r="A18" s="65" t="s">
        <v>845</v>
      </c>
      <c r="B18" s="72" t="s">
        <v>844</v>
      </c>
      <c r="C18" s="72" t="s">
        <v>186</v>
      </c>
      <c r="D18" s="76">
        <f>VLOOKUP($A18,'SMEPA Stations December 2016'!$A:$G,5,0)</f>
        <v>0</v>
      </c>
      <c r="E18" s="76">
        <f>VLOOKUP($A18,'SMEPA Stations December 2016'!$A:$G,6,0)</f>
        <v>0</v>
      </c>
      <c r="F18" s="76">
        <f>VLOOKUP($A18,'SMEPA Stations December 2016'!$A:$G,7,0)</f>
        <v>240319.03</v>
      </c>
      <c r="G18" s="75">
        <f t="shared" si="0"/>
        <v>240319.03</v>
      </c>
      <c r="H18" s="73">
        <f>G18</f>
        <v>240319.03</v>
      </c>
      <c r="I18" s="73">
        <f t="shared" si="1"/>
        <v>0</v>
      </c>
    </row>
    <row r="19" spans="1:9" s="69" customFormat="1" ht="15" customHeight="1">
      <c r="A19" s="65" t="s">
        <v>831</v>
      </c>
      <c r="B19" s="72" t="s">
        <v>830</v>
      </c>
      <c r="C19" s="72" t="s">
        <v>186</v>
      </c>
      <c r="D19" s="76">
        <f>VLOOKUP($A19,'SMEPA Stations December 2016'!$A:$G,5,0)</f>
        <v>0</v>
      </c>
      <c r="E19" s="76">
        <f>VLOOKUP($A19,'SMEPA Stations December 2016'!$A:$G,6,0)</f>
        <v>0</v>
      </c>
      <c r="F19" s="76">
        <f>VLOOKUP($A19,'SMEPA Stations December 2016'!$A:$G,7,0)</f>
        <v>13137.99</v>
      </c>
      <c r="G19" s="75">
        <f t="shared" si="0"/>
        <v>13137.99</v>
      </c>
      <c r="H19" s="65"/>
      <c r="I19" s="73">
        <f t="shared" si="1"/>
        <v>13137.99</v>
      </c>
    </row>
    <row r="20" spans="1:9" s="69" customFormat="1" ht="15" customHeight="1">
      <c r="A20" s="65" t="s">
        <v>825</v>
      </c>
      <c r="B20" s="72" t="s">
        <v>824</v>
      </c>
      <c r="C20" s="72" t="s">
        <v>186</v>
      </c>
      <c r="D20" s="76">
        <f>VLOOKUP($A20,'SMEPA Stations December 2016'!$A:$G,5,0)</f>
        <v>0</v>
      </c>
      <c r="E20" s="76">
        <f>VLOOKUP($A20,'SMEPA Stations December 2016'!$A:$G,6,0)</f>
        <v>0</v>
      </c>
      <c r="F20" s="76">
        <f>VLOOKUP($A20,'SMEPA Stations December 2016'!$A:$G,7,0)</f>
        <v>26051.67</v>
      </c>
      <c r="G20" s="75">
        <f t="shared" si="0"/>
        <v>26051.67</v>
      </c>
      <c r="H20" s="65"/>
      <c r="I20" s="73">
        <f t="shared" si="1"/>
        <v>26051.67</v>
      </c>
    </row>
    <row r="21" spans="1:9" s="69" customFormat="1" ht="15" customHeight="1">
      <c r="A21" s="65" t="s">
        <v>1060</v>
      </c>
      <c r="B21" s="72" t="s">
        <v>1063</v>
      </c>
      <c r="C21" s="72" t="s">
        <v>186</v>
      </c>
      <c r="D21" s="76">
        <f>VLOOKUP($A21,'SMEPA Stations December 2016'!$A:$G,5,0)</f>
        <v>5910.8</v>
      </c>
      <c r="E21" s="76">
        <f>VLOOKUP($A21,'SMEPA Stations December 2016'!$A:$G,6,0)</f>
        <v>0</v>
      </c>
      <c r="F21" s="76">
        <f>VLOOKUP($A21,'SMEPA Stations December 2016'!$A:$G,7,0)</f>
        <v>0</v>
      </c>
      <c r="G21" s="75">
        <f t="shared" ref="G21" si="4">SUM(D21:F21)</f>
        <v>5910.8</v>
      </c>
      <c r="H21" s="65"/>
      <c r="I21" s="73">
        <f t="shared" ref="I21" si="5">+G21-H21</f>
        <v>5910.8</v>
      </c>
    </row>
    <row r="22" spans="1:9" s="69" customFormat="1" ht="15" customHeight="1">
      <c r="A22" s="65" t="s">
        <v>1061</v>
      </c>
      <c r="B22" s="72" t="s">
        <v>1062</v>
      </c>
      <c r="C22" s="72" t="s">
        <v>186</v>
      </c>
      <c r="D22" s="76">
        <f>VLOOKUP($A22,'SMEPA Stations December 2016'!$A:$G,5,0)</f>
        <v>25942.17</v>
      </c>
      <c r="E22" s="76">
        <f>VLOOKUP($A22,'SMEPA Stations December 2016'!$A:$G,6,0)</f>
        <v>0</v>
      </c>
      <c r="F22" s="76">
        <f>VLOOKUP($A22,'SMEPA Stations December 2016'!$A:$G,7,0)</f>
        <v>0</v>
      </c>
      <c r="G22" s="75">
        <f t="shared" ref="G22" si="6">SUM(D22:F22)</f>
        <v>25942.17</v>
      </c>
      <c r="H22" s="65"/>
      <c r="I22" s="73">
        <f t="shared" ref="I22" si="7">+G22-H22</f>
        <v>25942.17</v>
      </c>
    </row>
    <row r="23" spans="1:9" s="69" customFormat="1" ht="15" customHeight="1">
      <c r="A23" s="65" t="s">
        <v>819</v>
      </c>
      <c r="B23" s="72" t="s">
        <v>818</v>
      </c>
      <c r="C23" s="72" t="s">
        <v>186</v>
      </c>
      <c r="D23" s="76">
        <f>VLOOKUP($A23,'SMEPA Stations December 2016'!$A:$G,5,0)</f>
        <v>0</v>
      </c>
      <c r="E23" s="76">
        <f>VLOOKUP($A23,'SMEPA Stations December 2016'!$A:$G,6,0)</f>
        <v>0</v>
      </c>
      <c r="F23" s="76">
        <f>VLOOKUP($A23,'SMEPA Stations December 2016'!$A:$G,7,0)</f>
        <v>10797.86</v>
      </c>
      <c r="G23" s="75">
        <f t="shared" si="0"/>
        <v>10797.86</v>
      </c>
      <c r="H23" s="65"/>
      <c r="I23" s="73">
        <f t="shared" si="1"/>
        <v>10797.86</v>
      </c>
    </row>
    <row r="24" spans="1:9" s="69" customFormat="1" ht="15" customHeight="1">
      <c r="A24" s="65" t="s">
        <v>815</v>
      </c>
      <c r="B24" s="72" t="s">
        <v>814</v>
      </c>
      <c r="C24" s="72" t="s">
        <v>186</v>
      </c>
      <c r="D24" s="76">
        <f>VLOOKUP($A24,'SMEPA Stations December 2016'!$A:$G,5,0)</f>
        <v>0</v>
      </c>
      <c r="E24" s="76">
        <f>VLOOKUP($A24,'SMEPA Stations December 2016'!$A:$G,6,0)</f>
        <v>0</v>
      </c>
      <c r="F24" s="76">
        <f>VLOOKUP($A24,'SMEPA Stations December 2016'!$A:$G,7,0)</f>
        <v>16365.07</v>
      </c>
      <c r="G24" s="75">
        <f t="shared" si="0"/>
        <v>16365.07</v>
      </c>
      <c r="H24" s="65"/>
      <c r="I24" s="73">
        <f t="shared" si="1"/>
        <v>16365.07</v>
      </c>
    </row>
    <row r="25" spans="1:9" s="69" customFormat="1" ht="15" customHeight="1">
      <c r="A25" s="65" t="s">
        <v>813</v>
      </c>
      <c r="B25" s="72" t="s">
        <v>812</v>
      </c>
      <c r="C25" s="72" t="s">
        <v>186</v>
      </c>
      <c r="D25" s="76">
        <f>VLOOKUP($A25,'SMEPA Stations December 2016'!$A:$G,5,0)</f>
        <v>0</v>
      </c>
      <c r="E25" s="76">
        <f>VLOOKUP($A25,'SMEPA Stations December 2016'!$A:$G,6,0)</f>
        <v>0</v>
      </c>
      <c r="F25" s="76">
        <f>VLOOKUP($A25,'SMEPA Stations December 2016'!$A:$G,7,0)</f>
        <v>143354.81</v>
      </c>
      <c r="G25" s="75">
        <f t="shared" si="0"/>
        <v>143354.81</v>
      </c>
      <c r="H25" s="73">
        <f>G25</f>
        <v>143354.81</v>
      </c>
      <c r="I25" s="73">
        <f t="shared" si="1"/>
        <v>0</v>
      </c>
    </row>
    <row r="26" spans="1:9" s="69" customFormat="1" ht="15" customHeight="1">
      <c r="A26" s="65" t="s">
        <v>811</v>
      </c>
      <c r="B26" s="72" t="s">
        <v>810</v>
      </c>
      <c r="C26" s="72" t="s">
        <v>186</v>
      </c>
      <c r="D26" s="76">
        <f>VLOOKUP($A26,'SMEPA Stations December 2016'!$A:$G,5,0)</f>
        <v>0</v>
      </c>
      <c r="E26" s="76">
        <f>VLOOKUP($A26,'SMEPA Stations December 2016'!$A:$G,6,0)</f>
        <v>0</v>
      </c>
      <c r="F26" s="76">
        <f>VLOOKUP($A26,'SMEPA Stations December 2016'!$A:$G,7,0)</f>
        <v>90767.360000000001</v>
      </c>
      <c r="G26" s="75">
        <f t="shared" si="0"/>
        <v>90767.360000000001</v>
      </c>
      <c r="H26" s="65"/>
      <c r="I26" s="73">
        <f t="shared" si="1"/>
        <v>90767.360000000001</v>
      </c>
    </row>
    <row r="27" spans="1:9" s="69" customFormat="1" ht="15" customHeight="1">
      <c r="A27" s="65" t="s">
        <v>1064</v>
      </c>
      <c r="B27" s="72" t="s">
        <v>1065</v>
      </c>
      <c r="C27" s="72" t="s">
        <v>186</v>
      </c>
      <c r="D27" s="76">
        <f>VLOOKUP($A27,'SMEPA Stations December 2016'!$A:$G,5,0)</f>
        <v>27486.93</v>
      </c>
      <c r="E27" s="76">
        <f>VLOOKUP($A27,'SMEPA Stations December 2016'!$A:$G,6,0)</f>
        <v>0</v>
      </c>
      <c r="F27" s="76">
        <f>VLOOKUP($A27,'SMEPA Stations December 2016'!$A:$G,7,0)</f>
        <v>0</v>
      </c>
      <c r="G27" s="75">
        <f t="shared" ref="G27" si="8">SUM(D27:F27)</f>
        <v>27486.93</v>
      </c>
      <c r="H27" s="65"/>
      <c r="I27" s="73">
        <f t="shared" ref="I27" si="9">+G27-H27</f>
        <v>27486.93</v>
      </c>
    </row>
    <row r="28" spans="1:9" s="69" customFormat="1" ht="15" customHeight="1">
      <c r="A28" s="65" t="s">
        <v>805</v>
      </c>
      <c r="B28" s="72" t="s">
        <v>804</v>
      </c>
      <c r="C28" s="72" t="s">
        <v>186</v>
      </c>
      <c r="D28" s="76">
        <f>VLOOKUP($A28,'SMEPA Stations December 2016'!$A:$G,5,0)</f>
        <v>22257.13</v>
      </c>
      <c r="E28" s="76">
        <f>VLOOKUP($A28,'SMEPA Stations December 2016'!$A:$G,6,0)</f>
        <v>0</v>
      </c>
      <c r="F28" s="76">
        <f>VLOOKUP($A28,'SMEPA Stations December 2016'!$A:$G,7,0)</f>
        <v>8570.34</v>
      </c>
      <c r="G28" s="75">
        <f t="shared" si="0"/>
        <v>30827.47</v>
      </c>
      <c r="H28" s="65"/>
      <c r="I28" s="73">
        <f t="shared" si="1"/>
        <v>30827.47</v>
      </c>
    </row>
    <row r="29" spans="1:9" s="229" customFormat="1" ht="15" customHeight="1">
      <c r="A29" s="175" t="s">
        <v>1615</v>
      </c>
      <c r="B29" s="176" t="s">
        <v>1616</v>
      </c>
      <c r="C29" s="176" t="s">
        <v>186</v>
      </c>
      <c r="D29" s="177"/>
      <c r="E29" s="177">
        <v>330.86</v>
      </c>
      <c r="F29" s="177">
        <v>59046.23</v>
      </c>
      <c r="G29" s="178">
        <f>SUM(D29:F29)</f>
        <v>59377.090000000004</v>
      </c>
      <c r="H29" s="179">
        <f>+G29</f>
        <v>59377.090000000004</v>
      </c>
      <c r="I29" s="179">
        <f t="shared" si="1"/>
        <v>0</v>
      </c>
    </row>
    <row r="30" spans="1:9" s="69" customFormat="1" ht="15" customHeight="1">
      <c r="A30" s="65" t="s">
        <v>803</v>
      </c>
      <c r="B30" s="72" t="s">
        <v>802</v>
      </c>
      <c r="C30" s="72" t="s">
        <v>186</v>
      </c>
      <c r="D30" s="76">
        <f>VLOOKUP($A30,'SMEPA Stations December 2016'!$A:$G,5,0)</f>
        <v>0</v>
      </c>
      <c r="E30" s="76">
        <f>VLOOKUP($A30,'SMEPA Stations December 2016'!$A:$G,6,0)</f>
        <v>0</v>
      </c>
      <c r="F30" s="76">
        <f>VLOOKUP($A30,'SMEPA Stations December 2016'!$A:$G,7,0)</f>
        <v>11099.51</v>
      </c>
      <c r="G30" s="75">
        <f t="shared" si="0"/>
        <v>11099.51</v>
      </c>
      <c r="H30" s="65"/>
      <c r="I30" s="73">
        <f t="shared" si="1"/>
        <v>11099.51</v>
      </c>
    </row>
    <row r="31" spans="1:9" s="69" customFormat="1" ht="15" customHeight="1">
      <c r="A31" s="65" t="s">
        <v>801</v>
      </c>
      <c r="B31" s="72" t="s">
        <v>800</v>
      </c>
      <c r="C31" s="72" t="s">
        <v>186</v>
      </c>
      <c r="D31" s="76">
        <f>VLOOKUP($A31,'SMEPA Stations December 2016'!$A:$G,5,0)</f>
        <v>0</v>
      </c>
      <c r="E31" s="76">
        <f>VLOOKUP($A31,'SMEPA Stations December 2016'!$A:$G,6,0)</f>
        <v>0</v>
      </c>
      <c r="F31" s="76">
        <f>VLOOKUP($A31,'SMEPA Stations December 2016'!$A:$G,7,0)</f>
        <v>18803.77</v>
      </c>
      <c r="G31" s="75">
        <f t="shared" si="0"/>
        <v>18803.77</v>
      </c>
      <c r="H31" s="65"/>
      <c r="I31" s="73">
        <f t="shared" si="1"/>
        <v>18803.77</v>
      </c>
    </row>
    <row r="32" spans="1:9" s="69" customFormat="1" ht="15" customHeight="1">
      <c r="A32" s="65" t="s">
        <v>799</v>
      </c>
      <c r="B32" s="72" t="s">
        <v>798</v>
      </c>
      <c r="C32" s="72" t="s">
        <v>186</v>
      </c>
      <c r="D32" s="76">
        <f>VLOOKUP($A32,'SMEPA Stations December 2016'!$A:$G,5,0)</f>
        <v>0</v>
      </c>
      <c r="E32" s="76">
        <f>VLOOKUP($A32,'SMEPA Stations December 2016'!$A:$G,6,0)</f>
        <v>0</v>
      </c>
      <c r="F32" s="76">
        <f>VLOOKUP($A32,'SMEPA Stations December 2016'!$A:$G,7,0)</f>
        <v>21031.51</v>
      </c>
      <c r="G32" s="75">
        <f t="shared" si="0"/>
        <v>21031.51</v>
      </c>
      <c r="H32" s="65"/>
      <c r="I32" s="73">
        <f t="shared" si="1"/>
        <v>21031.51</v>
      </c>
    </row>
    <row r="33" spans="1:10" s="69" customFormat="1" ht="15" customHeight="1">
      <c r="A33" s="65" t="s">
        <v>797</v>
      </c>
      <c r="B33" s="72" t="s">
        <v>796</v>
      </c>
      <c r="C33" s="72" t="s">
        <v>186</v>
      </c>
      <c r="D33" s="76">
        <f>VLOOKUP($A33,'SMEPA Stations December 2016'!$A:$G,5,0)</f>
        <v>0</v>
      </c>
      <c r="E33" s="76">
        <f>VLOOKUP($A33,'SMEPA Stations December 2016'!$A:$G,6,0)</f>
        <v>0</v>
      </c>
      <c r="F33" s="76">
        <f>VLOOKUP($A33,'SMEPA Stations December 2016'!$A:$G,7,0)</f>
        <v>7938.35</v>
      </c>
      <c r="G33" s="75">
        <f t="shared" si="0"/>
        <v>7938.35</v>
      </c>
      <c r="H33" s="65"/>
      <c r="I33" s="73">
        <f t="shared" si="1"/>
        <v>7938.35</v>
      </c>
    </row>
    <row r="34" spans="1:10" s="69" customFormat="1" ht="15" customHeight="1">
      <c r="A34" s="65" t="s">
        <v>793</v>
      </c>
      <c r="B34" s="72" t="s">
        <v>792</v>
      </c>
      <c r="C34" s="72" t="s">
        <v>186</v>
      </c>
      <c r="D34" s="76">
        <f>VLOOKUP($A34,'SMEPA Stations December 2016'!$A:$G,5,0)</f>
        <v>0</v>
      </c>
      <c r="E34" s="76">
        <f>VLOOKUP($A34,'SMEPA Stations December 2016'!$A:$G,6,0)</f>
        <v>0</v>
      </c>
      <c r="F34" s="76">
        <f>VLOOKUP($A34,'SMEPA Stations December 2016'!$A:$G,7,0)</f>
        <v>20970.8</v>
      </c>
      <c r="G34" s="75">
        <f t="shared" si="0"/>
        <v>20970.8</v>
      </c>
      <c r="H34" s="65"/>
      <c r="I34" s="73">
        <f t="shared" si="1"/>
        <v>20970.8</v>
      </c>
    </row>
    <row r="35" spans="1:10" s="69" customFormat="1" ht="15" customHeight="1">
      <c r="A35" s="65" t="s">
        <v>789</v>
      </c>
      <c r="B35" s="72" t="s">
        <v>788</v>
      </c>
      <c r="C35" s="72" t="s">
        <v>186</v>
      </c>
      <c r="D35" s="76">
        <f>VLOOKUP($A35,'SMEPA Stations December 2016'!$A:$G,5,0)</f>
        <v>0</v>
      </c>
      <c r="E35" s="76">
        <f>VLOOKUP($A35,'SMEPA Stations December 2016'!$A:$G,6,0)</f>
        <v>0</v>
      </c>
      <c r="F35" s="76">
        <f>VLOOKUP($A35,'SMEPA Stations December 2016'!$A:$G,7,0)</f>
        <v>11684.78</v>
      </c>
      <c r="G35" s="75">
        <f t="shared" si="0"/>
        <v>11684.78</v>
      </c>
      <c r="H35" s="65"/>
      <c r="I35" s="73">
        <f t="shared" si="1"/>
        <v>11684.78</v>
      </c>
    </row>
    <row r="36" spans="1:10" s="69" customFormat="1" ht="15" customHeight="1">
      <c r="A36" s="65" t="s">
        <v>783</v>
      </c>
      <c r="B36" s="72" t="s">
        <v>782</v>
      </c>
      <c r="C36" s="72" t="s">
        <v>186</v>
      </c>
      <c r="D36" s="76">
        <f>VLOOKUP($A36,'SMEPA Stations December 2016'!$A:$G,5,0)</f>
        <v>0</v>
      </c>
      <c r="E36" s="76">
        <f>VLOOKUP($A36,'SMEPA Stations December 2016'!$A:$G,6,0)</f>
        <v>0</v>
      </c>
      <c r="F36" s="76">
        <f>VLOOKUP($A36,'SMEPA Stations December 2016'!$A:$G,7,0)</f>
        <v>11299.67</v>
      </c>
      <c r="G36" s="75">
        <f t="shared" si="0"/>
        <v>11299.67</v>
      </c>
      <c r="H36" s="65"/>
      <c r="I36" s="73">
        <f t="shared" si="1"/>
        <v>11299.67</v>
      </c>
    </row>
    <row r="37" spans="1:10" s="69" customFormat="1" ht="15" customHeight="1">
      <c r="A37" s="65" t="s">
        <v>773</v>
      </c>
      <c r="B37" s="72" t="s">
        <v>772</v>
      </c>
      <c r="C37" s="72" t="s">
        <v>186</v>
      </c>
      <c r="D37" s="76">
        <f>VLOOKUP($A37,'SMEPA Stations December 2016'!$A:$G,5,0)</f>
        <v>0</v>
      </c>
      <c r="E37" s="76">
        <f>VLOOKUP($A37,'SMEPA Stations December 2016'!$A:$G,6,0)</f>
        <v>0</v>
      </c>
      <c r="F37" s="76">
        <f>VLOOKUP($A37,'SMEPA Stations December 2016'!$A:$G,7,0)</f>
        <v>139069.82</v>
      </c>
      <c r="G37" s="75">
        <f t="shared" si="0"/>
        <v>139069.82</v>
      </c>
      <c r="H37" s="73">
        <f>G37</f>
        <v>139069.82</v>
      </c>
      <c r="I37" s="73">
        <f t="shared" si="1"/>
        <v>0</v>
      </c>
    </row>
    <row r="38" spans="1:10" s="69" customFormat="1" ht="15" customHeight="1">
      <c r="A38" s="65" t="s">
        <v>771</v>
      </c>
      <c r="B38" s="72" t="s">
        <v>770</v>
      </c>
      <c r="C38" s="72" t="s">
        <v>186</v>
      </c>
      <c r="D38" s="76">
        <f>VLOOKUP($A38,'SMEPA Stations December 2016'!$A:$G,5,0)</f>
        <v>0</v>
      </c>
      <c r="E38" s="76">
        <f>VLOOKUP($A38,'SMEPA Stations December 2016'!$A:$G,6,0)</f>
        <v>29786.69</v>
      </c>
      <c r="F38" s="76">
        <f>VLOOKUP($A38,'SMEPA Stations December 2016'!$A:$G,7,0)</f>
        <v>43492.87</v>
      </c>
      <c r="G38" s="75">
        <f t="shared" si="0"/>
        <v>73279.56</v>
      </c>
      <c r="H38" s="73">
        <f>G38-22859.39</f>
        <v>50420.17</v>
      </c>
      <c r="I38" s="73">
        <f t="shared" si="1"/>
        <v>22859.39</v>
      </c>
    </row>
    <row r="39" spans="1:10" s="69" customFormat="1" ht="15" customHeight="1">
      <c r="A39" s="65" t="s">
        <v>769</v>
      </c>
      <c r="B39" s="72" t="s">
        <v>768</v>
      </c>
      <c r="C39" s="72" t="s">
        <v>186</v>
      </c>
      <c r="D39" s="76">
        <f>VLOOKUP($A39,'SMEPA Stations December 2016'!$A:$G,5,0)</f>
        <v>24326.13</v>
      </c>
      <c r="E39" s="76">
        <f>VLOOKUP($A39,'SMEPA Stations December 2016'!$A:$G,6,0)</f>
        <v>0</v>
      </c>
      <c r="F39" s="76">
        <f>VLOOKUP($A39,'SMEPA Stations December 2016'!$A:$G,7,0)</f>
        <v>38901.39</v>
      </c>
      <c r="G39" s="75">
        <f t="shared" si="0"/>
        <v>63227.520000000004</v>
      </c>
      <c r="H39" s="65"/>
      <c r="I39" s="73">
        <f t="shared" si="1"/>
        <v>63227.520000000004</v>
      </c>
    </row>
    <row r="40" spans="1:10" s="69" customFormat="1" ht="15" customHeight="1">
      <c r="A40" s="65" t="s">
        <v>1261</v>
      </c>
      <c r="B40" s="72" t="s">
        <v>1262</v>
      </c>
      <c r="C40" s="72" t="s">
        <v>186</v>
      </c>
      <c r="D40" s="76">
        <f>VLOOKUP($A40,'SMEPA Stations December 2016'!$A:$G,5,0)</f>
        <v>0</v>
      </c>
      <c r="E40" s="76">
        <f>VLOOKUP($A40,'SMEPA Stations December 2016'!$A:$G,6,0)</f>
        <v>0</v>
      </c>
      <c r="F40" s="76">
        <f>VLOOKUP($A40,'SMEPA Stations December 2016'!$A:$G,7,0)</f>
        <v>0</v>
      </c>
      <c r="G40" s="75">
        <f t="shared" ref="G40" si="10">SUM(D40:F40)</f>
        <v>0</v>
      </c>
      <c r="H40" s="65"/>
      <c r="I40" s="73">
        <f t="shared" ref="I40" si="11">+G40-H40</f>
        <v>0</v>
      </c>
    </row>
    <row r="41" spans="1:10" s="69" customFormat="1" ht="15" customHeight="1">
      <c r="A41" s="65" t="s">
        <v>763</v>
      </c>
      <c r="B41" s="72" t="s">
        <v>762</v>
      </c>
      <c r="C41" s="72" t="s">
        <v>186</v>
      </c>
      <c r="D41" s="76">
        <f>VLOOKUP($A41,'SMEPA Stations December 2016'!$A:$G,5,0)</f>
        <v>0</v>
      </c>
      <c r="E41" s="76">
        <f>VLOOKUP($A41,'SMEPA Stations December 2016'!$A:$G,6,0)</f>
        <v>0</v>
      </c>
      <c r="F41" s="177">
        <f>VLOOKUP($A41,'SMEPA Stations December 2016'!$A:$G,7,0)</f>
        <v>42688.29</v>
      </c>
      <c r="G41" s="75">
        <f t="shared" si="0"/>
        <v>42688.29</v>
      </c>
      <c r="H41" s="73"/>
      <c r="I41" s="73">
        <f t="shared" si="1"/>
        <v>42688.29</v>
      </c>
    </row>
    <row r="42" spans="1:10" s="69" customFormat="1" ht="15" customHeight="1">
      <c r="A42" s="65" t="s">
        <v>1066</v>
      </c>
      <c r="B42" s="72" t="s">
        <v>1067</v>
      </c>
      <c r="C42" s="72" t="s">
        <v>186</v>
      </c>
      <c r="D42" s="76">
        <f>VLOOKUP($A42,'SMEPA Stations December 2016'!$A:$G,5,0)</f>
        <v>17753.25</v>
      </c>
      <c r="E42" s="76">
        <f>VLOOKUP($A42,'SMEPA Stations December 2016'!$A:$G,6,0)</f>
        <v>0</v>
      </c>
      <c r="F42" s="76">
        <f>VLOOKUP($A42,'SMEPA Stations December 2016'!$A:$G,7,0)</f>
        <v>0</v>
      </c>
      <c r="G42" s="75">
        <f t="shared" ref="G42" si="12">SUM(D42:F42)</f>
        <v>17753.25</v>
      </c>
      <c r="H42" s="73"/>
      <c r="I42" s="73">
        <f t="shared" ref="I42" si="13">+G42-H42</f>
        <v>17753.25</v>
      </c>
    </row>
    <row r="43" spans="1:10" s="69" customFormat="1" ht="15" customHeight="1">
      <c r="A43" s="65" t="s">
        <v>1068</v>
      </c>
      <c r="B43" s="72" t="s">
        <v>1069</v>
      </c>
      <c r="C43" s="72" t="s">
        <v>186</v>
      </c>
      <c r="D43" s="76">
        <f>VLOOKUP($A43,'SMEPA Stations December 2016'!$A:$G,5,0)</f>
        <v>25847.77</v>
      </c>
      <c r="E43" s="76">
        <f>VLOOKUP($A43,'SMEPA Stations December 2016'!$A:$G,6,0)</f>
        <v>0</v>
      </c>
      <c r="F43" s="76">
        <f>VLOOKUP($A43,'SMEPA Stations December 2016'!$A:$G,7,0)</f>
        <v>0</v>
      </c>
      <c r="G43" s="75">
        <f t="shared" ref="G43" si="14">SUM(D43:F43)</f>
        <v>25847.77</v>
      </c>
      <c r="H43" s="73"/>
      <c r="I43" s="73">
        <f t="shared" ref="I43" si="15">+G43-H43</f>
        <v>25847.77</v>
      </c>
    </row>
    <row r="44" spans="1:10" s="69" customFormat="1" ht="15" customHeight="1">
      <c r="A44" s="65" t="s">
        <v>756</v>
      </c>
      <c r="B44" s="72" t="s">
        <v>755</v>
      </c>
      <c r="C44" s="72" t="s">
        <v>186</v>
      </c>
      <c r="D44" s="76">
        <f>VLOOKUP($A44,'SMEPA Stations December 2016'!$A:$G,5,0)</f>
        <v>0</v>
      </c>
      <c r="E44" s="76">
        <f>VLOOKUP($A44,'SMEPA Stations December 2016'!$A:$G,6,0)</f>
        <v>0</v>
      </c>
      <c r="F44" s="76">
        <f>VLOOKUP($A44,'SMEPA Stations December 2016'!$A:$G,7,0)</f>
        <v>20079.650000000001</v>
      </c>
      <c r="G44" s="75">
        <f t="shared" si="0"/>
        <v>20079.650000000001</v>
      </c>
      <c r="H44" s="65"/>
      <c r="I44" s="73">
        <f t="shared" si="1"/>
        <v>20079.650000000001</v>
      </c>
    </row>
    <row r="45" spans="1:10" s="69" customFormat="1" ht="15" customHeight="1">
      <c r="A45" s="65" t="s">
        <v>754</v>
      </c>
      <c r="B45" s="72" t="s">
        <v>753</v>
      </c>
      <c r="C45" s="72" t="s">
        <v>186</v>
      </c>
      <c r="D45" s="76">
        <f>VLOOKUP($A45,'SMEPA Stations December 2016'!$A:$G,5,0)</f>
        <v>0</v>
      </c>
      <c r="E45" s="76">
        <f>VLOOKUP($A45,'SMEPA Stations December 2016'!$A:$G,6,0)</f>
        <v>0</v>
      </c>
      <c r="F45" s="76">
        <f>VLOOKUP($A45,'SMEPA Stations December 2016'!$A:$G,7,0)</f>
        <v>17819.14</v>
      </c>
      <c r="G45" s="75">
        <f t="shared" si="0"/>
        <v>17819.14</v>
      </c>
      <c r="H45" s="65"/>
      <c r="I45" s="73">
        <f t="shared" si="1"/>
        <v>17819.14</v>
      </c>
    </row>
    <row r="46" spans="1:10" s="69" customFormat="1" ht="15" customHeight="1">
      <c r="A46" s="65" t="s">
        <v>752</v>
      </c>
      <c r="B46" s="443" t="s">
        <v>751</v>
      </c>
      <c r="C46" s="72" t="s">
        <v>186</v>
      </c>
      <c r="D46" s="76">
        <f>VLOOKUP($A46,'SMEPA Stations December 2016'!$A:$G,5,0)</f>
        <v>0</v>
      </c>
      <c r="E46" s="76">
        <f>VLOOKUP($A46,'SMEPA Stations December 2016'!$A:$G,6,0)</f>
        <v>76783.48</v>
      </c>
      <c r="F46" s="76">
        <f>VLOOKUP($A46,'SMEPA Stations December 2016'!$A:$G,7,0)</f>
        <v>34849.370000000003</v>
      </c>
      <c r="G46" s="75">
        <f t="shared" si="0"/>
        <v>111632.85</v>
      </c>
      <c r="H46" s="65"/>
      <c r="I46" s="73">
        <f t="shared" si="1"/>
        <v>111632.85</v>
      </c>
      <c r="J46" s="69" t="s">
        <v>1636</v>
      </c>
    </row>
    <row r="47" spans="1:10" s="69" customFormat="1" ht="15" customHeight="1">
      <c r="A47" s="65" t="s">
        <v>748</v>
      </c>
      <c r="B47" s="72" t="s">
        <v>747</v>
      </c>
      <c r="C47" s="72" t="s">
        <v>186</v>
      </c>
      <c r="D47" s="76">
        <f>VLOOKUP($A47,'SMEPA Stations December 2016'!$A:$G,5,0)</f>
        <v>0</v>
      </c>
      <c r="E47" s="76">
        <f>VLOOKUP($A47,'SMEPA Stations December 2016'!$A:$G,6,0)</f>
        <v>0</v>
      </c>
      <c r="F47" s="76">
        <f>VLOOKUP($A47,'SMEPA Stations December 2016'!$A:$G,7,0)</f>
        <v>12949.01</v>
      </c>
      <c r="G47" s="75">
        <f t="shared" si="0"/>
        <v>12949.01</v>
      </c>
      <c r="H47" s="65"/>
      <c r="I47" s="73">
        <f t="shared" si="1"/>
        <v>12949.01</v>
      </c>
    </row>
    <row r="48" spans="1:10" s="69" customFormat="1" ht="15" customHeight="1">
      <c r="A48" s="65" t="s">
        <v>746</v>
      </c>
      <c r="B48" s="72" t="s">
        <v>745</v>
      </c>
      <c r="C48" s="72" t="s">
        <v>186</v>
      </c>
      <c r="D48" s="76">
        <f>VLOOKUP($A48,'SMEPA Stations December 2016'!$A:$G,5,0)</f>
        <v>0</v>
      </c>
      <c r="E48" s="76">
        <f>VLOOKUP($A48,'SMEPA Stations December 2016'!$A:$G,6,0)</f>
        <v>0</v>
      </c>
      <c r="F48" s="76">
        <f>VLOOKUP($A48,'SMEPA Stations December 2016'!$A:$G,7,0)</f>
        <v>9760.1200000000008</v>
      </c>
      <c r="G48" s="75">
        <f t="shared" si="0"/>
        <v>9760.1200000000008</v>
      </c>
      <c r="H48" s="65"/>
      <c r="I48" s="73">
        <f t="shared" si="1"/>
        <v>9760.1200000000008</v>
      </c>
    </row>
    <row r="49" spans="1:9" s="69" customFormat="1" ht="15" customHeight="1">
      <c r="A49" s="65" t="s">
        <v>740</v>
      </c>
      <c r="B49" s="72" t="s">
        <v>739</v>
      </c>
      <c r="C49" s="72" t="s">
        <v>186</v>
      </c>
      <c r="D49" s="76">
        <f>VLOOKUP($A49,'SMEPA Stations December 2016'!$A:$G,5,0)</f>
        <v>0</v>
      </c>
      <c r="E49" s="76">
        <f>VLOOKUP($A49,'SMEPA Stations December 2016'!$A:$G,6,0)</f>
        <v>0</v>
      </c>
      <c r="F49" s="76">
        <f>VLOOKUP($A49,'SMEPA Stations December 2016'!$A:$G,7,0)</f>
        <v>15600.93</v>
      </c>
      <c r="G49" s="75">
        <f t="shared" si="0"/>
        <v>15600.93</v>
      </c>
      <c r="H49" s="65"/>
      <c r="I49" s="73">
        <f t="shared" si="1"/>
        <v>15600.93</v>
      </c>
    </row>
    <row r="50" spans="1:9" s="69" customFormat="1" ht="15" customHeight="1">
      <c r="A50" s="65" t="s">
        <v>738</v>
      </c>
      <c r="B50" s="72" t="s">
        <v>737</v>
      </c>
      <c r="C50" s="72" t="s">
        <v>186</v>
      </c>
      <c r="D50" s="76">
        <f>VLOOKUP($A50,'SMEPA Stations December 2016'!$A:$G,5,0)</f>
        <v>0</v>
      </c>
      <c r="E50" s="76">
        <f>VLOOKUP($A50,'SMEPA Stations December 2016'!$A:$G,6,0)</f>
        <v>0</v>
      </c>
      <c r="F50" s="76">
        <f>VLOOKUP($A50,'SMEPA Stations December 2016'!$A:$G,7,0)</f>
        <v>31263.88</v>
      </c>
      <c r="G50" s="75">
        <f t="shared" si="0"/>
        <v>31263.88</v>
      </c>
      <c r="H50" s="65"/>
      <c r="I50" s="73">
        <f t="shared" si="1"/>
        <v>31263.88</v>
      </c>
    </row>
    <row r="51" spans="1:9" s="69" customFormat="1" ht="15" customHeight="1">
      <c r="A51" s="65" t="s">
        <v>736</v>
      </c>
      <c r="B51" s="72" t="s">
        <v>735</v>
      </c>
      <c r="C51" s="72" t="s">
        <v>186</v>
      </c>
      <c r="D51" s="76">
        <f>VLOOKUP($A51,'SMEPA Stations December 2016'!$A:$G,5,0)</f>
        <v>0</v>
      </c>
      <c r="E51" s="76">
        <f>VLOOKUP($A51,'SMEPA Stations December 2016'!$A:$G,6,0)</f>
        <v>0</v>
      </c>
      <c r="F51" s="177">
        <f>VLOOKUP($A51,'SMEPA Stations December 2016'!$A:$G,7,0)</f>
        <v>8364.2000000000007</v>
      </c>
      <c r="G51" s="75">
        <f t="shared" si="0"/>
        <v>8364.2000000000007</v>
      </c>
      <c r="H51" s="65"/>
      <c r="I51" s="73">
        <f t="shared" si="1"/>
        <v>8364.2000000000007</v>
      </c>
    </row>
    <row r="52" spans="1:9" s="69" customFormat="1" ht="15" customHeight="1">
      <c r="A52" s="65" t="s">
        <v>734</v>
      </c>
      <c r="B52" s="72" t="s">
        <v>733</v>
      </c>
      <c r="C52" s="72" t="s">
        <v>186</v>
      </c>
      <c r="D52" s="76">
        <f>VLOOKUP($A52,'SMEPA Stations December 2016'!$A:$G,5,0)</f>
        <v>0</v>
      </c>
      <c r="E52" s="76">
        <f>VLOOKUP($A52,'SMEPA Stations December 2016'!$A:$G,6,0)</f>
        <v>0</v>
      </c>
      <c r="F52" s="76">
        <f>VLOOKUP($A52,'SMEPA Stations December 2016'!$A:$G,7,0)</f>
        <v>0</v>
      </c>
      <c r="G52" s="75">
        <f t="shared" si="0"/>
        <v>0</v>
      </c>
      <c r="H52" s="65"/>
      <c r="I52" s="73">
        <f t="shared" si="1"/>
        <v>0</v>
      </c>
    </row>
    <row r="53" spans="1:9" s="236" customFormat="1" ht="15" customHeight="1">
      <c r="A53" s="232" t="s">
        <v>732</v>
      </c>
      <c r="B53" s="233" t="s">
        <v>731</v>
      </c>
      <c r="C53" s="233" t="s">
        <v>186</v>
      </c>
      <c r="D53" s="252">
        <f>VLOOKUP($A53,'SMEPA Stations December 2016'!$A:$G,5,0)</f>
        <v>0</v>
      </c>
      <c r="E53" s="252">
        <f>VLOOKUP($A53,'SMEPA Stations December 2016'!$A:$G,6,0)</f>
        <v>0</v>
      </c>
      <c r="F53" s="252">
        <f>VLOOKUP($A53,'SMEPA Stations December 2016'!$A:$G,7,0)</f>
        <v>193054.12</v>
      </c>
      <c r="G53" s="234">
        <f t="shared" si="0"/>
        <v>193054.12</v>
      </c>
      <c r="H53" s="301">
        <f>G53-23858.78</f>
        <v>169195.34</v>
      </c>
      <c r="I53" s="235">
        <f t="shared" si="1"/>
        <v>23858.78</v>
      </c>
    </row>
    <row r="54" spans="1:9" s="69" customFormat="1" ht="15" customHeight="1">
      <c r="A54" s="65" t="s">
        <v>1070</v>
      </c>
      <c r="B54" s="72" t="s">
        <v>1071</v>
      </c>
      <c r="C54" s="72" t="s">
        <v>186</v>
      </c>
      <c r="D54" s="76">
        <f>VLOOKUP($A54,'SMEPA Stations December 2016'!$A:$G,5,0)</f>
        <v>0</v>
      </c>
      <c r="E54" s="76">
        <f>VLOOKUP($A54,'SMEPA Stations December 2016'!$A:$G,6,0)</f>
        <v>0</v>
      </c>
      <c r="F54" s="76">
        <f>VLOOKUP($A54,'SMEPA Stations December 2016'!$A:$G,7,0)</f>
        <v>0</v>
      </c>
      <c r="G54" s="75">
        <f t="shared" ref="G54" si="16">SUM(D54:F54)</f>
        <v>0</v>
      </c>
      <c r="H54" s="442"/>
      <c r="I54" s="73">
        <f t="shared" ref="I54" si="17">+G54-H54</f>
        <v>0</v>
      </c>
    </row>
    <row r="55" spans="1:9" s="69" customFormat="1" ht="15" customHeight="1">
      <c r="A55" s="65" t="s">
        <v>730</v>
      </c>
      <c r="B55" s="72" t="s">
        <v>729</v>
      </c>
      <c r="C55" s="72" t="s">
        <v>186</v>
      </c>
      <c r="D55" s="76">
        <f>VLOOKUP($A55,'SMEPA Stations December 2016'!$A:$G,5,0)</f>
        <v>0</v>
      </c>
      <c r="E55" s="76">
        <f>VLOOKUP($A55,'SMEPA Stations December 2016'!$A:$G,6,0)</f>
        <v>0</v>
      </c>
      <c r="F55" s="76">
        <f>VLOOKUP($A55,'SMEPA Stations December 2016'!$A:$G,7,0)</f>
        <v>15697.02</v>
      </c>
      <c r="G55" s="75">
        <f t="shared" si="0"/>
        <v>15697.02</v>
      </c>
      <c r="H55" s="65"/>
      <c r="I55" s="73">
        <f t="shared" si="1"/>
        <v>15697.02</v>
      </c>
    </row>
    <row r="56" spans="1:9" s="69" customFormat="1" ht="15" customHeight="1">
      <c r="A56" s="65" t="s">
        <v>722</v>
      </c>
      <c r="B56" s="72" t="s">
        <v>721</v>
      </c>
      <c r="C56" s="72" t="s">
        <v>186</v>
      </c>
      <c r="D56" s="76">
        <f>VLOOKUP($A56,'SMEPA Stations December 2016'!$A:$G,5,0)</f>
        <v>0</v>
      </c>
      <c r="E56" s="76">
        <f>VLOOKUP($A56,'SMEPA Stations December 2016'!$A:$G,6,0)</f>
        <v>107815.15</v>
      </c>
      <c r="F56" s="76">
        <f>VLOOKUP($A56,'SMEPA Stations December 2016'!$A:$G,7,0)</f>
        <v>122278.79</v>
      </c>
      <c r="G56" s="75">
        <f t="shared" si="0"/>
        <v>230093.94</v>
      </c>
      <c r="H56" s="65"/>
      <c r="I56" s="73">
        <f t="shared" si="1"/>
        <v>230093.94</v>
      </c>
    </row>
    <row r="57" spans="1:9" s="69" customFormat="1" ht="15" customHeight="1">
      <c r="A57" s="65" t="s">
        <v>720</v>
      </c>
      <c r="B57" s="72" t="s">
        <v>719</v>
      </c>
      <c r="C57" s="72" t="s">
        <v>186</v>
      </c>
      <c r="D57" s="76">
        <f>VLOOKUP($A57,'SMEPA Stations December 2016'!$A:$G,5,0)</f>
        <v>0</v>
      </c>
      <c r="E57" s="76">
        <f>VLOOKUP($A57,'SMEPA Stations December 2016'!$A:$G,6,0)</f>
        <v>0</v>
      </c>
      <c r="F57" s="76">
        <f>VLOOKUP($A57,'SMEPA Stations December 2016'!$A:$G,7,0)</f>
        <v>0</v>
      </c>
      <c r="G57" s="75">
        <f t="shared" si="0"/>
        <v>0</v>
      </c>
      <c r="H57" s="65"/>
      <c r="I57" s="73">
        <f t="shared" si="1"/>
        <v>0</v>
      </c>
    </row>
    <row r="58" spans="1:9" s="69" customFormat="1" ht="15" customHeight="1">
      <c r="A58" s="65" t="s">
        <v>718</v>
      </c>
      <c r="B58" s="72" t="s">
        <v>717</v>
      </c>
      <c r="C58" s="72" t="s">
        <v>186</v>
      </c>
      <c r="D58" s="76">
        <f>VLOOKUP($A58,'SMEPA Stations December 2016'!$A:$G,5,0)</f>
        <v>0</v>
      </c>
      <c r="E58" s="76">
        <f>VLOOKUP($A58,'SMEPA Stations December 2016'!$A:$G,6,0)</f>
        <v>0</v>
      </c>
      <c r="F58" s="76">
        <f>VLOOKUP($A58,'SMEPA Stations December 2016'!$A:$G,7,0)</f>
        <v>32015.54</v>
      </c>
      <c r="G58" s="75">
        <f t="shared" si="0"/>
        <v>32015.54</v>
      </c>
      <c r="H58" s="65"/>
      <c r="I58" s="73">
        <f t="shared" si="1"/>
        <v>32015.54</v>
      </c>
    </row>
    <row r="59" spans="1:9" s="69" customFormat="1" ht="15" customHeight="1">
      <c r="A59" s="65" t="s">
        <v>712</v>
      </c>
      <c r="B59" s="72" t="s">
        <v>711</v>
      </c>
      <c r="C59" s="72" t="s">
        <v>186</v>
      </c>
      <c r="D59" s="76">
        <f>VLOOKUP($A59,'SMEPA Stations December 2016'!$A:$G,5,0)</f>
        <v>0</v>
      </c>
      <c r="E59" s="76">
        <f>VLOOKUP($A59,'SMEPA Stations December 2016'!$A:$G,6,0)</f>
        <v>51671.56</v>
      </c>
      <c r="F59" s="76">
        <f>VLOOKUP($A59,'SMEPA Stations December 2016'!$A:$G,7,0)</f>
        <v>63399.73</v>
      </c>
      <c r="G59" s="75">
        <f t="shared" si="0"/>
        <v>115071.29000000001</v>
      </c>
      <c r="H59" s="65"/>
      <c r="I59" s="73">
        <f t="shared" si="1"/>
        <v>115071.29000000001</v>
      </c>
    </row>
    <row r="60" spans="1:9" s="69" customFormat="1" ht="18" customHeight="1">
      <c r="A60" s="65" t="s">
        <v>706</v>
      </c>
      <c r="B60" s="72" t="s">
        <v>705</v>
      </c>
      <c r="C60" s="72" t="s">
        <v>186</v>
      </c>
      <c r="D60" s="76">
        <f>VLOOKUP($A60,'SMEPA Stations December 2016'!$A:$G,5,0)</f>
        <v>0</v>
      </c>
      <c r="E60" s="76">
        <f>VLOOKUP($A60,'SMEPA Stations December 2016'!$A:$G,6,0)</f>
        <v>0</v>
      </c>
      <c r="F60" s="76">
        <f>VLOOKUP($A60,'SMEPA Stations December 2016'!$A:$G,7,0)</f>
        <v>16244.49</v>
      </c>
      <c r="G60" s="75">
        <f t="shared" si="0"/>
        <v>16244.49</v>
      </c>
      <c r="H60" s="65"/>
      <c r="I60" s="73">
        <f t="shared" si="1"/>
        <v>16244.49</v>
      </c>
    </row>
    <row r="61" spans="1:9" s="229" customFormat="1" ht="18" customHeight="1">
      <c r="A61" s="175" t="s">
        <v>1617</v>
      </c>
      <c r="B61" s="176" t="s">
        <v>1618</v>
      </c>
      <c r="C61" s="176" t="s">
        <v>186</v>
      </c>
      <c r="D61" s="177"/>
      <c r="E61" s="177"/>
      <c r="F61" s="177">
        <v>94155.86</v>
      </c>
      <c r="G61" s="178">
        <f t="shared" si="0"/>
        <v>94155.86</v>
      </c>
      <c r="H61" s="175">
        <v>94155.86</v>
      </c>
      <c r="I61" s="179">
        <f t="shared" si="1"/>
        <v>0</v>
      </c>
    </row>
    <row r="62" spans="1:9" s="69" customFormat="1" ht="15" customHeight="1">
      <c r="A62" s="65" t="s">
        <v>704</v>
      </c>
      <c r="B62" s="72" t="s">
        <v>703</v>
      </c>
      <c r="C62" s="72" t="s">
        <v>186</v>
      </c>
      <c r="D62" s="76">
        <f>VLOOKUP($A62,'SMEPA Stations December 2016'!$A:$G,5,0)</f>
        <v>0</v>
      </c>
      <c r="E62" s="76">
        <f>VLOOKUP($A62,'SMEPA Stations December 2016'!$A:$G,6,0)</f>
        <v>0</v>
      </c>
      <c r="F62" s="76">
        <f>VLOOKUP($A62,'SMEPA Stations December 2016'!$A:$G,7,0)</f>
        <v>18440.75</v>
      </c>
      <c r="G62" s="75">
        <f t="shared" si="0"/>
        <v>18440.75</v>
      </c>
      <c r="H62" s="65"/>
      <c r="I62" s="73">
        <f t="shared" si="1"/>
        <v>18440.75</v>
      </c>
    </row>
    <row r="63" spans="1:9" s="69" customFormat="1" ht="15" customHeight="1">
      <c r="A63" s="65" t="s">
        <v>1072</v>
      </c>
      <c r="B63" s="72" t="s">
        <v>1101</v>
      </c>
      <c r="C63" s="72" t="s">
        <v>186</v>
      </c>
      <c r="D63" s="76">
        <f>VLOOKUP($A63,'SMEPA Stations December 2016'!$A:$G,5,0)</f>
        <v>0</v>
      </c>
      <c r="E63" s="76">
        <f>VLOOKUP($A63,'SMEPA Stations December 2016'!$A:$G,6,0)</f>
        <v>0</v>
      </c>
      <c r="F63" s="76">
        <f>VLOOKUP($A63,'SMEPA Stations December 2016'!$A:$G,7,0)</f>
        <v>0</v>
      </c>
      <c r="G63" s="75">
        <f t="shared" ref="G63" si="18">SUM(D63:F63)</f>
        <v>0</v>
      </c>
      <c r="H63" s="65"/>
      <c r="I63" s="73">
        <f t="shared" ref="I63" si="19">+G63-H63</f>
        <v>0</v>
      </c>
    </row>
    <row r="64" spans="1:9" s="229" customFormat="1" ht="15" customHeight="1">
      <c r="A64" s="175" t="s">
        <v>1619</v>
      </c>
      <c r="B64" s="176" t="s">
        <v>1620</v>
      </c>
      <c r="C64" s="176" t="s">
        <v>186</v>
      </c>
      <c r="D64" s="177"/>
      <c r="E64" s="177">
        <v>306.86</v>
      </c>
      <c r="F64" s="177">
        <v>21807.64</v>
      </c>
      <c r="G64" s="178">
        <f t="shared" ref="G64" si="20">SUM(D64:F64)</f>
        <v>22114.5</v>
      </c>
      <c r="H64" s="175">
        <v>22114.5</v>
      </c>
      <c r="I64" s="179">
        <f t="shared" ref="I64" si="21">+G64-H64</f>
        <v>0</v>
      </c>
    </row>
    <row r="65" spans="1:9" s="69" customFormat="1" ht="15" customHeight="1">
      <c r="A65" s="65" t="s">
        <v>1074</v>
      </c>
      <c r="B65" s="72" t="s">
        <v>1075</v>
      </c>
      <c r="C65" s="72" t="s">
        <v>186</v>
      </c>
      <c r="D65" s="76">
        <f>VLOOKUP($A65,'SMEPA Stations December 2016'!$A:$G,5,0)</f>
        <v>23173.09</v>
      </c>
      <c r="E65" s="76">
        <f>VLOOKUP($A65,'SMEPA Stations December 2016'!$A:$G,6,0)</f>
        <v>0</v>
      </c>
      <c r="F65" s="76">
        <f>VLOOKUP($A65,'SMEPA Stations December 2016'!$A:$G,7,0)</f>
        <v>0</v>
      </c>
      <c r="G65" s="75">
        <f t="shared" ref="G65" si="22">SUM(D65:F65)</f>
        <v>23173.09</v>
      </c>
      <c r="H65" s="65"/>
      <c r="I65" s="73">
        <f t="shared" ref="I65" si="23">+G65-H65</f>
        <v>23173.09</v>
      </c>
    </row>
    <row r="66" spans="1:9" s="236" customFormat="1" ht="15" customHeight="1">
      <c r="A66" s="232" t="s">
        <v>696</v>
      </c>
      <c r="B66" s="233" t="s">
        <v>695</v>
      </c>
      <c r="C66" s="233" t="s">
        <v>186</v>
      </c>
      <c r="D66" s="252">
        <f>VLOOKUP($A66,'SMEPA Stations December 2016'!$A:$G,5,0)</f>
        <v>17453.61</v>
      </c>
      <c r="E66" s="252">
        <f>VLOOKUP($A66,'SMEPA Stations December 2016'!$A:$G,6,0)</f>
        <v>526881.18999999994</v>
      </c>
      <c r="F66" s="252">
        <f>VLOOKUP($A66,'SMEPA Stations December 2016'!$A:$G,7,0)</f>
        <v>332580.71999999997</v>
      </c>
      <c r="G66" s="234">
        <f t="shared" si="0"/>
        <v>876915.5199999999</v>
      </c>
      <c r="H66" s="381">
        <f>G66-16403.44</f>
        <v>860512.08</v>
      </c>
      <c r="I66" s="235">
        <f t="shared" si="1"/>
        <v>16403.439999999944</v>
      </c>
    </row>
    <row r="67" spans="1:9" s="69" customFormat="1" ht="15" customHeight="1">
      <c r="A67" s="65" t="s">
        <v>692</v>
      </c>
      <c r="B67" s="72" t="s">
        <v>691</v>
      </c>
      <c r="C67" s="72" t="s">
        <v>186</v>
      </c>
      <c r="D67" s="76">
        <f>VLOOKUP($A67,'SMEPA Stations December 2016'!$A:$G,5,0)</f>
        <v>17051.05</v>
      </c>
      <c r="E67" s="76">
        <f>VLOOKUP($A67,'SMEPA Stations December 2016'!$A:$G,6,0)</f>
        <v>0</v>
      </c>
      <c r="F67" s="76">
        <f>VLOOKUP($A67,'SMEPA Stations December 2016'!$A:$G,7,0)</f>
        <v>9504.85</v>
      </c>
      <c r="G67" s="75">
        <f t="shared" si="0"/>
        <v>26555.9</v>
      </c>
      <c r="H67" s="65"/>
      <c r="I67" s="73">
        <f t="shared" si="1"/>
        <v>26555.9</v>
      </c>
    </row>
    <row r="68" spans="1:9" s="69" customFormat="1" ht="15" customHeight="1">
      <c r="A68" s="65" t="s">
        <v>684</v>
      </c>
      <c r="B68" s="72" t="s">
        <v>683</v>
      </c>
      <c r="C68" s="72" t="s">
        <v>186</v>
      </c>
      <c r="D68" s="76">
        <f>VLOOKUP($A68,'SMEPA Stations December 2016'!$A:$G,5,0)</f>
        <v>0</v>
      </c>
      <c r="E68" s="76">
        <f>VLOOKUP($A68,'SMEPA Stations December 2016'!$A:$G,6,0)</f>
        <v>0</v>
      </c>
      <c r="F68" s="76">
        <f>VLOOKUP($A68,'SMEPA Stations December 2016'!$A:$G,7,0)</f>
        <v>130102.64</v>
      </c>
      <c r="G68" s="75">
        <f t="shared" si="0"/>
        <v>130102.64</v>
      </c>
      <c r="H68" s="73">
        <f>G68</f>
        <v>130102.64</v>
      </c>
      <c r="I68" s="73">
        <f t="shared" si="1"/>
        <v>0</v>
      </c>
    </row>
    <row r="69" spans="1:9" s="69" customFormat="1" ht="15" customHeight="1">
      <c r="A69" s="65" t="s">
        <v>682</v>
      </c>
      <c r="B69" s="72" t="s">
        <v>681</v>
      </c>
      <c r="C69" s="72" t="s">
        <v>186</v>
      </c>
      <c r="D69" s="76">
        <f>VLOOKUP($A69,'SMEPA Stations December 2016'!$A:$G,5,0)</f>
        <v>0</v>
      </c>
      <c r="E69" s="76">
        <f>VLOOKUP($A69,'SMEPA Stations December 2016'!$A:$G,6,0)</f>
        <v>0</v>
      </c>
      <c r="F69" s="76">
        <f>VLOOKUP($A69,'SMEPA Stations December 2016'!$A:$G,7,0)</f>
        <v>6243.03</v>
      </c>
      <c r="G69" s="75">
        <f t="shared" si="0"/>
        <v>6243.03</v>
      </c>
      <c r="H69" s="65"/>
      <c r="I69" s="73">
        <f t="shared" si="1"/>
        <v>6243.03</v>
      </c>
    </row>
    <row r="70" spans="1:9" s="69" customFormat="1" ht="15" customHeight="1">
      <c r="A70" s="65" t="s">
        <v>668</v>
      </c>
      <c r="B70" s="72" t="s">
        <v>667</v>
      </c>
      <c r="C70" s="72" t="s">
        <v>186</v>
      </c>
      <c r="D70" s="76">
        <f>VLOOKUP($A70,'SMEPA Stations December 2016'!$A:$G,5,0)</f>
        <v>0</v>
      </c>
      <c r="E70" s="76">
        <f>VLOOKUP($A70,'SMEPA Stations December 2016'!$A:$G,6,0)</f>
        <v>0</v>
      </c>
      <c r="F70" s="76">
        <f>VLOOKUP($A70,'SMEPA Stations December 2016'!$A:$G,7,0)</f>
        <v>10755.75</v>
      </c>
      <c r="G70" s="75">
        <f t="shared" si="0"/>
        <v>10755.75</v>
      </c>
      <c r="H70" s="65"/>
      <c r="I70" s="73">
        <f t="shared" si="1"/>
        <v>10755.75</v>
      </c>
    </row>
    <row r="71" spans="1:9" s="69" customFormat="1" ht="15" customHeight="1">
      <c r="A71" s="65" t="s">
        <v>656</v>
      </c>
      <c r="B71" s="72" t="s">
        <v>655</v>
      </c>
      <c r="C71" s="72" t="s">
        <v>186</v>
      </c>
      <c r="D71" s="76">
        <f>VLOOKUP($A71,'SMEPA Stations December 2016'!$A:$G,5,0)</f>
        <v>0</v>
      </c>
      <c r="E71" s="76">
        <f>VLOOKUP($A71,'SMEPA Stations December 2016'!$A:$G,6,0)</f>
        <v>0</v>
      </c>
      <c r="F71" s="76">
        <f>VLOOKUP($A71,'SMEPA Stations December 2016'!$A:$G,7,0)</f>
        <v>17628.47</v>
      </c>
      <c r="G71" s="75">
        <f t="shared" si="0"/>
        <v>17628.47</v>
      </c>
      <c r="H71" s="65"/>
      <c r="I71" s="73">
        <f t="shared" si="1"/>
        <v>17628.47</v>
      </c>
    </row>
    <row r="72" spans="1:9" s="69" customFormat="1" ht="15" customHeight="1">
      <c r="A72" s="65" t="s">
        <v>654</v>
      </c>
      <c r="B72" s="72" t="s">
        <v>653</v>
      </c>
      <c r="C72" s="72" t="s">
        <v>186</v>
      </c>
      <c r="D72" s="76">
        <f>VLOOKUP($A72,'SMEPA Stations December 2016'!$A:$G,5,0)</f>
        <v>0</v>
      </c>
      <c r="E72" s="76">
        <f>VLOOKUP($A72,'SMEPA Stations December 2016'!$A:$G,6,0)</f>
        <v>0</v>
      </c>
      <c r="F72" s="76">
        <f>VLOOKUP($A72,'SMEPA Stations December 2016'!$A:$G,7,0)</f>
        <v>9209.01</v>
      </c>
      <c r="G72" s="75">
        <f t="shared" si="0"/>
        <v>9209.01</v>
      </c>
      <c r="H72" s="65"/>
      <c r="I72" s="73">
        <f t="shared" si="1"/>
        <v>9209.01</v>
      </c>
    </row>
    <row r="73" spans="1:9" s="69" customFormat="1" ht="15" customHeight="1">
      <c r="A73" s="65" t="s">
        <v>652</v>
      </c>
      <c r="B73" s="72" t="s">
        <v>651</v>
      </c>
      <c r="C73" s="72" t="s">
        <v>186</v>
      </c>
      <c r="D73" s="76">
        <f>VLOOKUP($A73,'SMEPA Stations December 2016'!$A:$G,5,0)</f>
        <v>0</v>
      </c>
      <c r="E73" s="76">
        <f>VLOOKUP($A73,'SMEPA Stations December 2016'!$A:$G,6,0)</f>
        <v>0</v>
      </c>
      <c r="F73" s="76">
        <f>VLOOKUP($A73,'SMEPA Stations December 2016'!$A:$G,7,0)</f>
        <v>25972.37</v>
      </c>
      <c r="G73" s="75">
        <f t="shared" si="0"/>
        <v>25972.37</v>
      </c>
      <c r="H73" s="65"/>
      <c r="I73" s="73">
        <f t="shared" si="1"/>
        <v>25972.37</v>
      </c>
    </row>
    <row r="74" spans="1:9" s="69" customFormat="1" ht="15" customHeight="1">
      <c r="A74" s="65" t="s">
        <v>650</v>
      </c>
      <c r="B74" s="72" t="s">
        <v>649</v>
      </c>
      <c r="C74" s="72" t="s">
        <v>186</v>
      </c>
      <c r="D74" s="76">
        <f>VLOOKUP($A74,'SMEPA Stations December 2016'!$A:$G,5,0)</f>
        <v>11281.02</v>
      </c>
      <c r="E74" s="76">
        <f>VLOOKUP($A74,'SMEPA Stations December 2016'!$A:$G,6,0)</f>
        <v>0</v>
      </c>
      <c r="F74" s="76">
        <f>VLOOKUP($A74,'SMEPA Stations December 2016'!$A:$G,7,0)</f>
        <v>155693.5</v>
      </c>
      <c r="G74" s="75">
        <f t="shared" si="0"/>
        <v>166974.51999999999</v>
      </c>
      <c r="H74" s="73">
        <f>G74-18149.01</f>
        <v>148825.50999999998</v>
      </c>
      <c r="I74" s="73">
        <f t="shared" si="1"/>
        <v>18149.010000000009</v>
      </c>
    </row>
    <row r="75" spans="1:9" s="69" customFormat="1" ht="15" customHeight="1">
      <c r="A75" s="65" t="s">
        <v>648</v>
      </c>
      <c r="B75" s="72" t="s">
        <v>647</v>
      </c>
      <c r="C75" s="72" t="s">
        <v>186</v>
      </c>
      <c r="D75" s="76">
        <f>VLOOKUP($A75,'SMEPA Stations December 2016'!$A:$G,5,0)</f>
        <v>0</v>
      </c>
      <c r="E75" s="76">
        <f>VLOOKUP($A75,'SMEPA Stations December 2016'!$A:$G,6,0)</f>
        <v>0</v>
      </c>
      <c r="F75" s="76">
        <f>VLOOKUP($A75,'SMEPA Stations December 2016'!$A:$G,7,0)</f>
        <v>41997.07</v>
      </c>
      <c r="G75" s="75">
        <f t="shared" si="0"/>
        <v>41997.07</v>
      </c>
      <c r="H75" s="65"/>
      <c r="I75" s="73">
        <f t="shared" si="1"/>
        <v>41997.07</v>
      </c>
    </row>
    <row r="76" spans="1:9" s="69" customFormat="1" ht="15" customHeight="1">
      <c r="A76" s="65" t="s">
        <v>646</v>
      </c>
      <c r="B76" s="72" t="s">
        <v>645</v>
      </c>
      <c r="C76" s="72" t="s">
        <v>186</v>
      </c>
      <c r="D76" s="76">
        <f>VLOOKUP($A76,'SMEPA Stations December 2016'!$A:$G,5,0)</f>
        <v>0</v>
      </c>
      <c r="E76" s="76">
        <f>VLOOKUP($A76,'SMEPA Stations December 2016'!$A:$G,6,0)</f>
        <v>0</v>
      </c>
      <c r="F76" s="76">
        <f>VLOOKUP($A76,'SMEPA Stations December 2016'!$A:$G,7,0)</f>
        <v>42434.34</v>
      </c>
      <c r="G76" s="75">
        <f t="shared" si="0"/>
        <v>42434.34</v>
      </c>
      <c r="H76" s="65"/>
      <c r="I76" s="73">
        <f t="shared" si="1"/>
        <v>42434.34</v>
      </c>
    </row>
    <row r="77" spans="1:9" s="229" customFormat="1" ht="15" customHeight="1">
      <c r="A77" s="175" t="s">
        <v>1621</v>
      </c>
      <c r="B77" s="176" t="s">
        <v>1622</v>
      </c>
      <c r="C77" s="176" t="s">
        <v>186</v>
      </c>
      <c r="D77" s="177"/>
      <c r="E77" s="177">
        <v>1825.77</v>
      </c>
      <c r="F77" s="177">
        <v>233327.34</v>
      </c>
      <c r="G77" s="178">
        <f t="shared" ref="G77" si="24">SUM(D77:F77)</f>
        <v>235153.11</v>
      </c>
      <c r="H77" s="179">
        <f>+G77</f>
        <v>235153.11</v>
      </c>
      <c r="I77" s="179">
        <f t="shared" ref="I77" si="25">+G77-H77</f>
        <v>0</v>
      </c>
    </row>
    <row r="78" spans="1:9" s="69" customFormat="1" ht="15" customHeight="1">
      <c r="A78" s="65" t="s">
        <v>1076</v>
      </c>
      <c r="B78" s="72" t="s">
        <v>1077</v>
      </c>
      <c r="C78" s="72" t="s">
        <v>186</v>
      </c>
      <c r="D78" s="76">
        <f>VLOOKUP($A78,'SMEPA Stations December 2016'!$A:$G,5,0)</f>
        <v>0</v>
      </c>
      <c r="E78" s="76">
        <f>VLOOKUP($A78,'SMEPA Stations December 2016'!$A:$G,6,0)</f>
        <v>0</v>
      </c>
      <c r="F78" s="76">
        <f>VLOOKUP($A78,'SMEPA Stations December 2016'!$A:$G,7,0)</f>
        <v>0</v>
      </c>
      <c r="G78" s="75">
        <f t="shared" si="0"/>
        <v>0</v>
      </c>
      <c r="H78" s="65"/>
      <c r="I78" s="73">
        <f t="shared" si="1"/>
        <v>0</v>
      </c>
    </row>
    <row r="79" spans="1:9" s="69" customFormat="1" ht="15" customHeight="1">
      <c r="A79" s="65" t="s">
        <v>630</v>
      </c>
      <c r="B79" s="72" t="s">
        <v>629</v>
      </c>
      <c r="C79" s="72" t="s">
        <v>186</v>
      </c>
      <c r="D79" s="76">
        <f>VLOOKUP($A79,'SMEPA Stations December 2016'!$A:$G,5,0)</f>
        <v>0</v>
      </c>
      <c r="E79" s="76">
        <f>VLOOKUP($A79,'SMEPA Stations December 2016'!$A:$G,6,0)</f>
        <v>0</v>
      </c>
      <c r="F79" s="76">
        <f>VLOOKUP($A79,'SMEPA Stations December 2016'!$A:$G,7,0)</f>
        <v>17478.439999999999</v>
      </c>
      <c r="G79" s="75">
        <f t="shared" si="0"/>
        <v>17478.439999999999</v>
      </c>
      <c r="H79" s="65"/>
      <c r="I79" s="73">
        <f t="shared" si="1"/>
        <v>17478.439999999999</v>
      </c>
    </row>
    <row r="80" spans="1:9" s="69" customFormat="1" ht="15" customHeight="1">
      <c r="A80" s="65" t="s">
        <v>624</v>
      </c>
      <c r="B80" s="72" t="s">
        <v>623</v>
      </c>
      <c r="C80" s="72" t="s">
        <v>186</v>
      </c>
      <c r="D80" s="76">
        <f>VLOOKUP($A80,'SMEPA Stations December 2016'!$A:$G,5,0)</f>
        <v>0</v>
      </c>
      <c r="E80" s="76">
        <f>VLOOKUP($A80,'SMEPA Stations December 2016'!$A:$G,6,0)</f>
        <v>0</v>
      </c>
      <c r="F80" s="76">
        <f>VLOOKUP($A80,'SMEPA Stations December 2016'!$A:$G,7,0)</f>
        <v>10036.56</v>
      </c>
      <c r="G80" s="75">
        <f t="shared" si="0"/>
        <v>10036.56</v>
      </c>
      <c r="H80" s="65"/>
      <c r="I80" s="73">
        <f t="shared" si="1"/>
        <v>10036.56</v>
      </c>
    </row>
    <row r="81" spans="1:9" s="69" customFormat="1" ht="15" customHeight="1">
      <c r="A81" s="65" t="s">
        <v>622</v>
      </c>
      <c r="B81" s="72" t="s">
        <v>621</v>
      </c>
      <c r="C81" s="72" t="s">
        <v>186</v>
      </c>
      <c r="D81" s="76">
        <f>VLOOKUP($A81,'SMEPA Stations December 2016'!$A:$G,5,0)</f>
        <v>0</v>
      </c>
      <c r="E81" s="76">
        <f>VLOOKUP($A81,'SMEPA Stations December 2016'!$A:$G,6,0)</f>
        <v>0</v>
      </c>
      <c r="F81" s="76">
        <f>VLOOKUP($A81,'SMEPA Stations December 2016'!$A:$G,7,0)</f>
        <v>9754.15</v>
      </c>
      <c r="G81" s="75">
        <f t="shared" si="0"/>
        <v>9754.15</v>
      </c>
      <c r="H81" s="65"/>
      <c r="I81" s="73">
        <f t="shared" si="1"/>
        <v>9754.15</v>
      </c>
    </row>
    <row r="82" spans="1:9" s="69" customFormat="1" ht="15" customHeight="1">
      <c r="A82" s="65" t="s">
        <v>1078</v>
      </c>
      <c r="B82" s="72" t="s">
        <v>1079</v>
      </c>
      <c r="C82" s="72" t="s">
        <v>186</v>
      </c>
      <c r="D82" s="76">
        <f>VLOOKUP($A82,'SMEPA Stations December 2016'!$A:$G,5,0)</f>
        <v>30008.959999999999</v>
      </c>
      <c r="E82" s="76">
        <f>VLOOKUP($A82,'SMEPA Stations December 2016'!$A:$G,6,0)</f>
        <v>0</v>
      </c>
      <c r="F82" s="76">
        <f>VLOOKUP($A82,'SMEPA Stations December 2016'!$A:$G,7,0)</f>
        <v>0</v>
      </c>
      <c r="G82" s="75">
        <f t="shared" ref="G82" si="26">SUM(D82:F82)</f>
        <v>30008.959999999999</v>
      </c>
      <c r="H82" s="65"/>
      <c r="I82" s="73">
        <f t="shared" ref="I82" si="27">+G82-H82</f>
        <v>30008.959999999999</v>
      </c>
    </row>
    <row r="83" spans="1:9" s="69" customFormat="1" ht="15" customHeight="1">
      <c r="A83" s="65" t="s">
        <v>620</v>
      </c>
      <c r="B83" s="72" t="s">
        <v>619</v>
      </c>
      <c r="C83" s="72" t="s">
        <v>186</v>
      </c>
      <c r="D83" s="76">
        <f>VLOOKUP($A83,'SMEPA Stations December 2016'!$A:$G,5,0)</f>
        <v>20223.91</v>
      </c>
      <c r="E83" s="76">
        <f>VLOOKUP($A83,'SMEPA Stations December 2016'!$A:$G,6,0)</f>
        <v>0</v>
      </c>
      <c r="F83" s="76">
        <f>VLOOKUP($A83,'SMEPA Stations December 2016'!$A:$G,7,0)</f>
        <v>19753.830000000002</v>
      </c>
      <c r="G83" s="75">
        <f t="shared" si="0"/>
        <v>39977.740000000005</v>
      </c>
      <c r="H83" s="65"/>
      <c r="I83" s="73">
        <f t="shared" si="1"/>
        <v>39977.740000000005</v>
      </c>
    </row>
    <row r="84" spans="1:9" s="69" customFormat="1" ht="15" customHeight="1">
      <c r="A84" s="65" t="s">
        <v>1264</v>
      </c>
      <c r="B84" s="72" t="s">
        <v>1263</v>
      </c>
      <c r="C84" s="72" t="s">
        <v>186</v>
      </c>
      <c r="D84" s="76">
        <f>VLOOKUP($A84,'SMEPA Stations December 2016'!$A:$G,5,0)</f>
        <v>0</v>
      </c>
      <c r="E84" s="76">
        <f>VLOOKUP($A84,'SMEPA Stations December 2016'!$A:$G,6,0)</f>
        <v>0</v>
      </c>
      <c r="F84" s="76">
        <f>VLOOKUP($A84,'SMEPA Stations December 2016'!$A:$G,7,0)</f>
        <v>0</v>
      </c>
      <c r="G84" s="75">
        <f t="shared" ref="G84" si="28">SUM(D84:F84)</f>
        <v>0</v>
      </c>
      <c r="H84" s="65"/>
      <c r="I84" s="73">
        <f t="shared" ref="I84" si="29">+G84-H84</f>
        <v>0</v>
      </c>
    </row>
    <row r="85" spans="1:9" s="69" customFormat="1" ht="15" customHeight="1">
      <c r="A85" s="65" t="s">
        <v>612</v>
      </c>
      <c r="B85" s="72" t="s">
        <v>611</v>
      </c>
      <c r="C85" s="72" t="s">
        <v>186</v>
      </c>
      <c r="D85" s="76">
        <f>VLOOKUP($A85,'SMEPA Stations December 2016'!$A:$G,5,0)</f>
        <v>0</v>
      </c>
      <c r="E85" s="76">
        <f>VLOOKUP($A85,'SMEPA Stations December 2016'!$A:$G,6,0)</f>
        <v>0</v>
      </c>
      <c r="F85" s="76">
        <f>VLOOKUP($A85,'SMEPA Stations December 2016'!$A:$G,7,0)</f>
        <v>14409.77</v>
      </c>
      <c r="G85" s="75">
        <f t="shared" si="0"/>
        <v>14409.77</v>
      </c>
      <c r="H85" s="65"/>
      <c r="I85" s="73">
        <f t="shared" si="1"/>
        <v>14409.77</v>
      </c>
    </row>
    <row r="86" spans="1:9" s="69" customFormat="1" ht="15" customHeight="1">
      <c r="A86" s="65" t="s">
        <v>1080</v>
      </c>
      <c r="B86" s="72" t="s">
        <v>1081</v>
      </c>
      <c r="C86" s="72" t="s">
        <v>186</v>
      </c>
      <c r="D86" s="76">
        <f>VLOOKUP($A86,'SMEPA Stations December 2016'!$A:$G,5,0)</f>
        <v>0</v>
      </c>
      <c r="E86" s="76">
        <f>VLOOKUP($A86,'SMEPA Stations December 2016'!$A:$G,6,0)</f>
        <v>0</v>
      </c>
      <c r="F86" s="76">
        <f>VLOOKUP($A86,'SMEPA Stations December 2016'!$A:$G,7,0)</f>
        <v>0</v>
      </c>
      <c r="G86" s="75">
        <f t="shared" ref="G86" si="30">SUM(D86:F86)</f>
        <v>0</v>
      </c>
      <c r="H86" s="65"/>
      <c r="I86" s="73">
        <f t="shared" ref="I86" si="31">+G86-H86</f>
        <v>0</v>
      </c>
    </row>
    <row r="87" spans="1:9" s="229" customFormat="1" ht="15" customHeight="1">
      <c r="A87" s="175" t="s">
        <v>610</v>
      </c>
      <c r="B87" s="176" t="s">
        <v>609</v>
      </c>
      <c r="C87" s="176" t="s">
        <v>186</v>
      </c>
      <c r="D87" s="177">
        <f>VLOOKUP($A87,'SMEPA Stations December 2016'!$A:$G,5,0)</f>
        <v>0</v>
      </c>
      <c r="E87" s="177">
        <f>VLOOKUP($A87,'SMEPA Stations December 2016'!$A:$G,6,0)</f>
        <v>316.98</v>
      </c>
      <c r="F87" s="177">
        <f>VLOOKUP($A87,'SMEPA Stations December 2016'!$A:$G,7,0)</f>
        <v>435820.77</v>
      </c>
      <c r="G87" s="178">
        <f t="shared" si="0"/>
        <v>436137.75</v>
      </c>
      <c r="H87" s="179">
        <f>G87</f>
        <v>436137.75</v>
      </c>
      <c r="I87" s="179">
        <f t="shared" si="1"/>
        <v>0</v>
      </c>
    </row>
    <row r="88" spans="1:9" s="69" customFormat="1" ht="15" customHeight="1">
      <c r="A88" s="65" t="s">
        <v>608</v>
      </c>
      <c r="B88" s="72" t="s">
        <v>607</v>
      </c>
      <c r="C88" s="72" t="s">
        <v>186</v>
      </c>
      <c r="D88" s="76">
        <f>VLOOKUP($A88,'SMEPA Stations December 2016'!$A:$G,5,0)</f>
        <v>0</v>
      </c>
      <c r="E88" s="76">
        <f>VLOOKUP($A88,'SMEPA Stations December 2016'!$A:$G,6,0)</f>
        <v>0</v>
      </c>
      <c r="F88" s="76">
        <f>VLOOKUP($A88,'SMEPA Stations December 2016'!$A:$G,7,0)</f>
        <v>13102.58</v>
      </c>
      <c r="G88" s="75">
        <f t="shared" si="0"/>
        <v>13102.58</v>
      </c>
      <c r="H88" s="65"/>
      <c r="I88" s="73">
        <f t="shared" si="1"/>
        <v>13102.58</v>
      </c>
    </row>
    <row r="89" spans="1:9" s="69" customFormat="1" ht="15" customHeight="1">
      <c r="A89" s="65" t="s">
        <v>606</v>
      </c>
      <c r="B89" s="72" t="s">
        <v>605</v>
      </c>
      <c r="C89" s="72" t="s">
        <v>186</v>
      </c>
      <c r="D89" s="76">
        <f>VLOOKUP($A89,'SMEPA Stations December 2016'!$A:$G,5,0)</f>
        <v>18133.38</v>
      </c>
      <c r="E89" s="76">
        <f>VLOOKUP($A89,'SMEPA Stations December 2016'!$A:$G,6,0)</f>
        <v>0</v>
      </c>
      <c r="F89" s="76">
        <f>VLOOKUP($A89,'SMEPA Stations December 2016'!$A:$G,7,0)</f>
        <v>0</v>
      </c>
      <c r="G89" s="75">
        <f t="shared" si="0"/>
        <v>18133.38</v>
      </c>
      <c r="H89" s="65"/>
      <c r="I89" s="73">
        <f t="shared" si="1"/>
        <v>18133.38</v>
      </c>
    </row>
    <row r="90" spans="1:9" s="69" customFormat="1" ht="15" customHeight="1">
      <c r="A90" s="65" t="s">
        <v>602</v>
      </c>
      <c r="B90" s="72" t="s">
        <v>601</v>
      </c>
      <c r="C90" s="72" t="s">
        <v>186</v>
      </c>
      <c r="D90" s="76">
        <f>VLOOKUP($A90,'SMEPA Stations December 2016'!$A:$G,5,0)</f>
        <v>14007.07</v>
      </c>
      <c r="E90" s="76">
        <f>VLOOKUP($A90,'SMEPA Stations December 2016'!$A:$G,6,0)</f>
        <v>0</v>
      </c>
      <c r="F90" s="76">
        <f>VLOOKUP($A90,'SMEPA Stations December 2016'!$A:$G,7,0)</f>
        <v>7831.4</v>
      </c>
      <c r="G90" s="75">
        <f t="shared" si="0"/>
        <v>21838.47</v>
      </c>
      <c r="H90" s="65"/>
      <c r="I90" s="73">
        <f t="shared" si="1"/>
        <v>21838.47</v>
      </c>
    </row>
    <row r="91" spans="1:9" s="69" customFormat="1" ht="15" customHeight="1">
      <c r="A91" s="65" t="s">
        <v>598</v>
      </c>
      <c r="B91" s="72" t="s">
        <v>597</v>
      </c>
      <c r="C91" s="72" t="s">
        <v>186</v>
      </c>
      <c r="D91" s="76">
        <f>VLOOKUP($A91,'SMEPA Stations December 2016'!$A:$G,5,0)</f>
        <v>0</v>
      </c>
      <c r="E91" s="76">
        <f>VLOOKUP($A91,'SMEPA Stations December 2016'!$A:$G,6,0)</f>
        <v>0</v>
      </c>
      <c r="F91" s="177">
        <f>VLOOKUP($A91,'SMEPA Stations December 2016'!$A:$G,7,0)</f>
        <v>29495.4</v>
      </c>
      <c r="G91" s="75">
        <f t="shared" si="0"/>
        <v>29495.4</v>
      </c>
      <c r="H91" s="73">
        <f>G91-18137.2</f>
        <v>11358.2</v>
      </c>
      <c r="I91" s="73">
        <f t="shared" si="1"/>
        <v>18137.2</v>
      </c>
    </row>
    <row r="92" spans="1:9" s="69" customFormat="1" ht="15" customHeight="1">
      <c r="A92" s="65" t="s">
        <v>594</v>
      </c>
      <c r="B92" s="72" t="s">
        <v>593</v>
      </c>
      <c r="C92" s="72" t="s">
        <v>186</v>
      </c>
      <c r="D92" s="76">
        <f>VLOOKUP($A92,'SMEPA Stations December 2016'!$A:$G,5,0)</f>
        <v>0</v>
      </c>
      <c r="E92" s="76">
        <f>VLOOKUP($A92,'SMEPA Stations December 2016'!$A:$G,6,0)</f>
        <v>184732.9</v>
      </c>
      <c r="F92" s="76">
        <f>VLOOKUP($A92,'SMEPA Stations December 2016'!$A:$G,7,0)</f>
        <v>117877.05</v>
      </c>
      <c r="G92" s="75">
        <f t="shared" ref="G92:G170" si="32">SUM(D92:F92)</f>
        <v>302609.95</v>
      </c>
      <c r="H92" s="73">
        <f>G92-14459.13</f>
        <v>288150.82</v>
      </c>
      <c r="I92" s="73">
        <f t="shared" ref="I92:I170" si="33">+G92-H92</f>
        <v>14459.130000000005</v>
      </c>
    </row>
    <row r="93" spans="1:9" s="69" customFormat="1" ht="15" customHeight="1">
      <c r="A93" s="65" t="s">
        <v>584</v>
      </c>
      <c r="B93" s="72" t="s">
        <v>583</v>
      </c>
      <c r="C93" s="72" t="s">
        <v>186</v>
      </c>
      <c r="D93" s="76">
        <f>VLOOKUP($A93,'SMEPA Stations December 2016'!$A:$G,5,0)</f>
        <v>0</v>
      </c>
      <c r="E93" s="76">
        <f>VLOOKUP($A93,'SMEPA Stations December 2016'!$A:$G,6,0)</f>
        <v>0</v>
      </c>
      <c r="F93" s="76">
        <f>VLOOKUP($A93,'SMEPA Stations December 2016'!$A:$G,7,0)</f>
        <v>69804.03</v>
      </c>
      <c r="G93" s="75">
        <f t="shared" si="32"/>
        <v>69804.03</v>
      </c>
      <c r="H93" s="65"/>
      <c r="I93" s="73">
        <f t="shared" si="33"/>
        <v>69804.03</v>
      </c>
    </row>
    <row r="94" spans="1:9" s="69" customFormat="1" ht="15" customHeight="1">
      <c r="A94" s="65" t="s">
        <v>582</v>
      </c>
      <c r="B94" s="72" t="s">
        <v>581</v>
      </c>
      <c r="C94" s="72" t="s">
        <v>186</v>
      </c>
      <c r="D94" s="76">
        <f>VLOOKUP($A94,'SMEPA Stations December 2016'!$A:$G,5,0)</f>
        <v>0</v>
      </c>
      <c r="E94" s="76">
        <f>VLOOKUP($A94,'SMEPA Stations December 2016'!$A:$G,6,0)</f>
        <v>4908.1499999999996</v>
      </c>
      <c r="F94" s="76">
        <f>VLOOKUP($A94,'SMEPA Stations December 2016'!$A:$G,7,0)</f>
        <v>191983.68</v>
      </c>
      <c r="G94" s="75">
        <f t="shared" si="32"/>
        <v>196891.83</v>
      </c>
      <c r="H94" s="73">
        <f>G94</f>
        <v>196891.83</v>
      </c>
      <c r="I94" s="73">
        <f t="shared" si="33"/>
        <v>0</v>
      </c>
    </row>
    <row r="95" spans="1:9" s="69" customFormat="1" ht="15" customHeight="1">
      <c r="A95" s="65" t="s">
        <v>580</v>
      </c>
      <c r="B95" s="72" t="s">
        <v>579</v>
      </c>
      <c r="C95" s="72" t="s">
        <v>186</v>
      </c>
      <c r="D95" s="76">
        <f>VLOOKUP($A95,'SMEPA Stations December 2016'!$A:$G,5,0)</f>
        <v>0</v>
      </c>
      <c r="E95" s="76">
        <f>VLOOKUP($A95,'SMEPA Stations December 2016'!$A:$G,6,0)</f>
        <v>0</v>
      </c>
      <c r="F95" s="76">
        <f>VLOOKUP($A95,'SMEPA Stations December 2016'!$A:$G,7,0)</f>
        <v>9850.34</v>
      </c>
      <c r="G95" s="75">
        <f t="shared" si="32"/>
        <v>9850.34</v>
      </c>
      <c r="H95" s="65"/>
      <c r="I95" s="73">
        <f t="shared" si="33"/>
        <v>9850.34</v>
      </c>
    </row>
    <row r="96" spans="1:9" s="69" customFormat="1" ht="15" customHeight="1">
      <c r="A96" s="65" t="s">
        <v>1082</v>
      </c>
      <c r="B96" s="72" t="s">
        <v>1083</v>
      </c>
      <c r="C96" s="72" t="s">
        <v>186</v>
      </c>
      <c r="D96" s="76">
        <f>VLOOKUP($A96,'SMEPA Stations December 2016'!$A:$G,5,0)</f>
        <v>39841.949999999997</v>
      </c>
      <c r="E96" s="76">
        <f>VLOOKUP($A96,'SMEPA Stations December 2016'!$A:$G,6,0)</f>
        <v>0</v>
      </c>
      <c r="F96" s="76">
        <f>VLOOKUP($A96,'SMEPA Stations December 2016'!$A:$G,7,0)</f>
        <v>0</v>
      </c>
      <c r="G96" s="75">
        <f t="shared" ref="G96" si="34">SUM(D96:F96)</f>
        <v>39841.949999999997</v>
      </c>
      <c r="H96" s="65"/>
      <c r="I96" s="73">
        <f t="shared" ref="I96" si="35">+G96-H96</f>
        <v>39841.949999999997</v>
      </c>
    </row>
    <row r="97" spans="1:9" s="69" customFormat="1" ht="15" customHeight="1">
      <c r="A97" s="65" t="s">
        <v>569</v>
      </c>
      <c r="B97" s="72" t="s">
        <v>568</v>
      </c>
      <c r="C97" s="72" t="s">
        <v>186</v>
      </c>
      <c r="D97" s="76">
        <f>VLOOKUP($A97,'SMEPA Stations December 2016'!$A:$G,5,0)</f>
        <v>0</v>
      </c>
      <c r="E97" s="76">
        <f>VLOOKUP($A97,'SMEPA Stations December 2016'!$A:$G,6,0)</f>
        <v>0</v>
      </c>
      <c r="F97" s="76">
        <f>VLOOKUP($A97,'SMEPA Stations December 2016'!$A:$G,7,0)</f>
        <v>11118.2</v>
      </c>
      <c r="G97" s="75">
        <f t="shared" si="32"/>
        <v>11118.2</v>
      </c>
      <c r="H97" s="65"/>
      <c r="I97" s="73">
        <f t="shared" si="33"/>
        <v>11118.2</v>
      </c>
    </row>
    <row r="98" spans="1:9" s="229" customFormat="1" ht="15" customHeight="1">
      <c r="A98" s="175" t="s">
        <v>1623</v>
      </c>
      <c r="B98" s="176" t="s">
        <v>1624</v>
      </c>
      <c r="C98" s="176" t="s">
        <v>186</v>
      </c>
      <c r="D98" s="177"/>
      <c r="E98" s="177"/>
      <c r="F98" s="177">
        <v>104572.29</v>
      </c>
      <c r="G98" s="178">
        <f t="shared" ref="G98" si="36">SUM(D98:F98)</f>
        <v>104572.29</v>
      </c>
      <c r="H98" s="179">
        <f>+G98</f>
        <v>104572.29</v>
      </c>
      <c r="I98" s="179">
        <f t="shared" ref="I98" si="37">+G98-H98</f>
        <v>0</v>
      </c>
    </row>
    <row r="99" spans="1:9" s="69" customFormat="1" ht="15" customHeight="1">
      <c r="A99" s="65" t="s">
        <v>567</v>
      </c>
      <c r="B99" s="72" t="s">
        <v>566</v>
      </c>
      <c r="C99" s="72" t="s">
        <v>186</v>
      </c>
      <c r="D99" s="76">
        <f>VLOOKUP($A99,'SMEPA Stations December 2016'!$A:$G,5,0)</f>
        <v>0</v>
      </c>
      <c r="E99" s="76">
        <f>VLOOKUP($A99,'SMEPA Stations December 2016'!$A:$G,6,0)</f>
        <v>0</v>
      </c>
      <c r="F99" s="76">
        <f>VLOOKUP($A99,'SMEPA Stations December 2016'!$A:$G,7,0)</f>
        <v>15373.32</v>
      </c>
      <c r="G99" s="75">
        <f t="shared" si="32"/>
        <v>15373.32</v>
      </c>
      <c r="H99" s="65"/>
      <c r="I99" s="73">
        <f t="shared" si="33"/>
        <v>15373.32</v>
      </c>
    </row>
    <row r="100" spans="1:9" s="69" customFormat="1" ht="15" customHeight="1">
      <c r="A100" s="65" t="s">
        <v>563</v>
      </c>
      <c r="B100" s="72" t="s">
        <v>562</v>
      </c>
      <c r="C100" s="72" t="s">
        <v>186</v>
      </c>
      <c r="D100" s="76">
        <f>VLOOKUP($A100,'SMEPA Stations December 2016'!$A:$G,5,0)</f>
        <v>0</v>
      </c>
      <c r="E100" s="76">
        <f>VLOOKUP($A100,'SMEPA Stations December 2016'!$A:$G,6,0)</f>
        <v>0</v>
      </c>
      <c r="F100" s="76">
        <f>VLOOKUP($A100,'SMEPA Stations December 2016'!$A:$G,7,0)</f>
        <v>20243.099999999999</v>
      </c>
      <c r="G100" s="75">
        <f t="shared" si="32"/>
        <v>20243.099999999999</v>
      </c>
      <c r="H100" s="65"/>
      <c r="I100" s="73">
        <f t="shared" si="33"/>
        <v>20243.099999999999</v>
      </c>
    </row>
    <row r="101" spans="1:9" s="69" customFormat="1" ht="15" customHeight="1">
      <c r="A101" s="65" t="s">
        <v>557</v>
      </c>
      <c r="B101" s="72" t="s">
        <v>556</v>
      </c>
      <c r="C101" s="72" t="s">
        <v>186</v>
      </c>
      <c r="D101" s="76">
        <f>VLOOKUP($A101,'SMEPA Stations December 2016'!$A:$G,5,0)</f>
        <v>0</v>
      </c>
      <c r="E101" s="76">
        <f>VLOOKUP($A101,'SMEPA Stations December 2016'!$A:$G,6,0)</f>
        <v>0</v>
      </c>
      <c r="F101" s="76">
        <f>VLOOKUP($A101,'SMEPA Stations December 2016'!$A:$G,7,0)</f>
        <v>33936.76</v>
      </c>
      <c r="G101" s="75">
        <f t="shared" si="32"/>
        <v>33936.76</v>
      </c>
      <c r="H101" s="65"/>
      <c r="I101" s="73">
        <f t="shared" si="33"/>
        <v>33936.76</v>
      </c>
    </row>
    <row r="102" spans="1:9" s="69" customFormat="1" ht="15" customHeight="1">
      <c r="A102" s="65" t="s">
        <v>555</v>
      </c>
      <c r="B102" s="72" t="s">
        <v>554</v>
      </c>
      <c r="C102" s="72" t="s">
        <v>186</v>
      </c>
      <c r="D102" s="76">
        <f>VLOOKUP($A102,'SMEPA Stations December 2016'!$A:$G,5,0)</f>
        <v>0</v>
      </c>
      <c r="E102" s="76">
        <f>VLOOKUP($A102,'SMEPA Stations December 2016'!$A:$G,6,0)</f>
        <v>0</v>
      </c>
      <c r="F102" s="76">
        <f>VLOOKUP($A102,'SMEPA Stations December 2016'!$A:$G,7,0)</f>
        <v>0</v>
      </c>
      <c r="G102" s="75">
        <f t="shared" si="32"/>
        <v>0</v>
      </c>
      <c r="H102" s="65"/>
      <c r="I102" s="73">
        <f t="shared" si="33"/>
        <v>0</v>
      </c>
    </row>
    <row r="103" spans="1:9" s="69" customFormat="1" ht="15" customHeight="1">
      <c r="A103" s="65" t="s">
        <v>553</v>
      </c>
      <c r="B103" s="72" t="s">
        <v>552</v>
      </c>
      <c r="C103" s="72" t="s">
        <v>186</v>
      </c>
      <c r="D103" s="76">
        <f>VLOOKUP($A103,'SMEPA Stations December 2016'!$A:$G,5,0)</f>
        <v>0</v>
      </c>
      <c r="E103" s="76">
        <f>VLOOKUP($A103,'SMEPA Stations December 2016'!$A:$G,6,0)</f>
        <v>0</v>
      </c>
      <c r="F103" s="76">
        <f>VLOOKUP($A103,'SMEPA Stations December 2016'!$A:$G,7,0)</f>
        <v>19822.41</v>
      </c>
      <c r="G103" s="75">
        <f t="shared" si="32"/>
        <v>19822.41</v>
      </c>
      <c r="H103" s="65"/>
      <c r="I103" s="73">
        <f t="shared" si="33"/>
        <v>19822.41</v>
      </c>
    </row>
    <row r="104" spans="1:9" s="69" customFormat="1" ht="15" customHeight="1">
      <c r="A104" s="65" t="s">
        <v>541</v>
      </c>
      <c r="B104" s="72" t="s">
        <v>540</v>
      </c>
      <c r="C104" s="72" t="s">
        <v>186</v>
      </c>
      <c r="D104" s="76">
        <f>VLOOKUP($A104,'SMEPA Stations December 2016'!$A:$G,5,0)</f>
        <v>0</v>
      </c>
      <c r="E104" s="76">
        <f>VLOOKUP($A104,'SMEPA Stations December 2016'!$A:$G,6,0)</f>
        <v>0</v>
      </c>
      <c r="F104" s="76">
        <f>VLOOKUP($A104,'SMEPA Stations December 2016'!$A:$G,7,0)</f>
        <v>51104.05</v>
      </c>
      <c r="G104" s="75">
        <f t="shared" si="32"/>
        <v>51104.05</v>
      </c>
      <c r="H104" s="73"/>
      <c r="I104" s="73">
        <f t="shared" si="33"/>
        <v>51104.05</v>
      </c>
    </row>
    <row r="105" spans="1:9" s="69" customFormat="1" ht="15" customHeight="1">
      <c r="A105" s="65" t="s">
        <v>539</v>
      </c>
      <c r="B105" s="72" t="s">
        <v>538</v>
      </c>
      <c r="C105" s="72" t="s">
        <v>186</v>
      </c>
      <c r="D105" s="76">
        <f>VLOOKUP($A105,'SMEPA Stations December 2016'!$A:$G,5,0)</f>
        <v>0</v>
      </c>
      <c r="E105" s="76">
        <f>VLOOKUP($A105,'SMEPA Stations December 2016'!$A:$G,6,0)</f>
        <v>0</v>
      </c>
      <c r="F105" s="76">
        <f>VLOOKUP($A105,'SMEPA Stations December 2016'!$A:$G,7,0)</f>
        <v>173207.58</v>
      </c>
      <c r="G105" s="75">
        <f t="shared" si="32"/>
        <v>173207.58</v>
      </c>
      <c r="H105" s="73">
        <f>G105-14129.43</f>
        <v>159078.15</v>
      </c>
      <c r="I105" s="73">
        <f t="shared" si="33"/>
        <v>14129.429999999993</v>
      </c>
    </row>
    <row r="106" spans="1:9" s="69" customFormat="1" ht="15" customHeight="1">
      <c r="A106" s="65" t="s">
        <v>527</v>
      </c>
      <c r="B106" s="72" t="s">
        <v>526</v>
      </c>
      <c r="C106" s="72" t="s">
        <v>186</v>
      </c>
      <c r="D106" s="76">
        <f>VLOOKUP($A106,'SMEPA Stations December 2016'!$A:$G,5,0)</f>
        <v>0</v>
      </c>
      <c r="E106" s="76">
        <f>VLOOKUP($A106,'SMEPA Stations December 2016'!$A:$G,6,0)</f>
        <v>0</v>
      </c>
      <c r="F106" s="76">
        <f>VLOOKUP($A106,'SMEPA Stations December 2016'!$A:$G,7,0)</f>
        <v>161422.74</v>
      </c>
      <c r="G106" s="75">
        <f t="shared" si="32"/>
        <v>161422.74</v>
      </c>
      <c r="H106" s="73">
        <f>G106</f>
        <v>161422.74</v>
      </c>
      <c r="I106" s="73">
        <f t="shared" si="33"/>
        <v>0</v>
      </c>
    </row>
    <row r="107" spans="1:9" s="69" customFormat="1" ht="15" customHeight="1">
      <c r="A107" s="65" t="s">
        <v>523</v>
      </c>
      <c r="B107" s="72" t="s">
        <v>522</v>
      </c>
      <c r="C107" s="72" t="s">
        <v>186</v>
      </c>
      <c r="D107" s="76">
        <f>VLOOKUP($A107,'SMEPA Stations December 2016'!$A:$G,5,0)</f>
        <v>0</v>
      </c>
      <c r="E107" s="76">
        <f>VLOOKUP($A107,'SMEPA Stations December 2016'!$A:$G,6,0)</f>
        <v>41914.36</v>
      </c>
      <c r="F107" s="177">
        <f>VLOOKUP($A107,'SMEPA Stations December 2016'!$A:$G,7,0)</f>
        <v>171716.95</v>
      </c>
      <c r="G107" s="75">
        <f t="shared" si="32"/>
        <v>213631.31</v>
      </c>
      <c r="H107" s="73">
        <f>G107</f>
        <v>213631.31</v>
      </c>
      <c r="I107" s="73">
        <f t="shared" si="33"/>
        <v>0</v>
      </c>
    </row>
    <row r="108" spans="1:9" s="69" customFormat="1" ht="15" customHeight="1">
      <c r="A108" s="65" t="s">
        <v>1102</v>
      </c>
      <c r="B108" s="72" t="s">
        <v>520</v>
      </c>
      <c r="C108" s="72" t="s">
        <v>186</v>
      </c>
      <c r="D108" s="76">
        <f>VLOOKUP($A108,'SMEPA Stations December 2016'!$A:$G,5,0)</f>
        <v>0</v>
      </c>
      <c r="E108" s="76">
        <f>VLOOKUP($A108,'SMEPA Stations December 2016'!$A:$G,6,0)</f>
        <v>0</v>
      </c>
      <c r="F108" s="76">
        <f>VLOOKUP($A108,'SMEPA Stations December 2016'!$A:$G,7,0)</f>
        <v>53636.22</v>
      </c>
      <c r="G108" s="75">
        <f t="shared" si="32"/>
        <v>53636.22</v>
      </c>
      <c r="H108" s="65"/>
      <c r="I108" s="73">
        <f t="shared" si="33"/>
        <v>53636.22</v>
      </c>
    </row>
    <row r="109" spans="1:9" s="69" customFormat="1" ht="15" customHeight="1">
      <c r="A109" s="65" t="s">
        <v>1084</v>
      </c>
      <c r="B109" s="72" t="s">
        <v>1085</v>
      </c>
      <c r="C109" s="72" t="s">
        <v>186</v>
      </c>
      <c r="D109" s="76">
        <f>VLOOKUP($A109,'SMEPA Stations December 2016'!$A:$G,5,0)</f>
        <v>29812.93</v>
      </c>
      <c r="E109" s="76">
        <f>VLOOKUP($A109,'SMEPA Stations December 2016'!$A:$G,6,0)</f>
        <v>0</v>
      </c>
      <c r="F109" s="76">
        <f>VLOOKUP($A109,'SMEPA Stations December 2016'!$A:$G,7,0)</f>
        <v>0</v>
      </c>
      <c r="G109" s="75">
        <f t="shared" ref="G109" si="38">SUM(D109:F109)</f>
        <v>29812.93</v>
      </c>
      <c r="H109" s="65"/>
      <c r="I109" s="73">
        <f t="shared" ref="I109" si="39">+G109-H109</f>
        <v>29812.93</v>
      </c>
    </row>
    <row r="110" spans="1:9" s="69" customFormat="1" ht="15" customHeight="1">
      <c r="A110" s="65" t="s">
        <v>517</v>
      </c>
      <c r="B110" s="72" t="s">
        <v>516</v>
      </c>
      <c r="C110" s="72" t="s">
        <v>186</v>
      </c>
      <c r="D110" s="76">
        <f>VLOOKUP($A110,'SMEPA Stations December 2016'!$A:$G,5,0)</f>
        <v>0</v>
      </c>
      <c r="E110" s="76">
        <f>VLOOKUP($A110,'SMEPA Stations December 2016'!$A:$G,6,0)</f>
        <v>0</v>
      </c>
      <c r="F110" s="76">
        <f>VLOOKUP($A110,'SMEPA Stations December 2016'!$A:$G,7,0)</f>
        <v>9357.2900000000009</v>
      </c>
      <c r="G110" s="75">
        <f t="shared" si="32"/>
        <v>9357.2900000000009</v>
      </c>
      <c r="H110" s="65"/>
      <c r="I110" s="73">
        <f t="shared" si="33"/>
        <v>9357.2900000000009</v>
      </c>
    </row>
    <row r="111" spans="1:9" s="69" customFormat="1" ht="15" customHeight="1">
      <c r="A111" s="65" t="s">
        <v>507</v>
      </c>
      <c r="B111" s="72" t="s">
        <v>506</v>
      </c>
      <c r="C111" s="72" t="s">
        <v>186</v>
      </c>
      <c r="D111" s="76">
        <f>VLOOKUP($A111,'SMEPA Stations December 2016'!$A:$G,5,0)</f>
        <v>0</v>
      </c>
      <c r="E111" s="76">
        <f>VLOOKUP($A111,'SMEPA Stations December 2016'!$A:$G,6,0)</f>
        <v>0</v>
      </c>
      <c r="F111" s="76">
        <f>VLOOKUP($A111,'SMEPA Stations December 2016'!$A:$G,7,0)</f>
        <v>15541.6</v>
      </c>
      <c r="G111" s="75">
        <f t="shared" si="32"/>
        <v>15541.6</v>
      </c>
      <c r="H111" s="65"/>
      <c r="I111" s="73">
        <f t="shared" si="33"/>
        <v>15541.6</v>
      </c>
    </row>
    <row r="112" spans="1:9" s="69" customFormat="1" ht="15" customHeight="1">
      <c r="A112" s="65" t="s">
        <v>505</v>
      </c>
      <c r="B112" s="72" t="s">
        <v>504</v>
      </c>
      <c r="C112" s="72" t="s">
        <v>186</v>
      </c>
      <c r="D112" s="76">
        <f>VLOOKUP($A112,'SMEPA Stations December 2016'!$A:$G,5,0)</f>
        <v>0</v>
      </c>
      <c r="E112" s="76">
        <f>VLOOKUP($A112,'SMEPA Stations December 2016'!$A:$G,6,0)</f>
        <v>0</v>
      </c>
      <c r="F112" s="177">
        <f>VLOOKUP($A112,'SMEPA Stations December 2016'!$A:$G,7,0)</f>
        <v>115237.82</v>
      </c>
      <c r="G112" s="75">
        <f t="shared" si="32"/>
        <v>115237.82</v>
      </c>
      <c r="H112" s="65"/>
      <c r="I112" s="73">
        <f t="shared" si="33"/>
        <v>115237.82</v>
      </c>
    </row>
    <row r="113" spans="1:9" s="69" customFormat="1" ht="15" customHeight="1">
      <c r="A113" s="65" t="s">
        <v>503</v>
      </c>
      <c r="B113" s="72" t="s">
        <v>502</v>
      </c>
      <c r="C113" s="72" t="s">
        <v>186</v>
      </c>
      <c r="D113" s="76">
        <f>VLOOKUP($A113,'SMEPA Stations December 2016'!$A:$G,5,0)</f>
        <v>0</v>
      </c>
      <c r="E113" s="76">
        <f>VLOOKUP($A113,'SMEPA Stations December 2016'!$A:$G,6,0)</f>
        <v>0</v>
      </c>
      <c r="F113" s="76">
        <f>VLOOKUP($A113,'SMEPA Stations December 2016'!$A:$G,7,0)</f>
        <v>16024.66</v>
      </c>
      <c r="G113" s="75">
        <f t="shared" si="32"/>
        <v>16024.66</v>
      </c>
      <c r="H113" s="65"/>
      <c r="I113" s="73">
        <f t="shared" si="33"/>
        <v>16024.66</v>
      </c>
    </row>
    <row r="114" spans="1:9" s="69" customFormat="1" ht="15" customHeight="1">
      <c r="A114" s="65" t="s">
        <v>499</v>
      </c>
      <c r="B114" s="72" t="s">
        <v>498</v>
      </c>
      <c r="C114" s="72" t="s">
        <v>186</v>
      </c>
      <c r="D114" s="76">
        <f>VLOOKUP($A114,'SMEPA Stations December 2016'!$A:$G,5,0)</f>
        <v>0</v>
      </c>
      <c r="E114" s="76">
        <f>VLOOKUP($A114,'SMEPA Stations December 2016'!$A:$G,6,0)</f>
        <v>0</v>
      </c>
      <c r="F114" s="76">
        <f>VLOOKUP($A114,'SMEPA Stations December 2016'!$A:$G,7,0)</f>
        <v>26327.34</v>
      </c>
      <c r="G114" s="75">
        <f t="shared" si="32"/>
        <v>26327.34</v>
      </c>
      <c r="H114" s="65"/>
      <c r="I114" s="73">
        <f t="shared" si="33"/>
        <v>26327.34</v>
      </c>
    </row>
    <row r="115" spans="1:9" s="69" customFormat="1" ht="15" customHeight="1">
      <c r="A115" s="65" t="s">
        <v>493</v>
      </c>
      <c r="B115" s="72" t="s">
        <v>492</v>
      </c>
      <c r="C115" s="72" t="s">
        <v>186</v>
      </c>
      <c r="D115" s="76">
        <f>VLOOKUP($A115,'SMEPA Stations December 2016'!$A:$G,5,0)</f>
        <v>0</v>
      </c>
      <c r="E115" s="76">
        <f>VLOOKUP($A115,'SMEPA Stations December 2016'!$A:$G,6,0)</f>
        <v>0</v>
      </c>
      <c r="F115" s="76">
        <f>VLOOKUP($A115,'SMEPA Stations December 2016'!$A:$G,7,0)</f>
        <v>8438</v>
      </c>
      <c r="G115" s="75">
        <f t="shared" si="32"/>
        <v>8438</v>
      </c>
      <c r="H115" s="65"/>
      <c r="I115" s="73">
        <f t="shared" si="33"/>
        <v>8438</v>
      </c>
    </row>
    <row r="116" spans="1:9" s="69" customFormat="1" ht="15" customHeight="1">
      <c r="A116" s="65" t="s">
        <v>489</v>
      </c>
      <c r="B116" s="72" t="s">
        <v>488</v>
      </c>
      <c r="C116" s="72" t="s">
        <v>186</v>
      </c>
      <c r="D116" s="76">
        <f>VLOOKUP($A116,'SMEPA Stations December 2016'!$A:$G,5,0)</f>
        <v>0</v>
      </c>
      <c r="E116" s="76">
        <f>VLOOKUP($A116,'SMEPA Stations December 2016'!$A:$G,6,0)</f>
        <v>0</v>
      </c>
      <c r="F116" s="76">
        <f>VLOOKUP($A116,'SMEPA Stations December 2016'!$A:$G,7,0)</f>
        <v>20274.240000000002</v>
      </c>
      <c r="G116" s="75">
        <f t="shared" si="32"/>
        <v>20274.240000000002</v>
      </c>
      <c r="H116" s="65"/>
      <c r="I116" s="73">
        <f t="shared" si="33"/>
        <v>20274.240000000002</v>
      </c>
    </row>
    <row r="117" spans="1:9" s="69" customFormat="1" ht="15" customHeight="1">
      <c r="A117" s="65" t="s">
        <v>487</v>
      </c>
      <c r="B117" s="72" t="s">
        <v>486</v>
      </c>
      <c r="C117" s="72" t="s">
        <v>186</v>
      </c>
      <c r="D117" s="76">
        <f>VLOOKUP($A117,'SMEPA Stations December 2016'!$A:$G,5,0)</f>
        <v>0</v>
      </c>
      <c r="E117" s="76">
        <f>VLOOKUP($A117,'SMEPA Stations December 2016'!$A:$G,6,0)</f>
        <v>0</v>
      </c>
      <c r="F117" s="76">
        <f>VLOOKUP($A117,'SMEPA Stations December 2016'!$A:$G,7,0)</f>
        <v>0</v>
      </c>
      <c r="G117" s="75">
        <f t="shared" si="32"/>
        <v>0</v>
      </c>
      <c r="H117" s="65"/>
      <c r="I117" s="73">
        <f t="shared" si="33"/>
        <v>0</v>
      </c>
    </row>
    <row r="118" spans="1:9" s="69" customFormat="1" ht="15" customHeight="1">
      <c r="A118" s="65" t="s">
        <v>485</v>
      </c>
      <c r="B118" s="72" t="s">
        <v>484</v>
      </c>
      <c r="C118" s="72" t="s">
        <v>186</v>
      </c>
      <c r="D118" s="76">
        <f>VLOOKUP($A118,'SMEPA Stations December 2016'!$A:$G,5,0)</f>
        <v>0</v>
      </c>
      <c r="E118" s="76">
        <f>VLOOKUP($A118,'SMEPA Stations December 2016'!$A:$G,6,0)</f>
        <v>0</v>
      </c>
      <c r="F118" s="76">
        <f>VLOOKUP($A118,'SMEPA Stations December 2016'!$A:$G,7,0)</f>
        <v>10366.969999999999</v>
      </c>
      <c r="G118" s="75">
        <f t="shared" si="32"/>
        <v>10366.969999999999</v>
      </c>
      <c r="H118" s="65"/>
      <c r="I118" s="73">
        <f t="shared" si="33"/>
        <v>10366.969999999999</v>
      </c>
    </row>
    <row r="119" spans="1:9" s="69" customFormat="1" ht="15" customHeight="1">
      <c r="A119" s="65" t="s">
        <v>1152</v>
      </c>
      <c r="B119" s="72" t="s">
        <v>1153</v>
      </c>
      <c r="C119" s="72" t="s">
        <v>186</v>
      </c>
      <c r="D119" s="76">
        <f>VLOOKUP($A119,'SMEPA Stations December 2016'!$A:$G,5,0)</f>
        <v>46536.44</v>
      </c>
      <c r="E119" s="76">
        <f>VLOOKUP($A119,'SMEPA Stations December 2016'!$A:$G,6,0)</f>
        <v>0</v>
      </c>
      <c r="F119" s="76">
        <f>VLOOKUP($A119,'SMEPA Stations December 2016'!$A:$G,7,0)</f>
        <v>0</v>
      </c>
      <c r="G119" s="75">
        <f t="shared" ref="G119" si="40">SUM(D119:F119)</f>
        <v>46536.44</v>
      </c>
      <c r="H119" s="65"/>
      <c r="I119" s="73">
        <f t="shared" si="33"/>
        <v>46536.44</v>
      </c>
    </row>
    <row r="120" spans="1:9" s="69" customFormat="1" ht="15" customHeight="1">
      <c r="A120" s="65" t="s">
        <v>1104</v>
      </c>
      <c r="B120" s="72" t="s">
        <v>1103</v>
      </c>
      <c r="C120" s="72" t="s">
        <v>186</v>
      </c>
      <c r="D120" s="76">
        <f>VLOOKUP($A120,'SMEPA Stations December 2016'!$A:$G,5,0)</f>
        <v>24061.9</v>
      </c>
      <c r="E120" s="76">
        <f>VLOOKUP($A120,'SMEPA Stations December 2016'!$A:$G,6,0)</f>
        <v>0</v>
      </c>
      <c r="F120" s="76">
        <f>VLOOKUP($A120,'SMEPA Stations December 2016'!$A:$G,7,0)</f>
        <v>0</v>
      </c>
      <c r="G120" s="75">
        <f t="shared" ref="G120" si="41">SUM(D120:F120)</f>
        <v>24061.9</v>
      </c>
      <c r="H120" s="65"/>
      <c r="I120" s="73">
        <f t="shared" ref="I120" si="42">+G120-H120</f>
        <v>24061.9</v>
      </c>
    </row>
    <row r="121" spans="1:9" s="69" customFormat="1" ht="15" customHeight="1">
      <c r="A121" s="65" t="s">
        <v>473</v>
      </c>
      <c r="B121" s="72" t="s">
        <v>472</v>
      </c>
      <c r="C121" s="72" t="s">
        <v>186</v>
      </c>
      <c r="D121" s="76">
        <f>VLOOKUP($A121,'SMEPA Stations December 2016'!$A:$G,5,0)</f>
        <v>0</v>
      </c>
      <c r="E121" s="76">
        <f>VLOOKUP($A121,'SMEPA Stations December 2016'!$A:$G,6,0)</f>
        <v>0</v>
      </c>
      <c r="F121" s="76">
        <f>VLOOKUP($A121,'SMEPA Stations December 2016'!$A:$G,7,0)</f>
        <v>31711.24</v>
      </c>
      <c r="G121" s="75">
        <f t="shared" si="32"/>
        <v>31711.24</v>
      </c>
      <c r="H121" s="65"/>
      <c r="I121" s="73">
        <f t="shared" si="33"/>
        <v>31711.24</v>
      </c>
    </row>
    <row r="122" spans="1:9" s="69" customFormat="1" ht="15" customHeight="1">
      <c r="A122" s="65" t="s">
        <v>465</v>
      </c>
      <c r="B122" s="72" t="s">
        <v>464</v>
      </c>
      <c r="C122" s="72" t="s">
        <v>186</v>
      </c>
      <c r="D122" s="76">
        <f>VLOOKUP($A122,'SMEPA Stations December 2016'!$A:$G,5,0)</f>
        <v>0</v>
      </c>
      <c r="E122" s="76">
        <f>VLOOKUP($A122,'SMEPA Stations December 2016'!$A:$G,6,0)</f>
        <v>0</v>
      </c>
      <c r="F122" s="76">
        <f>VLOOKUP($A122,'SMEPA Stations December 2016'!$A:$G,7,0)</f>
        <v>10421.77</v>
      </c>
      <c r="G122" s="75">
        <f t="shared" si="32"/>
        <v>10421.77</v>
      </c>
      <c r="H122" s="65"/>
      <c r="I122" s="73">
        <f t="shared" si="33"/>
        <v>10421.77</v>
      </c>
    </row>
    <row r="123" spans="1:9" s="69" customFormat="1" ht="15" customHeight="1">
      <c r="A123" s="65" t="s">
        <v>457</v>
      </c>
      <c r="B123" s="72" t="s">
        <v>456</v>
      </c>
      <c r="C123" s="72" t="s">
        <v>186</v>
      </c>
      <c r="D123" s="76">
        <f>VLOOKUP($A123,'SMEPA Stations December 2016'!$A:$G,5,0)</f>
        <v>0</v>
      </c>
      <c r="E123" s="76">
        <f>VLOOKUP($A123,'SMEPA Stations December 2016'!$A:$G,6,0)</f>
        <v>0</v>
      </c>
      <c r="F123" s="76">
        <f>VLOOKUP($A123,'SMEPA Stations December 2016'!$A:$G,7,0)</f>
        <v>9813.16</v>
      </c>
      <c r="G123" s="75">
        <f t="shared" si="32"/>
        <v>9813.16</v>
      </c>
      <c r="H123" s="65"/>
      <c r="I123" s="73">
        <f t="shared" si="33"/>
        <v>9813.16</v>
      </c>
    </row>
    <row r="124" spans="1:9" s="69" customFormat="1" ht="15" customHeight="1">
      <c r="A124" s="65" t="s">
        <v>1087</v>
      </c>
      <c r="B124" s="72" t="s">
        <v>1088</v>
      </c>
      <c r="C124" s="72" t="s">
        <v>186</v>
      </c>
      <c r="D124" s="76">
        <f>VLOOKUP($A124,'SMEPA Stations December 2016'!$A:$G,5,0)</f>
        <v>26637.439999999999</v>
      </c>
      <c r="E124" s="76">
        <f>VLOOKUP($A124,'SMEPA Stations December 2016'!$A:$G,6,0)</f>
        <v>0</v>
      </c>
      <c r="F124" s="76">
        <f>VLOOKUP($A124,'SMEPA Stations December 2016'!$A:$G,7,0)</f>
        <v>0</v>
      </c>
      <c r="G124" s="75">
        <f t="shared" ref="G124" si="43">SUM(D124:F124)</f>
        <v>26637.439999999999</v>
      </c>
      <c r="H124" s="65"/>
      <c r="I124" s="73">
        <f t="shared" ref="I124" si="44">+G124-H124</f>
        <v>26637.439999999999</v>
      </c>
    </row>
    <row r="125" spans="1:9" s="229" customFormat="1" ht="15" customHeight="1">
      <c r="A125" s="175" t="s">
        <v>1625</v>
      </c>
      <c r="B125" s="176" t="s">
        <v>1637</v>
      </c>
      <c r="C125" s="176" t="s">
        <v>186</v>
      </c>
      <c r="D125" s="177">
        <v>1943</v>
      </c>
      <c r="E125" s="177">
        <v>5384.11</v>
      </c>
      <c r="F125" s="177">
        <v>642984.49</v>
      </c>
      <c r="G125" s="178">
        <f t="shared" ref="G125" si="45">SUM(D125:F125)</f>
        <v>650311.6</v>
      </c>
      <c r="H125" s="179">
        <f>+G125</f>
        <v>650311.6</v>
      </c>
      <c r="I125" s="179">
        <f t="shared" ref="I125" si="46">+G125-H125</f>
        <v>0</v>
      </c>
    </row>
    <row r="126" spans="1:9" s="69" customFormat="1" ht="15" customHeight="1">
      <c r="A126" s="65" t="s">
        <v>453</v>
      </c>
      <c r="B126" s="72" t="s">
        <v>452</v>
      </c>
      <c r="C126" s="72" t="s">
        <v>186</v>
      </c>
      <c r="D126" s="76">
        <f>VLOOKUP($A126,'SMEPA Stations December 2016'!$A:$G,5,0)</f>
        <v>0</v>
      </c>
      <c r="E126" s="76">
        <f>VLOOKUP($A126,'SMEPA Stations December 2016'!$A:$G,6,0)</f>
        <v>0</v>
      </c>
      <c r="F126" s="76">
        <f>VLOOKUP($A126,'SMEPA Stations December 2016'!$A:$G,7,0)</f>
        <v>20590.060000000001</v>
      </c>
      <c r="G126" s="75">
        <f t="shared" si="32"/>
        <v>20590.060000000001</v>
      </c>
      <c r="H126" s="65"/>
      <c r="I126" s="73">
        <f t="shared" si="33"/>
        <v>20590.060000000001</v>
      </c>
    </row>
    <row r="127" spans="1:9" s="69" customFormat="1" ht="15" customHeight="1">
      <c r="A127" s="65" t="s">
        <v>451</v>
      </c>
      <c r="B127" s="72" t="s">
        <v>450</v>
      </c>
      <c r="C127" s="72" t="s">
        <v>186</v>
      </c>
      <c r="D127" s="76">
        <f>VLOOKUP($A127,'SMEPA Stations December 2016'!$A:$G,5,0)</f>
        <v>0</v>
      </c>
      <c r="E127" s="76">
        <f>VLOOKUP($A127,'SMEPA Stations December 2016'!$A:$G,6,0)</f>
        <v>0</v>
      </c>
      <c r="F127" s="76">
        <f>VLOOKUP($A127,'SMEPA Stations December 2016'!$A:$G,7,0)</f>
        <v>7557.69</v>
      </c>
      <c r="G127" s="75">
        <f t="shared" si="32"/>
        <v>7557.69</v>
      </c>
      <c r="H127" s="65"/>
      <c r="I127" s="73">
        <f t="shared" si="33"/>
        <v>7557.69</v>
      </c>
    </row>
    <row r="128" spans="1:9" s="69" customFormat="1" ht="15" customHeight="1">
      <c r="A128" s="65" t="s">
        <v>445</v>
      </c>
      <c r="B128" s="72" t="s">
        <v>444</v>
      </c>
      <c r="C128" s="72" t="s">
        <v>186</v>
      </c>
      <c r="D128" s="76">
        <f>VLOOKUP($A128,'SMEPA Stations December 2016'!$A:$G,5,0)</f>
        <v>0</v>
      </c>
      <c r="E128" s="76">
        <f>VLOOKUP($A128,'SMEPA Stations December 2016'!$A:$G,6,0)</f>
        <v>0</v>
      </c>
      <c r="F128" s="76">
        <f>VLOOKUP($A128,'SMEPA Stations December 2016'!$A:$G,7,0)</f>
        <v>7825.46</v>
      </c>
      <c r="G128" s="75">
        <f t="shared" si="32"/>
        <v>7825.46</v>
      </c>
      <c r="H128" s="65"/>
      <c r="I128" s="73">
        <f t="shared" si="33"/>
        <v>7825.46</v>
      </c>
    </row>
    <row r="129" spans="1:9" s="69" customFormat="1" ht="15" customHeight="1">
      <c r="A129" s="65" t="s">
        <v>1089</v>
      </c>
      <c r="B129" s="72" t="s">
        <v>1105</v>
      </c>
      <c r="C129" s="72" t="s">
        <v>186</v>
      </c>
      <c r="D129" s="76">
        <f>VLOOKUP($A129,'SMEPA Stations December 2016'!$A:$G,5,0)</f>
        <v>36306.629999999997</v>
      </c>
      <c r="E129" s="76">
        <f>VLOOKUP($A129,'SMEPA Stations December 2016'!$A:$G,6,0)</f>
        <v>0</v>
      </c>
      <c r="F129" s="76">
        <f>VLOOKUP($A129,'SMEPA Stations December 2016'!$A:$G,7,0)</f>
        <v>0</v>
      </c>
      <c r="G129" s="75">
        <f t="shared" ref="G129" si="47">SUM(D129:F129)</f>
        <v>36306.629999999997</v>
      </c>
      <c r="H129" s="65"/>
      <c r="I129" s="73">
        <f t="shared" ref="I129" si="48">+G129-H129</f>
        <v>36306.629999999997</v>
      </c>
    </row>
    <row r="130" spans="1:9" s="69" customFormat="1" ht="15" customHeight="1">
      <c r="A130" s="65" t="s">
        <v>441</v>
      </c>
      <c r="B130" s="72" t="s">
        <v>440</v>
      </c>
      <c r="C130" s="72" t="s">
        <v>186</v>
      </c>
      <c r="D130" s="76">
        <f>VLOOKUP($A130,'SMEPA Stations December 2016'!$A:$G,5,0)</f>
        <v>32095.78</v>
      </c>
      <c r="E130" s="76">
        <f>VLOOKUP($A130,'SMEPA Stations December 2016'!$A:$G,6,0)</f>
        <v>0</v>
      </c>
      <c r="F130" s="76">
        <f>VLOOKUP($A130,'SMEPA Stations December 2016'!$A:$G,7,0)</f>
        <v>8345.6</v>
      </c>
      <c r="G130" s="75">
        <f t="shared" si="32"/>
        <v>40441.379999999997</v>
      </c>
      <c r="H130" s="65"/>
      <c r="I130" s="73">
        <f t="shared" si="33"/>
        <v>40441.379999999997</v>
      </c>
    </row>
    <row r="131" spans="1:9" s="69" customFormat="1" ht="15" customHeight="1">
      <c r="A131" s="65" t="s">
        <v>1265</v>
      </c>
      <c r="B131" s="72" t="s">
        <v>1266</v>
      </c>
      <c r="C131" s="72" t="s">
        <v>186</v>
      </c>
      <c r="D131" s="76">
        <f>VLOOKUP($A131,'SMEPA Stations December 2016'!$A:$G,5,0)</f>
        <v>0</v>
      </c>
      <c r="E131" s="76">
        <f>VLOOKUP($A131,'SMEPA Stations December 2016'!$A:$G,6,0)</f>
        <v>0</v>
      </c>
      <c r="F131" s="76">
        <f>VLOOKUP($A131,'SMEPA Stations December 2016'!$A:$G,7,0)</f>
        <v>0</v>
      </c>
      <c r="G131" s="75">
        <f t="shared" ref="G131" si="49">SUM(D131:F131)</f>
        <v>0</v>
      </c>
      <c r="H131" s="65"/>
      <c r="I131" s="73">
        <f t="shared" ref="I131" si="50">+G131-H131</f>
        <v>0</v>
      </c>
    </row>
    <row r="132" spans="1:9" s="69" customFormat="1" ht="15" customHeight="1">
      <c r="A132" s="65" t="s">
        <v>439</v>
      </c>
      <c r="B132" s="72" t="s">
        <v>438</v>
      </c>
      <c r="C132" s="72" t="s">
        <v>186</v>
      </c>
      <c r="D132" s="76">
        <f>VLOOKUP($A132,'SMEPA Stations December 2016'!$A:$G,5,0)</f>
        <v>0</v>
      </c>
      <c r="E132" s="76">
        <f>VLOOKUP($A132,'SMEPA Stations December 2016'!$A:$G,6,0)</f>
        <v>0</v>
      </c>
      <c r="F132" s="76">
        <f>VLOOKUP($A132,'SMEPA Stations December 2016'!$A:$G,7,0)</f>
        <v>8609.3700000000008</v>
      </c>
      <c r="G132" s="75">
        <f t="shared" si="32"/>
        <v>8609.3700000000008</v>
      </c>
      <c r="H132" s="65"/>
      <c r="I132" s="73">
        <f t="shared" si="33"/>
        <v>8609.3700000000008</v>
      </c>
    </row>
    <row r="133" spans="1:9" s="69" customFormat="1" ht="15" customHeight="1">
      <c r="A133" s="65" t="s">
        <v>437</v>
      </c>
      <c r="B133" s="72" t="s">
        <v>436</v>
      </c>
      <c r="C133" s="72" t="s">
        <v>186</v>
      </c>
      <c r="D133" s="76">
        <f>VLOOKUP($A133,'SMEPA Stations December 2016'!$A:$G,5,0)</f>
        <v>0</v>
      </c>
      <c r="E133" s="76">
        <f>VLOOKUP($A133,'SMEPA Stations December 2016'!$A:$G,6,0)</f>
        <v>0</v>
      </c>
      <c r="F133" s="76">
        <f>VLOOKUP($A133,'SMEPA Stations December 2016'!$A:$G,7,0)</f>
        <v>28046.93</v>
      </c>
      <c r="G133" s="75">
        <f t="shared" si="32"/>
        <v>28046.93</v>
      </c>
      <c r="H133" s="65"/>
      <c r="I133" s="73">
        <f t="shared" si="33"/>
        <v>28046.93</v>
      </c>
    </row>
    <row r="134" spans="1:9" s="69" customFormat="1" ht="15" customHeight="1">
      <c r="A134" s="65" t="s">
        <v>1091</v>
      </c>
      <c r="B134" s="72" t="s">
        <v>1092</v>
      </c>
      <c r="C134" s="72" t="s">
        <v>186</v>
      </c>
      <c r="D134" s="76">
        <f>VLOOKUP($A134,'SMEPA Stations December 2016'!$A:$G,5,0)</f>
        <v>0</v>
      </c>
      <c r="E134" s="76">
        <f>VLOOKUP($A134,'SMEPA Stations December 2016'!$A:$G,6,0)</f>
        <v>0</v>
      </c>
      <c r="F134" s="76">
        <f>VLOOKUP($A134,'SMEPA Stations December 2016'!$A:$G,7,0)</f>
        <v>0</v>
      </c>
      <c r="G134" s="75">
        <f t="shared" ref="G134" si="51">SUM(D134:F134)</f>
        <v>0</v>
      </c>
      <c r="H134" s="65"/>
      <c r="I134" s="73">
        <f t="shared" ref="I134" si="52">+G134-H134</f>
        <v>0</v>
      </c>
    </row>
    <row r="135" spans="1:9" s="69" customFormat="1" ht="15" customHeight="1">
      <c r="A135" s="65" t="s">
        <v>427</v>
      </c>
      <c r="B135" s="72" t="s">
        <v>426</v>
      </c>
      <c r="C135" s="72" t="s">
        <v>186</v>
      </c>
      <c r="D135" s="76">
        <f>VLOOKUP($A135,'SMEPA Stations December 2016'!$A:$G,5,0)</f>
        <v>0</v>
      </c>
      <c r="E135" s="76">
        <f>VLOOKUP($A135,'SMEPA Stations December 2016'!$A:$G,6,0)</f>
        <v>0</v>
      </c>
      <c r="F135" s="76">
        <f>VLOOKUP($A135,'SMEPA Stations December 2016'!$A:$G,7,0)</f>
        <v>141398.20000000001</v>
      </c>
      <c r="G135" s="75">
        <f t="shared" si="32"/>
        <v>141398.20000000001</v>
      </c>
      <c r="H135" s="73">
        <f>G135</f>
        <v>141398.20000000001</v>
      </c>
      <c r="I135" s="73">
        <f t="shared" si="33"/>
        <v>0</v>
      </c>
    </row>
    <row r="136" spans="1:9" s="69" customFormat="1" ht="15" customHeight="1">
      <c r="A136" s="65" t="s">
        <v>425</v>
      </c>
      <c r="B136" s="72" t="s">
        <v>424</v>
      </c>
      <c r="C136" s="72" t="s">
        <v>186</v>
      </c>
      <c r="D136" s="76">
        <f>VLOOKUP($A136,'SMEPA Stations December 2016'!$A:$G,5,0)</f>
        <v>0</v>
      </c>
      <c r="E136" s="76">
        <f>VLOOKUP($A136,'SMEPA Stations December 2016'!$A:$G,6,0)</f>
        <v>0</v>
      </c>
      <c r="F136" s="76">
        <f>VLOOKUP($A136,'SMEPA Stations December 2016'!$A:$G,7,0)</f>
        <v>38986.94</v>
      </c>
      <c r="G136" s="75">
        <f t="shared" si="32"/>
        <v>38986.94</v>
      </c>
      <c r="H136" s="65"/>
      <c r="I136" s="73">
        <f t="shared" si="33"/>
        <v>38986.94</v>
      </c>
    </row>
    <row r="137" spans="1:9" s="69" customFormat="1" ht="15" customHeight="1">
      <c r="A137" s="65" t="s">
        <v>423</v>
      </c>
      <c r="B137" s="72" t="s">
        <v>422</v>
      </c>
      <c r="C137" s="72" t="s">
        <v>186</v>
      </c>
      <c r="D137" s="76">
        <f>VLOOKUP($A137,'SMEPA Stations December 2016'!$A:$G,5,0)</f>
        <v>0</v>
      </c>
      <c r="E137" s="76">
        <f>VLOOKUP($A137,'SMEPA Stations December 2016'!$A:$G,6,0)</f>
        <v>0</v>
      </c>
      <c r="F137" s="76">
        <f>VLOOKUP($A137,'SMEPA Stations December 2016'!$A:$G,7,0)</f>
        <v>9843.74</v>
      </c>
      <c r="G137" s="75">
        <f t="shared" si="32"/>
        <v>9843.74</v>
      </c>
      <c r="H137" s="73"/>
      <c r="I137" s="73">
        <f t="shared" si="33"/>
        <v>9843.74</v>
      </c>
    </row>
    <row r="138" spans="1:9" s="69" customFormat="1" ht="15" customHeight="1">
      <c r="A138" s="65" t="s">
        <v>421</v>
      </c>
      <c r="B138" s="72" t="s">
        <v>420</v>
      </c>
      <c r="C138" s="72" t="s">
        <v>186</v>
      </c>
      <c r="D138" s="76">
        <f>VLOOKUP($A138,'SMEPA Stations December 2016'!$A:$G,5,0)</f>
        <v>0</v>
      </c>
      <c r="E138" s="76">
        <f>VLOOKUP($A138,'SMEPA Stations December 2016'!$A:$G,6,0)</f>
        <v>0</v>
      </c>
      <c r="F138" s="76">
        <f>VLOOKUP($A138,'SMEPA Stations December 2016'!$A:$G,7,0)</f>
        <v>11847.9</v>
      </c>
      <c r="G138" s="75">
        <f t="shared" si="32"/>
        <v>11847.9</v>
      </c>
      <c r="H138" s="65"/>
      <c r="I138" s="73">
        <f t="shared" si="33"/>
        <v>11847.9</v>
      </c>
    </row>
    <row r="139" spans="1:9" s="69" customFormat="1" ht="15" customHeight="1">
      <c r="A139" s="65" t="s">
        <v>415</v>
      </c>
      <c r="B139" s="72" t="s">
        <v>1638</v>
      </c>
      <c r="C139" s="72" t="s">
        <v>186</v>
      </c>
      <c r="D139" s="76">
        <f>VLOOKUP($A139,'SMEPA Stations December 2016'!$A:$G,5,0)</f>
        <v>0</v>
      </c>
      <c r="E139" s="177">
        <f>VLOOKUP($A139,'SMEPA Stations December 2016'!$A:$G,6,0)</f>
        <v>17119.47</v>
      </c>
      <c r="F139" s="177">
        <f>VLOOKUP($A139,'SMEPA Stations December 2016'!$A:$G,7,0)</f>
        <v>143232.42000000001</v>
      </c>
      <c r="G139" s="75">
        <f t="shared" si="32"/>
        <v>160351.89000000001</v>
      </c>
      <c r="H139" s="65"/>
      <c r="I139" s="73">
        <f t="shared" si="33"/>
        <v>160351.89000000001</v>
      </c>
    </row>
    <row r="140" spans="1:9" s="69" customFormat="1" ht="15" customHeight="1">
      <c r="A140" s="65" t="s">
        <v>1269</v>
      </c>
      <c r="B140" s="72" t="s">
        <v>1270</v>
      </c>
      <c r="C140" s="72" t="s">
        <v>186</v>
      </c>
      <c r="D140" s="76">
        <f>VLOOKUP($A140,'SMEPA Stations December 2016'!$A:$G,5,0)</f>
        <v>46998.2</v>
      </c>
      <c r="E140" s="76">
        <f>VLOOKUP($A140,'SMEPA Stations December 2016'!$A:$G,6,0)</f>
        <v>0</v>
      </c>
      <c r="F140" s="76">
        <f>VLOOKUP($A140,'SMEPA Stations December 2016'!$A:$G,7,0)</f>
        <v>0</v>
      </c>
      <c r="G140" s="75">
        <f t="shared" ref="G140" si="53">SUM(D140:F140)</f>
        <v>46998.2</v>
      </c>
      <c r="H140" s="65"/>
      <c r="I140" s="73">
        <f t="shared" ref="I140" si="54">+G140-H140</f>
        <v>46998.2</v>
      </c>
    </row>
    <row r="141" spans="1:9" s="69" customFormat="1" ht="15" customHeight="1">
      <c r="A141" s="65" t="s">
        <v>411</v>
      </c>
      <c r="B141" s="72" t="s">
        <v>410</v>
      </c>
      <c r="C141" s="72" t="s">
        <v>186</v>
      </c>
      <c r="D141" s="76">
        <f>VLOOKUP($A141,'SMEPA Stations December 2016'!$A:$G,5,0)</f>
        <v>0</v>
      </c>
      <c r="E141" s="76">
        <f>VLOOKUP($A141,'SMEPA Stations December 2016'!$A:$G,6,0)</f>
        <v>0</v>
      </c>
      <c r="F141" s="76">
        <f>VLOOKUP($A141,'SMEPA Stations December 2016'!$A:$G,7,0)</f>
        <v>36474.019999999997</v>
      </c>
      <c r="G141" s="75">
        <f t="shared" si="32"/>
        <v>36474.019999999997</v>
      </c>
      <c r="H141" s="65"/>
      <c r="I141" s="73">
        <f t="shared" si="33"/>
        <v>36474.019999999997</v>
      </c>
    </row>
    <row r="142" spans="1:9" s="69" customFormat="1" ht="15" customHeight="1">
      <c r="A142" s="65" t="s">
        <v>407</v>
      </c>
      <c r="B142" s="72" t="s">
        <v>406</v>
      </c>
      <c r="C142" s="72" t="s">
        <v>186</v>
      </c>
      <c r="D142" s="76">
        <f>VLOOKUP($A142,'SMEPA Stations December 2016'!$A:$G,5,0)</f>
        <v>0</v>
      </c>
      <c r="E142" s="76">
        <f>VLOOKUP($A142,'SMEPA Stations December 2016'!$A:$G,6,0)</f>
        <v>0</v>
      </c>
      <c r="F142" s="76">
        <f>VLOOKUP($A142,'SMEPA Stations December 2016'!$A:$G,7,0)</f>
        <v>15802.67</v>
      </c>
      <c r="G142" s="75">
        <f t="shared" si="32"/>
        <v>15802.67</v>
      </c>
      <c r="H142" s="65"/>
      <c r="I142" s="73">
        <f t="shared" si="33"/>
        <v>15802.67</v>
      </c>
    </row>
    <row r="143" spans="1:9" s="229" customFormat="1" ht="15" customHeight="1">
      <c r="A143" s="175" t="s">
        <v>1627</v>
      </c>
      <c r="B143" s="176" t="s">
        <v>1628</v>
      </c>
      <c r="C143" s="176" t="s">
        <v>186</v>
      </c>
      <c r="D143" s="177"/>
      <c r="E143" s="177">
        <v>282.86</v>
      </c>
      <c r="F143" s="177">
        <v>119867.89</v>
      </c>
      <c r="G143" s="178">
        <f t="shared" ref="G143" si="55">SUM(D143:F143)</f>
        <v>120150.75</v>
      </c>
      <c r="H143" s="179">
        <f>+G143</f>
        <v>120150.75</v>
      </c>
      <c r="I143" s="179">
        <f t="shared" ref="I143" si="56">+G143-H143</f>
        <v>0</v>
      </c>
    </row>
    <row r="144" spans="1:9" s="69" customFormat="1" ht="15" customHeight="1">
      <c r="A144" s="65" t="s">
        <v>405</v>
      </c>
      <c r="B144" s="72" t="s">
        <v>404</v>
      </c>
      <c r="C144" s="72" t="s">
        <v>186</v>
      </c>
      <c r="D144" s="76">
        <f>VLOOKUP($A144,'SMEPA Stations December 2016'!$A:$G,5,0)</f>
        <v>0</v>
      </c>
      <c r="E144" s="76">
        <f>VLOOKUP($A144,'SMEPA Stations December 2016'!$A:$G,6,0)</f>
        <v>0</v>
      </c>
      <c r="F144" s="76">
        <f>VLOOKUP($A144,'SMEPA Stations December 2016'!$A:$G,7,0)</f>
        <v>8236.7999999999993</v>
      </c>
      <c r="G144" s="75">
        <f t="shared" si="32"/>
        <v>8236.7999999999993</v>
      </c>
      <c r="H144" s="65"/>
      <c r="I144" s="73">
        <f t="shared" si="33"/>
        <v>8236.7999999999993</v>
      </c>
    </row>
    <row r="145" spans="1:9" s="69" customFormat="1" ht="15" customHeight="1">
      <c r="A145" s="65" t="s">
        <v>403</v>
      </c>
      <c r="B145" s="72" t="s">
        <v>402</v>
      </c>
      <c r="C145" s="72" t="s">
        <v>186</v>
      </c>
      <c r="D145" s="76">
        <f>VLOOKUP($A145,'SMEPA Stations December 2016'!$A:$G,5,0)</f>
        <v>0</v>
      </c>
      <c r="E145" s="76">
        <f>VLOOKUP($A145,'SMEPA Stations December 2016'!$A:$G,6,0)</f>
        <v>0</v>
      </c>
      <c r="F145" s="76">
        <f>VLOOKUP($A145,'SMEPA Stations December 2016'!$A:$G,7,0)</f>
        <v>9054.85</v>
      </c>
      <c r="G145" s="75">
        <f t="shared" si="32"/>
        <v>9054.85</v>
      </c>
      <c r="H145" s="65"/>
      <c r="I145" s="73">
        <f t="shared" si="33"/>
        <v>9054.85</v>
      </c>
    </row>
    <row r="146" spans="1:9" s="69" customFormat="1" ht="15" customHeight="1">
      <c r="A146" s="65" t="s">
        <v>397</v>
      </c>
      <c r="B146" s="72" t="s">
        <v>396</v>
      </c>
      <c r="C146" s="72" t="s">
        <v>186</v>
      </c>
      <c r="D146" s="76">
        <f>VLOOKUP($A146,'SMEPA Stations December 2016'!$A:$G,5,0)</f>
        <v>0</v>
      </c>
      <c r="E146" s="76">
        <f>VLOOKUP($A146,'SMEPA Stations December 2016'!$A:$G,6,0)</f>
        <v>0</v>
      </c>
      <c r="F146" s="76">
        <f>VLOOKUP($A146,'SMEPA Stations December 2016'!$A:$G,7,0)</f>
        <v>0</v>
      </c>
      <c r="G146" s="75">
        <f t="shared" si="32"/>
        <v>0</v>
      </c>
      <c r="H146" s="65"/>
      <c r="I146" s="73">
        <f t="shared" si="33"/>
        <v>0</v>
      </c>
    </row>
    <row r="147" spans="1:9" s="69" customFormat="1" ht="15" customHeight="1">
      <c r="A147" s="65" t="s">
        <v>395</v>
      </c>
      <c r="B147" s="72" t="s">
        <v>394</v>
      </c>
      <c r="C147" s="72" t="s">
        <v>186</v>
      </c>
      <c r="D147" s="76">
        <f>VLOOKUP($A147,'SMEPA Stations December 2016'!$A:$G,5,0)</f>
        <v>0</v>
      </c>
      <c r="E147" s="76">
        <f>VLOOKUP($A147,'SMEPA Stations December 2016'!$A:$G,6,0)</f>
        <v>3378796.31</v>
      </c>
      <c r="F147" s="76">
        <f>VLOOKUP($A147,'SMEPA Stations December 2016'!$A:$G,7,0)</f>
        <v>3303075.33</v>
      </c>
      <c r="G147" s="75">
        <f t="shared" si="32"/>
        <v>6681871.6400000006</v>
      </c>
      <c r="H147" s="73">
        <f>+G147</f>
        <v>6681871.6400000006</v>
      </c>
      <c r="I147" s="73">
        <f t="shared" si="33"/>
        <v>0</v>
      </c>
    </row>
    <row r="148" spans="1:9" s="69" customFormat="1" ht="15" customHeight="1">
      <c r="A148" s="65" t="s">
        <v>393</v>
      </c>
      <c r="B148" s="72" t="s">
        <v>392</v>
      </c>
      <c r="C148" s="72" t="s">
        <v>186</v>
      </c>
      <c r="D148" s="76">
        <f>VLOOKUP($A148,'SMEPA Stations December 2016'!$A:$G,5,0)</f>
        <v>0</v>
      </c>
      <c r="E148" s="76">
        <f>VLOOKUP($A148,'SMEPA Stations December 2016'!$A:$G,6,0)</f>
        <v>2494944.15</v>
      </c>
      <c r="F148" s="76">
        <f>VLOOKUP($A148,'SMEPA Stations December 2016'!$A:$G,7,0)</f>
        <v>1652790.27</v>
      </c>
      <c r="G148" s="75">
        <f t="shared" si="32"/>
        <v>4147734.42</v>
      </c>
      <c r="H148" s="73">
        <f>+G148-6738.92</f>
        <v>4140995.5</v>
      </c>
      <c r="I148" s="73">
        <f t="shared" si="33"/>
        <v>6738.9199999999255</v>
      </c>
    </row>
    <row r="149" spans="1:9" s="69" customFormat="1" ht="15" customHeight="1">
      <c r="A149" s="65" t="s">
        <v>389</v>
      </c>
      <c r="B149" s="72" t="s">
        <v>388</v>
      </c>
      <c r="C149" s="72" t="s">
        <v>186</v>
      </c>
      <c r="D149" s="76">
        <f>VLOOKUP($A149,'SMEPA Stations December 2016'!$A:$G,5,0)</f>
        <v>0</v>
      </c>
      <c r="E149" s="76">
        <f>VLOOKUP($A149,'SMEPA Stations December 2016'!$A:$G,6,0)</f>
        <v>0</v>
      </c>
      <c r="F149" s="76">
        <f>VLOOKUP($A149,'SMEPA Stations December 2016'!$A:$G,7,0)</f>
        <v>21599.13</v>
      </c>
      <c r="G149" s="75">
        <f t="shared" si="32"/>
        <v>21599.13</v>
      </c>
      <c r="H149" s="65"/>
      <c r="I149" s="73">
        <f t="shared" si="33"/>
        <v>21599.13</v>
      </c>
    </row>
    <row r="150" spans="1:9" s="69" customFormat="1" ht="15" customHeight="1">
      <c r="A150" s="65" t="s">
        <v>387</v>
      </c>
      <c r="B150" s="72" t="s">
        <v>386</v>
      </c>
      <c r="C150" s="72" t="s">
        <v>186</v>
      </c>
      <c r="D150" s="76">
        <f>VLOOKUP($A150,'SMEPA Stations December 2016'!$A:$G,5,0)</f>
        <v>0</v>
      </c>
      <c r="E150" s="76">
        <f>VLOOKUP($A150,'SMEPA Stations December 2016'!$A:$G,6,0)</f>
        <v>0</v>
      </c>
      <c r="F150" s="76">
        <f>VLOOKUP($A150,'SMEPA Stations December 2016'!$A:$G,7,0)</f>
        <v>35433.089999999997</v>
      </c>
      <c r="G150" s="75">
        <f t="shared" si="32"/>
        <v>35433.089999999997</v>
      </c>
      <c r="H150" s="65"/>
      <c r="I150" s="73">
        <f t="shared" si="33"/>
        <v>35433.089999999997</v>
      </c>
    </row>
    <row r="151" spans="1:9" s="69" customFormat="1" ht="15" customHeight="1">
      <c r="A151" s="65" t="s">
        <v>379</v>
      </c>
      <c r="B151" s="72" t="s">
        <v>378</v>
      </c>
      <c r="C151" s="72" t="s">
        <v>186</v>
      </c>
      <c r="D151" s="76">
        <f>VLOOKUP($A151,'SMEPA Stations December 2016'!$A:$G,5,0)</f>
        <v>0</v>
      </c>
      <c r="E151" s="76">
        <f>VLOOKUP($A151,'SMEPA Stations December 2016'!$A:$G,6,0)</f>
        <v>0</v>
      </c>
      <c r="F151" s="76">
        <f>VLOOKUP($A151,'SMEPA Stations December 2016'!$A:$G,7,0)</f>
        <v>22475.42</v>
      </c>
      <c r="G151" s="75">
        <f t="shared" si="32"/>
        <v>22475.42</v>
      </c>
      <c r="H151" s="65"/>
      <c r="I151" s="73">
        <f t="shared" si="33"/>
        <v>22475.42</v>
      </c>
    </row>
    <row r="152" spans="1:9" s="69" customFormat="1" ht="15" customHeight="1">
      <c r="A152" s="65" t="s">
        <v>377</v>
      </c>
      <c r="B152" s="72" t="s">
        <v>376</v>
      </c>
      <c r="C152" s="72" t="s">
        <v>186</v>
      </c>
      <c r="D152" s="76">
        <f>VLOOKUP($A152,'SMEPA Stations December 2016'!$A:$G,5,0)</f>
        <v>0</v>
      </c>
      <c r="E152" s="76">
        <f>VLOOKUP($A152,'SMEPA Stations December 2016'!$A:$G,6,0)</f>
        <v>289107.59000000003</v>
      </c>
      <c r="F152" s="76">
        <f>VLOOKUP($A152,'SMEPA Stations December 2016'!$A:$G,7,0)</f>
        <v>131890.10999999999</v>
      </c>
      <c r="G152" s="75">
        <f t="shared" si="32"/>
        <v>420997.7</v>
      </c>
      <c r="H152" s="73">
        <f>G152</f>
        <v>420997.7</v>
      </c>
      <c r="I152" s="73">
        <f t="shared" si="33"/>
        <v>0</v>
      </c>
    </row>
    <row r="153" spans="1:9" s="69" customFormat="1" ht="15" customHeight="1">
      <c r="A153" s="65" t="s">
        <v>367</v>
      </c>
      <c r="B153" s="72" t="s">
        <v>366</v>
      </c>
      <c r="C153" s="72" t="s">
        <v>186</v>
      </c>
      <c r="D153" s="76">
        <f>VLOOKUP($A153,'SMEPA Stations December 2016'!$A:$G,5,0)</f>
        <v>0</v>
      </c>
      <c r="E153" s="76">
        <f>VLOOKUP($A153,'SMEPA Stations December 2016'!$A:$G,6,0)</f>
        <v>0</v>
      </c>
      <c r="F153" s="76">
        <f>VLOOKUP($A153,'SMEPA Stations December 2016'!$A:$G,7,0)</f>
        <v>13919.7</v>
      </c>
      <c r="G153" s="75">
        <f t="shared" si="32"/>
        <v>13919.7</v>
      </c>
      <c r="H153" s="65"/>
      <c r="I153" s="73">
        <f t="shared" si="33"/>
        <v>13919.7</v>
      </c>
    </row>
    <row r="154" spans="1:9" s="69" customFormat="1" ht="15" customHeight="1">
      <c r="A154" s="65" t="s">
        <v>1273</v>
      </c>
      <c r="B154" s="72" t="s">
        <v>1288</v>
      </c>
      <c r="C154" s="72" t="s">
        <v>186</v>
      </c>
      <c r="D154" s="76">
        <f>VLOOKUP($A154,'SMEPA Stations December 2016'!$A:$G,5,0)</f>
        <v>0</v>
      </c>
      <c r="E154" s="76">
        <f>VLOOKUP($A154,'SMEPA Stations December 2016'!$A:$G,6,0)</f>
        <v>0</v>
      </c>
      <c r="F154" s="76">
        <f>VLOOKUP($A154,'SMEPA Stations December 2016'!$A:$G,7,0)</f>
        <v>0</v>
      </c>
      <c r="G154" s="75">
        <f t="shared" ref="G154" si="57">SUM(D154:F154)</f>
        <v>0</v>
      </c>
      <c r="H154" s="65"/>
      <c r="I154" s="73">
        <f t="shared" ref="I154" si="58">+G154-H154</f>
        <v>0</v>
      </c>
    </row>
    <row r="155" spans="1:9" s="69" customFormat="1" ht="15" customHeight="1">
      <c r="A155" s="65" t="s">
        <v>363</v>
      </c>
      <c r="B155" s="72" t="s">
        <v>362</v>
      </c>
      <c r="C155" s="72" t="s">
        <v>186</v>
      </c>
      <c r="D155" s="76">
        <f>VLOOKUP($A155,'SMEPA Stations December 2016'!$A:$G,5,0)</f>
        <v>0</v>
      </c>
      <c r="E155" s="76">
        <f>VLOOKUP($A155,'SMEPA Stations December 2016'!$A:$G,6,0)</f>
        <v>0</v>
      </c>
      <c r="F155" s="76">
        <f>VLOOKUP($A155,'SMEPA Stations December 2016'!$A:$G,7,0)</f>
        <v>33833.65</v>
      </c>
      <c r="G155" s="75">
        <f t="shared" si="32"/>
        <v>33833.65</v>
      </c>
      <c r="H155" s="65"/>
      <c r="I155" s="73">
        <f t="shared" si="33"/>
        <v>33833.65</v>
      </c>
    </row>
    <row r="156" spans="1:9" s="69" customFormat="1" ht="15" customHeight="1">
      <c r="A156" s="65" t="s">
        <v>359</v>
      </c>
      <c r="B156" s="72" t="s">
        <v>358</v>
      </c>
      <c r="C156" s="72" t="s">
        <v>186</v>
      </c>
      <c r="D156" s="76">
        <f>VLOOKUP($A156,'SMEPA Stations December 2016'!$A:$G,5,0)</f>
        <v>0</v>
      </c>
      <c r="E156" s="76">
        <f>VLOOKUP($A156,'SMEPA Stations December 2016'!$A:$G,6,0)</f>
        <v>0</v>
      </c>
      <c r="F156" s="76">
        <f>VLOOKUP($A156,'SMEPA Stations December 2016'!$A:$G,7,0)</f>
        <v>168949.07</v>
      </c>
      <c r="G156" s="75">
        <f t="shared" si="32"/>
        <v>168949.07</v>
      </c>
      <c r="H156" s="65"/>
      <c r="I156" s="73">
        <f t="shared" si="33"/>
        <v>168949.07</v>
      </c>
    </row>
    <row r="157" spans="1:9" s="69" customFormat="1" ht="15" customHeight="1">
      <c r="A157" s="65" t="s">
        <v>357</v>
      </c>
      <c r="B157" s="72" t="s">
        <v>356</v>
      </c>
      <c r="C157" s="72" t="s">
        <v>186</v>
      </c>
      <c r="D157" s="76">
        <f>VLOOKUP($A157,'SMEPA Stations December 2016'!$A:$G,5,0)</f>
        <v>0</v>
      </c>
      <c r="E157" s="76">
        <f>VLOOKUP($A157,'SMEPA Stations December 2016'!$A:$G,6,0)</f>
        <v>0</v>
      </c>
      <c r="F157" s="76">
        <f>VLOOKUP($A157,'SMEPA Stations December 2016'!$A:$G,7,0)</f>
        <v>20169.71</v>
      </c>
      <c r="G157" s="75">
        <f t="shared" si="32"/>
        <v>20169.71</v>
      </c>
      <c r="H157" s="73"/>
      <c r="I157" s="73">
        <f t="shared" si="33"/>
        <v>20169.71</v>
      </c>
    </row>
    <row r="158" spans="1:9" s="69" customFormat="1" ht="15" customHeight="1">
      <c r="A158" s="65" t="s">
        <v>353</v>
      </c>
      <c r="B158" s="72" t="s">
        <v>352</v>
      </c>
      <c r="C158" s="72" t="s">
        <v>186</v>
      </c>
      <c r="D158" s="76">
        <f>VLOOKUP($A158,'SMEPA Stations December 2016'!$A:$G,5,0)</f>
        <v>0</v>
      </c>
      <c r="E158" s="76">
        <f>VLOOKUP($A158,'SMEPA Stations December 2016'!$A:$G,6,0)</f>
        <v>0</v>
      </c>
      <c r="F158" s="76">
        <f>VLOOKUP($A158,'SMEPA Stations December 2016'!$A:$G,7,0)</f>
        <v>9442.92</v>
      </c>
      <c r="G158" s="75">
        <f t="shared" si="32"/>
        <v>9442.92</v>
      </c>
      <c r="H158" s="65"/>
      <c r="I158" s="73">
        <f t="shared" si="33"/>
        <v>9442.92</v>
      </c>
    </row>
    <row r="159" spans="1:9" s="69" customFormat="1" ht="15" customHeight="1">
      <c r="A159" s="65" t="s">
        <v>341</v>
      </c>
      <c r="B159" s="72" t="s">
        <v>340</v>
      </c>
      <c r="C159" s="72" t="s">
        <v>186</v>
      </c>
      <c r="D159" s="76">
        <f>VLOOKUP($A159,'SMEPA Stations December 2016'!$A:$G,5,0)</f>
        <v>0</v>
      </c>
      <c r="E159" s="76">
        <f>VLOOKUP($A159,'SMEPA Stations December 2016'!$A:$G,6,0)</f>
        <v>0</v>
      </c>
      <c r="F159" s="76">
        <f>VLOOKUP($A159,'SMEPA Stations December 2016'!$A:$G,7,0)</f>
        <v>14544.27</v>
      </c>
      <c r="G159" s="75">
        <f t="shared" si="32"/>
        <v>14544.27</v>
      </c>
      <c r="H159" s="65"/>
      <c r="I159" s="73">
        <f t="shared" si="33"/>
        <v>14544.27</v>
      </c>
    </row>
    <row r="160" spans="1:9" s="69" customFormat="1" ht="15" customHeight="1">
      <c r="A160" s="65" t="s">
        <v>339</v>
      </c>
      <c r="B160" s="72" t="s">
        <v>338</v>
      </c>
      <c r="C160" s="72" t="s">
        <v>186</v>
      </c>
      <c r="D160" s="76">
        <f>VLOOKUP($A160,'SMEPA Stations December 2016'!$A:$G,5,0)</f>
        <v>0</v>
      </c>
      <c r="E160" s="76">
        <f>VLOOKUP($A160,'SMEPA Stations December 2016'!$A:$G,6,0)</f>
        <v>0</v>
      </c>
      <c r="F160" s="76">
        <f>VLOOKUP($A160,'SMEPA Stations December 2016'!$A:$G,7,0)</f>
        <v>5429.91</v>
      </c>
      <c r="G160" s="75">
        <f t="shared" si="32"/>
        <v>5429.91</v>
      </c>
      <c r="H160" s="65"/>
      <c r="I160" s="73">
        <f t="shared" si="33"/>
        <v>5429.91</v>
      </c>
    </row>
    <row r="161" spans="1:9" s="69" customFormat="1" ht="15" customHeight="1">
      <c r="A161" s="65" t="s">
        <v>337</v>
      </c>
      <c r="B161" s="72" t="s">
        <v>336</v>
      </c>
      <c r="C161" s="72" t="s">
        <v>186</v>
      </c>
      <c r="D161" s="76">
        <f>VLOOKUP($A161,'SMEPA Stations December 2016'!$A:$G,5,0)</f>
        <v>0</v>
      </c>
      <c r="E161" s="76">
        <f>VLOOKUP($A161,'SMEPA Stations December 2016'!$A:$G,6,0)</f>
        <v>0</v>
      </c>
      <c r="F161" s="76">
        <f>VLOOKUP($A161,'SMEPA Stations December 2016'!$A:$G,7,0)</f>
        <v>35110.019999999997</v>
      </c>
      <c r="G161" s="75">
        <f t="shared" si="32"/>
        <v>35110.019999999997</v>
      </c>
      <c r="H161" s="73"/>
      <c r="I161" s="73">
        <f t="shared" si="33"/>
        <v>35110.019999999997</v>
      </c>
    </row>
    <row r="162" spans="1:9" s="69" customFormat="1" ht="15" customHeight="1">
      <c r="A162" s="65" t="s">
        <v>1275</v>
      </c>
      <c r="B162" s="72" t="s">
        <v>1276</v>
      </c>
      <c r="C162" s="72" t="s">
        <v>186</v>
      </c>
      <c r="D162" s="76">
        <f>VLOOKUP($A162,'SMEPA Stations December 2016'!$A:$G,5,0)</f>
        <v>52162.85</v>
      </c>
      <c r="E162" s="76">
        <f>VLOOKUP($A162,'SMEPA Stations December 2016'!$A:$G,6,0)</f>
        <v>0</v>
      </c>
      <c r="F162" s="76">
        <f>VLOOKUP($A162,'SMEPA Stations December 2016'!$A:$G,7,0)</f>
        <v>0</v>
      </c>
      <c r="G162" s="75">
        <f t="shared" ref="G162" si="59">SUM(D162:F162)</f>
        <v>52162.85</v>
      </c>
      <c r="H162" s="73">
        <f>G162-52162.85</f>
        <v>0</v>
      </c>
      <c r="I162" s="73">
        <f t="shared" ref="I162" si="60">+G162-H162</f>
        <v>52162.85</v>
      </c>
    </row>
    <row r="163" spans="1:9" s="69" customFormat="1" ht="15" customHeight="1">
      <c r="A163" s="65" t="s">
        <v>333</v>
      </c>
      <c r="B163" s="72" t="s">
        <v>332</v>
      </c>
      <c r="C163" s="72" t="s">
        <v>186</v>
      </c>
      <c r="D163" s="76">
        <f>VLOOKUP($A163,'SMEPA Stations December 2016'!$A:$G,5,0)</f>
        <v>0</v>
      </c>
      <c r="E163" s="76">
        <f>VLOOKUP($A163,'SMEPA Stations December 2016'!$A:$G,6,0)</f>
        <v>0</v>
      </c>
      <c r="F163" s="76">
        <f>VLOOKUP($A163,'SMEPA Stations December 2016'!$A:$G,7,0)</f>
        <v>7747.94</v>
      </c>
      <c r="G163" s="75">
        <f t="shared" si="32"/>
        <v>7747.94</v>
      </c>
      <c r="H163" s="65"/>
      <c r="I163" s="73">
        <f t="shared" si="33"/>
        <v>7747.94</v>
      </c>
    </row>
    <row r="164" spans="1:9" s="69" customFormat="1" ht="15" customHeight="1">
      <c r="A164" s="65" t="s">
        <v>331</v>
      </c>
      <c r="B164" s="72" t="s">
        <v>330</v>
      </c>
      <c r="C164" s="72" t="s">
        <v>186</v>
      </c>
      <c r="D164" s="76">
        <f>VLOOKUP($A164,'SMEPA Stations December 2016'!$A:$G,5,0)</f>
        <v>0</v>
      </c>
      <c r="E164" s="76">
        <f>VLOOKUP($A164,'SMEPA Stations December 2016'!$A:$G,6,0)</f>
        <v>0</v>
      </c>
      <c r="F164" s="76">
        <f>VLOOKUP($A164,'SMEPA Stations December 2016'!$A:$G,7,0)</f>
        <v>15148.2</v>
      </c>
      <c r="G164" s="75">
        <f t="shared" si="32"/>
        <v>15148.2</v>
      </c>
      <c r="H164" s="65"/>
      <c r="I164" s="73">
        <f t="shared" si="33"/>
        <v>15148.2</v>
      </c>
    </row>
    <row r="165" spans="1:9" s="69" customFormat="1" ht="15" customHeight="1">
      <c r="A165" s="65" t="s">
        <v>329</v>
      </c>
      <c r="B165" s="72" t="s">
        <v>328</v>
      </c>
      <c r="C165" s="72" t="s">
        <v>186</v>
      </c>
      <c r="D165" s="76">
        <f>VLOOKUP($A165,'SMEPA Stations December 2016'!$A:$G,5,0)</f>
        <v>0</v>
      </c>
      <c r="E165" s="76">
        <f>VLOOKUP($A165,'SMEPA Stations December 2016'!$A:$G,6,0)</f>
        <v>0</v>
      </c>
      <c r="F165" s="76">
        <f>VLOOKUP($A165,'SMEPA Stations December 2016'!$A:$G,7,0)</f>
        <v>23819.43</v>
      </c>
      <c r="G165" s="75">
        <f t="shared" si="32"/>
        <v>23819.43</v>
      </c>
      <c r="H165" s="65"/>
      <c r="I165" s="73">
        <f t="shared" si="33"/>
        <v>23819.43</v>
      </c>
    </row>
    <row r="166" spans="1:9" s="69" customFormat="1" ht="15" customHeight="1">
      <c r="A166" s="65" t="s">
        <v>327</v>
      </c>
      <c r="B166" s="72" t="s">
        <v>326</v>
      </c>
      <c r="C166" s="72" t="s">
        <v>186</v>
      </c>
      <c r="D166" s="76">
        <f>VLOOKUP($A166,'SMEPA Stations December 2016'!$A:$G,5,0)</f>
        <v>0</v>
      </c>
      <c r="E166" s="76">
        <f>VLOOKUP($A166,'SMEPA Stations December 2016'!$A:$G,6,0)</f>
        <v>0</v>
      </c>
      <c r="F166" s="76">
        <f>VLOOKUP($A166,'SMEPA Stations December 2016'!$A:$G,7,0)</f>
        <v>6395.76</v>
      </c>
      <c r="G166" s="75">
        <f t="shared" si="32"/>
        <v>6395.76</v>
      </c>
      <c r="H166" s="65"/>
      <c r="I166" s="73">
        <f t="shared" si="33"/>
        <v>6395.76</v>
      </c>
    </row>
    <row r="167" spans="1:9" s="69" customFormat="1" ht="15" customHeight="1">
      <c r="A167" s="65" t="s">
        <v>1095</v>
      </c>
      <c r="B167" s="72" t="s">
        <v>1096</v>
      </c>
      <c r="C167" s="72" t="s">
        <v>186</v>
      </c>
      <c r="D167" s="76">
        <f>VLOOKUP($A167,'SMEPA Stations December 2016'!$A:$G,5,0)</f>
        <v>21146.46</v>
      </c>
      <c r="E167" s="76">
        <f>VLOOKUP($A167,'SMEPA Stations December 2016'!$A:$G,6,0)</f>
        <v>0</v>
      </c>
      <c r="F167" s="76">
        <f>VLOOKUP($A167,'SMEPA Stations December 2016'!$A:$G,7,0)</f>
        <v>0</v>
      </c>
      <c r="G167" s="75">
        <f t="shared" ref="G167" si="61">SUM(D167:F167)</f>
        <v>21146.46</v>
      </c>
      <c r="H167" s="65"/>
      <c r="I167" s="73">
        <f t="shared" ref="I167" si="62">+G167-H167</f>
        <v>21146.46</v>
      </c>
    </row>
    <row r="168" spans="1:9" s="69" customFormat="1" ht="15" customHeight="1">
      <c r="A168" s="65" t="s">
        <v>325</v>
      </c>
      <c r="B168" s="72" t="s">
        <v>324</v>
      </c>
      <c r="C168" s="72" t="s">
        <v>186</v>
      </c>
      <c r="D168" s="76">
        <f>VLOOKUP($A168,'SMEPA Stations December 2016'!$A:$G,5,0)</f>
        <v>0</v>
      </c>
      <c r="E168" s="76">
        <f>VLOOKUP($A168,'SMEPA Stations December 2016'!$A:$G,6,0)</f>
        <v>0</v>
      </c>
      <c r="F168" s="76">
        <f>VLOOKUP($A168,'SMEPA Stations December 2016'!$A:$G,7,0)</f>
        <v>362362.45</v>
      </c>
      <c r="G168" s="75">
        <f t="shared" si="32"/>
        <v>362362.45</v>
      </c>
      <c r="H168" s="65"/>
      <c r="I168" s="73">
        <f t="shared" si="33"/>
        <v>362362.45</v>
      </c>
    </row>
    <row r="169" spans="1:9" s="69" customFormat="1" ht="15" customHeight="1">
      <c r="A169" s="65" t="s">
        <v>323</v>
      </c>
      <c r="B169" s="72" t="s">
        <v>322</v>
      </c>
      <c r="C169" s="72" t="s">
        <v>186</v>
      </c>
      <c r="D169" s="76">
        <f>VLOOKUP($A169,'SMEPA Stations December 2016'!$A:$G,5,0)</f>
        <v>0</v>
      </c>
      <c r="E169" s="76">
        <f>VLOOKUP($A169,'SMEPA Stations December 2016'!$A:$G,6,0)</f>
        <v>0</v>
      </c>
      <c r="F169" s="76">
        <f>VLOOKUP($A169,'SMEPA Stations December 2016'!$A:$G,7,0)</f>
        <v>0</v>
      </c>
      <c r="G169" s="75">
        <f t="shared" si="32"/>
        <v>0</v>
      </c>
      <c r="H169" s="65"/>
      <c r="I169" s="73">
        <f t="shared" si="33"/>
        <v>0</v>
      </c>
    </row>
    <row r="170" spans="1:9" s="69" customFormat="1" ht="15" customHeight="1">
      <c r="A170" s="65" t="s">
        <v>319</v>
      </c>
      <c r="B170" s="72" t="s">
        <v>318</v>
      </c>
      <c r="C170" s="72" t="s">
        <v>186</v>
      </c>
      <c r="D170" s="76">
        <f>VLOOKUP($A170,'SMEPA Stations December 2016'!$A:$G,5,0)</f>
        <v>0</v>
      </c>
      <c r="E170" s="76">
        <f>VLOOKUP($A170,'SMEPA Stations December 2016'!$A:$G,6,0)</f>
        <v>0</v>
      </c>
      <c r="F170" s="76">
        <f>VLOOKUP($A170,'SMEPA Stations December 2016'!$A:$G,7,0)</f>
        <v>8758.67</v>
      </c>
      <c r="G170" s="75">
        <f t="shared" si="32"/>
        <v>8758.67</v>
      </c>
      <c r="H170" s="65"/>
      <c r="I170" s="73">
        <f t="shared" si="33"/>
        <v>8758.67</v>
      </c>
    </row>
    <row r="171" spans="1:9" s="69" customFormat="1" ht="15" customHeight="1">
      <c r="A171" s="65" t="s">
        <v>317</v>
      </c>
      <c r="B171" s="72" t="s">
        <v>316</v>
      </c>
      <c r="C171" s="72" t="s">
        <v>186</v>
      </c>
      <c r="D171" s="76">
        <f>VLOOKUP($A171,'SMEPA Stations December 2016'!$A:$G,5,0)</f>
        <v>0</v>
      </c>
      <c r="E171" s="76">
        <f>VLOOKUP($A171,'SMEPA Stations December 2016'!$A:$G,6,0)</f>
        <v>0</v>
      </c>
      <c r="F171" s="76">
        <f>VLOOKUP($A171,'SMEPA Stations December 2016'!$A:$G,7,0)</f>
        <v>15259.38</v>
      </c>
      <c r="G171" s="75">
        <f t="shared" ref="G171:G239" si="63">SUM(D171:F171)</f>
        <v>15259.38</v>
      </c>
      <c r="H171" s="65"/>
      <c r="I171" s="73">
        <f t="shared" ref="I171:I239" si="64">+G171-H171</f>
        <v>15259.38</v>
      </c>
    </row>
    <row r="172" spans="1:9" s="69" customFormat="1" ht="15" customHeight="1">
      <c r="A172" s="65" t="s">
        <v>315</v>
      </c>
      <c r="B172" s="72" t="s">
        <v>314</v>
      </c>
      <c r="C172" s="72" t="s">
        <v>186</v>
      </c>
      <c r="D172" s="76">
        <f>VLOOKUP($A172,'SMEPA Stations December 2016'!$A:$G,5,0)</f>
        <v>0</v>
      </c>
      <c r="E172" s="76">
        <f>VLOOKUP($A172,'SMEPA Stations December 2016'!$A:$G,6,0)</f>
        <v>0</v>
      </c>
      <c r="F172" s="76">
        <f>VLOOKUP($A172,'SMEPA Stations December 2016'!$A:$G,7,0)</f>
        <v>12897.89</v>
      </c>
      <c r="G172" s="75">
        <f t="shared" si="63"/>
        <v>12897.89</v>
      </c>
      <c r="H172" s="65"/>
      <c r="I172" s="73">
        <f t="shared" si="64"/>
        <v>12897.89</v>
      </c>
    </row>
    <row r="173" spans="1:9" s="69" customFormat="1" ht="15" customHeight="1">
      <c r="A173" s="65" t="s">
        <v>1097</v>
      </c>
      <c r="B173" s="72" t="s">
        <v>1098</v>
      </c>
      <c r="C173" s="72" t="s">
        <v>186</v>
      </c>
      <c r="D173" s="76">
        <f>VLOOKUP($A173,'SMEPA Stations December 2016'!$A:$G,5,0)</f>
        <v>20948.02</v>
      </c>
      <c r="E173" s="76">
        <f>VLOOKUP($A173,'SMEPA Stations December 2016'!$A:$G,6,0)</f>
        <v>0</v>
      </c>
      <c r="F173" s="76">
        <f>VLOOKUP($A173,'SMEPA Stations December 2016'!$A:$G,7,0)</f>
        <v>0</v>
      </c>
      <c r="G173" s="75">
        <f t="shared" ref="G173" si="65">SUM(D173:F173)</f>
        <v>20948.02</v>
      </c>
      <c r="H173" s="65"/>
      <c r="I173" s="73">
        <f t="shared" ref="I173" si="66">+G173-H173</f>
        <v>20948.02</v>
      </c>
    </row>
    <row r="174" spans="1:9" s="69" customFormat="1" ht="15" customHeight="1">
      <c r="A174" s="65" t="s">
        <v>309</v>
      </c>
      <c r="B174" s="72" t="s">
        <v>308</v>
      </c>
      <c r="C174" s="72" t="s">
        <v>186</v>
      </c>
      <c r="D174" s="76">
        <f>VLOOKUP($A174,'SMEPA Stations December 2016'!$A:$G,5,0)</f>
        <v>0</v>
      </c>
      <c r="E174" s="76">
        <f>VLOOKUP($A174,'SMEPA Stations December 2016'!$A:$G,6,0)</f>
        <v>0</v>
      </c>
      <c r="F174" s="76">
        <f>VLOOKUP($A174,'SMEPA Stations December 2016'!$A:$G,7,0)</f>
        <v>15413.74</v>
      </c>
      <c r="G174" s="75">
        <f t="shared" si="63"/>
        <v>15413.74</v>
      </c>
      <c r="H174" s="65"/>
      <c r="I174" s="73">
        <f t="shared" si="64"/>
        <v>15413.74</v>
      </c>
    </row>
    <row r="175" spans="1:9" s="69" customFormat="1" ht="15" customHeight="1">
      <c r="A175" s="65" t="s">
        <v>307</v>
      </c>
      <c r="B175" s="72" t="s">
        <v>306</v>
      </c>
      <c r="C175" s="72" t="s">
        <v>186</v>
      </c>
      <c r="D175" s="76">
        <f>VLOOKUP($A175,'SMEPA Stations December 2016'!$A:$G,5,0)</f>
        <v>0</v>
      </c>
      <c r="E175" s="76">
        <f>VLOOKUP($A175,'SMEPA Stations December 2016'!$A:$G,6,0)</f>
        <v>185598.23</v>
      </c>
      <c r="F175" s="76">
        <f>VLOOKUP($A175,'SMEPA Stations December 2016'!$A:$G,7,0)</f>
        <v>130634.03</v>
      </c>
      <c r="G175" s="75">
        <f t="shared" si="63"/>
        <v>316232.26</v>
      </c>
      <c r="H175" s="73">
        <f>G175</f>
        <v>316232.26</v>
      </c>
      <c r="I175" s="73">
        <f t="shared" si="64"/>
        <v>0</v>
      </c>
    </row>
    <row r="176" spans="1:9" s="69" customFormat="1" ht="15" customHeight="1">
      <c r="A176" s="65" t="s">
        <v>295</v>
      </c>
      <c r="B176" s="72" t="s">
        <v>294</v>
      </c>
      <c r="C176" s="72" t="s">
        <v>186</v>
      </c>
      <c r="D176" s="76">
        <f>VLOOKUP($A176,'SMEPA Stations December 2016'!$A:$G,5,0)</f>
        <v>0</v>
      </c>
      <c r="E176" s="76">
        <f>VLOOKUP($A176,'SMEPA Stations December 2016'!$A:$G,6,0)</f>
        <v>0</v>
      </c>
      <c r="F176" s="76">
        <f>VLOOKUP($A176,'SMEPA Stations December 2016'!$A:$G,7,0)</f>
        <v>10357.370000000001</v>
      </c>
      <c r="G176" s="75">
        <f t="shared" si="63"/>
        <v>10357.370000000001</v>
      </c>
      <c r="H176" s="65"/>
      <c r="I176" s="73">
        <f t="shared" si="64"/>
        <v>10357.370000000001</v>
      </c>
    </row>
    <row r="177" spans="1:9" s="69" customFormat="1" ht="15" customHeight="1">
      <c r="A177" s="65" t="s">
        <v>289</v>
      </c>
      <c r="B177" s="72" t="s">
        <v>288</v>
      </c>
      <c r="C177" s="72" t="s">
        <v>186</v>
      </c>
      <c r="D177" s="76">
        <f>VLOOKUP($A177,'SMEPA Stations December 2016'!$A:$G,5,0)</f>
        <v>0</v>
      </c>
      <c r="E177" s="76">
        <f>VLOOKUP($A177,'SMEPA Stations December 2016'!$A:$G,6,0)</f>
        <v>0</v>
      </c>
      <c r="F177" s="76">
        <f>VLOOKUP($A177,'SMEPA Stations December 2016'!$A:$G,7,0)</f>
        <v>26089.34</v>
      </c>
      <c r="G177" s="75">
        <f t="shared" si="63"/>
        <v>26089.34</v>
      </c>
      <c r="H177" s="65"/>
      <c r="I177" s="73">
        <f t="shared" si="64"/>
        <v>26089.34</v>
      </c>
    </row>
    <row r="178" spans="1:9" s="69" customFormat="1" ht="15" customHeight="1">
      <c r="A178" s="65" t="s">
        <v>283</v>
      </c>
      <c r="B178" s="72" t="s">
        <v>282</v>
      </c>
      <c r="C178" s="72" t="s">
        <v>186</v>
      </c>
      <c r="D178" s="76">
        <f>VLOOKUP($A178,'SMEPA Stations December 2016'!$A:$G,5,0)</f>
        <v>0</v>
      </c>
      <c r="E178" s="76">
        <f>VLOOKUP($A178,'SMEPA Stations December 2016'!$A:$G,6,0)</f>
        <v>0</v>
      </c>
      <c r="F178" s="76">
        <f>VLOOKUP($A178,'SMEPA Stations December 2016'!$A:$G,7,0)</f>
        <v>160843.42000000001</v>
      </c>
      <c r="G178" s="75">
        <f t="shared" si="63"/>
        <v>160843.42000000001</v>
      </c>
      <c r="H178" s="73">
        <f>G178-15626.48</f>
        <v>145216.94</v>
      </c>
      <c r="I178" s="73">
        <f t="shared" si="64"/>
        <v>15626.48000000001</v>
      </c>
    </row>
    <row r="179" spans="1:9" s="69" customFormat="1" ht="15" customHeight="1">
      <c r="A179" s="65" t="s">
        <v>1099</v>
      </c>
      <c r="B179" s="72" t="s">
        <v>1106</v>
      </c>
      <c r="C179" s="72" t="s">
        <v>186</v>
      </c>
      <c r="D179" s="76">
        <f>VLOOKUP($A179,'SMEPA Stations December 2016'!$A:$G,5,0)</f>
        <v>0</v>
      </c>
      <c r="E179" s="76">
        <f>VLOOKUP($A179,'SMEPA Stations December 2016'!$A:$G,6,0)</f>
        <v>0</v>
      </c>
      <c r="F179" s="76">
        <f>VLOOKUP($A179,'SMEPA Stations December 2016'!$A:$G,7,0)</f>
        <v>0</v>
      </c>
      <c r="G179" s="75">
        <f t="shared" ref="G179" si="67">SUM(D179:F179)</f>
        <v>0</v>
      </c>
      <c r="H179" s="65"/>
      <c r="I179" s="73">
        <f t="shared" ref="I179" si="68">+G179-H179</f>
        <v>0</v>
      </c>
    </row>
    <row r="180" spans="1:9" s="69" customFormat="1" ht="15" customHeight="1">
      <c r="A180" s="65" t="s">
        <v>281</v>
      </c>
      <c r="B180" s="72" t="s">
        <v>280</v>
      </c>
      <c r="C180" s="72" t="s">
        <v>186</v>
      </c>
      <c r="D180" s="76">
        <f>VLOOKUP($A180,'SMEPA Stations December 2016'!$A:$G,5,0)</f>
        <v>0</v>
      </c>
      <c r="E180" s="76">
        <f>VLOOKUP($A180,'SMEPA Stations December 2016'!$A:$G,6,0)</f>
        <v>0</v>
      </c>
      <c r="F180" s="76">
        <f>VLOOKUP($A180,'SMEPA Stations December 2016'!$A:$G,7,0)</f>
        <v>14707.28</v>
      </c>
      <c r="G180" s="75">
        <f t="shared" si="63"/>
        <v>14707.28</v>
      </c>
      <c r="H180" s="65"/>
      <c r="I180" s="73">
        <f t="shared" si="64"/>
        <v>14707.28</v>
      </c>
    </row>
    <row r="181" spans="1:9" s="69" customFormat="1" ht="15" customHeight="1">
      <c r="A181" s="65" t="s">
        <v>767</v>
      </c>
      <c r="B181" s="72" t="s">
        <v>766</v>
      </c>
      <c r="C181" s="72" t="s">
        <v>184</v>
      </c>
      <c r="D181" s="76">
        <f>VLOOKUP($A181,'SMEPA Stations December 2016'!$A:$G,5,0)</f>
        <v>0</v>
      </c>
      <c r="E181" s="76">
        <f>VLOOKUP($A181,'SMEPA Stations December 2016'!$A:$G,6,0)</f>
        <v>95025.65</v>
      </c>
      <c r="F181" s="76">
        <f>VLOOKUP($A181,'SMEPA Stations December 2016'!$A:$G,7,0)</f>
        <v>324675.78999999998</v>
      </c>
      <c r="G181" s="75">
        <f t="shared" si="63"/>
        <v>419701.43999999994</v>
      </c>
      <c r="H181" s="65"/>
      <c r="I181" s="73">
        <f t="shared" si="64"/>
        <v>419701.43999999994</v>
      </c>
    </row>
    <row r="182" spans="1:9" s="69" customFormat="1" ht="15" customHeight="1">
      <c r="A182" s="65" t="s">
        <v>702</v>
      </c>
      <c r="B182" s="72" t="s">
        <v>701</v>
      </c>
      <c r="C182" s="72" t="s">
        <v>184</v>
      </c>
      <c r="D182" s="76">
        <f>VLOOKUP($A182,'SMEPA Stations December 2016'!$A:$G,5,0)</f>
        <v>0</v>
      </c>
      <c r="E182" s="76">
        <f>VLOOKUP($A182,'SMEPA Stations December 2016'!$A:$G,6,0)</f>
        <v>0</v>
      </c>
      <c r="F182" s="76">
        <f>VLOOKUP($A182,'SMEPA Stations December 2016'!$A:$G,7,0)</f>
        <v>0</v>
      </c>
      <c r="G182" s="75">
        <f t="shared" si="63"/>
        <v>0</v>
      </c>
      <c r="H182" s="65"/>
      <c r="I182" s="73">
        <f t="shared" si="64"/>
        <v>0</v>
      </c>
    </row>
    <row r="183" spans="1:9" s="69" customFormat="1" ht="15" customHeight="1">
      <c r="A183" s="65" t="s">
        <v>674</v>
      </c>
      <c r="B183" s="72" t="s">
        <v>673</v>
      </c>
      <c r="C183" s="72" t="s">
        <v>184</v>
      </c>
      <c r="D183" s="76">
        <f>VLOOKUP($A183,'SMEPA Stations December 2016'!$A:$G,5,0)</f>
        <v>0</v>
      </c>
      <c r="E183" s="76">
        <f>VLOOKUP($A183,'SMEPA Stations December 2016'!$A:$G,6,0)</f>
        <v>265844.59999999998</v>
      </c>
      <c r="F183" s="76">
        <f>VLOOKUP($A183,'SMEPA Stations December 2016'!$A:$G,7,0)</f>
        <v>381946.72</v>
      </c>
      <c r="G183" s="75">
        <f t="shared" si="63"/>
        <v>647791.31999999995</v>
      </c>
      <c r="H183" s="65"/>
      <c r="I183" s="73">
        <f t="shared" si="64"/>
        <v>647791.31999999995</v>
      </c>
    </row>
    <row r="184" spans="1:9" s="69" customFormat="1" ht="15" customHeight="1">
      <c r="A184" s="65" t="s">
        <v>642</v>
      </c>
      <c r="B184" s="72" t="s">
        <v>641</v>
      </c>
      <c r="C184" s="72" t="s">
        <v>184</v>
      </c>
      <c r="D184" s="76">
        <f>VLOOKUP($A184,'SMEPA Stations December 2016'!$A:$G,5,0)</f>
        <v>12341.21</v>
      </c>
      <c r="E184" s="76">
        <f>VLOOKUP($A184,'SMEPA Stations December 2016'!$A:$G,6,0)</f>
        <v>0</v>
      </c>
      <c r="F184" s="76">
        <f>VLOOKUP($A184,'SMEPA Stations December 2016'!$A:$G,7,0)</f>
        <v>0</v>
      </c>
      <c r="G184" s="75">
        <f t="shared" si="63"/>
        <v>12341.21</v>
      </c>
      <c r="H184" s="65"/>
      <c r="I184" s="73">
        <f t="shared" si="64"/>
        <v>12341.21</v>
      </c>
    </row>
    <row r="185" spans="1:9" s="69" customFormat="1" ht="15" customHeight="1">
      <c r="A185" s="65" t="s">
        <v>575</v>
      </c>
      <c r="B185" s="72" t="s">
        <v>574</v>
      </c>
      <c r="C185" s="72" t="s">
        <v>184</v>
      </c>
      <c r="D185" s="76">
        <f>VLOOKUP($A185,'SMEPA Stations December 2016'!$A:$G,5,0)</f>
        <v>0</v>
      </c>
      <c r="E185" s="76">
        <f>VLOOKUP($A185,'SMEPA Stations December 2016'!$A:$G,6,0)</f>
        <v>198371.88</v>
      </c>
      <c r="F185" s="76">
        <f>VLOOKUP($A185,'SMEPA Stations December 2016'!$A:$G,7,0)</f>
        <v>455302.48</v>
      </c>
      <c r="G185" s="75">
        <f t="shared" si="63"/>
        <v>653674.36</v>
      </c>
      <c r="H185" s="65"/>
      <c r="I185" s="73">
        <f t="shared" si="64"/>
        <v>653674.36</v>
      </c>
    </row>
    <row r="186" spans="1:9" s="69" customFormat="1" ht="15" customHeight="1">
      <c r="A186" s="65" t="s">
        <v>535</v>
      </c>
      <c r="B186" s="72" t="s">
        <v>534</v>
      </c>
      <c r="C186" s="72" t="s">
        <v>184</v>
      </c>
      <c r="D186" s="76">
        <f>VLOOKUP($A186,'SMEPA Stations December 2016'!$A:$G,5,0)</f>
        <v>0</v>
      </c>
      <c r="E186" s="76">
        <f>VLOOKUP($A186,'SMEPA Stations December 2016'!$A:$G,6,0)</f>
        <v>0</v>
      </c>
      <c r="F186" s="76">
        <f>VLOOKUP($A186,'SMEPA Stations December 2016'!$A:$G,7,0)</f>
        <v>0</v>
      </c>
      <c r="G186" s="75">
        <f t="shared" si="63"/>
        <v>0</v>
      </c>
      <c r="H186" s="65"/>
      <c r="I186" s="73">
        <f t="shared" si="64"/>
        <v>0</v>
      </c>
    </row>
    <row r="187" spans="1:9" s="69" customFormat="1" ht="15" customHeight="1">
      <c r="A187" s="65" t="s">
        <v>515</v>
      </c>
      <c r="B187" s="72" t="s">
        <v>514</v>
      </c>
      <c r="C187" s="72" t="s">
        <v>184</v>
      </c>
      <c r="D187" s="76">
        <f>VLOOKUP($A187,'SMEPA Stations December 2016'!$A:$G,5,0)</f>
        <v>0</v>
      </c>
      <c r="E187" s="76">
        <f>VLOOKUP($A187,'SMEPA Stations December 2016'!$A:$G,6,0)</f>
        <v>171732.99</v>
      </c>
      <c r="F187" s="76">
        <f>VLOOKUP($A187,'SMEPA Stations December 2016'!$A:$G,7,0)</f>
        <v>409091.91</v>
      </c>
      <c r="G187" s="75">
        <f t="shared" si="63"/>
        <v>580824.89999999991</v>
      </c>
      <c r="H187" s="65"/>
      <c r="I187" s="73">
        <f t="shared" si="64"/>
        <v>580824.89999999991</v>
      </c>
    </row>
    <row r="188" spans="1:9" s="69" customFormat="1" ht="15" customHeight="1">
      <c r="A188" s="65" t="s">
        <v>413</v>
      </c>
      <c r="B188" s="72" t="s">
        <v>412</v>
      </c>
      <c r="C188" s="72" t="s">
        <v>184</v>
      </c>
      <c r="D188" s="76">
        <f>VLOOKUP($A188,'SMEPA Stations December 2016'!$A:$G,5,0)</f>
        <v>0</v>
      </c>
      <c r="E188" s="76">
        <f>VLOOKUP($A188,'SMEPA Stations December 2016'!$A:$G,6,0)</f>
        <v>0</v>
      </c>
      <c r="F188" s="76">
        <f>VLOOKUP($A188,'SMEPA Stations December 2016'!$A:$G,7,0)</f>
        <v>0</v>
      </c>
      <c r="G188" s="75">
        <f t="shared" si="63"/>
        <v>0</v>
      </c>
      <c r="H188" s="65"/>
      <c r="I188" s="73">
        <f t="shared" si="64"/>
        <v>0</v>
      </c>
    </row>
    <row r="189" spans="1:9" s="69" customFormat="1" ht="15" customHeight="1">
      <c r="A189" s="65" t="s">
        <v>383</v>
      </c>
      <c r="B189" s="72" t="s">
        <v>382</v>
      </c>
      <c r="C189" s="72" t="s">
        <v>184</v>
      </c>
      <c r="D189" s="76">
        <f>VLOOKUP($A189,'SMEPA Stations December 2016'!$A:$G,5,0)</f>
        <v>0</v>
      </c>
      <c r="E189" s="76">
        <f>VLOOKUP($A189,'SMEPA Stations December 2016'!$A:$G,6,0)</f>
        <v>0</v>
      </c>
      <c r="F189" s="76">
        <f>VLOOKUP($A189,'SMEPA Stations December 2016'!$A:$G,7,0)</f>
        <v>0</v>
      </c>
      <c r="G189" s="75">
        <f t="shared" si="63"/>
        <v>0</v>
      </c>
      <c r="H189" s="65"/>
      <c r="I189" s="73">
        <f t="shared" si="64"/>
        <v>0</v>
      </c>
    </row>
    <row r="190" spans="1:9" s="69" customFormat="1" ht="15" customHeight="1">
      <c r="A190" s="65" t="s">
        <v>1154</v>
      </c>
      <c r="B190" s="72" t="s">
        <v>1155</v>
      </c>
      <c r="C190" s="72" t="s">
        <v>184</v>
      </c>
      <c r="D190" s="76">
        <f>VLOOKUP($A190,'SMEPA Stations December 2016'!$A:$G,5,0)</f>
        <v>0</v>
      </c>
      <c r="E190" s="76">
        <f>VLOOKUP($A190,'SMEPA Stations December 2016'!$A:$G,6,0)</f>
        <v>0</v>
      </c>
      <c r="F190" s="76">
        <f>VLOOKUP($A190,'SMEPA Stations December 2016'!$A:$G,7,0)</f>
        <v>33015.269999999997</v>
      </c>
      <c r="G190" s="75">
        <f t="shared" si="63"/>
        <v>33015.269999999997</v>
      </c>
      <c r="H190" s="65"/>
      <c r="I190" s="73">
        <v>33015.269999999997</v>
      </c>
    </row>
    <row r="191" spans="1:9" s="69" customFormat="1" ht="15" customHeight="1">
      <c r="A191" s="65" t="s">
        <v>313</v>
      </c>
      <c r="B191" s="72" t="s">
        <v>312</v>
      </c>
      <c r="C191" s="72" t="s">
        <v>184</v>
      </c>
      <c r="D191" s="76">
        <f>VLOOKUP($A191,'SMEPA Stations December 2016'!$A:$G,5,0)</f>
        <v>0</v>
      </c>
      <c r="E191" s="76">
        <f>VLOOKUP($A191,'SMEPA Stations December 2016'!$A:$G,6,0)</f>
        <v>0</v>
      </c>
      <c r="F191" s="76">
        <f>VLOOKUP($A191,'SMEPA Stations December 2016'!$A:$G,7,0)</f>
        <v>0</v>
      </c>
      <c r="G191" s="75">
        <f t="shared" si="63"/>
        <v>0</v>
      </c>
      <c r="H191" s="65"/>
      <c r="I191" s="73">
        <f t="shared" si="64"/>
        <v>0</v>
      </c>
    </row>
    <row r="192" spans="1:9" s="69" customFormat="1" ht="15" customHeight="1">
      <c r="A192" s="65" t="s">
        <v>857</v>
      </c>
      <c r="B192" s="72" t="s">
        <v>856</v>
      </c>
      <c r="C192" s="72" t="s">
        <v>890</v>
      </c>
      <c r="D192" s="76">
        <f>VLOOKUP($A192,'SMEPA Stations December 2016'!$A:$G,5,0)</f>
        <v>45740.63</v>
      </c>
      <c r="E192" s="76">
        <f>VLOOKUP($A192,'SMEPA Stations December 2016'!$A:$G,6,0)</f>
        <v>708367.27</v>
      </c>
      <c r="F192" s="76">
        <f>VLOOKUP($A192,'SMEPA Stations December 2016'!$A:$G,7,0)</f>
        <v>282686.58</v>
      </c>
      <c r="G192" s="75">
        <f t="shared" si="63"/>
        <v>1036794.48</v>
      </c>
      <c r="H192" s="65"/>
      <c r="I192" s="73">
        <f t="shared" si="64"/>
        <v>1036794.48</v>
      </c>
    </row>
    <row r="193" spans="1:9" s="69" customFormat="1" ht="15" customHeight="1">
      <c r="A193" s="65" t="s">
        <v>795</v>
      </c>
      <c r="B193" s="72" t="s">
        <v>794</v>
      </c>
      <c r="C193" s="72" t="s">
        <v>890</v>
      </c>
      <c r="D193" s="76">
        <f>VLOOKUP($A193,'SMEPA Stations December 2016'!$A:$G,5,0)</f>
        <v>0</v>
      </c>
      <c r="E193" s="76">
        <f>VLOOKUP($A193,'SMEPA Stations December 2016'!$A:$G,6,0)</f>
        <v>0</v>
      </c>
      <c r="F193" s="76">
        <f>VLOOKUP($A193,'SMEPA Stations December 2016'!$A:$G,7,0)</f>
        <v>10131.82</v>
      </c>
      <c r="G193" s="75">
        <f t="shared" si="63"/>
        <v>10131.82</v>
      </c>
      <c r="H193" s="65"/>
      <c r="I193" s="73">
        <f t="shared" si="64"/>
        <v>10131.82</v>
      </c>
    </row>
    <row r="194" spans="1:9" s="69" customFormat="1" ht="15" customHeight="1">
      <c r="A194" s="65" t="s">
        <v>757</v>
      </c>
      <c r="B194" s="72" t="s">
        <v>142</v>
      </c>
      <c r="C194" s="72" t="s">
        <v>890</v>
      </c>
      <c r="D194" s="76">
        <f>VLOOKUP($A194,'SMEPA Stations December 2016'!$A:$G,5,0)</f>
        <v>0</v>
      </c>
      <c r="E194" s="76">
        <f>VLOOKUP($A194,'SMEPA Stations December 2016'!$A:$G,6,0)</f>
        <v>0</v>
      </c>
      <c r="F194" s="76">
        <f>VLOOKUP($A194,'SMEPA Stations December 2016'!$A:$G,7,0)</f>
        <v>7218.89</v>
      </c>
      <c r="G194" s="75">
        <f t="shared" si="63"/>
        <v>7218.89</v>
      </c>
      <c r="H194" s="65"/>
      <c r="I194" s="73">
        <f t="shared" si="64"/>
        <v>7218.89</v>
      </c>
    </row>
    <row r="195" spans="1:9" s="69" customFormat="1" ht="15" customHeight="1">
      <c r="A195" s="65" t="s">
        <v>694</v>
      </c>
      <c r="B195" s="72" t="s">
        <v>693</v>
      </c>
      <c r="C195" s="72" t="s">
        <v>890</v>
      </c>
      <c r="D195" s="76">
        <f>VLOOKUP($A195,'SMEPA Stations December 2016'!$A:$G,5,0)</f>
        <v>0</v>
      </c>
      <c r="E195" s="76">
        <f>VLOOKUP($A195,'SMEPA Stations December 2016'!$A:$G,6,0)</f>
        <v>0</v>
      </c>
      <c r="F195" s="76">
        <f>VLOOKUP($A195,'SMEPA Stations December 2016'!$A:$G,7,0)</f>
        <v>34220.129999999997</v>
      </c>
      <c r="G195" s="75">
        <f t="shared" si="63"/>
        <v>34220.129999999997</v>
      </c>
      <c r="H195" s="65"/>
      <c r="I195" s="73">
        <f t="shared" si="64"/>
        <v>34220.129999999997</v>
      </c>
    </row>
    <row r="196" spans="1:9" s="69" customFormat="1" ht="15" customHeight="1">
      <c r="A196" s="65" t="s">
        <v>688</v>
      </c>
      <c r="B196" s="72" t="s">
        <v>687</v>
      </c>
      <c r="C196" s="72" t="s">
        <v>890</v>
      </c>
      <c r="D196" s="76">
        <f>VLOOKUP($A196,'SMEPA Stations December 2016'!$A:$G,5,0)</f>
        <v>0</v>
      </c>
      <c r="E196" s="76">
        <f>VLOOKUP($A196,'SMEPA Stations December 2016'!$A:$G,6,0)</f>
        <v>0</v>
      </c>
      <c r="F196" s="76">
        <f>VLOOKUP($A196,'SMEPA Stations December 2016'!$A:$G,7,0)</f>
        <v>11294.28</v>
      </c>
      <c r="G196" s="75">
        <f t="shared" si="63"/>
        <v>11294.28</v>
      </c>
      <c r="H196" s="65"/>
      <c r="I196" s="73">
        <f t="shared" si="64"/>
        <v>11294.28</v>
      </c>
    </row>
    <row r="197" spans="1:9" s="69" customFormat="1" ht="15" customHeight="1">
      <c r="A197" s="65" t="s">
        <v>660</v>
      </c>
      <c r="B197" s="72" t="s">
        <v>659</v>
      </c>
      <c r="C197" s="72" t="s">
        <v>890</v>
      </c>
      <c r="D197" s="76">
        <f>VLOOKUP($A197,'SMEPA Stations December 2016'!$A:$G,5,0)</f>
        <v>0</v>
      </c>
      <c r="E197" s="76">
        <f>VLOOKUP($A197,'SMEPA Stations December 2016'!$A:$G,6,0)</f>
        <v>0</v>
      </c>
      <c r="F197" s="76">
        <f>VLOOKUP($A197,'SMEPA Stations December 2016'!$A:$G,7,0)</f>
        <v>8786.86</v>
      </c>
      <c r="G197" s="75">
        <f t="shared" si="63"/>
        <v>8786.86</v>
      </c>
      <c r="H197" s="65"/>
      <c r="I197" s="73">
        <f t="shared" si="64"/>
        <v>8786.86</v>
      </c>
    </row>
    <row r="198" spans="1:9" s="69" customFormat="1" ht="15" customHeight="1">
      <c r="A198" s="65" t="s">
        <v>644</v>
      </c>
      <c r="B198" s="72" t="s">
        <v>643</v>
      </c>
      <c r="C198" s="72" t="s">
        <v>890</v>
      </c>
      <c r="D198" s="76">
        <f>VLOOKUP($A198,'SMEPA Stations December 2016'!$A:$G,5,0)</f>
        <v>0</v>
      </c>
      <c r="E198" s="76">
        <f>VLOOKUP($A198,'SMEPA Stations December 2016'!$A:$G,6,0)</f>
        <v>0</v>
      </c>
      <c r="F198" s="76">
        <f>VLOOKUP($A198,'SMEPA Stations December 2016'!$A:$G,7,0)</f>
        <v>12910.53</v>
      </c>
      <c r="G198" s="75">
        <f t="shared" si="63"/>
        <v>12910.53</v>
      </c>
      <c r="H198" s="65"/>
      <c r="I198" s="73">
        <f t="shared" si="64"/>
        <v>12910.53</v>
      </c>
    </row>
    <row r="199" spans="1:9" s="69" customFormat="1" ht="15" customHeight="1">
      <c r="A199" s="65" t="s">
        <v>618</v>
      </c>
      <c r="B199" s="72" t="s">
        <v>617</v>
      </c>
      <c r="C199" s="72" t="s">
        <v>890</v>
      </c>
      <c r="D199" s="76">
        <f>VLOOKUP($A199,'SMEPA Stations December 2016'!$A:$G,5,0)</f>
        <v>0</v>
      </c>
      <c r="E199" s="76">
        <f>VLOOKUP($A199,'SMEPA Stations December 2016'!$A:$G,6,0)</f>
        <v>0</v>
      </c>
      <c r="F199" s="76">
        <f>VLOOKUP($A199,'SMEPA Stations December 2016'!$A:$G,7,0)</f>
        <v>36279.269999999997</v>
      </c>
      <c r="G199" s="75">
        <f t="shared" si="63"/>
        <v>36279.269999999997</v>
      </c>
      <c r="H199" s="65"/>
      <c r="I199" s="73">
        <f t="shared" si="64"/>
        <v>36279.269999999997</v>
      </c>
    </row>
    <row r="200" spans="1:9" s="69" customFormat="1" ht="15" customHeight="1">
      <c r="A200" s="65" t="s">
        <v>559</v>
      </c>
      <c r="B200" s="72" t="s">
        <v>558</v>
      </c>
      <c r="C200" s="72" t="s">
        <v>890</v>
      </c>
      <c r="D200" s="76">
        <f>VLOOKUP($A200,'SMEPA Stations December 2016'!$A:$G,5,0)</f>
        <v>0</v>
      </c>
      <c r="E200" s="76">
        <f>VLOOKUP($A200,'SMEPA Stations December 2016'!$A:$G,6,0)</f>
        <v>0</v>
      </c>
      <c r="F200" s="76">
        <f>VLOOKUP($A200,'SMEPA Stations December 2016'!$A:$G,7,0)</f>
        <v>11019.44</v>
      </c>
      <c r="G200" s="75">
        <f t="shared" si="63"/>
        <v>11019.44</v>
      </c>
      <c r="H200" s="65"/>
      <c r="I200" s="73">
        <f t="shared" si="64"/>
        <v>11019.44</v>
      </c>
    </row>
    <row r="201" spans="1:9" s="69" customFormat="1" ht="15" customHeight="1">
      <c r="A201" s="65" t="s">
        <v>543</v>
      </c>
      <c r="B201" s="72" t="s">
        <v>542</v>
      </c>
      <c r="C201" s="72" t="s">
        <v>890</v>
      </c>
      <c r="D201" s="76">
        <f>VLOOKUP($A201,'SMEPA Stations December 2016'!$A:$G,5,0)</f>
        <v>0</v>
      </c>
      <c r="E201" s="76">
        <f>VLOOKUP($A201,'SMEPA Stations December 2016'!$A:$G,6,0)</f>
        <v>0</v>
      </c>
      <c r="F201" s="76">
        <f>VLOOKUP($A201,'SMEPA Stations December 2016'!$A:$G,7,0)</f>
        <v>10283</v>
      </c>
      <c r="G201" s="75">
        <f t="shared" si="63"/>
        <v>10283</v>
      </c>
      <c r="H201" s="65"/>
      <c r="I201" s="73">
        <f t="shared" si="64"/>
        <v>10283</v>
      </c>
    </row>
    <row r="202" spans="1:9" s="69" customFormat="1" ht="15" customHeight="1">
      <c r="A202" s="65" t="s">
        <v>533</v>
      </c>
      <c r="B202" s="72" t="s">
        <v>532</v>
      </c>
      <c r="C202" s="72" t="s">
        <v>890</v>
      </c>
      <c r="D202" s="76">
        <f>VLOOKUP($A202,'SMEPA Stations December 2016'!$A:$G,5,0)</f>
        <v>0</v>
      </c>
      <c r="E202" s="76">
        <f>VLOOKUP($A202,'SMEPA Stations December 2016'!$A:$G,6,0)</f>
        <v>0</v>
      </c>
      <c r="F202" s="76">
        <f>VLOOKUP($A202,'SMEPA Stations December 2016'!$A:$G,7,0)</f>
        <v>8459.2099999999991</v>
      </c>
      <c r="G202" s="75">
        <f t="shared" si="63"/>
        <v>8459.2099999999991</v>
      </c>
      <c r="H202" s="65"/>
      <c r="I202" s="73">
        <f t="shared" si="64"/>
        <v>8459.2099999999991</v>
      </c>
    </row>
    <row r="203" spans="1:9" s="69" customFormat="1" ht="15" customHeight="1">
      <c r="A203" s="65" t="s">
        <v>525</v>
      </c>
      <c r="B203" s="72" t="s">
        <v>524</v>
      </c>
      <c r="C203" s="72" t="s">
        <v>890</v>
      </c>
      <c r="D203" s="76">
        <f>VLOOKUP($A203,'SMEPA Stations December 2016'!$A:$G,5,0)</f>
        <v>0</v>
      </c>
      <c r="E203" s="76">
        <f>VLOOKUP($A203,'SMEPA Stations December 2016'!$A:$G,6,0)</f>
        <v>0</v>
      </c>
      <c r="F203" s="76">
        <f>VLOOKUP($A203,'SMEPA Stations December 2016'!$A:$G,7,0)</f>
        <v>9004.33</v>
      </c>
      <c r="G203" s="75">
        <f t="shared" si="63"/>
        <v>9004.33</v>
      </c>
      <c r="H203" s="65"/>
      <c r="I203" s="73">
        <f t="shared" si="64"/>
        <v>9004.33</v>
      </c>
    </row>
    <row r="204" spans="1:9" s="69" customFormat="1" ht="15" customHeight="1">
      <c r="A204" s="65" t="s">
        <v>391</v>
      </c>
      <c r="B204" s="72" t="s">
        <v>390</v>
      </c>
      <c r="C204" s="72" t="s">
        <v>890</v>
      </c>
      <c r="D204" s="76">
        <f>VLOOKUP($A204,'SMEPA Stations December 2016'!$A:$G,5,0)</f>
        <v>0</v>
      </c>
      <c r="E204" s="76">
        <f>VLOOKUP($A204,'SMEPA Stations December 2016'!$A:$G,6,0)</f>
        <v>0</v>
      </c>
      <c r="F204" s="76">
        <f>VLOOKUP($A204,'SMEPA Stations December 2016'!$A:$G,7,0)</f>
        <v>9251.92</v>
      </c>
      <c r="G204" s="75">
        <f t="shared" si="63"/>
        <v>9251.92</v>
      </c>
      <c r="H204" s="65"/>
      <c r="I204" s="73">
        <f t="shared" si="64"/>
        <v>9251.92</v>
      </c>
    </row>
    <row r="205" spans="1:9" s="69" customFormat="1" ht="15" customHeight="1">
      <c r="A205" s="65" t="s">
        <v>1093</v>
      </c>
      <c r="B205" s="72" t="s">
        <v>1094</v>
      </c>
      <c r="C205" s="72" t="s">
        <v>890</v>
      </c>
      <c r="D205" s="76">
        <f>VLOOKUP($A205,'SMEPA Stations December 2016'!$A:$G,5,0)</f>
        <v>0</v>
      </c>
      <c r="E205" s="76">
        <f>VLOOKUP($A205,'SMEPA Stations December 2016'!$A:$G,6,0)</f>
        <v>0</v>
      </c>
      <c r="F205" s="76">
        <f>VLOOKUP($A205,'SMEPA Stations December 2016'!$A:$G,7,0)</f>
        <v>27448.5</v>
      </c>
      <c r="G205" s="75">
        <f t="shared" ref="G205" si="69">SUM(D205:F205)</f>
        <v>27448.5</v>
      </c>
      <c r="H205" s="65"/>
      <c r="I205" s="73">
        <f t="shared" ref="I205" si="70">+G205-H205</f>
        <v>27448.5</v>
      </c>
    </row>
    <row r="206" spans="1:9" s="236" customFormat="1" ht="15" customHeight="1">
      <c r="A206" s="232" t="s">
        <v>861</v>
      </c>
      <c r="B206" s="233" t="s">
        <v>860</v>
      </c>
      <c r="C206" s="233" t="s">
        <v>183</v>
      </c>
      <c r="D206" s="252">
        <f>VLOOKUP($A206,'SMEPA Stations December 2016'!$A:$G,5,0)</f>
        <v>6071.69</v>
      </c>
      <c r="E206" s="252">
        <f>VLOOKUP($A206,'SMEPA Stations December 2016'!$A:$G,6,0)</f>
        <v>257659.63</v>
      </c>
      <c r="F206" s="252">
        <f>VLOOKUP($A206,'SMEPA Stations December 2016'!$A:$G,7,0)</f>
        <v>267741.21999999997</v>
      </c>
      <c r="G206" s="234">
        <f t="shared" si="63"/>
        <v>531472.54</v>
      </c>
      <c r="H206" s="300">
        <f>G206-18332.14</f>
        <v>513140.4</v>
      </c>
      <c r="I206" s="235">
        <f t="shared" si="64"/>
        <v>18332.140000000014</v>
      </c>
    </row>
    <row r="207" spans="1:9" s="448" customFormat="1" ht="15" customHeight="1">
      <c r="A207" s="382" t="s">
        <v>843</v>
      </c>
      <c r="B207" s="383" t="s">
        <v>945</v>
      </c>
      <c r="C207" s="383" t="s">
        <v>183</v>
      </c>
      <c r="D207" s="445">
        <f>VLOOKUP($A207,'SMEPA Stations December 2016'!$A:$G,5,0)</f>
        <v>0</v>
      </c>
      <c r="E207" s="445">
        <v>0</v>
      </c>
      <c r="F207" s="445">
        <v>0</v>
      </c>
      <c r="G207" s="446">
        <f t="shared" si="63"/>
        <v>0</v>
      </c>
      <c r="H207" s="382"/>
      <c r="I207" s="447">
        <f t="shared" si="64"/>
        <v>0</v>
      </c>
    </row>
    <row r="208" spans="1:9" s="69" customFormat="1" ht="15" customHeight="1">
      <c r="A208" s="65" t="s">
        <v>841</v>
      </c>
      <c r="B208" s="72" t="s">
        <v>840</v>
      </c>
      <c r="C208" s="72" t="s">
        <v>183</v>
      </c>
      <c r="D208" s="76">
        <f>VLOOKUP($A208,'SMEPA Stations December 2016'!$A:$G,5,0)</f>
        <v>0</v>
      </c>
      <c r="E208" s="76">
        <f>VLOOKUP($A208,'SMEPA Stations December 2016'!$A:$G,6,0)</f>
        <v>0</v>
      </c>
      <c r="F208" s="76">
        <f>VLOOKUP($A208,'SMEPA Stations December 2016'!$A:$G,7,0)</f>
        <v>11733.99</v>
      </c>
      <c r="G208" s="75">
        <f t="shared" si="63"/>
        <v>11733.99</v>
      </c>
      <c r="H208" s="65"/>
      <c r="I208" s="73">
        <f t="shared" si="64"/>
        <v>11733.99</v>
      </c>
    </row>
    <row r="209" spans="1:9" s="69" customFormat="1" ht="15" customHeight="1">
      <c r="A209" s="65" t="s">
        <v>839</v>
      </c>
      <c r="B209" s="72" t="s">
        <v>838</v>
      </c>
      <c r="C209" s="72" t="s">
        <v>183</v>
      </c>
      <c r="D209" s="76">
        <f>VLOOKUP($A209,'SMEPA Stations December 2016'!$A:$G,5,0)</f>
        <v>0</v>
      </c>
      <c r="E209" s="76">
        <f>VLOOKUP($A209,'SMEPA Stations December 2016'!$A:$G,6,0)</f>
        <v>0</v>
      </c>
      <c r="F209" s="76">
        <f>VLOOKUP($A209,'SMEPA Stations December 2016'!$A:$G,7,0)</f>
        <v>12087.82</v>
      </c>
      <c r="G209" s="75">
        <f t="shared" si="63"/>
        <v>12087.82</v>
      </c>
      <c r="H209" s="65"/>
      <c r="I209" s="73">
        <f t="shared" si="64"/>
        <v>12087.82</v>
      </c>
    </row>
    <row r="210" spans="1:9" s="69" customFormat="1" ht="15" customHeight="1">
      <c r="A210" s="65" t="s">
        <v>837</v>
      </c>
      <c r="B210" s="72" t="s">
        <v>836</v>
      </c>
      <c r="C210" s="72" t="s">
        <v>183</v>
      </c>
      <c r="D210" s="76">
        <f>VLOOKUP($A210,'SMEPA Stations December 2016'!$A:$G,5,0)</f>
        <v>4347.42</v>
      </c>
      <c r="E210" s="76">
        <f>VLOOKUP($A210,'SMEPA Stations December 2016'!$A:$G,6,0)</f>
        <v>136303.17000000001</v>
      </c>
      <c r="F210" s="76">
        <f>VLOOKUP($A210,'SMEPA Stations December 2016'!$A:$G,7,0)</f>
        <v>177005.6</v>
      </c>
      <c r="G210" s="75">
        <f t="shared" si="63"/>
        <v>317656.19000000006</v>
      </c>
      <c r="H210" s="299">
        <v>305469.59999999998</v>
      </c>
      <c r="I210" s="73">
        <f t="shared" si="64"/>
        <v>12186.590000000084</v>
      </c>
    </row>
    <row r="211" spans="1:9" s="69" customFormat="1" ht="15" customHeight="1">
      <c r="A211" s="65" t="s">
        <v>835</v>
      </c>
      <c r="B211" s="72" t="s">
        <v>834</v>
      </c>
      <c r="C211" s="72" t="s">
        <v>183</v>
      </c>
      <c r="D211" s="76">
        <f>VLOOKUP($A211,'SMEPA Stations December 2016'!$A:$G,5,0)</f>
        <v>0</v>
      </c>
      <c r="E211" s="76">
        <f>VLOOKUP($A211,'SMEPA Stations December 2016'!$A:$G,6,0)</f>
        <v>0</v>
      </c>
      <c r="F211" s="76">
        <f>VLOOKUP($A211,'SMEPA Stations December 2016'!$A:$G,7,0)</f>
        <v>49243.22</v>
      </c>
      <c r="G211" s="75">
        <f t="shared" si="63"/>
        <v>49243.22</v>
      </c>
      <c r="H211" s="65"/>
      <c r="I211" s="73">
        <f t="shared" si="64"/>
        <v>49243.22</v>
      </c>
    </row>
    <row r="212" spans="1:9" s="69" customFormat="1" ht="15" customHeight="1">
      <c r="A212" s="65" t="s">
        <v>833</v>
      </c>
      <c r="B212" s="72" t="s">
        <v>832</v>
      </c>
      <c r="C212" s="72" t="s">
        <v>183</v>
      </c>
      <c r="D212" s="76">
        <f>VLOOKUP($A212,'SMEPA Stations December 2016'!$A:$G,5,0)</f>
        <v>0</v>
      </c>
      <c r="E212" s="76">
        <f>VLOOKUP($A212,'SMEPA Stations December 2016'!$A:$G,6,0)</f>
        <v>0</v>
      </c>
      <c r="F212" s="76">
        <f>VLOOKUP($A212,'SMEPA Stations December 2016'!$A:$G,7,0)</f>
        <v>38431.33</v>
      </c>
      <c r="G212" s="75">
        <f t="shared" si="63"/>
        <v>38431.33</v>
      </c>
      <c r="H212" s="65"/>
      <c r="I212" s="73">
        <f t="shared" si="64"/>
        <v>38431.33</v>
      </c>
    </row>
    <row r="213" spans="1:9" s="69" customFormat="1" ht="15" customHeight="1">
      <c r="A213" s="65" t="s">
        <v>829</v>
      </c>
      <c r="B213" s="72" t="s">
        <v>828</v>
      </c>
      <c r="C213" s="72" t="s">
        <v>183</v>
      </c>
      <c r="D213" s="76">
        <f>VLOOKUP($A213,'SMEPA Stations December 2016'!$A:$G,5,0)</f>
        <v>0</v>
      </c>
      <c r="E213" s="76">
        <f>VLOOKUP($A213,'SMEPA Stations December 2016'!$A:$G,6,0)</f>
        <v>1728775.95</v>
      </c>
      <c r="F213" s="177">
        <f>VLOOKUP($A213,'SMEPA Stations December 2016'!$A:$G,7,0)</f>
        <v>7202955.9299999997</v>
      </c>
      <c r="G213" s="75">
        <f t="shared" si="63"/>
        <v>8931731.879999999</v>
      </c>
      <c r="H213" s="73">
        <f>+G213</f>
        <v>8931731.879999999</v>
      </c>
      <c r="I213" s="73">
        <f t="shared" si="64"/>
        <v>0</v>
      </c>
    </row>
    <row r="214" spans="1:9" s="69" customFormat="1" ht="15" customHeight="1">
      <c r="A214" s="65" t="s">
        <v>827</v>
      </c>
      <c r="B214" s="72" t="s">
        <v>826</v>
      </c>
      <c r="C214" s="72" t="s">
        <v>183</v>
      </c>
      <c r="D214" s="76">
        <f>VLOOKUP($A214,'SMEPA Stations December 2016'!$A:$G,5,0)</f>
        <v>0</v>
      </c>
      <c r="E214" s="76">
        <f>VLOOKUP($A214,'SMEPA Stations December 2016'!$A:$G,6,0)</f>
        <v>59817.82</v>
      </c>
      <c r="F214" s="76">
        <f>VLOOKUP($A214,'SMEPA Stations December 2016'!$A:$G,7,0)</f>
        <v>159577.79999999999</v>
      </c>
      <c r="G214" s="75">
        <f t="shared" si="63"/>
        <v>219395.62</v>
      </c>
      <c r="H214" s="299">
        <f>+G214-21298.69</f>
        <v>198096.93</v>
      </c>
      <c r="I214" s="73">
        <f t="shared" si="64"/>
        <v>21298.690000000002</v>
      </c>
    </row>
    <row r="215" spans="1:9" s="69" customFormat="1" ht="15" customHeight="1">
      <c r="A215" s="65" t="s">
        <v>823</v>
      </c>
      <c r="B215" s="72" t="s">
        <v>822</v>
      </c>
      <c r="C215" s="72" t="s">
        <v>183</v>
      </c>
      <c r="D215" s="76">
        <f>VLOOKUP($A215,'SMEPA Stations December 2016'!$A:$G,5,0)</f>
        <v>0</v>
      </c>
      <c r="E215" s="76">
        <f>VLOOKUP($A215,'SMEPA Stations December 2016'!$A:$G,6,0)</f>
        <v>19575.18</v>
      </c>
      <c r="F215" s="76">
        <f>VLOOKUP($A215,'SMEPA Stations December 2016'!$A:$G,7,0)</f>
        <v>369142.95</v>
      </c>
      <c r="G215" s="75">
        <f t="shared" si="63"/>
        <v>388718.13</v>
      </c>
      <c r="H215" s="73">
        <f>+G215</f>
        <v>388718.13</v>
      </c>
      <c r="I215" s="73">
        <f t="shared" si="64"/>
        <v>0</v>
      </c>
    </row>
    <row r="216" spans="1:9" s="69" customFormat="1" ht="15" customHeight="1">
      <c r="A216" s="65" t="s">
        <v>821</v>
      </c>
      <c r="B216" s="72" t="s">
        <v>820</v>
      </c>
      <c r="C216" s="72" t="s">
        <v>183</v>
      </c>
      <c r="D216" s="76">
        <f>VLOOKUP($A216,'SMEPA Stations December 2016'!$A:$G,5,0)</f>
        <v>0</v>
      </c>
      <c r="E216" s="76">
        <f>VLOOKUP($A216,'SMEPA Stations December 2016'!$A:$G,6,0)</f>
        <v>0</v>
      </c>
      <c r="F216" s="76">
        <f>VLOOKUP($A216,'SMEPA Stations December 2016'!$A:$G,7,0)</f>
        <v>16223.47</v>
      </c>
      <c r="G216" s="75">
        <f t="shared" si="63"/>
        <v>16223.47</v>
      </c>
      <c r="H216" s="65"/>
      <c r="I216" s="73">
        <f t="shared" si="64"/>
        <v>16223.47</v>
      </c>
    </row>
    <row r="217" spans="1:9" s="69" customFormat="1" ht="15" customHeight="1">
      <c r="A217" s="65" t="s">
        <v>817</v>
      </c>
      <c r="B217" s="72" t="s">
        <v>816</v>
      </c>
      <c r="C217" s="72" t="s">
        <v>183</v>
      </c>
      <c r="D217" s="76">
        <f>VLOOKUP($A217,'SMEPA Stations December 2016'!$A:$G,5,0)</f>
        <v>0</v>
      </c>
      <c r="E217" s="76">
        <f>VLOOKUP($A217,'SMEPA Stations December 2016'!$A:$G,6,0)</f>
        <v>0</v>
      </c>
      <c r="F217" s="76">
        <f>VLOOKUP($A217,'SMEPA Stations December 2016'!$A:$G,7,0)</f>
        <v>16938.96</v>
      </c>
      <c r="G217" s="75">
        <f t="shared" si="63"/>
        <v>16938.96</v>
      </c>
      <c r="H217" s="65"/>
      <c r="I217" s="73">
        <f t="shared" si="64"/>
        <v>16938.96</v>
      </c>
    </row>
    <row r="218" spans="1:9" s="69" customFormat="1" ht="15" customHeight="1">
      <c r="A218" s="65" t="s">
        <v>1150</v>
      </c>
      <c r="B218" s="72" t="s">
        <v>1151</v>
      </c>
      <c r="C218" s="72" t="s">
        <v>183</v>
      </c>
      <c r="D218" s="76">
        <f>VLOOKUP($A218,'SMEPA Stations December 2016'!$A:$G,5,0)</f>
        <v>6331.22</v>
      </c>
      <c r="E218" s="76">
        <f>VLOOKUP($A218,'SMEPA Stations December 2016'!$A:$G,6,0)</f>
        <v>179943.36</v>
      </c>
      <c r="F218" s="76">
        <f>VLOOKUP($A218,'SMEPA Stations December 2016'!$A:$G,7,0)</f>
        <v>129239.07</v>
      </c>
      <c r="G218" s="75">
        <f t="shared" si="63"/>
        <v>315513.65000000002</v>
      </c>
      <c r="H218" s="299">
        <v>315513.65000000002</v>
      </c>
      <c r="I218" s="73">
        <f t="shared" si="64"/>
        <v>0</v>
      </c>
    </row>
    <row r="219" spans="1:9" s="69" customFormat="1" ht="15" customHeight="1">
      <c r="A219" s="65" t="s">
        <v>809</v>
      </c>
      <c r="B219" s="72" t="s">
        <v>808</v>
      </c>
      <c r="C219" s="72" t="s">
        <v>183</v>
      </c>
      <c r="D219" s="76">
        <f>VLOOKUP($A219,'SMEPA Stations December 2016'!$A:$G,5,0)</f>
        <v>0</v>
      </c>
      <c r="E219" s="76">
        <f>VLOOKUP($A219,'SMEPA Stations December 2016'!$A:$G,6,0)</f>
        <v>0</v>
      </c>
      <c r="F219" s="76">
        <f>VLOOKUP($A219,'SMEPA Stations December 2016'!$A:$G,7,0)</f>
        <v>15988.42</v>
      </c>
      <c r="G219" s="75">
        <f t="shared" si="63"/>
        <v>15988.42</v>
      </c>
      <c r="H219" s="65"/>
      <c r="I219" s="73">
        <f t="shared" si="64"/>
        <v>15988.42</v>
      </c>
    </row>
    <row r="220" spans="1:9" s="69" customFormat="1" ht="15" customHeight="1">
      <c r="A220" s="65" t="s">
        <v>807</v>
      </c>
      <c r="B220" s="72" t="s">
        <v>806</v>
      </c>
      <c r="C220" s="72" t="s">
        <v>183</v>
      </c>
      <c r="D220" s="76">
        <f>VLOOKUP($A220,'SMEPA Stations December 2016'!$A:$G,5,0)</f>
        <v>0</v>
      </c>
      <c r="E220" s="76">
        <f>VLOOKUP($A220,'SMEPA Stations December 2016'!$A:$G,6,0)</f>
        <v>0</v>
      </c>
      <c r="F220" s="76">
        <f>VLOOKUP($A220,'SMEPA Stations December 2016'!$A:$G,7,0)</f>
        <v>10893.44</v>
      </c>
      <c r="G220" s="75">
        <f t="shared" si="63"/>
        <v>10893.44</v>
      </c>
      <c r="H220" s="65"/>
      <c r="I220" s="73">
        <f t="shared" si="64"/>
        <v>10893.44</v>
      </c>
    </row>
    <row r="221" spans="1:9" s="69" customFormat="1" ht="15" customHeight="1">
      <c r="A221" s="65" t="s">
        <v>791</v>
      </c>
      <c r="B221" s="72" t="s">
        <v>790</v>
      </c>
      <c r="C221" s="72" t="s">
        <v>183</v>
      </c>
      <c r="D221" s="76">
        <f>VLOOKUP($A221,'SMEPA Stations December 2016'!$A:$G,5,0)</f>
        <v>0</v>
      </c>
      <c r="E221" s="76">
        <f>VLOOKUP($A221,'SMEPA Stations December 2016'!$A:$G,6,0)</f>
        <v>0</v>
      </c>
      <c r="F221" s="76">
        <f>VLOOKUP($A221,'SMEPA Stations December 2016'!$A:$G,7,0)</f>
        <v>9427.07</v>
      </c>
      <c r="G221" s="75">
        <f t="shared" si="63"/>
        <v>9427.07</v>
      </c>
      <c r="H221" s="65"/>
      <c r="I221" s="73">
        <f t="shared" si="64"/>
        <v>9427.07</v>
      </c>
    </row>
    <row r="222" spans="1:9" s="69" customFormat="1" ht="15" customHeight="1">
      <c r="A222" s="65" t="s">
        <v>787</v>
      </c>
      <c r="B222" s="72" t="s">
        <v>786</v>
      </c>
      <c r="C222" s="72" t="s">
        <v>183</v>
      </c>
      <c r="D222" s="76">
        <f>VLOOKUP($A222,'SMEPA Stations December 2016'!$A:$G,5,0)</f>
        <v>0</v>
      </c>
      <c r="E222" s="76">
        <f>VLOOKUP($A222,'SMEPA Stations December 2016'!$A:$G,6,0)</f>
        <v>99600.48</v>
      </c>
      <c r="F222" s="76">
        <f>VLOOKUP($A222,'SMEPA Stations December 2016'!$A:$G,7,0)</f>
        <v>535010.44999999995</v>
      </c>
      <c r="G222" s="75">
        <f t="shared" si="63"/>
        <v>634610.92999999993</v>
      </c>
      <c r="H222" s="73">
        <f>+G222</f>
        <v>634610.92999999993</v>
      </c>
      <c r="I222" s="73">
        <f t="shared" si="64"/>
        <v>0</v>
      </c>
    </row>
    <row r="223" spans="1:9" s="69" customFormat="1" ht="15" customHeight="1">
      <c r="A223" s="65" t="s">
        <v>785</v>
      </c>
      <c r="B223" s="72" t="s">
        <v>784</v>
      </c>
      <c r="C223" s="72" t="s">
        <v>183</v>
      </c>
      <c r="D223" s="76">
        <f>VLOOKUP($A223,'SMEPA Stations December 2016'!$A:$G,5,0)</f>
        <v>0</v>
      </c>
      <c r="E223" s="76">
        <f>VLOOKUP($A223,'SMEPA Stations December 2016'!$A:$G,6,0)</f>
        <v>0</v>
      </c>
      <c r="F223" s="76">
        <f>VLOOKUP($A223,'SMEPA Stations December 2016'!$A:$G,7,0)</f>
        <v>24719.34</v>
      </c>
      <c r="G223" s="75">
        <f t="shared" si="63"/>
        <v>24719.34</v>
      </c>
      <c r="H223" s="65"/>
      <c r="I223" s="73">
        <f t="shared" si="64"/>
        <v>24719.34</v>
      </c>
    </row>
    <row r="224" spans="1:9" s="69" customFormat="1" ht="15" customHeight="1">
      <c r="A224" s="65" t="s">
        <v>781</v>
      </c>
      <c r="B224" s="72" t="s">
        <v>780</v>
      </c>
      <c r="C224" s="72" t="s">
        <v>183</v>
      </c>
      <c r="D224" s="76">
        <f>VLOOKUP($A224,'SMEPA Stations December 2016'!$A:$G,5,0)</f>
        <v>0</v>
      </c>
      <c r="E224" s="76">
        <f>VLOOKUP($A224,'SMEPA Stations December 2016'!$A:$G,6,0)</f>
        <v>0</v>
      </c>
      <c r="F224" s="76">
        <f>VLOOKUP($A224,'SMEPA Stations December 2016'!$A:$G,7,0)</f>
        <v>9181.3799999999992</v>
      </c>
      <c r="G224" s="75">
        <f t="shared" si="63"/>
        <v>9181.3799999999992</v>
      </c>
      <c r="H224" s="65"/>
      <c r="I224" s="73">
        <f t="shared" si="64"/>
        <v>9181.3799999999992</v>
      </c>
    </row>
    <row r="225" spans="1:9" s="69" customFormat="1" ht="15" customHeight="1">
      <c r="A225" s="65" t="s">
        <v>779</v>
      </c>
      <c r="B225" s="72" t="s">
        <v>778</v>
      </c>
      <c r="C225" s="72" t="s">
        <v>183</v>
      </c>
      <c r="D225" s="76">
        <f>VLOOKUP($A225,'SMEPA Stations December 2016'!$A:$G,5,0)</f>
        <v>0</v>
      </c>
      <c r="E225" s="76">
        <f>VLOOKUP($A225,'SMEPA Stations December 2016'!$A:$G,6,0)</f>
        <v>1449652.32</v>
      </c>
      <c r="F225" s="76">
        <f>VLOOKUP($A225,'SMEPA Stations December 2016'!$A:$G,7,0)</f>
        <v>5587760.04</v>
      </c>
      <c r="G225" s="75">
        <f t="shared" si="63"/>
        <v>7037412.3600000003</v>
      </c>
      <c r="H225" s="73">
        <f>+G225</f>
        <v>7037412.3600000003</v>
      </c>
      <c r="I225" s="73">
        <f t="shared" si="64"/>
        <v>0</v>
      </c>
    </row>
    <row r="226" spans="1:9" s="69" customFormat="1" ht="15" customHeight="1">
      <c r="A226" s="65" t="s">
        <v>777</v>
      </c>
      <c r="B226" s="72" t="s">
        <v>776</v>
      </c>
      <c r="C226" s="72" t="s">
        <v>183</v>
      </c>
      <c r="D226" s="76">
        <f>VLOOKUP($A226,'SMEPA Stations December 2016'!$A:$G,5,0)</f>
        <v>0</v>
      </c>
      <c r="E226" s="76">
        <f>VLOOKUP($A226,'SMEPA Stations December 2016'!$A:$G,6,0)</f>
        <v>0</v>
      </c>
      <c r="F226" s="76">
        <f>VLOOKUP($A226,'SMEPA Stations December 2016'!$A:$G,7,0)</f>
        <v>20853.87</v>
      </c>
      <c r="G226" s="75">
        <f t="shared" si="63"/>
        <v>20853.87</v>
      </c>
      <c r="H226" s="65"/>
      <c r="I226" s="73">
        <f t="shared" si="64"/>
        <v>20853.87</v>
      </c>
    </row>
    <row r="227" spans="1:9" s="69" customFormat="1" ht="15" customHeight="1">
      <c r="A227" s="65" t="s">
        <v>775</v>
      </c>
      <c r="B227" s="72" t="s">
        <v>774</v>
      </c>
      <c r="C227" s="72" t="s">
        <v>183</v>
      </c>
      <c r="D227" s="76">
        <f>VLOOKUP($A227,'SMEPA Stations December 2016'!$A:$G,5,0)</f>
        <v>0</v>
      </c>
      <c r="E227" s="76">
        <f>VLOOKUP($A227,'SMEPA Stations December 2016'!$A:$G,6,0)</f>
        <v>257659.64</v>
      </c>
      <c r="F227" s="76">
        <f>VLOOKUP($A227,'SMEPA Stations December 2016'!$A:$G,7,0)</f>
        <v>3446333.7</v>
      </c>
      <c r="G227" s="75">
        <f t="shared" si="63"/>
        <v>3703993.3400000003</v>
      </c>
      <c r="H227" s="73">
        <f>+G227-8867.59</f>
        <v>3695125.7500000005</v>
      </c>
      <c r="I227" s="73">
        <f t="shared" si="64"/>
        <v>8867.589999999851</v>
      </c>
    </row>
    <row r="228" spans="1:9" s="69" customFormat="1" ht="15" customHeight="1">
      <c r="A228" s="65" t="s">
        <v>765</v>
      </c>
      <c r="B228" s="72" t="s">
        <v>764</v>
      </c>
      <c r="C228" s="72" t="s">
        <v>183</v>
      </c>
      <c r="D228" s="76">
        <f>VLOOKUP($A228,'SMEPA Stations December 2016'!$A:$G,5,0)</f>
        <v>0</v>
      </c>
      <c r="E228" s="76">
        <f>VLOOKUP($A228,'SMEPA Stations December 2016'!$A:$G,6,0)</f>
        <v>81965.570000000007</v>
      </c>
      <c r="F228" s="76">
        <f>VLOOKUP($A228,'SMEPA Stations December 2016'!$A:$G,7,0)</f>
        <v>150970.41</v>
      </c>
      <c r="G228" s="75">
        <f t="shared" si="63"/>
        <v>232935.98</v>
      </c>
      <c r="H228" s="299">
        <f>+G228-7857.49</f>
        <v>225078.49000000002</v>
      </c>
      <c r="I228" s="73">
        <f t="shared" si="64"/>
        <v>7857.4899999999907</v>
      </c>
    </row>
    <row r="229" spans="1:9" s="69" customFormat="1" ht="15" customHeight="1">
      <c r="A229" s="65" t="s">
        <v>761</v>
      </c>
      <c r="B229" s="72" t="s">
        <v>760</v>
      </c>
      <c r="C229" s="72" t="s">
        <v>183</v>
      </c>
      <c r="D229" s="76">
        <f>VLOOKUP($A229,'SMEPA Stations December 2016'!$A:$G,5,0)</f>
        <v>0</v>
      </c>
      <c r="E229" s="76">
        <f>VLOOKUP($A229,'SMEPA Stations December 2016'!$A:$G,6,0)</f>
        <v>0</v>
      </c>
      <c r="F229" s="76">
        <f>VLOOKUP($A229,'SMEPA Stations December 2016'!$A:$G,7,0)</f>
        <v>16969.46</v>
      </c>
      <c r="G229" s="75">
        <f t="shared" si="63"/>
        <v>16969.46</v>
      </c>
      <c r="H229" s="65"/>
      <c r="I229" s="73">
        <f t="shared" si="64"/>
        <v>16969.46</v>
      </c>
    </row>
    <row r="230" spans="1:9" s="69" customFormat="1" ht="15" customHeight="1">
      <c r="A230" s="65" t="s">
        <v>759</v>
      </c>
      <c r="B230" s="72" t="s">
        <v>758</v>
      </c>
      <c r="C230" s="72" t="s">
        <v>183</v>
      </c>
      <c r="D230" s="76">
        <f>VLOOKUP($A230,'SMEPA Stations December 2016'!$A:$G,5,0)</f>
        <v>0</v>
      </c>
      <c r="E230" s="76">
        <f>VLOOKUP($A230,'SMEPA Stations December 2016'!$A:$G,6,0)</f>
        <v>0</v>
      </c>
      <c r="F230" s="76">
        <f>VLOOKUP($A230,'SMEPA Stations December 2016'!$A:$G,7,0)</f>
        <v>13627.7</v>
      </c>
      <c r="G230" s="75">
        <f t="shared" si="63"/>
        <v>13627.7</v>
      </c>
      <c r="H230" s="65"/>
      <c r="I230" s="73">
        <f t="shared" si="64"/>
        <v>13627.7</v>
      </c>
    </row>
    <row r="231" spans="1:9" s="69" customFormat="1" ht="15" customHeight="1">
      <c r="A231" s="65" t="s">
        <v>750</v>
      </c>
      <c r="B231" s="72" t="s">
        <v>749</v>
      </c>
      <c r="C231" s="72" t="s">
        <v>183</v>
      </c>
      <c r="D231" s="76">
        <f>VLOOKUP($A231,'SMEPA Stations December 2016'!$A:$G,5,0)</f>
        <v>0</v>
      </c>
      <c r="E231" s="76">
        <f>VLOOKUP($A231,'SMEPA Stations December 2016'!$A:$G,6,0)</f>
        <v>511538.72</v>
      </c>
      <c r="F231" s="76">
        <f>VLOOKUP($A231,'SMEPA Stations December 2016'!$A:$G,7,0)</f>
        <v>683923.05</v>
      </c>
      <c r="G231" s="75">
        <f t="shared" si="63"/>
        <v>1195461.77</v>
      </c>
      <c r="H231" s="73">
        <f>+G231-17789.11</f>
        <v>1177672.6599999999</v>
      </c>
      <c r="I231" s="73">
        <f t="shared" si="64"/>
        <v>17789.110000000102</v>
      </c>
    </row>
    <row r="232" spans="1:9" s="69" customFormat="1" ht="15" customHeight="1">
      <c r="A232" s="65" t="s">
        <v>744</v>
      </c>
      <c r="B232" s="72" t="s">
        <v>743</v>
      </c>
      <c r="C232" s="72" t="s">
        <v>183</v>
      </c>
      <c r="D232" s="76">
        <f>VLOOKUP($A232,'SMEPA Stations December 2016'!$A:$G,5,0)</f>
        <v>0</v>
      </c>
      <c r="E232" s="76">
        <f>VLOOKUP($A232,'SMEPA Stations December 2016'!$A:$G,6,0)</f>
        <v>0</v>
      </c>
      <c r="F232" s="177">
        <f>VLOOKUP($A232,'SMEPA Stations December 2016'!$A:$G,7,0)</f>
        <v>0</v>
      </c>
      <c r="G232" s="75">
        <f t="shared" si="63"/>
        <v>0</v>
      </c>
      <c r="H232" s="65"/>
      <c r="I232" s="73">
        <f t="shared" si="64"/>
        <v>0</v>
      </c>
    </row>
    <row r="233" spans="1:9" s="69" customFormat="1" ht="15" customHeight="1">
      <c r="A233" s="65" t="s">
        <v>742</v>
      </c>
      <c r="B233" s="72" t="s">
        <v>741</v>
      </c>
      <c r="C233" s="72" t="s">
        <v>183</v>
      </c>
      <c r="D233" s="76">
        <f>VLOOKUP($A233,'SMEPA Stations December 2016'!$A:$G,5,0)</f>
        <v>0</v>
      </c>
      <c r="E233" s="76">
        <f>VLOOKUP($A233,'SMEPA Stations December 2016'!$A:$G,6,0)</f>
        <v>0</v>
      </c>
      <c r="F233" s="76">
        <f>VLOOKUP($A233,'SMEPA Stations December 2016'!$A:$G,7,0)</f>
        <v>17060.82</v>
      </c>
      <c r="G233" s="75">
        <f t="shared" si="63"/>
        <v>17060.82</v>
      </c>
      <c r="H233" s="65"/>
      <c r="I233" s="73">
        <f t="shared" si="64"/>
        <v>17060.82</v>
      </c>
    </row>
    <row r="234" spans="1:9" s="69" customFormat="1" ht="15" customHeight="1">
      <c r="A234" s="65" t="s">
        <v>728</v>
      </c>
      <c r="B234" s="72" t="s">
        <v>727</v>
      </c>
      <c r="C234" s="72" t="s">
        <v>183</v>
      </c>
      <c r="D234" s="76">
        <f>VLOOKUP($A234,'SMEPA Stations December 2016'!$A:$G,5,0)</f>
        <v>0</v>
      </c>
      <c r="E234" s="76">
        <f>VLOOKUP($A234,'SMEPA Stations December 2016'!$A:$G,6,0)</f>
        <v>0</v>
      </c>
      <c r="F234" s="76">
        <f>VLOOKUP($A234,'SMEPA Stations December 2016'!$A:$G,7,0)</f>
        <v>3801.78</v>
      </c>
      <c r="G234" s="75">
        <f t="shared" si="63"/>
        <v>3801.78</v>
      </c>
      <c r="H234" s="65"/>
      <c r="I234" s="73">
        <f t="shared" si="64"/>
        <v>3801.78</v>
      </c>
    </row>
    <row r="235" spans="1:9" s="69" customFormat="1" ht="15" customHeight="1">
      <c r="A235" s="65" t="s">
        <v>726</v>
      </c>
      <c r="B235" s="72" t="s">
        <v>725</v>
      </c>
      <c r="C235" s="72" t="s">
        <v>183</v>
      </c>
      <c r="D235" s="76">
        <f>VLOOKUP($A235,'SMEPA Stations December 2016'!$A:$G,5,0)</f>
        <v>22621.62</v>
      </c>
      <c r="E235" s="76">
        <f>VLOOKUP($A235,'SMEPA Stations December 2016'!$A:$G,6,0)</f>
        <v>252700.56</v>
      </c>
      <c r="F235" s="76">
        <f>VLOOKUP($A235,'SMEPA Stations December 2016'!$A:$G,7,0)</f>
        <v>304160.03999999998</v>
      </c>
      <c r="G235" s="75">
        <f t="shared" si="63"/>
        <v>579482.22</v>
      </c>
      <c r="H235" s="73">
        <f>+G235</f>
        <v>579482.22</v>
      </c>
      <c r="I235" s="73">
        <f t="shared" si="64"/>
        <v>0</v>
      </c>
    </row>
    <row r="236" spans="1:9" s="69" customFormat="1" ht="15" customHeight="1">
      <c r="A236" s="65" t="s">
        <v>724</v>
      </c>
      <c r="B236" s="72" t="s">
        <v>723</v>
      </c>
      <c r="C236" s="72" t="s">
        <v>183</v>
      </c>
      <c r="D236" s="76">
        <f>VLOOKUP($A236,'SMEPA Stations December 2016'!$A:$G,5,0)</f>
        <v>0</v>
      </c>
      <c r="E236" s="76">
        <f>VLOOKUP($A236,'SMEPA Stations December 2016'!$A:$G,6,0)</f>
        <v>404.7</v>
      </c>
      <c r="F236" s="177">
        <f>VLOOKUP($A236,'SMEPA Stations December 2016'!$A:$G,7,0)</f>
        <v>77360.03</v>
      </c>
      <c r="G236" s="75">
        <f t="shared" si="63"/>
        <v>77764.73</v>
      </c>
      <c r="H236" s="299">
        <f>+G236-23768.25</f>
        <v>53996.479999999996</v>
      </c>
      <c r="I236" s="73">
        <f t="shared" si="64"/>
        <v>23768.25</v>
      </c>
    </row>
    <row r="237" spans="1:9" s="69" customFormat="1" ht="15" customHeight="1">
      <c r="A237" s="65" t="s">
        <v>716</v>
      </c>
      <c r="B237" s="72" t="s">
        <v>715</v>
      </c>
      <c r="C237" s="72" t="s">
        <v>183</v>
      </c>
      <c r="D237" s="76">
        <f>VLOOKUP($A237,'SMEPA Stations December 2016'!$A:$G,5,0)</f>
        <v>0</v>
      </c>
      <c r="E237" s="76">
        <f>VLOOKUP($A237,'SMEPA Stations December 2016'!$A:$G,6,0)</f>
        <v>0</v>
      </c>
      <c r="F237" s="76">
        <f>VLOOKUP($A237,'SMEPA Stations December 2016'!$A:$G,7,0)</f>
        <v>13231.23</v>
      </c>
      <c r="G237" s="75">
        <f t="shared" si="63"/>
        <v>13231.23</v>
      </c>
      <c r="H237" s="65"/>
      <c r="I237" s="73">
        <f t="shared" si="64"/>
        <v>13231.23</v>
      </c>
    </row>
    <row r="238" spans="1:9" s="69" customFormat="1" ht="15" customHeight="1">
      <c r="A238" s="65" t="s">
        <v>714</v>
      </c>
      <c r="B238" s="72" t="s">
        <v>713</v>
      </c>
      <c r="C238" s="72" t="s">
        <v>183</v>
      </c>
      <c r="D238" s="76">
        <f>VLOOKUP($A238,'SMEPA Stations December 2016'!$A:$G,5,0)</f>
        <v>0</v>
      </c>
      <c r="E238" s="76">
        <f>VLOOKUP($A238,'SMEPA Stations December 2016'!$A:$G,6,0)</f>
        <v>0</v>
      </c>
      <c r="F238" s="76">
        <f>VLOOKUP($A238,'SMEPA Stations December 2016'!$A:$G,7,0)</f>
        <v>9378.7999999999993</v>
      </c>
      <c r="G238" s="75">
        <f t="shared" si="63"/>
        <v>9378.7999999999993</v>
      </c>
      <c r="H238" s="65"/>
      <c r="I238" s="73">
        <f t="shared" si="64"/>
        <v>9378.7999999999993</v>
      </c>
    </row>
    <row r="239" spans="1:9" s="69" customFormat="1" ht="15" customHeight="1">
      <c r="A239" s="65" t="s">
        <v>710</v>
      </c>
      <c r="B239" s="72" t="s">
        <v>709</v>
      </c>
      <c r="C239" s="72" t="s">
        <v>183</v>
      </c>
      <c r="D239" s="76">
        <f>VLOOKUP($A239,'SMEPA Stations December 2016'!$A:$G,5,0)</f>
        <v>0</v>
      </c>
      <c r="E239" s="76">
        <f>VLOOKUP($A239,'SMEPA Stations December 2016'!$A:$G,6,0)</f>
        <v>0</v>
      </c>
      <c r="F239" s="76">
        <f>VLOOKUP($A239,'SMEPA Stations December 2016'!$A:$G,7,0)</f>
        <v>19075.599999999999</v>
      </c>
      <c r="G239" s="75">
        <f t="shared" si="63"/>
        <v>19075.599999999999</v>
      </c>
      <c r="H239" s="65"/>
      <c r="I239" s="73">
        <f t="shared" si="64"/>
        <v>19075.599999999999</v>
      </c>
    </row>
    <row r="240" spans="1:9" s="69" customFormat="1" ht="15" customHeight="1">
      <c r="A240" s="65" t="s">
        <v>708</v>
      </c>
      <c r="B240" s="72" t="s">
        <v>707</v>
      </c>
      <c r="C240" s="72" t="s">
        <v>183</v>
      </c>
      <c r="D240" s="76">
        <f>VLOOKUP($A240,'SMEPA Stations December 2016'!$A:$G,5,0)</f>
        <v>0</v>
      </c>
      <c r="E240" s="76">
        <f>VLOOKUP($A240,'SMEPA Stations December 2016'!$A:$G,6,0)</f>
        <v>388618.41</v>
      </c>
      <c r="F240" s="76">
        <f>VLOOKUP($A240,'SMEPA Stations December 2016'!$A:$G,7,0)</f>
        <v>407398.66</v>
      </c>
      <c r="G240" s="75">
        <f t="shared" ref="G240:G303" si="71">SUM(D240:F240)</f>
        <v>796017.07</v>
      </c>
      <c r="H240" s="299">
        <v>796017.07</v>
      </c>
      <c r="I240" s="73">
        <f t="shared" ref="I240:I303" si="72">+G240-H240</f>
        <v>0</v>
      </c>
    </row>
    <row r="241" spans="1:9" s="69" customFormat="1" ht="15" customHeight="1">
      <c r="A241" s="65" t="s">
        <v>700</v>
      </c>
      <c r="B241" s="72" t="s">
        <v>699</v>
      </c>
      <c r="C241" s="72" t="s">
        <v>183</v>
      </c>
      <c r="D241" s="76">
        <f>VLOOKUP($A241,'SMEPA Stations December 2016'!$A:$G,5,0)</f>
        <v>0</v>
      </c>
      <c r="E241" s="76">
        <f>VLOOKUP($A241,'SMEPA Stations December 2016'!$A:$G,6,0)</f>
        <v>289614.02</v>
      </c>
      <c r="F241" s="76">
        <f>VLOOKUP($A241,'SMEPA Stations December 2016'!$A:$G,7,0)</f>
        <v>415891.35</v>
      </c>
      <c r="G241" s="75">
        <f t="shared" si="71"/>
        <v>705505.37</v>
      </c>
      <c r="H241" s="73">
        <f>+G241</f>
        <v>705505.37</v>
      </c>
      <c r="I241" s="73">
        <f t="shared" si="72"/>
        <v>0</v>
      </c>
    </row>
    <row r="242" spans="1:9" s="69" customFormat="1" ht="15" customHeight="1">
      <c r="A242" s="65" t="s">
        <v>698</v>
      </c>
      <c r="B242" s="72" t="s">
        <v>697</v>
      </c>
      <c r="C242" s="72" t="s">
        <v>183</v>
      </c>
      <c r="D242" s="76">
        <f>VLOOKUP($A242,'SMEPA Stations December 2016'!$A:$G,5,0)</f>
        <v>0</v>
      </c>
      <c r="E242" s="76">
        <f>VLOOKUP($A242,'SMEPA Stations December 2016'!$A:$G,6,0)</f>
        <v>68770.36</v>
      </c>
      <c r="F242" s="76">
        <f>VLOOKUP($A242,'SMEPA Stations December 2016'!$A:$G,7,0)</f>
        <v>159181.49</v>
      </c>
      <c r="G242" s="75">
        <f t="shared" si="71"/>
        <v>227951.84999999998</v>
      </c>
      <c r="H242" s="299">
        <f>+G242-31125.67</f>
        <v>196826.18</v>
      </c>
      <c r="I242" s="73">
        <f t="shared" si="72"/>
        <v>31125.669999999984</v>
      </c>
    </row>
    <row r="243" spans="1:9" s="69" customFormat="1" ht="14.25" customHeight="1">
      <c r="A243" s="65" t="s">
        <v>690</v>
      </c>
      <c r="B243" s="72" t="s">
        <v>689</v>
      </c>
      <c r="C243" s="72" t="s">
        <v>183</v>
      </c>
      <c r="D243" s="76">
        <f>VLOOKUP($A243,'SMEPA Stations December 2016'!$A:$G,5,0)</f>
        <v>0</v>
      </c>
      <c r="E243" s="76">
        <f>VLOOKUP($A243,'SMEPA Stations December 2016'!$A:$G,6,0)</f>
        <v>455082.19</v>
      </c>
      <c r="F243" s="76">
        <f>VLOOKUP($A243,'SMEPA Stations December 2016'!$A:$G,7,0)</f>
        <v>403475.78</v>
      </c>
      <c r="G243" s="75">
        <f t="shared" si="71"/>
        <v>858557.97</v>
      </c>
      <c r="H243" s="73">
        <f>+G243-13361.56</f>
        <v>845196.40999999992</v>
      </c>
      <c r="I243" s="73">
        <f t="shared" si="72"/>
        <v>13361.560000000056</v>
      </c>
    </row>
    <row r="244" spans="1:9" s="69" customFormat="1" ht="15" customHeight="1">
      <c r="A244" s="65" t="s">
        <v>680</v>
      </c>
      <c r="B244" s="72" t="s">
        <v>679</v>
      </c>
      <c r="C244" s="72" t="s">
        <v>183</v>
      </c>
      <c r="D244" s="76">
        <f>VLOOKUP($A244,'SMEPA Stations December 2016'!$A:$G,5,0)</f>
        <v>0</v>
      </c>
      <c r="E244" s="76">
        <f>VLOOKUP($A244,'SMEPA Stations December 2016'!$A:$G,6,0)</f>
        <v>0</v>
      </c>
      <c r="F244" s="76">
        <f>VLOOKUP($A244,'SMEPA Stations December 2016'!$A:$G,7,0)</f>
        <v>10597.5</v>
      </c>
      <c r="G244" s="75">
        <f t="shared" si="71"/>
        <v>10597.5</v>
      </c>
      <c r="H244" s="65"/>
      <c r="I244" s="73">
        <f t="shared" si="72"/>
        <v>10597.5</v>
      </c>
    </row>
    <row r="245" spans="1:9" s="69" customFormat="1" ht="15" customHeight="1">
      <c r="A245" s="65" t="s">
        <v>678</v>
      </c>
      <c r="B245" s="72" t="s">
        <v>677</v>
      </c>
      <c r="C245" s="72" t="s">
        <v>183</v>
      </c>
      <c r="D245" s="76">
        <f>VLOOKUP($A245,'SMEPA Stations December 2016'!$A:$G,5,0)</f>
        <v>0</v>
      </c>
      <c r="E245" s="76">
        <f>VLOOKUP($A245,'SMEPA Stations December 2016'!$A:$G,6,0)</f>
        <v>0</v>
      </c>
      <c r="F245" s="76">
        <f>VLOOKUP($A245,'SMEPA Stations December 2016'!$A:$G,7,0)</f>
        <v>36142.080000000002</v>
      </c>
      <c r="G245" s="75">
        <f t="shared" si="71"/>
        <v>36142.080000000002</v>
      </c>
      <c r="H245" s="65"/>
      <c r="I245" s="73">
        <f t="shared" si="72"/>
        <v>36142.080000000002</v>
      </c>
    </row>
    <row r="246" spans="1:9" s="69" customFormat="1" ht="15" customHeight="1">
      <c r="A246" s="65" t="s">
        <v>676</v>
      </c>
      <c r="B246" s="72" t="s">
        <v>675</v>
      </c>
      <c r="C246" s="72" t="s">
        <v>183</v>
      </c>
      <c r="D246" s="76">
        <f>VLOOKUP($A246,'SMEPA Stations December 2016'!$A:$G,5,0)</f>
        <v>0</v>
      </c>
      <c r="E246" s="76">
        <f>VLOOKUP($A246,'SMEPA Stations December 2016'!$A:$G,6,0)</f>
        <v>0</v>
      </c>
      <c r="F246" s="76">
        <f>VLOOKUP($A246,'SMEPA Stations December 2016'!$A:$G,7,0)</f>
        <v>0</v>
      </c>
      <c r="G246" s="75">
        <f t="shared" si="71"/>
        <v>0</v>
      </c>
      <c r="H246" s="65"/>
      <c r="I246" s="73">
        <f t="shared" si="72"/>
        <v>0</v>
      </c>
    </row>
    <row r="247" spans="1:9" s="69" customFormat="1" ht="15" customHeight="1">
      <c r="A247" s="65" t="s">
        <v>672</v>
      </c>
      <c r="B247" s="72" t="s">
        <v>671</v>
      </c>
      <c r="C247" s="72" t="s">
        <v>183</v>
      </c>
      <c r="D247" s="76">
        <f>VLOOKUP($A247,'SMEPA Stations December 2016'!$A:$G,5,0)</f>
        <v>0</v>
      </c>
      <c r="E247" s="76">
        <f>VLOOKUP($A247,'SMEPA Stations December 2016'!$A:$G,6,0)</f>
        <v>0</v>
      </c>
      <c r="F247" s="177">
        <f>VLOOKUP($A247,'SMEPA Stations December 2016'!$A:$G,7,0)</f>
        <v>21044.77</v>
      </c>
      <c r="G247" s="75">
        <f t="shared" si="71"/>
        <v>21044.77</v>
      </c>
      <c r="H247" s="65"/>
      <c r="I247" s="73">
        <f t="shared" si="72"/>
        <v>21044.77</v>
      </c>
    </row>
    <row r="248" spans="1:9" s="69" customFormat="1" ht="15" customHeight="1">
      <c r="A248" s="65" t="s">
        <v>670</v>
      </c>
      <c r="B248" s="72" t="s">
        <v>669</v>
      </c>
      <c r="C248" s="72" t="s">
        <v>183</v>
      </c>
      <c r="D248" s="76">
        <f>VLOOKUP($A248,'SMEPA Stations December 2016'!$A:$G,5,0)</f>
        <v>0</v>
      </c>
      <c r="E248" s="76">
        <f>VLOOKUP($A248,'SMEPA Stations December 2016'!$A:$G,6,0)</f>
        <v>272043.05</v>
      </c>
      <c r="F248" s="177">
        <f>VLOOKUP($A248,'SMEPA Stations December 2016'!$A:$G,7,0)</f>
        <v>2127958.14</v>
      </c>
      <c r="G248" s="75">
        <f t="shared" si="71"/>
        <v>2400001.19</v>
      </c>
      <c r="H248" s="73">
        <f>+G248</f>
        <v>2400001.19</v>
      </c>
      <c r="I248" s="73">
        <f t="shared" si="72"/>
        <v>0</v>
      </c>
    </row>
    <row r="249" spans="1:9" s="69" customFormat="1" ht="15" customHeight="1">
      <c r="A249" s="65" t="s">
        <v>666</v>
      </c>
      <c r="B249" s="72" t="s">
        <v>665</v>
      </c>
      <c r="C249" s="72" t="s">
        <v>183</v>
      </c>
      <c r="D249" s="76">
        <f>VLOOKUP($A249,'SMEPA Stations December 2016'!$A:$G,5,0)</f>
        <v>0</v>
      </c>
      <c r="E249" s="76">
        <f>VLOOKUP($A249,'SMEPA Stations December 2016'!$A:$G,6,0)</f>
        <v>0</v>
      </c>
      <c r="F249" s="76">
        <f>VLOOKUP($A249,'SMEPA Stations December 2016'!$A:$G,7,0)</f>
        <v>19990.18</v>
      </c>
      <c r="G249" s="75">
        <f t="shared" si="71"/>
        <v>19990.18</v>
      </c>
      <c r="H249" s="65"/>
      <c r="I249" s="73">
        <f t="shared" si="72"/>
        <v>19990.18</v>
      </c>
    </row>
    <row r="250" spans="1:9" s="69" customFormat="1" ht="15" customHeight="1">
      <c r="A250" s="65" t="s">
        <v>664</v>
      </c>
      <c r="B250" s="72" t="s">
        <v>663</v>
      </c>
      <c r="C250" s="72" t="s">
        <v>183</v>
      </c>
      <c r="D250" s="76">
        <f>VLOOKUP($A250,'SMEPA Stations December 2016'!$A:$G,5,0)</f>
        <v>0</v>
      </c>
      <c r="E250" s="76">
        <f>VLOOKUP($A250,'SMEPA Stations December 2016'!$A:$G,6,0)</f>
        <v>391208.54</v>
      </c>
      <c r="F250" s="177">
        <f>VLOOKUP($A250,'SMEPA Stations December 2016'!$A:$G,7,0)</f>
        <v>2962786.49</v>
      </c>
      <c r="G250" s="75">
        <f t="shared" si="71"/>
        <v>3353995.0300000003</v>
      </c>
      <c r="H250" s="73">
        <f>+G250-15545.35</f>
        <v>3338449.68</v>
      </c>
      <c r="I250" s="73">
        <f t="shared" si="72"/>
        <v>15545.350000000093</v>
      </c>
    </row>
    <row r="251" spans="1:9" s="69" customFormat="1" ht="15" customHeight="1">
      <c r="A251" s="65" t="s">
        <v>662</v>
      </c>
      <c r="B251" s="72" t="s">
        <v>661</v>
      </c>
      <c r="C251" s="72" t="s">
        <v>183</v>
      </c>
      <c r="D251" s="76">
        <f>VLOOKUP($A251,'SMEPA Stations December 2016'!$A:$G,5,0)</f>
        <v>0</v>
      </c>
      <c r="E251" s="76">
        <f>VLOOKUP($A251,'SMEPA Stations December 2016'!$A:$G,6,0)</f>
        <v>67746.12</v>
      </c>
      <c r="F251" s="76">
        <f>VLOOKUP($A251,'SMEPA Stations December 2016'!$A:$G,7,0)</f>
        <v>686263.89</v>
      </c>
      <c r="G251" s="75">
        <f t="shared" si="71"/>
        <v>754010.01</v>
      </c>
      <c r="H251" s="73">
        <f>+G251-9041.68</f>
        <v>744968.33</v>
      </c>
      <c r="I251" s="73">
        <f t="shared" si="72"/>
        <v>9041.6800000000512</v>
      </c>
    </row>
    <row r="252" spans="1:9" s="69" customFormat="1" ht="15" customHeight="1">
      <c r="A252" s="65" t="s">
        <v>686</v>
      </c>
      <c r="B252" s="72" t="s">
        <v>685</v>
      </c>
      <c r="C252" s="72" t="s">
        <v>183</v>
      </c>
      <c r="D252" s="76">
        <f>VLOOKUP($A252,'SMEPA Stations December 2016'!$A:$G,5,0)</f>
        <v>0</v>
      </c>
      <c r="E252" s="76">
        <f>VLOOKUP($A252,'SMEPA Stations December 2016'!$A:$G,6,0)</f>
        <v>0</v>
      </c>
      <c r="F252" s="177">
        <f>VLOOKUP($A252,'SMEPA Stations December 2016'!$A:$G,7,0)</f>
        <v>189273.12</v>
      </c>
      <c r="G252" s="75">
        <f t="shared" si="71"/>
        <v>189273.12</v>
      </c>
      <c r="H252" s="65"/>
      <c r="I252" s="73">
        <f t="shared" si="72"/>
        <v>189273.12</v>
      </c>
    </row>
    <row r="253" spans="1:9" s="69" customFormat="1" ht="15" customHeight="1">
      <c r="A253" s="65" t="s">
        <v>658</v>
      </c>
      <c r="B253" s="72" t="s">
        <v>657</v>
      </c>
      <c r="C253" s="72" t="s">
        <v>183</v>
      </c>
      <c r="D253" s="76">
        <f>VLOOKUP($A253,'SMEPA Stations December 2016'!$A:$G,5,0)</f>
        <v>0</v>
      </c>
      <c r="E253" s="76">
        <f>VLOOKUP($A253,'SMEPA Stations December 2016'!$A:$G,6,0)</f>
        <v>0</v>
      </c>
      <c r="F253" s="76">
        <f>VLOOKUP($A253,'SMEPA Stations December 2016'!$A:$G,7,0)</f>
        <v>15646.24</v>
      </c>
      <c r="G253" s="75">
        <f t="shared" si="71"/>
        <v>15646.24</v>
      </c>
      <c r="H253" s="65"/>
      <c r="I253" s="73">
        <f t="shared" si="72"/>
        <v>15646.24</v>
      </c>
    </row>
    <row r="254" spans="1:9" s="69" customFormat="1" ht="15" customHeight="1">
      <c r="A254" s="65" t="s">
        <v>640</v>
      </c>
      <c r="B254" s="72" t="s">
        <v>639</v>
      </c>
      <c r="C254" s="72" t="s">
        <v>183</v>
      </c>
      <c r="D254" s="76">
        <f>VLOOKUP($A254,'SMEPA Stations December 2016'!$A:$G,5,0)</f>
        <v>0</v>
      </c>
      <c r="E254" s="76">
        <f>VLOOKUP($A254,'SMEPA Stations December 2016'!$A:$G,6,0)</f>
        <v>0</v>
      </c>
      <c r="F254" s="76">
        <f>VLOOKUP($A254,'SMEPA Stations December 2016'!$A:$G,7,0)</f>
        <v>0</v>
      </c>
      <c r="G254" s="75">
        <f t="shared" si="71"/>
        <v>0</v>
      </c>
      <c r="H254" s="65"/>
      <c r="I254" s="73">
        <f t="shared" si="72"/>
        <v>0</v>
      </c>
    </row>
    <row r="255" spans="1:9" s="69" customFormat="1" ht="15" customHeight="1">
      <c r="A255" s="65" t="s">
        <v>638</v>
      </c>
      <c r="B255" s="72" t="s">
        <v>637</v>
      </c>
      <c r="C255" s="72" t="s">
        <v>183</v>
      </c>
      <c r="D255" s="76">
        <f>VLOOKUP($A255,'SMEPA Stations December 2016'!$A:$G,5,0)</f>
        <v>0</v>
      </c>
      <c r="E255" s="76">
        <f>VLOOKUP($A255,'SMEPA Stations December 2016'!$A:$G,6,0)</f>
        <v>0</v>
      </c>
      <c r="F255" s="76">
        <f>VLOOKUP($A255,'SMEPA Stations December 2016'!$A:$G,7,0)</f>
        <v>22859.35</v>
      </c>
      <c r="G255" s="75">
        <f t="shared" si="71"/>
        <v>22859.35</v>
      </c>
      <c r="H255" s="65"/>
      <c r="I255" s="73">
        <f t="shared" si="72"/>
        <v>22859.35</v>
      </c>
    </row>
    <row r="256" spans="1:9" s="69" customFormat="1" ht="15" customHeight="1">
      <c r="A256" s="65" t="s">
        <v>636</v>
      </c>
      <c r="B256" s="72" t="s">
        <v>635</v>
      </c>
      <c r="C256" s="72" t="s">
        <v>183</v>
      </c>
      <c r="D256" s="76">
        <f>VLOOKUP($A256,'SMEPA Stations December 2016'!$A:$G,5,0)</f>
        <v>0</v>
      </c>
      <c r="E256" s="76">
        <f>VLOOKUP($A256,'SMEPA Stations December 2016'!$A:$G,6,0)</f>
        <v>0</v>
      </c>
      <c r="F256" s="76">
        <f>VLOOKUP($A256,'SMEPA Stations December 2016'!$A:$G,7,0)</f>
        <v>1727.68</v>
      </c>
      <c r="G256" s="75">
        <f t="shared" si="71"/>
        <v>1727.68</v>
      </c>
      <c r="H256" s="65"/>
      <c r="I256" s="73">
        <f t="shared" si="72"/>
        <v>1727.68</v>
      </c>
    </row>
    <row r="257" spans="1:9" s="69" customFormat="1" ht="15" customHeight="1">
      <c r="A257" s="65" t="s">
        <v>634</v>
      </c>
      <c r="B257" s="72" t="s">
        <v>633</v>
      </c>
      <c r="C257" s="72" t="s">
        <v>183</v>
      </c>
      <c r="D257" s="76">
        <f>VLOOKUP($A257,'SMEPA Stations December 2016'!$A:$G,5,0)</f>
        <v>0</v>
      </c>
      <c r="E257" s="76">
        <f>VLOOKUP($A257,'SMEPA Stations December 2016'!$A:$G,6,0)</f>
        <v>0</v>
      </c>
      <c r="F257" s="76">
        <f>VLOOKUP($A257,'SMEPA Stations December 2016'!$A:$G,7,0)</f>
        <v>9956.07</v>
      </c>
      <c r="G257" s="75">
        <f t="shared" si="71"/>
        <v>9956.07</v>
      </c>
      <c r="H257" s="65"/>
      <c r="I257" s="73">
        <f t="shared" si="72"/>
        <v>9956.07</v>
      </c>
    </row>
    <row r="258" spans="1:9" s="69" customFormat="1" ht="15" customHeight="1">
      <c r="A258" s="65" t="s">
        <v>632</v>
      </c>
      <c r="B258" s="72" t="s">
        <v>631</v>
      </c>
      <c r="C258" s="72" t="s">
        <v>183</v>
      </c>
      <c r="D258" s="76">
        <f>VLOOKUP($A258,'SMEPA Stations December 2016'!$A:$G,5,0)</f>
        <v>0</v>
      </c>
      <c r="E258" s="76">
        <f>VLOOKUP($A258,'SMEPA Stations December 2016'!$A:$G,6,0)</f>
        <v>0</v>
      </c>
      <c r="F258" s="76">
        <f>VLOOKUP($A258,'SMEPA Stations December 2016'!$A:$G,7,0)</f>
        <v>45420.63</v>
      </c>
      <c r="G258" s="75">
        <f t="shared" si="71"/>
        <v>45420.63</v>
      </c>
      <c r="H258" s="65"/>
      <c r="I258" s="73">
        <f t="shared" si="72"/>
        <v>45420.63</v>
      </c>
    </row>
    <row r="259" spans="1:9" s="69" customFormat="1" ht="15" customHeight="1">
      <c r="A259" s="65" t="s">
        <v>628</v>
      </c>
      <c r="B259" s="72" t="s">
        <v>627</v>
      </c>
      <c r="C259" s="72" t="s">
        <v>183</v>
      </c>
      <c r="D259" s="76">
        <f>VLOOKUP($A259,'SMEPA Stations December 2016'!$A:$G,5,0)</f>
        <v>0</v>
      </c>
      <c r="E259" s="76">
        <f>VLOOKUP($A259,'SMEPA Stations December 2016'!$A:$G,6,0)</f>
        <v>0</v>
      </c>
      <c r="F259" s="76">
        <f>VLOOKUP($A259,'SMEPA Stations December 2016'!$A:$G,7,0)</f>
        <v>6866.17</v>
      </c>
      <c r="G259" s="75">
        <f t="shared" si="71"/>
        <v>6866.17</v>
      </c>
      <c r="H259" s="65"/>
      <c r="I259" s="73">
        <f t="shared" si="72"/>
        <v>6866.17</v>
      </c>
    </row>
    <row r="260" spans="1:9" s="69" customFormat="1" ht="15" customHeight="1">
      <c r="A260" s="65" t="s">
        <v>626</v>
      </c>
      <c r="B260" s="72" t="s">
        <v>625</v>
      </c>
      <c r="C260" s="72" t="s">
        <v>183</v>
      </c>
      <c r="D260" s="76">
        <f>VLOOKUP($A260,'SMEPA Stations December 2016'!$A:$G,5,0)</f>
        <v>0</v>
      </c>
      <c r="E260" s="76">
        <f>VLOOKUP($A260,'SMEPA Stations December 2016'!$A:$G,6,0)</f>
        <v>0</v>
      </c>
      <c r="F260" s="76">
        <f>VLOOKUP($A260,'SMEPA Stations December 2016'!$A:$G,7,0)</f>
        <v>8616.99</v>
      </c>
      <c r="G260" s="75">
        <f t="shared" si="71"/>
        <v>8616.99</v>
      </c>
      <c r="H260" s="65"/>
      <c r="I260" s="73">
        <f t="shared" si="72"/>
        <v>8616.99</v>
      </c>
    </row>
    <row r="261" spans="1:9" s="69" customFormat="1" ht="15" customHeight="1">
      <c r="A261" s="65" t="s">
        <v>616</v>
      </c>
      <c r="B261" s="72" t="s">
        <v>615</v>
      </c>
      <c r="C261" s="72" t="s">
        <v>183</v>
      </c>
      <c r="D261" s="76">
        <f>VLOOKUP($A261,'SMEPA Stations December 2016'!$A:$G,5,0)</f>
        <v>0</v>
      </c>
      <c r="E261" s="76">
        <f>VLOOKUP($A261,'SMEPA Stations December 2016'!$A:$G,6,0)</f>
        <v>0</v>
      </c>
      <c r="F261" s="76">
        <f>VLOOKUP($A261,'SMEPA Stations December 2016'!$A:$G,7,0)</f>
        <v>22188.04</v>
      </c>
      <c r="G261" s="75">
        <f t="shared" si="71"/>
        <v>22188.04</v>
      </c>
      <c r="H261" s="65"/>
      <c r="I261" s="73">
        <f t="shared" si="72"/>
        <v>22188.04</v>
      </c>
    </row>
    <row r="262" spans="1:9" s="69" customFormat="1" ht="15" customHeight="1">
      <c r="A262" s="65" t="s">
        <v>614</v>
      </c>
      <c r="B262" s="72" t="s">
        <v>613</v>
      </c>
      <c r="C262" s="72" t="s">
        <v>183</v>
      </c>
      <c r="D262" s="76">
        <f>VLOOKUP($A262,'SMEPA Stations December 2016'!$A:$G,5,0)</f>
        <v>69146.58</v>
      </c>
      <c r="E262" s="76">
        <f>VLOOKUP($A262,'SMEPA Stations December 2016'!$A:$G,6,0)</f>
        <v>0</v>
      </c>
      <c r="F262" s="76">
        <f>VLOOKUP($A262,'SMEPA Stations December 2016'!$A:$G,7,0)</f>
        <v>0</v>
      </c>
      <c r="G262" s="75">
        <f t="shared" si="71"/>
        <v>69146.58</v>
      </c>
      <c r="H262" s="65"/>
      <c r="I262" s="73">
        <f t="shared" si="72"/>
        <v>69146.58</v>
      </c>
    </row>
    <row r="263" spans="1:9" s="69" customFormat="1" ht="15" customHeight="1">
      <c r="A263" s="65" t="s">
        <v>604</v>
      </c>
      <c r="B263" s="72" t="s">
        <v>603</v>
      </c>
      <c r="C263" s="72" t="s">
        <v>183</v>
      </c>
      <c r="D263" s="76">
        <f>VLOOKUP($A263,'SMEPA Stations December 2016'!$A:$G,5,0)</f>
        <v>0</v>
      </c>
      <c r="E263" s="76">
        <f>VLOOKUP($A263,'SMEPA Stations December 2016'!$A:$G,6,0)</f>
        <v>0</v>
      </c>
      <c r="F263" s="76">
        <f>VLOOKUP($A263,'SMEPA Stations December 2016'!$A:$G,7,0)</f>
        <v>8923.69</v>
      </c>
      <c r="G263" s="75">
        <f t="shared" si="71"/>
        <v>8923.69</v>
      </c>
      <c r="H263" s="65"/>
      <c r="I263" s="73">
        <f t="shared" si="72"/>
        <v>8923.69</v>
      </c>
    </row>
    <row r="264" spans="1:9" s="69" customFormat="1" ht="15" customHeight="1">
      <c r="A264" s="65" t="s">
        <v>600</v>
      </c>
      <c r="B264" s="72" t="s">
        <v>599</v>
      </c>
      <c r="C264" s="72" t="s">
        <v>183</v>
      </c>
      <c r="D264" s="76">
        <f>VLOOKUP($A264,'SMEPA Stations December 2016'!$A:$G,5,0)</f>
        <v>0</v>
      </c>
      <c r="E264" s="177">
        <f>VLOOKUP($A264,'SMEPA Stations December 2016'!$A:$G,6,0)</f>
        <v>176471.67</v>
      </c>
      <c r="F264" s="177">
        <f>VLOOKUP($A264,'SMEPA Stations December 2016'!$A:$G,7,0)</f>
        <v>2168327.38</v>
      </c>
      <c r="G264" s="75">
        <f t="shared" si="71"/>
        <v>2344799.0499999998</v>
      </c>
      <c r="H264" s="73">
        <f>+G264-8802.74</f>
        <v>2335996.3099999996</v>
      </c>
      <c r="I264" s="73">
        <f t="shared" si="72"/>
        <v>8802.7400000002235</v>
      </c>
    </row>
    <row r="265" spans="1:9" s="69" customFormat="1" ht="15" customHeight="1">
      <c r="A265" s="65" t="s">
        <v>596</v>
      </c>
      <c r="B265" s="72" t="s">
        <v>595</v>
      </c>
      <c r="C265" s="72" t="s">
        <v>183</v>
      </c>
      <c r="D265" s="76">
        <f>VLOOKUP($A265,'SMEPA Stations December 2016'!$A:$G,5,0)</f>
        <v>44512.9</v>
      </c>
      <c r="E265" s="76">
        <f>VLOOKUP($A265,'SMEPA Stations December 2016'!$A:$G,6,0)</f>
        <v>502695.02</v>
      </c>
      <c r="F265" s="76">
        <f>VLOOKUP($A265,'SMEPA Stations December 2016'!$A:$G,7,0)</f>
        <v>177952.28</v>
      </c>
      <c r="G265" s="75">
        <f t="shared" si="71"/>
        <v>725160.20000000007</v>
      </c>
      <c r="H265" s="65"/>
      <c r="I265" s="73">
        <f t="shared" si="72"/>
        <v>725160.20000000007</v>
      </c>
    </row>
    <row r="266" spans="1:9" s="69" customFormat="1" ht="15" customHeight="1">
      <c r="A266" s="65" t="s">
        <v>592</v>
      </c>
      <c r="B266" s="72" t="s">
        <v>591</v>
      </c>
      <c r="C266" s="72" t="s">
        <v>183</v>
      </c>
      <c r="D266" s="76">
        <f>VLOOKUP($A266,'SMEPA Stations December 2016'!$A:$G,5,0)</f>
        <v>0</v>
      </c>
      <c r="E266" s="76">
        <f>VLOOKUP($A266,'SMEPA Stations December 2016'!$A:$G,6,0)</f>
        <v>0</v>
      </c>
      <c r="F266" s="76">
        <f>VLOOKUP($A266,'SMEPA Stations December 2016'!$A:$G,7,0)</f>
        <v>24563.03</v>
      </c>
      <c r="G266" s="75">
        <f t="shared" si="71"/>
        <v>24563.03</v>
      </c>
      <c r="H266" s="65"/>
      <c r="I266" s="73">
        <f t="shared" si="72"/>
        <v>24563.03</v>
      </c>
    </row>
    <row r="267" spans="1:9" s="69" customFormat="1" ht="15" customHeight="1">
      <c r="A267" s="65" t="s">
        <v>590</v>
      </c>
      <c r="B267" s="72" t="s">
        <v>589</v>
      </c>
      <c r="C267" s="72" t="s">
        <v>183</v>
      </c>
      <c r="D267" s="76">
        <f>VLOOKUP($A267,'SMEPA Stations December 2016'!$A:$G,5,0)</f>
        <v>0</v>
      </c>
      <c r="E267" s="76">
        <f>VLOOKUP($A267,'SMEPA Stations December 2016'!$A:$G,6,0)</f>
        <v>381918.98</v>
      </c>
      <c r="F267" s="76">
        <f>VLOOKUP($A267,'SMEPA Stations December 2016'!$A:$G,7,0)</f>
        <v>571123.15</v>
      </c>
      <c r="G267" s="75">
        <f t="shared" si="71"/>
        <v>953042.13</v>
      </c>
      <c r="H267" s="73">
        <f>+G267</f>
        <v>953042.13</v>
      </c>
      <c r="I267" s="73">
        <f t="shared" si="72"/>
        <v>0</v>
      </c>
    </row>
    <row r="268" spans="1:9" s="69" customFormat="1" ht="15" customHeight="1">
      <c r="A268" s="65" t="s">
        <v>588</v>
      </c>
      <c r="B268" s="72" t="s">
        <v>587</v>
      </c>
      <c r="C268" s="72" t="s">
        <v>183</v>
      </c>
      <c r="D268" s="76">
        <f>VLOOKUP($A268,'SMEPA Stations December 2016'!$A:$G,5,0)</f>
        <v>0</v>
      </c>
      <c r="E268" s="76">
        <f>VLOOKUP($A268,'SMEPA Stations December 2016'!$A:$G,6,0)</f>
        <v>0</v>
      </c>
      <c r="F268" s="76">
        <f>VLOOKUP($A268,'SMEPA Stations December 2016'!$A:$G,7,0)</f>
        <v>18148.150000000001</v>
      </c>
      <c r="G268" s="75">
        <f t="shared" si="71"/>
        <v>18148.150000000001</v>
      </c>
      <c r="H268" s="65"/>
      <c r="I268" s="73">
        <f t="shared" si="72"/>
        <v>18148.150000000001</v>
      </c>
    </row>
    <row r="269" spans="1:9" s="69" customFormat="1" ht="15" customHeight="1">
      <c r="A269" s="65" t="s">
        <v>586</v>
      </c>
      <c r="B269" s="72" t="s">
        <v>585</v>
      </c>
      <c r="C269" s="72" t="s">
        <v>183</v>
      </c>
      <c r="D269" s="76">
        <f>VLOOKUP($A269,'SMEPA Stations December 2016'!$A:$G,5,0)</f>
        <v>0</v>
      </c>
      <c r="E269" s="76">
        <f>VLOOKUP($A269,'SMEPA Stations December 2016'!$A:$G,6,0)</f>
        <v>269594.95</v>
      </c>
      <c r="F269" s="177">
        <f>VLOOKUP($A269,'SMEPA Stations December 2016'!$A:$G,7,0)</f>
        <v>7405850.7300000004</v>
      </c>
      <c r="G269" s="75">
        <f t="shared" si="71"/>
        <v>7675445.6800000006</v>
      </c>
      <c r="H269" s="73">
        <f>+G269-14495.02</f>
        <v>7660950.6600000011</v>
      </c>
      <c r="I269" s="73">
        <f t="shared" si="72"/>
        <v>14495.019999999553</v>
      </c>
    </row>
    <row r="270" spans="1:9" s="69" customFormat="1" ht="15" customHeight="1">
      <c r="A270" s="65" t="s">
        <v>578</v>
      </c>
      <c r="B270" s="72" t="s">
        <v>1290</v>
      </c>
      <c r="C270" s="72" t="s">
        <v>183</v>
      </c>
      <c r="D270" s="76">
        <f>VLOOKUP($A270,'SMEPA Stations December 2016'!$A:$G,5,0)</f>
        <v>0</v>
      </c>
      <c r="E270" s="76">
        <f>VLOOKUP($A270,'SMEPA Stations December 2016'!$A:$G,6,0)</f>
        <v>394018.74</v>
      </c>
      <c r="F270" s="76">
        <f>VLOOKUP($A270,'SMEPA Stations December 2016'!$A:$G,7,0)</f>
        <v>420697.08</v>
      </c>
      <c r="G270" s="75">
        <f t="shared" si="71"/>
        <v>814715.82000000007</v>
      </c>
      <c r="H270" s="73">
        <f>+G270</f>
        <v>814715.82000000007</v>
      </c>
      <c r="I270" s="73">
        <f t="shared" si="72"/>
        <v>0</v>
      </c>
    </row>
    <row r="271" spans="1:9" s="69" customFormat="1" ht="15" customHeight="1">
      <c r="A271" s="65" t="s">
        <v>577</v>
      </c>
      <c r="B271" s="72" t="s">
        <v>576</v>
      </c>
      <c r="C271" s="72" t="s">
        <v>183</v>
      </c>
      <c r="D271" s="76">
        <f>VLOOKUP($A271,'SMEPA Stations December 2016'!$A:$G,5,0)</f>
        <v>0</v>
      </c>
      <c r="E271" s="76">
        <f>VLOOKUP($A271,'SMEPA Stations December 2016'!$A:$G,6,0)</f>
        <v>0</v>
      </c>
      <c r="F271" s="76">
        <f>VLOOKUP($A271,'SMEPA Stations December 2016'!$A:$G,7,0)</f>
        <v>18115.060000000001</v>
      </c>
      <c r="G271" s="75">
        <f t="shared" si="71"/>
        <v>18115.060000000001</v>
      </c>
      <c r="H271" s="65"/>
      <c r="I271" s="73">
        <f t="shared" si="72"/>
        <v>18115.060000000001</v>
      </c>
    </row>
    <row r="272" spans="1:9" s="69" customFormat="1" ht="15" customHeight="1">
      <c r="A272" s="65" t="s">
        <v>573</v>
      </c>
      <c r="B272" s="72" t="s">
        <v>572</v>
      </c>
      <c r="C272" s="72" t="s">
        <v>183</v>
      </c>
      <c r="D272" s="76">
        <f>VLOOKUP($A272,'SMEPA Stations December 2016'!$A:$G,5,0)</f>
        <v>0</v>
      </c>
      <c r="E272" s="76">
        <f>VLOOKUP($A272,'SMEPA Stations December 2016'!$A:$G,6,0)</f>
        <v>0</v>
      </c>
      <c r="F272" s="76">
        <f>VLOOKUP($A272,'SMEPA Stations December 2016'!$A:$G,7,0)</f>
        <v>6780.96</v>
      </c>
      <c r="G272" s="75">
        <f t="shared" si="71"/>
        <v>6780.96</v>
      </c>
      <c r="H272" s="65"/>
      <c r="I272" s="73">
        <f t="shared" si="72"/>
        <v>6780.96</v>
      </c>
    </row>
    <row r="273" spans="1:9" s="69" customFormat="1" ht="15" customHeight="1">
      <c r="A273" s="65" t="s">
        <v>571</v>
      </c>
      <c r="B273" s="72" t="s">
        <v>570</v>
      </c>
      <c r="C273" s="72" t="s">
        <v>183</v>
      </c>
      <c r="D273" s="76">
        <f>VLOOKUP($A273,'SMEPA Stations December 2016'!$A:$G,5,0)</f>
        <v>0</v>
      </c>
      <c r="E273" s="76">
        <f>VLOOKUP($A273,'SMEPA Stations December 2016'!$A:$G,6,0)</f>
        <v>0</v>
      </c>
      <c r="F273" s="76">
        <f>VLOOKUP($A273,'SMEPA Stations December 2016'!$A:$G,7,0)</f>
        <v>0</v>
      </c>
      <c r="G273" s="75">
        <f t="shared" si="71"/>
        <v>0</v>
      </c>
      <c r="H273" s="65"/>
      <c r="I273" s="73">
        <f t="shared" si="72"/>
        <v>0</v>
      </c>
    </row>
    <row r="274" spans="1:9" s="69" customFormat="1" ht="15" customHeight="1">
      <c r="A274" s="65" t="s">
        <v>565</v>
      </c>
      <c r="B274" s="72" t="s">
        <v>564</v>
      </c>
      <c r="C274" s="72" t="s">
        <v>183</v>
      </c>
      <c r="D274" s="76">
        <f>VLOOKUP($A274,'SMEPA Stations December 2016'!$A:$G,5,0)</f>
        <v>0</v>
      </c>
      <c r="E274" s="76">
        <f>VLOOKUP($A274,'SMEPA Stations December 2016'!$A:$G,6,0)</f>
        <v>1447539.2</v>
      </c>
      <c r="F274" s="76">
        <f>VLOOKUP($A274,'SMEPA Stations December 2016'!$A:$G,7,0)</f>
        <v>2229285.9500000002</v>
      </c>
      <c r="G274" s="75">
        <f t="shared" si="71"/>
        <v>3676825.1500000004</v>
      </c>
      <c r="H274" s="73">
        <f>+G274</f>
        <v>3676825.1500000004</v>
      </c>
      <c r="I274" s="73">
        <f t="shared" si="72"/>
        <v>0</v>
      </c>
    </row>
    <row r="275" spans="1:9" s="69" customFormat="1" ht="15" customHeight="1">
      <c r="A275" s="65" t="s">
        <v>561</v>
      </c>
      <c r="B275" s="72" t="s">
        <v>560</v>
      </c>
      <c r="C275" s="72" t="s">
        <v>183</v>
      </c>
      <c r="D275" s="76">
        <f>VLOOKUP($A275,'SMEPA Stations December 2016'!$A:$G,5,0)</f>
        <v>0</v>
      </c>
      <c r="E275" s="76">
        <f>VLOOKUP($A275,'SMEPA Stations December 2016'!$A:$G,6,0)</f>
        <v>0</v>
      </c>
      <c r="F275" s="76">
        <f>VLOOKUP($A275,'SMEPA Stations December 2016'!$A:$G,7,0)</f>
        <v>6892331.6699999999</v>
      </c>
      <c r="G275" s="75">
        <f t="shared" si="71"/>
        <v>6892331.6699999999</v>
      </c>
      <c r="H275" s="65"/>
      <c r="I275" s="73">
        <f t="shared" si="72"/>
        <v>6892331.6699999999</v>
      </c>
    </row>
    <row r="276" spans="1:9" s="69" customFormat="1" ht="15" customHeight="1">
      <c r="A276" s="65" t="s">
        <v>551</v>
      </c>
      <c r="B276" s="72" t="s">
        <v>550</v>
      </c>
      <c r="C276" s="72" t="s">
        <v>183</v>
      </c>
      <c r="D276" s="76">
        <f>VLOOKUP($A276,'SMEPA Stations December 2016'!$A:$G,5,0)</f>
        <v>0</v>
      </c>
      <c r="E276" s="76">
        <f>VLOOKUP($A276,'SMEPA Stations December 2016'!$A:$G,6,0)</f>
        <v>0</v>
      </c>
      <c r="F276" s="76">
        <f>VLOOKUP($A276,'SMEPA Stations December 2016'!$A:$G,7,0)</f>
        <v>94820.12</v>
      </c>
      <c r="G276" s="75">
        <f t="shared" si="71"/>
        <v>94820.12</v>
      </c>
      <c r="H276" s="65"/>
      <c r="I276" s="73">
        <f t="shared" si="72"/>
        <v>94820.12</v>
      </c>
    </row>
    <row r="277" spans="1:9" s="69" customFormat="1" ht="15" customHeight="1">
      <c r="A277" s="65" t="s">
        <v>549</v>
      </c>
      <c r="B277" s="72" t="s">
        <v>548</v>
      </c>
      <c r="C277" s="72" t="s">
        <v>183</v>
      </c>
      <c r="D277" s="76">
        <f>VLOOKUP($A277,'SMEPA Stations December 2016'!$A:$G,5,0)</f>
        <v>0</v>
      </c>
      <c r="E277" s="76">
        <f>VLOOKUP($A277,'SMEPA Stations December 2016'!$A:$G,6,0)</f>
        <v>2050581.56</v>
      </c>
      <c r="F277" s="177">
        <f>VLOOKUP($A277,'SMEPA Stations December 2016'!$A:$G,7,0)</f>
        <v>13686667.57</v>
      </c>
      <c r="G277" s="75">
        <f t="shared" si="71"/>
        <v>15737249.130000001</v>
      </c>
      <c r="H277" s="73">
        <f>+G277</f>
        <v>15737249.130000001</v>
      </c>
      <c r="I277" s="73">
        <f t="shared" si="72"/>
        <v>0</v>
      </c>
    </row>
    <row r="278" spans="1:9" s="69" customFormat="1" ht="15" customHeight="1">
      <c r="A278" s="65" t="s">
        <v>547</v>
      </c>
      <c r="B278" s="72" t="s">
        <v>546</v>
      </c>
      <c r="C278" s="72" t="s">
        <v>183</v>
      </c>
      <c r="D278" s="76">
        <f>VLOOKUP($A278,'SMEPA Stations December 2016'!$A:$G,5,0)</f>
        <v>0</v>
      </c>
      <c r="E278" s="76">
        <f>VLOOKUP($A278,'SMEPA Stations December 2016'!$A:$G,6,0)</f>
        <v>0</v>
      </c>
      <c r="F278" s="76">
        <f>VLOOKUP($A278,'SMEPA Stations December 2016'!$A:$G,7,0)</f>
        <v>0</v>
      </c>
      <c r="G278" s="75">
        <f t="shared" si="71"/>
        <v>0</v>
      </c>
      <c r="H278" s="65"/>
      <c r="I278" s="73">
        <f t="shared" si="72"/>
        <v>0</v>
      </c>
    </row>
    <row r="279" spans="1:9" s="69" customFormat="1" ht="15" customHeight="1">
      <c r="A279" s="65" t="s">
        <v>545</v>
      </c>
      <c r="B279" s="72" t="s">
        <v>544</v>
      </c>
      <c r="C279" s="72" t="s">
        <v>183</v>
      </c>
      <c r="D279" s="76">
        <f>VLOOKUP($A279,'SMEPA Stations December 2016'!$A:$G,5,0)</f>
        <v>0</v>
      </c>
      <c r="E279" s="177">
        <f>VLOOKUP($A279,'SMEPA Stations December 2016'!$A:$G,6,0)</f>
        <v>347441.64</v>
      </c>
      <c r="F279" s="177">
        <f>VLOOKUP($A279,'SMEPA Stations December 2016'!$A:$G,7,0)</f>
        <v>5745411.1299999999</v>
      </c>
      <c r="G279" s="75">
        <f t="shared" si="71"/>
        <v>6092852.7699999996</v>
      </c>
      <c r="H279" s="73">
        <f>G279</f>
        <v>6092852.7699999996</v>
      </c>
      <c r="I279" s="73">
        <f t="shared" si="72"/>
        <v>0</v>
      </c>
    </row>
    <row r="280" spans="1:9" s="69" customFormat="1" ht="15" customHeight="1">
      <c r="A280" s="65" t="s">
        <v>537</v>
      </c>
      <c r="B280" s="72" t="s">
        <v>536</v>
      </c>
      <c r="C280" s="72" t="s">
        <v>183</v>
      </c>
      <c r="D280" s="76">
        <f>VLOOKUP($A280,'SMEPA Stations December 2016'!$A:$G,5,0)</f>
        <v>0</v>
      </c>
      <c r="E280" s="76">
        <f>VLOOKUP($A280,'SMEPA Stations December 2016'!$A:$G,6,0)</f>
        <v>544111.6</v>
      </c>
      <c r="F280" s="76">
        <f>VLOOKUP($A280,'SMEPA Stations December 2016'!$A:$G,7,0)</f>
        <v>551267.13</v>
      </c>
      <c r="G280" s="75">
        <f t="shared" si="71"/>
        <v>1095378.73</v>
      </c>
      <c r="H280" s="73">
        <f>+G280-24406.19</f>
        <v>1070972.54</v>
      </c>
      <c r="I280" s="73">
        <f t="shared" si="72"/>
        <v>24406.189999999944</v>
      </c>
    </row>
    <row r="281" spans="1:9" s="69" customFormat="1" ht="15" customHeight="1">
      <c r="A281" s="65" t="s">
        <v>531</v>
      </c>
      <c r="B281" s="72" t="s">
        <v>530</v>
      </c>
      <c r="C281" s="72" t="s">
        <v>183</v>
      </c>
      <c r="D281" s="76">
        <f>VLOOKUP($A281,'SMEPA Stations December 2016'!$A:$G,5,0)</f>
        <v>0</v>
      </c>
      <c r="E281" s="76">
        <f>VLOOKUP($A281,'SMEPA Stations December 2016'!$A:$G,6,0)</f>
        <v>374457.68</v>
      </c>
      <c r="F281" s="76">
        <f>VLOOKUP($A281,'SMEPA Stations December 2016'!$A:$G,7,0)</f>
        <v>552133.77</v>
      </c>
      <c r="G281" s="75">
        <f t="shared" si="71"/>
        <v>926591.45</v>
      </c>
      <c r="H281" s="73">
        <f>+G281-40017.12</f>
        <v>886574.33</v>
      </c>
      <c r="I281" s="73">
        <f t="shared" si="72"/>
        <v>40017.119999999995</v>
      </c>
    </row>
    <row r="282" spans="1:9" s="69" customFormat="1" ht="18" customHeight="1">
      <c r="A282" s="65" t="s">
        <v>529</v>
      </c>
      <c r="B282" s="72" t="s">
        <v>528</v>
      </c>
      <c r="C282" s="72" t="s">
        <v>183</v>
      </c>
      <c r="D282" s="76">
        <f>VLOOKUP($A282,'SMEPA Stations December 2016'!$A:$G,5,0)</f>
        <v>0</v>
      </c>
      <c r="E282" s="76">
        <f>VLOOKUP($A282,'SMEPA Stations December 2016'!$A:$G,6,0)</f>
        <v>0</v>
      </c>
      <c r="F282" s="76">
        <f>VLOOKUP($A282,'SMEPA Stations December 2016'!$A:$G,7,0)</f>
        <v>13052.06</v>
      </c>
      <c r="G282" s="75">
        <f t="shared" si="71"/>
        <v>13052.06</v>
      </c>
      <c r="H282" s="65"/>
      <c r="I282" s="73">
        <f t="shared" si="72"/>
        <v>13052.06</v>
      </c>
    </row>
    <row r="283" spans="1:9" s="69" customFormat="1" ht="15" customHeight="1">
      <c r="A283" s="65" t="s">
        <v>519</v>
      </c>
      <c r="B283" s="72" t="s">
        <v>518</v>
      </c>
      <c r="C283" s="72" t="s">
        <v>183</v>
      </c>
      <c r="D283" s="76">
        <f>VLOOKUP($A283,'SMEPA Stations December 2016'!$A:$G,5,0)</f>
        <v>0</v>
      </c>
      <c r="E283" s="76">
        <f>VLOOKUP($A283,'SMEPA Stations December 2016'!$A:$G,6,0)</f>
        <v>0</v>
      </c>
      <c r="F283" s="177">
        <f>VLOOKUP($A283,'SMEPA Stations December 2016'!$A:$G,7,0)</f>
        <v>23700.19</v>
      </c>
      <c r="G283" s="75">
        <f t="shared" si="71"/>
        <v>23700.19</v>
      </c>
      <c r="H283" s="65"/>
      <c r="I283" s="73">
        <f t="shared" si="72"/>
        <v>23700.19</v>
      </c>
    </row>
    <row r="284" spans="1:9" s="69" customFormat="1" ht="15" customHeight="1">
      <c r="A284" s="65" t="s">
        <v>513</v>
      </c>
      <c r="B284" s="72" t="s">
        <v>512</v>
      </c>
      <c r="C284" s="72" t="s">
        <v>183</v>
      </c>
      <c r="D284" s="76">
        <f>VLOOKUP($A284,'SMEPA Stations December 2016'!$A:$G,5,0)</f>
        <v>0</v>
      </c>
      <c r="E284" s="76">
        <f>VLOOKUP($A284,'SMEPA Stations December 2016'!$A:$G,6,0)</f>
        <v>0</v>
      </c>
      <c r="F284" s="76">
        <f>VLOOKUP($A284,'SMEPA Stations December 2016'!$A:$G,7,0)</f>
        <v>16957.689999999999</v>
      </c>
      <c r="G284" s="75">
        <f t="shared" si="71"/>
        <v>16957.689999999999</v>
      </c>
      <c r="H284" s="65"/>
      <c r="I284" s="73">
        <f t="shared" si="72"/>
        <v>16957.689999999999</v>
      </c>
    </row>
    <row r="285" spans="1:9" s="69" customFormat="1" ht="15" customHeight="1">
      <c r="A285" s="65" t="s">
        <v>511</v>
      </c>
      <c r="B285" s="72" t="s">
        <v>510</v>
      </c>
      <c r="C285" s="72" t="s">
        <v>183</v>
      </c>
      <c r="D285" s="76">
        <f>VLOOKUP($A285,'SMEPA Stations December 2016'!$A:$G,5,0)</f>
        <v>0</v>
      </c>
      <c r="E285" s="76">
        <f>VLOOKUP($A285,'SMEPA Stations December 2016'!$A:$G,6,0)</f>
        <v>0</v>
      </c>
      <c r="F285" s="76">
        <f>VLOOKUP($A285,'SMEPA Stations December 2016'!$A:$G,7,0)</f>
        <v>12187.18</v>
      </c>
      <c r="G285" s="75">
        <f t="shared" si="71"/>
        <v>12187.18</v>
      </c>
      <c r="H285" s="73">
        <f>+G285-12187.18</f>
        <v>0</v>
      </c>
      <c r="I285" s="73">
        <f t="shared" si="72"/>
        <v>12187.18</v>
      </c>
    </row>
    <row r="286" spans="1:9" s="69" customFormat="1" ht="15" customHeight="1">
      <c r="A286" s="65" t="s">
        <v>509</v>
      </c>
      <c r="B286" s="72" t="s">
        <v>508</v>
      </c>
      <c r="C286" s="72" t="s">
        <v>183</v>
      </c>
      <c r="D286" s="76">
        <f>VLOOKUP($A286,'SMEPA Stations December 2016'!$A:$G,5,0)</f>
        <v>0</v>
      </c>
      <c r="E286" s="76">
        <f>VLOOKUP($A286,'SMEPA Stations December 2016'!$A:$G,6,0)</f>
        <v>0</v>
      </c>
      <c r="F286" s="76">
        <f>VLOOKUP($A286,'SMEPA Stations December 2016'!$A:$G,7,0)</f>
        <v>1399.95</v>
      </c>
      <c r="G286" s="75">
        <f t="shared" si="71"/>
        <v>1399.95</v>
      </c>
      <c r="H286" s="65"/>
      <c r="I286" s="73">
        <f t="shared" si="72"/>
        <v>1399.95</v>
      </c>
    </row>
    <row r="287" spans="1:9" s="69" customFormat="1" ht="15" customHeight="1">
      <c r="A287" s="65" t="s">
        <v>501</v>
      </c>
      <c r="B287" s="72" t="s">
        <v>500</v>
      </c>
      <c r="C287" s="72" t="s">
        <v>183</v>
      </c>
      <c r="D287" s="76">
        <f>VLOOKUP($A287,'SMEPA Stations December 2016'!$A:$G,5,0)</f>
        <v>0</v>
      </c>
      <c r="E287" s="76">
        <f>VLOOKUP($A287,'SMEPA Stations December 2016'!$A:$G,6,0)</f>
        <v>11525.93</v>
      </c>
      <c r="F287" s="76">
        <f>VLOOKUP($A287,'SMEPA Stations December 2016'!$A:$G,7,0)</f>
        <v>496611.79</v>
      </c>
      <c r="G287" s="75">
        <f t="shared" si="71"/>
        <v>508137.72</v>
      </c>
      <c r="H287" s="73">
        <f>+G287</f>
        <v>508137.72</v>
      </c>
      <c r="I287" s="73">
        <f t="shared" si="72"/>
        <v>0</v>
      </c>
    </row>
    <row r="288" spans="1:9" s="69" customFormat="1" ht="15" customHeight="1">
      <c r="A288" s="65" t="s">
        <v>497</v>
      </c>
      <c r="B288" s="72" t="s">
        <v>496</v>
      </c>
      <c r="C288" s="72" t="s">
        <v>183</v>
      </c>
      <c r="D288" s="76">
        <f>VLOOKUP($A288,'SMEPA Stations December 2016'!$A:$G,5,0)</f>
        <v>126536.06</v>
      </c>
      <c r="E288" s="76">
        <f>VLOOKUP($A288,'SMEPA Stations December 2016'!$A:$G,6,0)</f>
        <v>0</v>
      </c>
      <c r="F288" s="76">
        <f>VLOOKUP($A288,'SMEPA Stations December 2016'!$A:$G,7,0)</f>
        <v>0</v>
      </c>
      <c r="G288" s="75">
        <f t="shared" si="71"/>
        <v>126536.06</v>
      </c>
      <c r="H288" s="65"/>
      <c r="I288" s="73">
        <f t="shared" si="72"/>
        <v>126536.06</v>
      </c>
    </row>
    <row r="289" spans="1:9" s="69" customFormat="1" ht="15" customHeight="1">
      <c r="A289" s="65" t="s">
        <v>495</v>
      </c>
      <c r="B289" s="72" t="s">
        <v>494</v>
      </c>
      <c r="C289" s="72" t="s">
        <v>183</v>
      </c>
      <c r="D289" s="76">
        <f>VLOOKUP($A289,'SMEPA Stations December 2016'!$A:$G,5,0)</f>
        <v>0</v>
      </c>
      <c r="E289" s="76">
        <f>VLOOKUP($A289,'SMEPA Stations December 2016'!$A:$G,6,0)</f>
        <v>0</v>
      </c>
      <c r="F289" s="76">
        <f>VLOOKUP($A289,'SMEPA Stations December 2016'!$A:$G,7,0)</f>
        <v>23161.919999999998</v>
      </c>
      <c r="G289" s="75">
        <f t="shared" si="71"/>
        <v>23161.919999999998</v>
      </c>
      <c r="H289" s="65"/>
      <c r="I289" s="73">
        <f t="shared" si="72"/>
        <v>23161.919999999998</v>
      </c>
    </row>
    <row r="290" spans="1:9" s="69" customFormat="1" ht="15" customHeight="1">
      <c r="A290" s="65" t="s">
        <v>491</v>
      </c>
      <c r="B290" s="72" t="s">
        <v>490</v>
      </c>
      <c r="C290" s="72" t="s">
        <v>183</v>
      </c>
      <c r="D290" s="76">
        <f>VLOOKUP($A290,'SMEPA Stations December 2016'!$A:$G,5,0)</f>
        <v>0</v>
      </c>
      <c r="E290" s="76">
        <f>VLOOKUP($A290,'SMEPA Stations December 2016'!$A:$G,6,0)</f>
        <v>0</v>
      </c>
      <c r="F290" s="76">
        <f>VLOOKUP($A290,'SMEPA Stations December 2016'!$A:$G,7,0)</f>
        <v>22762.58</v>
      </c>
      <c r="G290" s="75">
        <f t="shared" si="71"/>
        <v>22762.58</v>
      </c>
      <c r="H290" s="65"/>
      <c r="I290" s="73">
        <f t="shared" si="72"/>
        <v>22762.58</v>
      </c>
    </row>
    <row r="291" spans="1:9" s="69" customFormat="1" ht="15" customHeight="1">
      <c r="A291" s="65" t="s">
        <v>483</v>
      </c>
      <c r="B291" s="72" t="s">
        <v>482</v>
      </c>
      <c r="C291" s="72" t="s">
        <v>183</v>
      </c>
      <c r="D291" s="76">
        <f>VLOOKUP($A291,'SMEPA Stations December 2016'!$A:$G,5,0)</f>
        <v>0</v>
      </c>
      <c r="E291" s="76">
        <f>VLOOKUP($A291,'SMEPA Stations December 2016'!$A:$G,6,0)</f>
        <v>0</v>
      </c>
      <c r="F291" s="76">
        <f>VLOOKUP($A291,'SMEPA Stations December 2016'!$A:$G,7,0)</f>
        <v>16856.759999999998</v>
      </c>
      <c r="G291" s="75">
        <f t="shared" si="71"/>
        <v>16856.759999999998</v>
      </c>
      <c r="H291" s="65"/>
      <c r="I291" s="73">
        <f t="shared" si="72"/>
        <v>16856.759999999998</v>
      </c>
    </row>
    <row r="292" spans="1:9" s="69" customFormat="1" ht="15" customHeight="1">
      <c r="A292" s="65" t="s">
        <v>481</v>
      </c>
      <c r="B292" s="72" t="s">
        <v>480</v>
      </c>
      <c r="C292" s="72" t="s">
        <v>183</v>
      </c>
      <c r="D292" s="76">
        <f>VLOOKUP($A292,'SMEPA Stations December 2016'!$A:$G,5,0)</f>
        <v>0</v>
      </c>
      <c r="E292" s="76">
        <f>VLOOKUP($A292,'SMEPA Stations December 2016'!$A:$G,6,0)</f>
        <v>0</v>
      </c>
      <c r="F292" s="76">
        <f>VLOOKUP($A292,'SMEPA Stations December 2016'!$A:$G,7,0)</f>
        <v>10481.25</v>
      </c>
      <c r="G292" s="75">
        <f t="shared" si="71"/>
        <v>10481.25</v>
      </c>
      <c r="H292" s="65"/>
      <c r="I292" s="73">
        <f t="shared" si="72"/>
        <v>10481.25</v>
      </c>
    </row>
    <row r="293" spans="1:9" s="69" customFormat="1" ht="15" customHeight="1">
      <c r="A293" s="65" t="s">
        <v>479</v>
      </c>
      <c r="B293" s="72" t="s">
        <v>478</v>
      </c>
      <c r="C293" s="72" t="s">
        <v>183</v>
      </c>
      <c r="D293" s="76">
        <f>VLOOKUP($A293,'SMEPA Stations December 2016'!$A:$G,5,0)</f>
        <v>0</v>
      </c>
      <c r="E293" s="76">
        <f>VLOOKUP($A293,'SMEPA Stations December 2016'!$A:$G,6,0)</f>
        <v>0</v>
      </c>
      <c r="F293" s="76">
        <f>VLOOKUP($A293,'SMEPA Stations December 2016'!$A:$G,7,0)</f>
        <v>0</v>
      </c>
      <c r="G293" s="75">
        <f t="shared" si="71"/>
        <v>0</v>
      </c>
      <c r="H293" s="65"/>
      <c r="I293" s="73">
        <f t="shared" si="72"/>
        <v>0</v>
      </c>
    </row>
    <row r="294" spans="1:9" s="69" customFormat="1" ht="15" customHeight="1">
      <c r="A294" s="65" t="s">
        <v>477</v>
      </c>
      <c r="B294" s="72" t="s">
        <v>476</v>
      </c>
      <c r="C294" s="72" t="s">
        <v>183</v>
      </c>
      <c r="D294" s="76">
        <f>VLOOKUP($A294,'SMEPA Stations December 2016'!$A:$G,5,0)</f>
        <v>0</v>
      </c>
      <c r="E294" s="76">
        <f>VLOOKUP($A294,'SMEPA Stations December 2016'!$A:$G,6,0)</f>
        <v>0</v>
      </c>
      <c r="F294" s="76">
        <f>VLOOKUP($A294,'SMEPA Stations December 2016'!$A:$G,7,0)</f>
        <v>25863.06</v>
      </c>
      <c r="G294" s="75">
        <f t="shared" si="71"/>
        <v>25863.06</v>
      </c>
      <c r="H294" s="65"/>
      <c r="I294" s="73">
        <f t="shared" si="72"/>
        <v>25863.06</v>
      </c>
    </row>
    <row r="295" spans="1:9" s="69" customFormat="1" ht="15" customHeight="1">
      <c r="A295" s="65" t="s">
        <v>475</v>
      </c>
      <c r="B295" s="72" t="s">
        <v>474</v>
      </c>
      <c r="C295" s="72" t="s">
        <v>183</v>
      </c>
      <c r="D295" s="76">
        <f>VLOOKUP($A295,'SMEPA Stations December 2016'!$A:$G,5,0)</f>
        <v>51359.92</v>
      </c>
      <c r="E295" s="76">
        <f>VLOOKUP($A295,'SMEPA Stations December 2016'!$A:$G,6,0)</f>
        <v>1465242.72</v>
      </c>
      <c r="F295" s="177">
        <f>VLOOKUP($A295,'SMEPA Stations December 2016'!$A:$G,7,0)</f>
        <v>1873006.47</v>
      </c>
      <c r="G295" s="75">
        <f t="shared" si="71"/>
        <v>3389609.11</v>
      </c>
      <c r="H295" s="73">
        <f>+G295</f>
        <v>3389609.11</v>
      </c>
      <c r="I295" s="73">
        <f t="shared" si="72"/>
        <v>0</v>
      </c>
    </row>
    <row r="296" spans="1:9" s="69" customFormat="1" ht="15" customHeight="1">
      <c r="A296" s="65" t="s">
        <v>471</v>
      </c>
      <c r="B296" s="72" t="s">
        <v>470</v>
      </c>
      <c r="C296" s="72" t="s">
        <v>183</v>
      </c>
      <c r="D296" s="76">
        <f>VLOOKUP($A296,'SMEPA Stations December 2016'!$A:$G,5,0)</f>
        <v>0</v>
      </c>
      <c r="E296" s="76">
        <f>VLOOKUP($A296,'SMEPA Stations December 2016'!$A:$G,6,0)</f>
        <v>0</v>
      </c>
      <c r="F296" s="76">
        <f>VLOOKUP($A296,'SMEPA Stations December 2016'!$A:$G,7,0)</f>
        <v>292289.93</v>
      </c>
      <c r="G296" s="75">
        <f t="shared" si="71"/>
        <v>292289.93</v>
      </c>
      <c r="H296" s="73">
        <f>+G296-7441.52</f>
        <v>284848.40999999997</v>
      </c>
      <c r="I296" s="73">
        <f t="shared" si="72"/>
        <v>7441.5200000000186</v>
      </c>
    </row>
    <row r="297" spans="1:9" s="69" customFormat="1" ht="15" customHeight="1">
      <c r="A297" s="65" t="s">
        <v>469</v>
      </c>
      <c r="B297" s="72" t="s">
        <v>468</v>
      </c>
      <c r="C297" s="72" t="s">
        <v>183</v>
      </c>
      <c r="D297" s="76">
        <f>VLOOKUP($A297,'SMEPA Stations December 2016'!$A:$G,5,0)</f>
        <v>28000</v>
      </c>
      <c r="E297" s="76">
        <f>VLOOKUP($A297,'SMEPA Stations December 2016'!$A:$G,6,0)</f>
        <v>2102771.63</v>
      </c>
      <c r="F297" s="177">
        <f>VLOOKUP($A297,'SMEPA Stations December 2016'!$A:$G,7,0)</f>
        <v>1816781.33</v>
      </c>
      <c r="G297" s="75">
        <f t="shared" si="71"/>
        <v>3947552.96</v>
      </c>
      <c r="H297" s="73">
        <f>+G297</f>
        <v>3947552.96</v>
      </c>
      <c r="I297" s="73">
        <f t="shared" si="72"/>
        <v>0</v>
      </c>
    </row>
    <row r="298" spans="1:9" s="69" customFormat="1" ht="15" customHeight="1">
      <c r="A298" s="65" t="s">
        <v>467</v>
      </c>
      <c r="B298" s="72" t="s">
        <v>466</v>
      </c>
      <c r="C298" s="72" t="s">
        <v>183</v>
      </c>
      <c r="D298" s="76">
        <f>VLOOKUP($A298,'SMEPA Stations December 2016'!$A:$G,5,0)</f>
        <v>0</v>
      </c>
      <c r="E298" s="76">
        <f>VLOOKUP($A298,'SMEPA Stations December 2016'!$A:$G,6,0)</f>
        <v>0</v>
      </c>
      <c r="F298" s="76">
        <f>VLOOKUP($A298,'SMEPA Stations December 2016'!$A:$G,7,0)</f>
        <v>10023.35</v>
      </c>
      <c r="G298" s="75">
        <f t="shared" si="71"/>
        <v>10023.35</v>
      </c>
      <c r="H298" s="65"/>
      <c r="I298" s="73">
        <f t="shared" si="72"/>
        <v>10023.35</v>
      </c>
    </row>
    <row r="299" spans="1:9" s="69" customFormat="1" ht="15" customHeight="1">
      <c r="A299" s="65" t="s">
        <v>463</v>
      </c>
      <c r="B299" s="72" t="s">
        <v>462</v>
      </c>
      <c r="C299" s="72" t="s">
        <v>183</v>
      </c>
      <c r="D299" s="76">
        <f>VLOOKUP($A299,'SMEPA Stations December 2016'!$A:$G,5,0)</f>
        <v>0</v>
      </c>
      <c r="E299" s="76">
        <f>VLOOKUP($A299,'SMEPA Stations December 2016'!$A:$G,6,0)</f>
        <v>0</v>
      </c>
      <c r="F299" s="76">
        <f>VLOOKUP($A299,'SMEPA Stations December 2016'!$A:$G,7,0)</f>
        <v>19225.52</v>
      </c>
      <c r="G299" s="75">
        <f t="shared" si="71"/>
        <v>19225.52</v>
      </c>
      <c r="H299" s="65"/>
      <c r="I299" s="73">
        <f t="shared" si="72"/>
        <v>19225.52</v>
      </c>
    </row>
    <row r="300" spans="1:9" s="69" customFormat="1" ht="15" customHeight="1">
      <c r="A300" s="65" t="s">
        <v>461</v>
      </c>
      <c r="B300" s="72" t="s">
        <v>460</v>
      </c>
      <c r="C300" s="72" t="s">
        <v>183</v>
      </c>
      <c r="D300" s="76">
        <f>VLOOKUP($A300,'SMEPA Stations December 2016'!$A:$G,5,0)</f>
        <v>0</v>
      </c>
      <c r="E300" s="177">
        <f>VLOOKUP($A300,'SMEPA Stations December 2016'!$A:$G,6,0)</f>
        <v>357994.03</v>
      </c>
      <c r="F300" s="177">
        <f>VLOOKUP($A300,'SMEPA Stations December 2016'!$A:$G,7,0)</f>
        <v>8352560.5200000005</v>
      </c>
      <c r="G300" s="75">
        <f t="shared" si="71"/>
        <v>8710554.5500000007</v>
      </c>
      <c r="H300" s="73">
        <f>+G300</f>
        <v>8710554.5500000007</v>
      </c>
      <c r="I300" s="73">
        <f t="shared" si="72"/>
        <v>0</v>
      </c>
    </row>
    <row r="301" spans="1:9" s="69" customFormat="1" ht="15" customHeight="1">
      <c r="A301" s="65" t="s">
        <v>459</v>
      </c>
      <c r="B301" s="72" t="s">
        <v>458</v>
      </c>
      <c r="C301" s="72" t="s">
        <v>183</v>
      </c>
      <c r="D301" s="76">
        <f>VLOOKUP($A301,'SMEPA Stations December 2016'!$A:$G,5,0)</f>
        <v>0</v>
      </c>
      <c r="E301" s="76">
        <f>VLOOKUP($A301,'SMEPA Stations December 2016'!$A:$G,6,0)</f>
        <v>0</v>
      </c>
      <c r="F301" s="76">
        <f>VLOOKUP($A301,'SMEPA Stations December 2016'!$A:$G,7,0)</f>
        <v>10131.629999999999</v>
      </c>
      <c r="G301" s="75">
        <f t="shared" si="71"/>
        <v>10131.629999999999</v>
      </c>
      <c r="H301" s="65"/>
      <c r="I301" s="73">
        <f t="shared" si="72"/>
        <v>10131.629999999999</v>
      </c>
    </row>
    <row r="302" spans="1:9" s="69" customFormat="1" ht="15" customHeight="1">
      <c r="A302" s="65" t="s">
        <v>455</v>
      </c>
      <c r="B302" s="72" t="s">
        <v>454</v>
      </c>
      <c r="C302" s="72" t="s">
        <v>183</v>
      </c>
      <c r="D302" s="76">
        <f>VLOOKUP($A302,'SMEPA Stations December 2016'!$A:$G,5,0)</f>
        <v>0</v>
      </c>
      <c r="E302" s="76">
        <f>VLOOKUP($A302,'SMEPA Stations December 2016'!$A:$G,6,0)</f>
        <v>78368.210000000006</v>
      </c>
      <c r="F302" s="76">
        <f>VLOOKUP($A302,'SMEPA Stations December 2016'!$A:$G,7,0)</f>
        <v>582538.42000000004</v>
      </c>
      <c r="G302" s="75">
        <f t="shared" si="71"/>
        <v>660906.63</v>
      </c>
      <c r="H302" s="73">
        <f>+G302-11851.19</f>
        <v>649055.44000000006</v>
      </c>
      <c r="I302" s="73">
        <f t="shared" si="72"/>
        <v>11851.189999999944</v>
      </c>
    </row>
    <row r="303" spans="1:9" s="69" customFormat="1" ht="15" customHeight="1">
      <c r="A303" s="65" t="s">
        <v>449</v>
      </c>
      <c r="B303" s="72" t="s">
        <v>448</v>
      </c>
      <c r="C303" s="72" t="s">
        <v>183</v>
      </c>
      <c r="D303" s="76">
        <f>VLOOKUP($A303,'SMEPA Stations December 2016'!$A:$G,5,0)</f>
        <v>0</v>
      </c>
      <c r="E303" s="76">
        <f>VLOOKUP($A303,'SMEPA Stations December 2016'!$A:$G,6,0)</f>
        <v>0</v>
      </c>
      <c r="F303" s="76">
        <f>VLOOKUP($A303,'SMEPA Stations December 2016'!$A:$G,7,0)</f>
        <v>8374.6</v>
      </c>
      <c r="G303" s="75">
        <f t="shared" si="71"/>
        <v>8374.6</v>
      </c>
      <c r="H303" s="65"/>
      <c r="I303" s="73">
        <f t="shared" si="72"/>
        <v>8374.6</v>
      </c>
    </row>
    <row r="304" spans="1:9" s="69" customFormat="1" ht="15" customHeight="1">
      <c r="A304" s="65" t="s">
        <v>447</v>
      </c>
      <c r="B304" s="72" t="s">
        <v>446</v>
      </c>
      <c r="C304" s="72" t="s">
        <v>183</v>
      </c>
      <c r="D304" s="76">
        <f>VLOOKUP($A304,'SMEPA Stations December 2016'!$A:$G,5,0)</f>
        <v>0</v>
      </c>
      <c r="E304" s="76">
        <f>VLOOKUP($A304,'SMEPA Stations December 2016'!$A:$G,6,0)</f>
        <v>56398.76</v>
      </c>
      <c r="F304" s="76">
        <f>VLOOKUP($A304,'SMEPA Stations December 2016'!$A:$G,7,0)</f>
        <v>631141.75</v>
      </c>
      <c r="G304" s="75">
        <f t="shared" ref="G304:G345" si="73">SUM(D304:F304)</f>
        <v>687540.51</v>
      </c>
      <c r="H304" s="73">
        <f>+G304-8418.67</f>
        <v>679121.84</v>
      </c>
      <c r="I304" s="73">
        <f t="shared" ref="I304:I343" si="74">+G304-H304</f>
        <v>8418.6700000000419</v>
      </c>
    </row>
    <row r="305" spans="1:9" s="69" customFormat="1" ht="15" customHeight="1">
      <c r="A305" s="65" t="s">
        <v>443</v>
      </c>
      <c r="B305" s="72" t="s">
        <v>442</v>
      </c>
      <c r="C305" s="72" t="s">
        <v>183</v>
      </c>
      <c r="D305" s="76">
        <f>VLOOKUP($A305,'SMEPA Stations December 2016'!$A:$G,5,0)</f>
        <v>0</v>
      </c>
      <c r="E305" s="76">
        <f>VLOOKUP($A305,'SMEPA Stations December 2016'!$A:$G,6,0)</f>
        <v>0</v>
      </c>
      <c r="F305" s="76">
        <f>VLOOKUP($A305,'SMEPA Stations December 2016'!$A:$G,7,0)</f>
        <v>7500.99</v>
      </c>
      <c r="G305" s="75">
        <f t="shared" si="73"/>
        <v>7500.99</v>
      </c>
      <c r="H305" s="65"/>
      <c r="I305" s="73">
        <f t="shared" si="74"/>
        <v>7500.99</v>
      </c>
    </row>
    <row r="306" spans="1:9" s="448" customFormat="1" ht="15" customHeight="1">
      <c r="A306" s="382" t="s">
        <v>435</v>
      </c>
      <c r="B306" s="383" t="s">
        <v>948</v>
      </c>
      <c r="C306" s="383" t="s">
        <v>183</v>
      </c>
      <c r="D306" s="445">
        <f>VLOOKUP($A306,'SMEPA Stations December 2016'!$A:$G,5,0)</f>
        <v>0</v>
      </c>
      <c r="E306" s="445">
        <v>0</v>
      </c>
      <c r="F306" s="445">
        <v>0</v>
      </c>
      <c r="G306" s="446">
        <f t="shared" si="73"/>
        <v>0</v>
      </c>
      <c r="H306" s="382"/>
      <c r="I306" s="447">
        <f t="shared" si="74"/>
        <v>0</v>
      </c>
    </row>
    <row r="307" spans="1:9" s="69" customFormat="1" ht="15" customHeight="1">
      <c r="A307" s="65" t="s">
        <v>433</v>
      </c>
      <c r="B307" s="72" t="s">
        <v>432</v>
      </c>
      <c r="C307" s="72" t="s">
        <v>183</v>
      </c>
      <c r="D307" s="76">
        <f>VLOOKUP($A307,'SMEPA Stations December 2016'!$A:$G,5,0)</f>
        <v>0</v>
      </c>
      <c r="E307" s="76">
        <f>VLOOKUP($A307,'SMEPA Stations December 2016'!$A:$G,6,0)</f>
        <v>0</v>
      </c>
      <c r="F307" s="76">
        <f>VLOOKUP($A307,'SMEPA Stations December 2016'!$A:$G,7,0)</f>
        <v>0</v>
      </c>
      <c r="G307" s="75">
        <f t="shared" si="73"/>
        <v>0</v>
      </c>
      <c r="H307" s="65"/>
      <c r="I307" s="73">
        <f t="shared" si="74"/>
        <v>0</v>
      </c>
    </row>
    <row r="308" spans="1:9" s="69" customFormat="1" ht="15" customHeight="1">
      <c r="A308" s="65" t="s">
        <v>431</v>
      </c>
      <c r="B308" s="72" t="s">
        <v>430</v>
      </c>
      <c r="C308" s="72" t="s">
        <v>183</v>
      </c>
      <c r="D308" s="76">
        <f>VLOOKUP($A308,'SMEPA Stations December 2016'!$A:$G,5,0)</f>
        <v>0</v>
      </c>
      <c r="E308" s="76">
        <f>VLOOKUP($A308,'SMEPA Stations December 2016'!$A:$G,6,0)</f>
        <v>0</v>
      </c>
      <c r="F308" s="76">
        <f>VLOOKUP($A308,'SMEPA Stations December 2016'!$A:$G,7,0)</f>
        <v>21663.31</v>
      </c>
      <c r="G308" s="75">
        <f t="shared" si="73"/>
        <v>21663.31</v>
      </c>
      <c r="H308" s="65"/>
      <c r="I308" s="73">
        <f t="shared" si="74"/>
        <v>21663.31</v>
      </c>
    </row>
    <row r="309" spans="1:9" s="69" customFormat="1" ht="15" customHeight="1">
      <c r="A309" s="65" t="s">
        <v>429</v>
      </c>
      <c r="B309" s="72" t="s">
        <v>428</v>
      </c>
      <c r="C309" s="72" t="s">
        <v>183</v>
      </c>
      <c r="D309" s="76">
        <f>VLOOKUP($A309,'SMEPA Stations December 2016'!$A:$G,5,0)</f>
        <v>0</v>
      </c>
      <c r="E309" s="76">
        <f>VLOOKUP($A309,'SMEPA Stations December 2016'!$A:$G,6,0)</f>
        <v>0</v>
      </c>
      <c r="F309" s="76">
        <f>VLOOKUP($A309,'SMEPA Stations December 2016'!$A:$G,7,0)</f>
        <v>11422.05</v>
      </c>
      <c r="G309" s="75">
        <f t="shared" si="73"/>
        <v>11422.05</v>
      </c>
      <c r="H309" s="65"/>
      <c r="I309" s="73">
        <f t="shared" si="74"/>
        <v>11422.05</v>
      </c>
    </row>
    <row r="310" spans="1:9" s="69" customFormat="1" ht="15" customHeight="1">
      <c r="A310" s="65" t="s">
        <v>1267</v>
      </c>
      <c r="B310" s="72" t="s">
        <v>1268</v>
      </c>
      <c r="C310" s="72" t="s">
        <v>183</v>
      </c>
      <c r="D310" s="76">
        <f>VLOOKUP($A310,'SMEPA Stations December 2016'!$A:$G,5,0)</f>
        <v>0</v>
      </c>
      <c r="E310" s="76">
        <f>VLOOKUP($A310,'SMEPA Stations December 2016'!$A:$G,6,0)</f>
        <v>0</v>
      </c>
      <c r="F310" s="76">
        <f>VLOOKUP($A310,'SMEPA Stations December 2016'!$A:$G,7,0)</f>
        <v>39178.39</v>
      </c>
      <c r="G310" s="75">
        <f t="shared" ref="G310" si="75">SUM(D310:F310)</f>
        <v>39178.39</v>
      </c>
      <c r="H310" s="65"/>
      <c r="I310" s="73">
        <f t="shared" ref="I310" si="76">+G310-H310</f>
        <v>39178.39</v>
      </c>
    </row>
    <row r="311" spans="1:9" s="69" customFormat="1" ht="15" customHeight="1">
      <c r="A311" s="65" t="s">
        <v>419</v>
      </c>
      <c r="B311" s="72" t="s">
        <v>418</v>
      </c>
      <c r="C311" s="72" t="s">
        <v>183</v>
      </c>
      <c r="D311" s="76">
        <f>VLOOKUP($A311,'SMEPA Stations December 2016'!$A:$G,5,0)</f>
        <v>0</v>
      </c>
      <c r="E311" s="76">
        <f>VLOOKUP($A311,'SMEPA Stations December 2016'!$A:$G,6,0)</f>
        <v>69534</v>
      </c>
      <c r="F311" s="177">
        <f>VLOOKUP($A311,'SMEPA Stations December 2016'!$A:$G,7,0)</f>
        <v>426916.47</v>
      </c>
      <c r="G311" s="75">
        <f t="shared" si="73"/>
        <v>496450.47</v>
      </c>
      <c r="H311" s="73">
        <f>+G311</f>
        <v>496450.47</v>
      </c>
      <c r="I311" s="73">
        <f t="shared" si="74"/>
        <v>0</v>
      </c>
    </row>
    <row r="312" spans="1:9" s="69" customFormat="1" ht="15" customHeight="1">
      <c r="A312" s="65" t="s">
        <v>417</v>
      </c>
      <c r="B312" s="72" t="s">
        <v>416</v>
      </c>
      <c r="C312" s="72" t="s">
        <v>183</v>
      </c>
      <c r="D312" s="76">
        <f>VLOOKUP($A312,'SMEPA Stations December 2016'!$A:$G,5,0)</f>
        <v>144266.88</v>
      </c>
      <c r="E312" s="76">
        <f>VLOOKUP($A312,'SMEPA Stations December 2016'!$A:$G,6,0)</f>
        <v>3701068.18</v>
      </c>
      <c r="F312" s="177">
        <f>VLOOKUP($A312,'SMEPA Stations December 2016'!$A:$G,7,0)</f>
        <v>3472074.56</v>
      </c>
      <c r="G312" s="75">
        <f t="shared" si="73"/>
        <v>7317409.6200000001</v>
      </c>
      <c r="H312" s="73">
        <f>+G312</f>
        <v>7317409.6200000001</v>
      </c>
      <c r="I312" s="73">
        <f t="shared" si="74"/>
        <v>0</v>
      </c>
    </row>
    <row r="313" spans="1:9" s="69" customFormat="1" ht="15" customHeight="1">
      <c r="A313" s="65" t="s">
        <v>409</v>
      </c>
      <c r="B313" s="72" t="s">
        <v>408</v>
      </c>
      <c r="C313" s="72" t="s">
        <v>183</v>
      </c>
      <c r="D313" s="76">
        <f>VLOOKUP($A313,'SMEPA Stations December 2016'!$A:$G,5,0)</f>
        <v>0</v>
      </c>
      <c r="E313" s="76">
        <f>VLOOKUP($A313,'SMEPA Stations December 2016'!$A:$G,6,0)</f>
        <v>0</v>
      </c>
      <c r="F313" s="76">
        <f>VLOOKUP($A313,'SMEPA Stations December 2016'!$A:$G,7,0)</f>
        <v>22247.54</v>
      </c>
      <c r="G313" s="75">
        <f t="shared" si="73"/>
        <v>22247.54</v>
      </c>
      <c r="H313" s="65"/>
      <c r="I313" s="73">
        <f t="shared" si="74"/>
        <v>22247.54</v>
      </c>
    </row>
    <row r="314" spans="1:9" s="69" customFormat="1" ht="15" customHeight="1">
      <c r="A314" s="65" t="s">
        <v>401</v>
      </c>
      <c r="B314" s="72" t="s">
        <v>400</v>
      </c>
      <c r="C314" s="72" t="s">
        <v>183</v>
      </c>
      <c r="D314" s="76">
        <f>VLOOKUP($A314,'SMEPA Stations December 2016'!$A:$G,5,0)</f>
        <v>0</v>
      </c>
      <c r="E314" s="76">
        <f>VLOOKUP($A314,'SMEPA Stations December 2016'!$A:$G,6,0)</f>
        <v>2280.02</v>
      </c>
      <c r="F314" s="76">
        <f>VLOOKUP($A314,'SMEPA Stations December 2016'!$A:$G,7,0)</f>
        <v>13159.58</v>
      </c>
      <c r="G314" s="75">
        <f t="shared" si="73"/>
        <v>15439.6</v>
      </c>
      <c r="H314" s="65"/>
      <c r="I314" s="73">
        <f t="shared" si="74"/>
        <v>15439.6</v>
      </c>
    </row>
    <row r="315" spans="1:9" s="69" customFormat="1" ht="15" customHeight="1">
      <c r="A315" s="65" t="s">
        <v>399</v>
      </c>
      <c r="B315" s="72" t="s">
        <v>398</v>
      </c>
      <c r="C315" s="72" t="s">
        <v>183</v>
      </c>
      <c r="D315" s="76">
        <f>VLOOKUP($A315,'SMEPA Stations December 2016'!$A:$G,5,0)</f>
        <v>0</v>
      </c>
      <c r="E315" s="76">
        <f>VLOOKUP($A315,'SMEPA Stations December 2016'!$A:$G,6,0)</f>
        <v>35222.080000000002</v>
      </c>
      <c r="F315" s="76">
        <f>VLOOKUP($A315,'SMEPA Stations December 2016'!$A:$G,7,0)</f>
        <v>48378.3</v>
      </c>
      <c r="G315" s="75">
        <f t="shared" si="73"/>
        <v>83600.38</v>
      </c>
      <c r="H315" s="299">
        <f>+G315-19569.71</f>
        <v>64030.670000000006</v>
      </c>
      <c r="I315" s="73">
        <f t="shared" si="74"/>
        <v>19569.71</v>
      </c>
    </row>
    <row r="316" spans="1:9" s="69" customFormat="1" ht="15" customHeight="1">
      <c r="A316" s="65" t="s">
        <v>1271</v>
      </c>
      <c r="B316" s="72" t="s">
        <v>1285</v>
      </c>
      <c r="C316" s="72" t="s">
        <v>1286</v>
      </c>
      <c r="D316" s="76">
        <f>VLOOKUP($A316,'SMEPA Stations December 2016'!$A:$G,5,0)</f>
        <v>0</v>
      </c>
      <c r="E316" s="177">
        <f>VLOOKUP($A316,'SMEPA Stations December 2016'!$A:$G,6,0)</f>
        <v>2360652.29</v>
      </c>
      <c r="F316" s="76">
        <f>VLOOKUP($A316,'SMEPA Stations December 2016'!$A:$G,7,0)</f>
        <v>2446800.2999999998</v>
      </c>
      <c r="G316" s="75">
        <f t="shared" ref="G316" si="77">SUM(D316:F316)</f>
        <v>4807452.59</v>
      </c>
      <c r="H316" s="299">
        <f>+G316</f>
        <v>4807452.59</v>
      </c>
      <c r="I316" s="73">
        <f t="shared" ref="I316" si="78">+G316-H316</f>
        <v>0</v>
      </c>
    </row>
    <row r="317" spans="1:9" s="69" customFormat="1" ht="15" customHeight="1">
      <c r="A317" s="65" t="s">
        <v>385</v>
      </c>
      <c r="B317" s="72" t="s">
        <v>384</v>
      </c>
      <c r="C317" s="72" t="s">
        <v>183</v>
      </c>
      <c r="D317" s="76">
        <f>VLOOKUP($A317,'SMEPA Stations December 2016'!$A:$G,5,0)</f>
        <v>0</v>
      </c>
      <c r="E317" s="76">
        <f>VLOOKUP($A317,'SMEPA Stations December 2016'!$A:$G,6,0)</f>
        <v>197221.93</v>
      </c>
      <c r="F317" s="76">
        <f>VLOOKUP($A317,'SMEPA Stations December 2016'!$A:$G,7,0)</f>
        <v>412321.73</v>
      </c>
      <c r="G317" s="75">
        <f t="shared" si="73"/>
        <v>609543.65999999992</v>
      </c>
      <c r="H317" s="65"/>
      <c r="I317" s="73">
        <f t="shared" si="74"/>
        <v>609543.65999999992</v>
      </c>
    </row>
    <row r="318" spans="1:9" s="69" customFormat="1" ht="15" customHeight="1">
      <c r="A318" s="65" t="s">
        <v>381</v>
      </c>
      <c r="B318" s="72" t="s">
        <v>380</v>
      </c>
      <c r="C318" s="72" t="s">
        <v>183</v>
      </c>
      <c r="D318" s="76">
        <f>VLOOKUP($A318,'SMEPA Stations December 2016'!$A:$G,5,0)</f>
        <v>0</v>
      </c>
      <c r="E318" s="76">
        <f>VLOOKUP($A318,'SMEPA Stations December 2016'!$A:$G,6,0)</f>
        <v>0</v>
      </c>
      <c r="F318" s="177">
        <f>VLOOKUP($A318,'SMEPA Stations December 2016'!$A:$G,7,0)</f>
        <v>0</v>
      </c>
      <c r="G318" s="75">
        <f t="shared" si="73"/>
        <v>0</v>
      </c>
      <c r="H318" s="65"/>
      <c r="I318" s="73">
        <f t="shared" si="74"/>
        <v>0</v>
      </c>
    </row>
    <row r="319" spans="1:9" s="69" customFormat="1" ht="15" customHeight="1">
      <c r="A319" s="65" t="s">
        <v>375</v>
      </c>
      <c r="B319" s="72" t="s">
        <v>374</v>
      </c>
      <c r="C319" s="72" t="s">
        <v>183</v>
      </c>
      <c r="D319" s="76">
        <f>VLOOKUP($A319,'SMEPA Stations December 2016'!$A:$G,5,0)</f>
        <v>0</v>
      </c>
      <c r="E319" s="76">
        <f>VLOOKUP($A319,'SMEPA Stations December 2016'!$A:$G,6,0)</f>
        <v>96650.68</v>
      </c>
      <c r="F319" s="76">
        <f>VLOOKUP($A319,'SMEPA Stations December 2016'!$A:$G,7,0)</f>
        <v>625177.63</v>
      </c>
      <c r="G319" s="75">
        <f t="shared" si="73"/>
        <v>721828.31</v>
      </c>
      <c r="H319" s="73">
        <f>+G319-11532.17</f>
        <v>710296.14</v>
      </c>
      <c r="I319" s="73">
        <f t="shared" si="74"/>
        <v>11532.170000000042</v>
      </c>
    </row>
    <row r="320" spans="1:9" s="69" customFormat="1" ht="15" customHeight="1">
      <c r="A320" s="65" t="s">
        <v>373</v>
      </c>
      <c r="B320" s="72" t="s">
        <v>372</v>
      </c>
      <c r="C320" s="72" t="s">
        <v>183</v>
      </c>
      <c r="D320" s="76">
        <f>VLOOKUP($A320,'SMEPA Stations December 2016'!$A:$G,5,0)</f>
        <v>0</v>
      </c>
      <c r="E320" s="177">
        <f>VLOOKUP($A320,'SMEPA Stations December 2016'!$A:$G,6,0)</f>
        <v>1899384.35</v>
      </c>
      <c r="F320" s="177">
        <f>VLOOKUP($A320,'SMEPA Stations December 2016'!$A:$G,7,0)</f>
        <v>2013032.3</v>
      </c>
      <c r="G320" s="75">
        <f t="shared" si="73"/>
        <v>3912416.6500000004</v>
      </c>
      <c r="H320" s="73">
        <f>+G320</f>
        <v>3912416.6500000004</v>
      </c>
      <c r="I320" s="73">
        <f t="shared" si="74"/>
        <v>0</v>
      </c>
    </row>
    <row r="321" spans="1:9" s="69" customFormat="1" ht="15" customHeight="1">
      <c r="A321" s="65" t="s">
        <v>371</v>
      </c>
      <c r="B321" s="72" t="s">
        <v>370</v>
      </c>
      <c r="C321" s="72" t="s">
        <v>183</v>
      </c>
      <c r="D321" s="76">
        <f>VLOOKUP($A321,'SMEPA Stations December 2016'!$A:$G,5,0)</f>
        <v>0</v>
      </c>
      <c r="E321" s="76">
        <f>VLOOKUP($A321,'SMEPA Stations December 2016'!$A:$G,6,0)</f>
        <v>78336.83</v>
      </c>
      <c r="F321" s="76">
        <f>VLOOKUP($A321,'SMEPA Stations December 2016'!$A:$G,7,0)</f>
        <v>146324.31</v>
      </c>
      <c r="G321" s="75">
        <f t="shared" si="73"/>
        <v>224661.14</v>
      </c>
      <c r="H321" s="299">
        <f>+G321-11289.24</f>
        <v>213371.90000000002</v>
      </c>
      <c r="I321" s="73">
        <f t="shared" si="74"/>
        <v>11289.239999999991</v>
      </c>
    </row>
    <row r="322" spans="1:9" s="69" customFormat="1" ht="15" customHeight="1">
      <c r="A322" s="65" t="s">
        <v>369</v>
      </c>
      <c r="B322" s="72" t="s">
        <v>368</v>
      </c>
      <c r="C322" s="72" t="s">
        <v>183</v>
      </c>
      <c r="D322" s="76">
        <f>VLOOKUP($A322,'SMEPA Stations December 2016'!$A:$G,5,0)</f>
        <v>0</v>
      </c>
      <c r="E322" s="76">
        <f>VLOOKUP($A322,'SMEPA Stations December 2016'!$A:$G,6,0)</f>
        <v>0</v>
      </c>
      <c r="F322" s="76">
        <f>VLOOKUP($A322,'SMEPA Stations December 2016'!$A:$G,7,0)</f>
        <v>8630.89</v>
      </c>
      <c r="G322" s="75">
        <f t="shared" si="73"/>
        <v>8630.89</v>
      </c>
      <c r="H322" s="65"/>
      <c r="I322" s="73">
        <f t="shared" si="74"/>
        <v>8630.89</v>
      </c>
    </row>
    <row r="323" spans="1:9" s="69" customFormat="1" ht="15" customHeight="1">
      <c r="A323" s="65" t="s">
        <v>365</v>
      </c>
      <c r="B323" s="72" t="s">
        <v>364</v>
      </c>
      <c r="C323" s="72" t="s">
        <v>183</v>
      </c>
      <c r="D323" s="76">
        <f>VLOOKUP($A323,'SMEPA Stations December 2016'!$A:$G,5,0)</f>
        <v>0</v>
      </c>
      <c r="E323" s="76">
        <f>VLOOKUP($A323,'SMEPA Stations December 2016'!$A:$G,6,0)</f>
        <v>0</v>
      </c>
      <c r="F323" s="76">
        <f>VLOOKUP($A323,'SMEPA Stations December 2016'!$A:$G,7,0)</f>
        <v>8590.18</v>
      </c>
      <c r="G323" s="75">
        <f t="shared" si="73"/>
        <v>8590.18</v>
      </c>
      <c r="H323" s="65"/>
      <c r="I323" s="73">
        <f t="shared" si="74"/>
        <v>8590.18</v>
      </c>
    </row>
    <row r="324" spans="1:9" s="69" customFormat="1" ht="15" customHeight="1">
      <c r="A324" s="65" t="s">
        <v>361</v>
      </c>
      <c r="B324" s="72" t="s">
        <v>360</v>
      </c>
      <c r="C324" s="72" t="s">
        <v>183</v>
      </c>
      <c r="D324" s="76">
        <f>VLOOKUP($A324,'SMEPA Stations December 2016'!$A:$G,5,0)</f>
        <v>0</v>
      </c>
      <c r="E324" s="76">
        <f>VLOOKUP($A324,'SMEPA Stations December 2016'!$A:$G,6,0)</f>
        <v>0</v>
      </c>
      <c r="F324" s="76">
        <f>VLOOKUP($A324,'SMEPA Stations December 2016'!$A:$G,7,0)</f>
        <v>151340.43</v>
      </c>
      <c r="G324" s="75">
        <f t="shared" si="73"/>
        <v>151340.43</v>
      </c>
      <c r="H324" s="299">
        <f>+G324-21222.54</f>
        <v>130117.88999999998</v>
      </c>
      <c r="I324" s="73">
        <f t="shared" si="74"/>
        <v>21222.540000000008</v>
      </c>
    </row>
    <row r="325" spans="1:9" s="69" customFormat="1" ht="15" customHeight="1">
      <c r="A325" s="65" t="s">
        <v>355</v>
      </c>
      <c r="B325" s="72" t="s">
        <v>354</v>
      </c>
      <c r="C325" s="72" t="s">
        <v>183</v>
      </c>
      <c r="D325" s="76">
        <f>VLOOKUP($A325,'SMEPA Stations December 2016'!$A:$G,5,0)</f>
        <v>20097.22</v>
      </c>
      <c r="E325" s="76">
        <f>VLOOKUP($A325,'SMEPA Stations December 2016'!$A:$G,6,0)</f>
        <v>1069008.46</v>
      </c>
      <c r="F325" s="76">
        <f>VLOOKUP($A325,'SMEPA Stations December 2016'!$A:$G,7,0)</f>
        <v>737207.2</v>
      </c>
      <c r="G325" s="75">
        <f t="shared" si="73"/>
        <v>1826312.88</v>
      </c>
      <c r="H325" s="73">
        <f>+G325</f>
        <v>1826312.88</v>
      </c>
      <c r="I325" s="73">
        <f t="shared" si="74"/>
        <v>0</v>
      </c>
    </row>
    <row r="326" spans="1:9" s="69" customFormat="1" ht="15" customHeight="1">
      <c r="A326" s="65" t="s">
        <v>351</v>
      </c>
      <c r="B326" s="72" t="s">
        <v>350</v>
      </c>
      <c r="C326" s="72" t="s">
        <v>183</v>
      </c>
      <c r="D326" s="76">
        <f>VLOOKUP($A326,'SMEPA Stations December 2016'!$A:$G,5,0)</f>
        <v>0</v>
      </c>
      <c r="E326" s="76">
        <f>VLOOKUP($A326,'SMEPA Stations December 2016'!$A:$G,6,0)</f>
        <v>1562231.93</v>
      </c>
      <c r="F326" s="76">
        <f>VLOOKUP($A326,'SMEPA Stations December 2016'!$A:$G,7,0)</f>
        <v>1221846.77</v>
      </c>
      <c r="G326" s="75">
        <f t="shared" si="73"/>
        <v>2784078.7</v>
      </c>
      <c r="H326" s="73">
        <f>+G326</f>
        <v>2784078.7</v>
      </c>
      <c r="I326" s="73">
        <f t="shared" si="74"/>
        <v>0</v>
      </c>
    </row>
    <row r="327" spans="1:9" s="69" customFormat="1" ht="15" customHeight="1">
      <c r="A327" s="65" t="s">
        <v>349</v>
      </c>
      <c r="B327" s="72" t="s">
        <v>348</v>
      </c>
      <c r="C327" s="72" t="s">
        <v>183</v>
      </c>
      <c r="D327" s="76">
        <f>VLOOKUP($A327,'SMEPA Stations December 2016'!$A:$G,5,0)</f>
        <v>0</v>
      </c>
      <c r="E327" s="76">
        <f>VLOOKUP($A327,'SMEPA Stations December 2016'!$A:$G,6,0)</f>
        <v>0</v>
      </c>
      <c r="F327" s="76">
        <f>VLOOKUP($A327,'SMEPA Stations December 2016'!$A:$G,7,0)</f>
        <v>0</v>
      </c>
      <c r="G327" s="75">
        <f t="shared" si="73"/>
        <v>0</v>
      </c>
      <c r="H327" s="65"/>
      <c r="I327" s="73">
        <f t="shared" si="74"/>
        <v>0</v>
      </c>
    </row>
    <row r="328" spans="1:9" s="69" customFormat="1" ht="15" customHeight="1">
      <c r="A328" s="65" t="s">
        <v>347</v>
      </c>
      <c r="B328" s="72" t="s">
        <v>346</v>
      </c>
      <c r="C328" s="72" t="s">
        <v>183</v>
      </c>
      <c r="D328" s="76">
        <f>VLOOKUP($A328,'SMEPA Stations December 2016'!$A:$G,5,0)</f>
        <v>0</v>
      </c>
      <c r="E328" s="76">
        <f>VLOOKUP($A328,'SMEPA Stations December 2016'!$A:$G,6,0)</f>
        <v>124168.47</v>
      </c>
      <c r="F328" s="76">
        <f>VLOOKUP($A328,'SMEPA Stations December 2016'!$A:$G,7,0)</f>
        <v>357483.52000000002</v>
      </c>
      <c r="G328" s="75">
        <f t="shared" si="73"/>
        <v>481651.99</v>
      </c>
      <c r="H328" s="73">
        <f>+G328-7001.89</f>
        <v>474650.1</v>
      </c>
      <c r="I328" s="73">
        <f t="shared" si="74"/>
        <v>7001.890000000014</v>
      </c>
    </row>
    <row r="329" spans="1:9" s="69" customFormat="1" ht="15" customHeight="1">
      <c r="A329" s="65" t="s">
        <v>345</v>
      </c>
      <c r="B329" s="72" t="s">
        <v>344</v>
      </c>
      <c r="C329" s="72" t="s">
        <v>183</v>
      </c>
      <c r="D329" s="76">
        <f>VLOOKUP($A329,'SMEPA Stations December 2016'!$A:$G,5,0)</f>
        <v>0</v>
      </c>
      <c r="E329" s="76">
        <f>VLOOKUP($A329,'SMEPA Stations December 2016'!$A:$G,6,0)</f>
        <v>0</v>
      </c>
      <c r="F329" s="76">
        <f>VLOOKUP($A329,'SMEPA Stations December 2016'!$A:$G,7,0)</f>
        <v>15774.12</v>
      </c>
      <c r="G329" s="75">
        <f t="shared" si="73"/>
        <v>15774.12</v>
      </c>
      <c r="H329" s="65"/>
      <c r="I329" s="73">
        <f t="shared" si="74"/>
        <v>15774.12</v>
      </c>
    </row>
    <row r="330" spans="1:9" s="69" customFormat="1" ht="15" customHeight="1">
      <c r="A330" s="65" t="s">
        <v>343</v>
      </c>
      <c r="B330" s="72" t="s">
        <v>342</v>
      </c>
      <c r="C330" s="72" t="s">
        <v>183</v>
      </c>
      <c r="D330" s="76">
        <f>VLOOKUP($A330,'SMEPA Stations December 2016'!$A:$G,5,0)</f>
        <v>0</v>
      </c>
      <c r="E330" s="76">
        <f>VLOOKUP($A330,'SMEPA Stations December 2016'!$A:$G,6,0)</f>
        <v>177076.02</v>
      </c>
      <c r="F330" s="76">
        <f>VLOOKUP($A330,'SMEPA Stations December 2016'!$A:$G,7,0)</f>
        <v>417077.36</v>
      </c>
      <c r="G330" s="75">
        <f t="shared" si="73"/>
        <v>594153.38</v>
      </c>
      <c r="H330" s="73">
        <f>+G330-41266.5</f>
        <v>552886.88</v>
      </c>
      <c r="I330" s="73">
        <f t="shared" si="74"/>
        <v>41266.5</v>
      </c>
    </row>
    <row r="331" spans="1:9" s="69" customFormat="1" ht="15" customHeight="1">
      <c r="A331" s="65" t="s">
        <v>335</v>
      </c>
      <c r="B331" s="72" t="s">
        <v>334</v>
      </c>
      <c r="C331" s="72" t="s">
        <v>183</v>
      </c>
      <c r="D331" s="76">
        <f>VLOOKUP($A331,'SMEPA Stations December 2016'!$A:$G,5,0)</f>
        <v>0</v>
      </c>
      <c r="E331" s="76">
        <f>VLOOKUP($A331,'SMEPA Stations December 2016'!$A:$G,6,0)</f>
        <v>0</v>
      </c>
      <c r="F331" s="76">
        <f>VLOOKUP($A331,'SMEPA Stations December 2016'!$A:$G,7,0)</f>
        <v>0</v>
      </c>
      <c r="G331" s="75">
        <f t="shared" si="73"/>
        <v>0</v>
      </c>
      <c r="H331" s="65"/>
      <c r="I331" s="73">
        <f t="shared" si="74"/>
        <v>0</v>
      </c>
    </row>
    <row r="332" spans="1:9" s="69" customFormat="1" ht="15" customHeight="1">
      <c r="A332" s="65" t="s">
        <v>321</v>
      </c>
      <c r="B332" s="72" t="s">
        <v>320</v>
      </c>
      <c r="C332" s="72" t="s">
        <v>183</v>
      </c>
      <c r="D332" s="76">
        <f>VLOOKUP($A332,'SMEPA Stations December 2016'!$A:$G,5,0)</f>
        <v>0</v>
      </c>
      <c r="E332" s="76">
        <f>VLOOKUP($A332,'SMEPA Stations December 2016'!$A:$G,6,0)</f>
        <v>388415.55</v>
      </c>
      <c r="F332" s="76">
        <f>VLOOKUP($A332,'SMEPA Stations December 2016'!$A:$G,7,0)</f>
        <v>550643.68999999994</v>
      </c>
      <c r="G332" s="75">
        <f t="shared" si="73"/>
        <v>939059.24</v>
      </c>
      <c r="H332" s="73">
        <f>+G332</f>
        <v>939059.24</v>
      </c>
      <c r="I332" s="73">
        <f t="shared" si="74"/>
        <v>0</v>
      </c>
    </row>
    <row r="333" spans="1:9" s="69" customFormat="1" ht="15" customHeight="1">
      <c r="A333" s="65" t="s">
        <v>311</v>
      </c>
      <c r="B333" s="72" t="s">
        <v>310</v>
      </c>
      <c r="C333" s="72" t="s">
        <v>183</v>
      </c>
      <c r="D333" s="76">
        <f>VLOOKUP($A333,'SMEPA Stations December 2016'!$A:$G,5,0)</f>
        <v>0</v>
      </c>
      <c r="E333" s="76">
        <f>VLOOKUP($A333,'SMEPA Stations December 2016'!$A:$G,6,0)</f>
        <v>904605.79</v>
      </c>
      <c r="F333" s="177">
        <f>VLOOKUP($A333,'SMEPA Stations December 2016'!$A:$G,7,0)</f>
        <v>5650177.3499999996</v>
      </c>
      <c r="G333" s="75">
        <f t="shared" si="73"/>
        <v>6554783.1399999997</v>
      </c>
      <c r="H333" s="73">
        <f>+G333</f>
        <v>6554783.1399999997</v>
      </c>
      <c r="I333" s="73">
        <f t="shared" si="74"/>
        <v>0</v>
      </c>
    </row>
    <row r="334" spans="1:9" s="69" customFormat="1" ht="15" customHeight="1">
      <c r="A334" s="65" t="s">
        <v>305</v>
      </c>
      <c r="B334" s="72" t="s">
        <v>304</v>
      </c>
      <c r="C334" s="72" t="s">
        <v>183</v>
      </c>
      <c r="D334" s="76">
        <f>VLOOKUP($A334,'SMEPA Stations December 2016'!$A:$G,5,0)</f>
        <v>0</v>
      </c>
      <c r="E334" s="76">
        <f>VLOOKUP($A334,'SMEPA Stations December 2016'!$A:$G,6,0)</f>
        <v>208648.98</v>
      </c>
      <c r="F334" s="76">
        <f>VLOOKUP($A334,'SMEPA Stations December 2016'!$A:$G,7,0)</f>
        <v>544900.68000000005</v>
      </c>
      <c r="G334" s="75">
        <f t="shared" si="73"/>
        <v>753549.66</v>
      </c>
      <c r="H334" s="65"/>
      <c r="I334" s="73">
        <f t="shared" si="74"/>
        <v>753549.66</v>
      </c>
    </row>
    <row r="335" spans="1:9" s="236" customFormat="1" ht="15" customHeight="1">
      <c r="A335" s="232" t="s">
        <v>303</v>
      </c>
      <c r="B335" s="233" t="s">
        <v>302</v>
      </c>
      <c r="C335" s="233" t="s">
        <v>183</v>
      </c>
      <c r="D335" s="252">
        <f>VLOOKUP($A335,'SMEPA Stations December 2016'!$A:$G,5,0)</f>
        <v>0</v>
      </c>
      <c r="E335" s="252">
        <f>VLOOKUP($A335,'SMEPA Stations December 2016'!$A:$G,6,0)</f>
        <v>283655.61</v>
      </c>
      <c r="F335" s="252">
        <f>VLOOKUP($A335,'SMEPA Stations December 2016'!$A:$G,7,0)</f>
        <v>486947.47</v>
      </c>
      <c r="G335" s="234">
        <f t="shared" si="73"/>
        <v>770603.08</v>
      </c>
      <c r="H335" s="235">
        <f>+G335</f>
        <v>770603.08</v>
      </c>
      <c r="I335" s="235">
        <f t="shared" si="74"/>
        <v>0</v>
      </c>
    </row>
    <row r="336" spans="1:9" s="69" customFormat="1" ht="15" customHeight="1">
      <c r="A336" s="65" t="s">
        <v>301</v>
      </c>
      <c r="B336" s="72" t="s">
        <v>300</v>
      </c>
      <c r="C336" s="72" t="s">
        <v>183</v>
      </c>
      <c r="D336" s="76">
        <f>VLOOKUP($A336,'SMEPA Stations December 2016'!$A:$G,5,0)</f>
        <v>0</v>
      </c>
      <c r="E336" s="76">
        <f>VLOOKUP($A336,'SMEPA Stations December 2016'!$A:$G,6,0)</f>
        <v>305062.92</v>
      </c>
      <c r="F336" s="76">
        <f>VLOOKUP($A336,'SMEPA Stations December 2016'!$A:$G,7,0)</f>
        <v>585226.12</v>
      </c>
      <c r="G336" s="75">
        <f t="shared" si="73"/>
        <v>890289.04</v>
      </c>
      <c r="H336" s="73">
        <f>G336</f>
        <v>890289.04</v>
      </c>
      <c r="I336" s="73">
        <f t="shared" si="74"/>
        <v>0</v>
      </c>
    </row>
    <row r="337" spans="1:9" s="69" customFormat="1" ht="15" customHeight="1">
      <c r="A337" s="65" t="s">
        <v>299</v>
      </c>
      <c r="B337" s="72" t="s">
        <v>298</v>
      </c>
      <c r="C337" s="72" t="s">
        <v>183</v>
      </c>
      <c r="D337" s="76">
        <f>VLOOKUP($A337,'SMEPA Stations December 2016'!$A:$G,5,0)</f>
        <v>0</v>
      </c>
      <c r="E337" s="76">
        <f>VLOOKUP($A337,'SMEPA Stations December 2016'!$A:$G,6,0)</f>
        <v>0</v>
      </c>
      <c r="F337" s="76">
        <f>VLOOKUP($A337,'SMEPA Stations December 2016'!$A:$G,7,0)</f>
        <v>12763.97</v>
      </c>
      <c r="G337" s="75">
        <f t="shared" si="73"/>
        <v>12763.97</v>
      </c>
      <c r="H337" s="65"/>
      <c r="I337" s="73">
        <f t="shared" si="74"/>
        <v>12763.97</v>
      </c>
    </row>
    <row r="338" spans="1:9" s="69" customFormat="1" ht="15" customHeight="1">
      <c r="A338" s="65" t="s">
        <v>297</v>
      </c>
      <c r="B338" s="72" t="s">
        <v>296</v>
      </c>
      <c r="C338" s="72" t="s">
        <v>183</v>
      </c>
      <c r="D338" s="76">
        <f>VLOOKUP($A338,'SMEPA Stations December 2016'!$A:$G,5,0)</f>
        <v>42839.26</v>
      </c>
      <c r="E338" s="76">
        <f>VLOOKUP($A338,'SMEPA Stations December 2016'!$A:$G,6,0)</f>
        <v>1012377.76</v>
      </c>
      <c r="F338" s="76">
        <f>VLOOKUP($A338,'SMEPA Stations December 2016'!$A:$G,7,0)</f>
        <v>796149.73</v>
      </c>
      <c r="G338" s="75">
        <f t="shared" si="73"/>
        <v>1851366.75</v>
      </c>
      <c r="H338" s="73">
        <f>+G338</f>
        <v>1851366.75</v>
      </c>
      <c r="I338" s="73">
        <f t="shared" si="74"/>
        <v>0</v>
      </c>
    </row>
    <row r="339" spans="1:9" s="69" customFormat="1" ht="15" customHeight="1">
      <c r="A339" s="65" t="s">
        <v>293</v>
      </c>
      <c r="B339" s="72" t="s">
        <v>292</v>
      </c>
      <c r="C339" s="72" t="s">
        <v>183</v>
      </c>
      <c r="D339" s="76">
        <f>VLOOKUP($A339,'SMEPA Stations December 2016'!$A:$G,5,0)</f>
        <v>0</v>
      </c>
      <c r="E339" s="76">
        <f>VLOOKUP($A339,'SMEPA Stations December 2016'!$A:$G,6,0)</f>
        <v>75505.61</v>
      </c>
      <c r="F339" s="76">
        <f>VLOOKUP($A339,'SMEPA Stations December 2016'!$A:$G,7,0)</f>
        <v>148194.74</v>
      </c>
      <c r="G339" s="75">
        <f t="shared" si="73"/>
        <v>223700.34999999998</v>
      </c>
      <c r="H339" s="299">
        <f>+G339-8735.62</f>
        <v>214964.72999999998</v>
      </c>
      <c r="I339" s="73">
        <f t="shared" si="74"/>
        <v>8735.6199999999953</v>
      </c>
    </row>
    <row r="340" spans="1:9" s="357" customFormat="1" ht="15" customHeight="1">
      <c r="A340" s="299" t="s">
        <v>291</v>
      </c>
      <c r="B340" s="355" t="s">
        <v>290</v>
      </c>
      <c r="C340" s="355" t="s">
        <v>183</v>
      </c>
      <c r="D340" s="355">
        <f>VLOOKUP($A340,'SMEPA Stations December 2016'!$A:$G,5,0)</f>
        <v>0</v>
      </c>
      <c r="E340" s="355">
        <f>VLOOKUP($A340,'SMEPA Stations December 2016'!$A:$G,6,0)</f>
        <v>0</v>
      </c>
      <c r="F340" s="355">
        <f>VLOOKUP($A340,'SMEPA Stations December 2016'!$A:$G,7,0)</f>
        <v>12726.26</v>
      </c>
      <c r="G340" s="356">
        <f t="shared" si="73"/>
        <v>12726.26</v>
      </c>
      <c r="H340" s="299"/>
      <c r="I340" s="299">
        <f t="shared" si="74"/>
        <v>12726.26</v>
      </c>
    </row>
    <row r="341" spans="1:9" s="357" customFormat="1" ht="15" customHeight="1">
      <c r="A341" s="299" t="s">
        <v>287</v>
      </c>
      <c r="B341" s="355" t="s">
        <v>286</v>
      </c>
      <c r="C341" s="355" t="s">
        <v>183</v>
      </c>
      <c r="D341" s="355">
        <f>VLOOKUP($A341,'SMEPA Stations December 2016'!$A:$G,5,0)</f>
        <v>0</v>
      </c>
      <c r="E341" s="355">
        <f>VLOOKUP($A341,'SMEPA Stations December 2016'!$A:$G,6,0)</f>
        <v>0</v>
      </c>
      <c r="F341" s="355">
        <f>VLOOKUP($A341,'SMEPA Stations December 2016'!$A:$G,7,0)</f>
        <v>19230.82</v>
      </c>
      <c r="G341" s="356">
        <f t="shared" si="73"/>
        <v>19230.82</v>
      </c>
      <c r="H341" s="299"/>
      <c r="I341" s="299">
        <f t="shared" si="74"/>
        <v>19230.82</v>
      </c>
    </row>
    <row r="342" spans="1:9" s="357" customFormat="1" ht="15" customHeight="1">
      <c r="A342" s="299" t="s">
        <v>285</v>
      </c>
      <c r="B342" s="355" t="s">
        <v>284</v>
      </c>
      <c r="C342" s="355" t="s">
        <v>183</v>
      </c>
      <c r="D342" s="355">
        <f>VLOOKUP($A342,'SMEPA Stations December 2016'!$A:$G,5,0)</f>
        <v>0</v>
      </c>
      <c r="E342" s="355">
        <f>VLOOKUP($A342,'SMEPA Stations December 2016'!$A:$G,6,0)</f>
        <v>0</v>
      </c>
      <c r="F342" s="355">
        <f>VLOOKUP($A342,'SMEPA Stations December 2016'!$A:$G,7,0)</f>
        <v>8774.4500000000007</v>
      </c>
      <c r="G342" s="356">
        <f t="shared" si="73"/>
        <v>8774.4500000000007</v>
      </c>
      <c r="H342" s="299"/>
      <c r="I342" s="299">
        <f t="shared" si="74"/>
        <v>8774.4500000000007</v>
      </c>
    </row>
    <row r="343" spans="1:9" s="69" customFormat="1" ht="15" customHeight="1">
      <c r="A343" s="65" t="s">
        <v>279</v>
      </c>
      <c r="B343" s="72" t="s">
        <v>278</v>
      </c>
      <c r="C343" s="72"/>
      <c r="D343" s="76">
        <f>VLOOKUP($A343,'SMEPA Stations December 2016'!$A:$G,5,0)</f>
        <v>0</v>
      </c>
      <c r="E343" s="76">
        <f>VLOOKUP($A343,'SMEPA Stations December 2016'!$A:$G,6,0)</f>
        <v>0</v>
      </c>
      <c r="F343" s="76">
        <f>VLOOKUP($A343,'SMEPA Stations December 2016'!$A:$G,7,0)</f>
        <v>0</v>
      </c>
      <c r="G343" s="75">
        <f t="shared" si="73"/>
        <v>0</v>
      </c>
      <c r="H343" s="65"/>
      <c r="I343" s="73">
        <f t="shared" si="74"/>
        <v>0</v>
      </c>
    </row>
    <row r="344" spans="1:9" s="69" customFormat="1" ht="15" customHeight="1">
      <c r="A344" s="289" t="s">
        <v>159</v>
      </c>
      <c r="B344" s="290" t="s">
        <v>1146</v>
      </c>
      <c r="C344" s="291" t="s">
        <v>224</v>
      </c>
      <c r="D344" s="292">
        <f>VLOOKUP($A344,'SMEPA Stations December 2016'!$A:$G,5,0)</f>
        <v>1014017.77</v>
      </c>
      <c r="E344" s="292">
        <f>VLOOKUP($A344,'SMEPA Stations December 2016'!$A:$G,6,0)</f>
        <v>0</v>
      </c>
      <c r="F344" s="292">
        <f>VLOOKUP($A344,'SMEPA Stations December 2016'!$A:$G,7,0)</f>
        <v>0</v>
      </c>
      <c r="G344" s="293">
        <f t="shared" si="73"/>
        <v>1014017.77</v>
      </c>
      <c r="H344" s="294">
        <f>G344</f>
        <v>1014017.77</v>
      </c>
      <c r="I344" s="294">
        <f>+I372</f>
        <v>0</v>
      </c>
    </row>
    <row r="345" spans="1:9" s="65" customFormat="1" ht="15" customHeight="1">
      <c r="B345" s="68" t="s">
        <v>276</v>
      </c>
      <c r="C345" s="68"/>
      <c r="D345" s="66">
        <f>SUM(D9:D344)</f>
        <v>2354218.3699999996</v>
      </c>
      <c r="E345" s="66">
        <f>SUM(E9:E344)</f>
        <v>41464829.449999988</v>
      </c>
      <c r="F345" s="66">
        <f>SUM(F9:F344)</f>
        <v>118136230.72</v>
      </c>
      <c r="G345" s="67">
        <f t="shared" si="73"/>
        <v>161955278.53999999</v>
      </c>
      <c r="H345" s="66">
        <f>SUM(H9:H344)</f>
        <v>143445349.51999998</v>
      </c>
      <c r="I345" s="66">
        <f>SUM(I9:I344)</f>
        <v>18509929.020000003</v>
      </c>
    </row>
    <row r="346" spans="1:9" s="54" customFormat="1">
      <c r="D346" s="59"/>
      <c r="G346" s="160" t="s">
        <v>893</v>
      </c>
      <c r="H346" s="164"/>
    </row>
    <row r="347" spans="1:9" s="54" customFormat="1" ht="15.75">
      <c r="D347" s="59"/>
      <c r="G347" s="161" t="s">
        <v>221</v>
      </c>
      <c r="H347" s="88" t="s">
        <v>221</v>
      </c>
      <c r="I347" s="88" t="s">
        <v>221</v>
      </c>
    </row>
    <row r="348" spans="1:9" s="54" customFormat="1">
      <c r="C348" s="52" t="s">
        <v>227</v>
      </c>
      <c r="D348" s="55">
        <f>SUM(D206:D343)</f>
        <v>566130.77</v>
      </c>
      <c r="E348" s="55">
        <f>SUM(E206:E343)</f>
        <v>32080919.57</v>
      </c>
      <c r="F348" s="55">
        <f>SUM(F206:F343)</f>
        <v>103264722.62000003</v>
      </c>
      <c r="G348" s="162">
        <f>SUM(G206:G342)</f>
        <v>135911772.95999998</v>
      </c>
      <c r="H348" s="55">
        <f>SUM(H206:H343)</f>
        <v>124991613.05000001</v>
      </c>
      <c r="I348" s="55">
        <f>SUM(I206:I343)</f>
        <v>10920159.909999996</v>
      </c>
    </row>
    <row r="349" spans="1:9">
      <c r="C349" s="52" t="s">
        <v>228</v>
      </c>
      <c r="D349" s="55">
        <f t="shared" ref="D349:I349" si="79">SUM(D9:D180)</f>
        <v>715987.98999999987</v>
      </c>
      <c r="E349" s="55">
        <f t="shared" si="79"/>
        <v>7944567.4900000002</v>
      </c>
      <c r="F349" s="55">
        <f t="shared" si="79"/>
        <v>12788481.169999996</v>
      </c>
      <c r="G349" s="162">
        <f t="shared" si="79"/>
        <v>21449036.65000001</v>
      </c>
      <c r="H349" s="55">
        <f t="shared" si="79"/>
        <v>17439718.700000003</v>
      </c>
      <c r="I349" s="55">
        <f t="shared" si="79"/>
        <v>4009317.9500000011</v>
      </c>
    </row>
    <row r="350" spans="1:9">
      <c r="C350" s="52" t="s">
        <v>229</v>
      </c>
      <c r="D350" s="86">
        <f t="shared" ref="D350:I350" si="80">SUM(D181:D205)</f>
        <v>58081.84</v>
      </c>
      <c r="E350" s="86">
        <f t="shared" si="80"/>
        <v>1439342.3900000001</v>
      </c>
      <c r="F350" s="86">
        <f t="shared" si="80"/>
        <v>2083026.93</v>
      </c>
      <c r="G350" s="163">
        <f t="shared" si="80"/>
        <v>3580451.1599999988</v>
      </c>
      <c r="H350" s="86">
        <f t="shared" si="80"/>
        <v>0</v>
      </c>
      <c r="I350" s="86">
        <f t="shared" si="80"/>
        <v>3580451.1599999988</v>
      </c>
    </row>
    <row r="351" spans="1:9">
      <c r="C351" s="52"/>
      <c r="D351" s="55">
        <f t="shared" ref="D351:F351" si="81">SUM(D348:D350)</f>
        <v>1340200.5999999999</v>
      </c>
      <c r="E351" s="55">
        <f t="shared" si="81"/>
        <v>41464829.450000003</v>
      </c>
      <c r="F351" s="55">
        <f t="shared" si="81"/>
        <v>118136230.72000004</v>
      </c>
      <c r="G351" s="163">
        <f>SUM(G348:G350)</f>
        <v>160941260.76999998</v>
      </c>
      <c r="H351" s="55">
        <f t="shared" ref="H351:I351" si="82">SUM(H348:H350)</f>
        <v>142431331.75</v>
      </c>
      <c r="I351" s="55">
        <f t="shared" si="82"/>
        <v>18509929.019999996</v>
      </c>
    </row>
    <row r="352" spans="1:9">
      <c r="G352" s="92" t="s">
        <v>223</v>
      </c>
      <c r="H352" s="90"/>
    </row>
    <row r="353" spans="1:9">
      <c r="G353" s="168">
        <f>+H353/G351</f>
        <v>0.88498953635977529</v>
      </c>
      <c r="H353" s="91">
        <f>SUM(H9:H343)</f>
        <v>142431331.74999997</v>
      </c>
      <c r="I353" s="152" t="s">
        <v>935</v>
      </c>
    </row>
    <row r="354" spans="1:9">
      <c r="A354" s="93"/>
      <c r="B354" s="93" t="s">
        <v>883</v>
      </c>
      <c r="G354" s="92" t="s">
        <v>226</v>
      </c>
      <c r="H354" s="89">
        <f>+H348/H351</f>
        <v>0.87755700599211739</v>
      </c>
    </row>
    <row r="355" spans="1:9">
      <c r="A355" s="93"/>
      <c r="B355" s="93" t="s">
        <v>881</v>
      </c>
      <c r="G355" s="92" t="s">
        <v>230</v>
      </c>
      <c r="H355" s="89">
        <f>+H349/H351</f>
        <v>0.12244299400788269</v>
      </c>
    </row>
    <row r="356" spans="1:9">
      <c r="A356" s="94" t="s">
        <v>220</v>
      </c>
      <c r="B356" s="93" t="s">
        <v>884</v>
      </c>
      <c r="F356" s="101" t="s">
        <v>935</v>
      </c>
      <c r="G356" s="52" t="s">
        <v>227</v>
      </c>
      <c r="H356" s="97">
        <f>+H344*H354</f>
        <v>889858.39826400357</v>
      </c>
      <c r="I356" s="97">
        <f>+I344*H354</f>
        <v>0</v>
      </c>
    </row>
    <row r="357" spans="1:9">
      <c r="A357" s="94" t="s">
        <v>220</v>
      </c>
      <c r="B357" s="93" t="s">
        <v>931</v>
      </c>
      <c r="F357" s="101" t="s">
        <v>936</v>
      </c>
      <c r="G357" s="52" t="s">
        <v>228</v>
      </c>
      <c r="H357" s="97">
        <f>+H344*H355</f>
        <v>124159.37173599658</v>
      </c>
      <c r="I357" s="97">
        <f>+I344*H355</f>
        <v>0</v>
      </c>
    </row>
    <row r="358" spans="1:9">
      <c r="A358" s="94"/>
      <c r="B358" s="93" t="s">
        <v>932</v>
      </c>
      <c r="F358" s="101"/>
      <c r="G358" s="52" t="s">
        <v>229</v>
      </c>
      <c r="H358" s="98">
        <v>0</v>
      </c>
      <c r="I358" s="98">
        <v>0</v>
      </c>
    </row>
    <row r="359" spans="1:9">
      <c r="A359" s="94" t="s">
        <v>219</v>
      </c>
      <c r="B359" s="93" t="s">
        <v>885</v>
      </c>
      <c r="F359" s="100"/>
      <c r="G359" s="92" t="s">
        <v>944</v>
      </c>
      <c r="H359" s="96">
        <f>SUM(H356:H358)</f>
        <v>1014017.7700000001</v>
      </c>
      <c r="I359" s="96">
        <f>SUM(I356:I358)</f>
        <v>0</v>
      </c>
    </row>
    <row r="360" spans="1:9">
      <c r="A360" s="92" t="s">
        <v>221</v>
      </c>
      <c r="B360" s="52" t="s">
        <v>933</v>
      </c>
      <c r="F360" s="100"/>
      <c r="G360" s="51"/>
    </row>
    <row r="361" spans="1:9">
      <c r="A361" s="92" t="s">
        <v>223</v>
      </c>
      <c r="B361" s="52" t="s">
        <v>934</v>
      </c>
      <c r="F361" s="100"/>
      <c r="G361" s="51"/>
    </row>
    <row r="362" spans="1:9">
      <c r="A362" s="92" t="s">
        <v>224</v>
      </c>
      <c r="B362" s="51" t="s">
        <v>937</v>
      </c>
      <c r="F362" s="100"/>
      <c r="G362" s="102" t="s">
        <v>227</v>
      </c>
      <c r="H362" s="103">
        <f>+H348+H356</f>
        <v>125881471.44826402</v>
      </c>
      <c r="I362" s="104">
        <f>+I348+I356</f>
        <v>10920159.909999996</v>
      </c>
    </row>
    <row r="363" spans="1:9">
      <c r="A363" s="51"/>
      <c r="B363" s="51" t="s">
        <v>938</v>
      </c>
      <c r="F363" s="101" t="s">
        <v>886</v>
      </c>
      <c r="G363" s="105" t="s">
        <v>228</v>
      </c>
      <c r="H363" s="106">
        <f t="shared" ref="H363:I363" si="83">+H349+H357</f>
        <v>17563878.071736</v>
      </c>
      <c r="I363" s="107">
        <f t="shared" si="83"/>
        <v>4009317.9500000011</v>
      </c>
    </row>
    <row r="364" spans="1:9">
      <c r="A364" s="87" t="s">
        <v>935</v>
      </c>
      <c r="B364" s="51" t="s">
        <v>939</v>
      </c>
      <c r="F364" s="100"/>
      <c r="G364" s="105" t="s">
        <v>229</v>
      </c>
      <c r="H364" s="99">
        <f>+H350+H358</f>
        <v>0</v>
      </c>
      <c r="I364" s="108">
        <f>+I350+I358</f>
        <v>3580451.1599999988</v>
      </c>
    </row>
    <row r="365" spans="1:9">
      <c r="A365" s="51"/>
      <c r="G365" s="109"/>
      <c r="H365" s="99">
        <f>SUM(H362:H364)</f>
        <v>143445349.52000001</v>
      </c>
      <c r="I365" s="108">
        <f>SUM(I362:I364)</f>
        <v>18509929.019999996</v>
      </c>
    </row>
    <row r="366" spans="1:9">
      <c r="A366" s="92" t="s">
        <v>226</v>
      </c>
      <c r="B366" s="51" t="s">
        <v>1158</v>
      </c>
    </row>
    <row r="367" spans="1:9">
      <c r="A367" s="92" t="s">
        <v>230</v>
      </c>
      <c r="B367" s="51" t="s">
        <v>1159</v>
      </c>
    </row>
    <row r="368" spans="1:9">
      <c r="A368" s="92" t="s">
        <v>886</v>
      </c>
      <c r="B368" s="51" t="s">
        <v>887</v>
      </c>
      <c r="E368" s="287"/>
      <c r="F368" s="6"/>
      <c r="G368" s="6"/>
      <c r="H368" s="16"/>
      <c r="I368" s="16"/>
    </row>
    <row r="369" spans="1:9">
      <c r="A369" s="295">
        <v>-9</v>
      </c>
      <c r="B369" s="51" t="s">
        <v>1147</v>
      </c>
      <c r="E369" s="6"/>
      <c r="F369" s="6"/>
      <c r="G369" s="6"/>
      <c r="H369" s="6"/>
      <c r="I369" s="6"/>
    </row>
    <row r="370" spans="1:9">
      <c r="B370" s="51" t="s">
        <v>1148</v>
      </c>
      <c r="E370" s="6"/>
      <c r="F370" s="18"/>
      <c r="G370" s="6"/>
      <c r="H370" s="16"/>
      <c r="I370" s="16"/>
    </row>
    <row r="371" spans="1:9">
      <c r="B371" s="51" t="s">
        <v>1149</v>
      </c>
      <c r="H371" s="96"/>
      <c r="I371" s="96"/>
    </row>
    <row r="372" spans="1:9" ht="15.75">
      <c r="F372" s="64"/>
      <c r="H372" s="288"/>
      <c r="I372" s="288"/>
    </row>
    <row r="374" spans="1:9">
      <c r="A374" s="285" t="s">
        <v>1145</v>
      </c>
      <c r="B374" s="169"/>
      <c r="C374" s="173"/>
      <c r="D374" s="286"/>
      <c r="E374" s="181"/>
      <c r="F374" s="181"/>
    </row>
  </sheetData>
  <sortState ref="A143:L165">
    <sortCondition ref="C143:C165"/>
    <sortCondition ref="A143:A165"/>
  </sortState>
  <pageMargins left="0.25" right="0.25" top="0.25" bottom="0.25" header="0.5" footer="0.5"/>
  <pageSetup scale="51" fitToHeight="0"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GI7070"/>
  <sheetViews>
    <sheetView topLeftCell="A64" zoomScale="75" workbookViewId="0">
      <selection activeCell="E99" sqref="E99"/>
    </sheetView>
  </sheetViews>
  <sheetFormatPr defaultRowHeight="15" customHeight="1"/>
  <cols>
    <col min="1" max="1" width="3.88671875" style="184" customWidth="1"/>
    <col min="2" max="2" width="8.44140625" style="184" customWidth="1"/>
    <col min="3" max="3" width="34.109375" style="184" customWidth="1"/>
    <col min="4" max="4" width="23.44140625" style="191" customWidth="1"/>
    <col min="5" max="5" width="37" style="191" customWidth="1"/>
    <col min="6" max="6" width="12.5546875" style="194" customWidth="1"/>
    <col min="7" max="7" width="12.6640625" style="194" hidden="1" customWidth="1"/>
    <col min="8" max="8" width="7.88671875" style="190" hidden="1" customWidth="1"/>
    <col min="9" max="9" width="3.77734375" style="194" hidden="1" customWidth="1"/>
    <col min="10" max="10" width="10.88671875" style="184" hidden="1" customWidth="1"/>
    <col min="11" max="13" width="10.88671875" style="190" hidden="1" customWidth="1"/>
    <col min="14" max="14" width="10.88671875" style="184" hidden="1" customWidth="1"/>
    <col min="15" max="15" width="21.21875" style="183" hidden="1" customWidth="1"/>
    <col min="16" max="16" width="20.5546875" style="191" hidden="1" customWidth="1"/>
    <col min="17" max="17" width="24.109375" style="183" hidden="1" customWidth="1"/>
    <col min="18" max="19" width="0" style="183" hidden="1" customWidth="1"/>
    <col min="20" max="20" width="12.88671875" style="184" customWidth="1"/>
    <col min="21" max="21" width="11.44140625" style="184" customWidth="1"/>
    <col min="22" max="22" width="12.6640625" style="194" customWidth="1"/>
    <col min="23" max="27" width="12.21875" style="186" hidden="1" customWidth="1"/>
    <col min="28" max="33" width="0" style="184" hidden="1" customWidth="1"/>
    <col min="34" max="34" width="15" style="184" customWidth="1"/>
    <col min="35" max="35" width="8.88671875" style="184"/>
    <col min="36" max="36" width="11.21875" style="184" bestFit="1" customWidth="1"/>
    <col min="37" max="256" width="8.88671875" style="184"/>
    <col min="257" max="257" width="3.88671875" style="184" customWidth="1"/>
    <col min="258" max="258" width="8.44140625" style="184" customWidth="1"/>
    <col min="259" max="259" width="10.21875" style="184" customWidth="1"/>
    <col min="260" max="260" width="23.44140625" style="184" customWidth="1"/>
    <col min="261" max="261" width="37" style="184" customWidth="1"/>
    <col min="262" max="262" width="12.5546875" style="184" customWidth="1"/>
    <col min="263" max="275" width="0" style="184" hidden="1" customWidth="1"/>
    <col min="276" max="276" width="12.88671875" style="184" customWidth="1"/>
    <col min="277" max="277" width="11.44140625" style="184" customWidth="1"/>
    <col min="278" max="278" width="12.6640625" style="184" customWidth="1"/>
    <col min="279" max="289" width="0" style="184" hidden="1" customWidth="1"/>
    <col min="290" max="290" width="15" style="184" customWidth="1"/>
    <col min="291" max="512" width="8.88671875" style="184"/>
    <col min="513" max="513" width="3.88671875" style="184" customWidth="1"/>
    <col min="514" max="514" width="8.44140625" style="184" customWidth="1"/>
    <col min="515" max="515" width="10.21875" style="184" customWidth="1"/>
    <col min="516" max="516" width="23.44140625" style="184" customWidth="1"/>
    <col min="517" max="517" width="37" style="184" customWidth="1"/>
    <col min="518" max="518" width="12.5546875" style="184" customWidth="1"/>
    <col min="519" max="531" width="0" style="184" hidden="1" customWidth="1"/>
    <col min="532" max="532" width="12.88671875" style="184" customWidth="1"/>
    <col min="533" max="533" width="11.44140625" style="184" customWidth="1"/>
    <col min="534" max="534" width="12.6640625" style="184" customWidth="1"/>
    <col min="535" max="545" width="0" style="184" hidden="1" customWidth="1"/>
    <col min="546" max="546" width="15" style="184" customWidth="1"/>
    <col min="547" max="768" width="8.88671875" style="184"/>
    <col min="769" max="769" width="3.88671875" style="184" customWidth="1"/>
    <col min="770" max="770" width="8.44140625" style="184" customWidth="1"/>
    <col min="771" max="771" width="10.21875" style="184" customWidth="1"/>
    <col min="772" max="772" width="23.44140625" style="184" customWidth="1"/>
    <col min="773" max="773" width="37" style="184" customWidth="1"/>
    <col min="774" max="774" width="12.5546875" style="184" customWidth="1"/>
    <col min="775" max="787" width="0" style="184" hidden="1" customWidth="1"/>
    <col min="788" max="788" width="12.88671875" style="184" customWidth="1"/>
    <col min="789" max="789" width="11.44140625" style="184" customWidth="1"/>
    <col min="790" max="790" width="12.6640625" style="184" customWidth="1"/>
    <col min="791" max="801" width="0" style="184" hidden="1" customWidth="1"/>
    <col min="802" max="802" width="15" style="184" customWidth="1"/>
    <col min="803" max="1024" width="8.88671875" style="184"/>
    <col min="1025" max="1025" width="3.88671875" style="184" customWidth="1"/>
    <col min="1026" max="1026" width="8.44140625" style="184" customWidth="1"/>
    <col min="1027" max="1027" width="10.21875" style="184" customWidth="1"/>
    <col min="1028" max="1028" width="23.44140625" style="184" customWidth="1"/>
    <col min="1029" max="1029" width="37" style="184" customWidth="1"/>
    <col min="1030" max="1030" width="12.5546875" style="184" customWidth="1"/>
    <col min="1031" max="1043" width="0" style="184" hidden="1" customWidth="1"/>
    <col min="1044" max="1044" width="12.88671875" style="184" customWidth="1"/>
    <col min="1045" max="1045" width="11.44140625" style="184" customWidth="1"/>
    <col min="1046" max="1046" width="12.6640625" style="184" customWidth="1"/>
    <col min="1047" max="1057" width="0" style="184" hidden="1" customWidth="1"/>
    <col min="1058" max="1058" width="15" style="184" customWidth="1"/>
    <col min="1059" max="1280" width="8.88671875" style="184"/>
    <col min="1281" max="1281" width="3.88671875" style="184" customWidth="1"/>
    <col min="1282" max="1282" width="8.44140625" style="184" customWidth="1"/>
    <col min="1283" max="1283" width="10.21875" style="184" customWidth="1"/>
    <col min="1284" max="1284" width="23.44140625" style="184" customWidth="1"/>
    <col min="1285" max="1285" width="37" style="184" customWidth="1"/>
    <col min="1286" max="1286" width="12.5546875" style="184" customWidth="1"/>
    <col min="1287" max="1299" width="0" style="184" hidden="1" customWidth="1"/>
    <col min="1300" max="1300" width="12.88671875" style="184" customWidth="1"/>
    <col min="1301" max="1301" width="11.44140625" style="184" customWidth="1"/>
    <col min="1302" max="1302" width="12.6640625" style="184" customWidth="1"/>
    <col min="1303" max="1313" width="0" style="184" hidden="1" customWidth="1"/>
    <col min="1314" max="1314" width="15" style="184" customWidth="1"/>
    <col min="1315" max="1536" width="8.88671875" style="184"/>
    <col min="1537" max="1537" width="3.88671875" style="184" customWidth="1"/>
    <col min="1538" max="1538" width="8.44140625" style="184" customWidth="1"/>
    <col min="1539" max="1539" width="10.21875" style="184" customWidth="1"/>
    <col min="1540" max="1540" width="23.44140625" style="184" customWidth="1"/>
    <col min="1541" max="1541" width="37" style="184" customWidth="1"/>
    <col min="1542" max="1542" width="12.5546875" style="184" customWidth="1"/>
    <col min="1543" max="1555" width="0" style="184" hidden="1" customWidth="1"/>
    <col min="1556" max="1556" width="12.88671875" style="184" customWidth="1"/>
    <col min="1557" max="1557" width="11.44140625" style="184" customWidth="1"/>
    <col min="1558" max="1558" width="12.6640625" style="184" customWidth="1"/>
    <col min="1559" max="1569" width="0" style="184" hidden="1" customWidth="1"/>
    <col min="1570" max="1570" width="15" style="184" customWidth="1"/>
    <col min="1571" max="1792" width="8.88671875" style="184"/>
    <col min="1793" max="1793" width="3.88671875" style="184" customWidth="1"/>
    <col min="1794" max="1794" width="8.44140625" style="184" customWidth="1"/>
    <col min="1795" max="1795" width="10.21875" style="184" customWidth="1"/>
    <col min="1796" max="1796" width="23.44140625" style="184" customWidth="1"/>
    <col min="1797" max="1797" width="37" style="184" customWidth="1"/>
    <col min="1798" max="1798" width="12.5546875" style="184" customWidth="1"/>
    <col min="1799" max="1811" width="0" style="184" hidden="1" customWidth="1"/>
    <col min="1812" max="1812" width="12.88671875" style="184" customWidth="1"/>
    <col min="1813" max="1813" width="11.44140625" style="184" customWidth="1"/>
    <col min="1814" max="1814" width="12.6640625" style="184" customWidth="1"/>
    <col min="1815" max="1825" width="0" style="184" hidden="1" customWidth="1"/>
    <col min="1826" max="1826" width="15" style="184" customWidth="1"/>
    <col min="1827" max="2048" width="8.88671875" style="184"/>
    <col min="2049" max="2049" width="3.88671875" style="184" customWidth="1"/>
    <col min="2050" max="2050" width="8.44140625" style="184" customWidth="1"/>
    <col min="2051" max="2051" width="10.21875" style="184" customWidth="1"/>
    <col min="2052" max="2052" width="23.44140625" style="184" customWidth="1"/>
    <col min="2053" max="2053" width="37" style="184" customWidth="1"/>
    <col min="2054" max="2054" width="12.5546875" style="184" customWidth="1"/>
    <col min="2055" max="2067" width="0" style="184" hidden="1" customWidth="1"/>
    <col min="2068" max="2068" width="12.88671875" style="184" customWidth="1"/>
    <col min="2069" max="2069" width="11.44140625" style="184" customWidth="1"/>
    <col min="2070" max="2070" width="12.6640625" style="184" customWidth="1"/>
    <col min="2071" max="2081" width="0" style="184" hidden="1" customWidth="1"/>
    <col min="2082" max="2082" width="15" style="184" customWidth="1"/>
    <col min="2083" max="2304" width="8.88671875" style="184"/>
    <col min="2305" max="2305" width="3.88671875" style="184" customWidth="1"/>
    <col min="2306" max="2306" width="8.44140625" style="184" customWidth="1"/>
    <col min="2307" max="2307" width="10.21875" style="184" customWidth="1"/>
    <col min="2308" max="2308" width="23.44140625" style="184" customWidth="1"/>
    <col min="2309" max="2309" width="37" style="184" customWidth="1"/>
    <col min="2310" max="2310" width="12.5546875" style="184" customWidth="1"/>
    <col min="2311" max="2323" width="0" style="184" hidden="1" customWidth="1"/>
    <col min="2324" max="2324" width="12.88671875" style="184" customWidth="1"/>
    <col min="2325" max="2325" width="11.44140625" style="184" customWidth="1"/>
    <col min="2326" max="2326" width="12.6640625" style="184" customWidth="1"/>
    <col min="2327" max="2337" width="0" style="184" hidden="1" customWidth="1"/>
    <col min="2338" max="2338" width="15" style="184" customWidth="1"/>
    <col min="2339" max="2560" width="8.88671875" style="184"/>
    <col min="2561" max="2561" width="3.88671875" style="184" customWidth="1"/>
    <col min="2562" max="2562" width="8.44140625" style="184" customWidth="1"/>
    <col min="2563" max="2563" width="10.21875" style="184" customWidth="1"/>
    <col min="2564" max="2564" width="23.44140625" style="184" customWidth="1"/>
    <col min="2565" max="2565" width="37" style="184" customWidth="1"/>
    <col min="2566" max="2566" width="12.5546875" style="184" customWidth="1"/>
    <col min="2567" max="2579" width="0" style="184" hidden="1" customWidth="1"/>
    <col min="2580" max="2580" width="12.88671875" style="184" customWidth="1"/>
    <col min="2581" max="2581" width="11.44140625" style="184" customWidth="1"/>
    <col min="2582" max="2582" width="12.6640625" style="184" customWidth="1"/>
    <col min="2583" max="2593" width="0" style="184" hidden="1" customWidth="1"/>
    <col min="2594" max="2594" width="15" style="184" customWidth="1"/>
    <col min="2595" max="2816" width="8.88671875" style="184"/>
    <col min="2817" max="2817" width="3.88671875" style="184" customWidth="1"/>
    <col min="2818" max="2818" width="8.44140625" style="184" customWidth="1"/>
    <col min="2819" max="2819" width="10.21875" style="184" customWidth="1"/>
    <col min="2820" max="2820" width="23.44140625" style="184" customWidth="1"/>
    <col min="2821" max="2821" width="37" style="184" customWidth="1"/>
    <col min="2822" max="2822" width="12.5546875" style="184" customWidth="1"/>
    <col min="2823" max="2835" width="0" style="184" hidden="1" customWidth="1"/>
    <col min="2836" max="2836" width="12.88671875" style="184" customWidth="1"/>
    <col min="2837" max="2837" width="11.44140625" style="184" customWidth="1"/>
    <col min="2838" max="2838" width="12.6640625" style="184" customWidth="1"/>
    <col min="2839" max="2849" width="0" style="184" hidden="1" customWidth="1"/>
    <col min="2850" max="2850" width="15" style="184" customWidth="1"/>
    <col min="2851" max="3072" width="8.88671875" style="184"/>
    <col min="3073" max="3073" width="3.88671875" style="184" customWidth="1"/>
    <col min="3074" max="3074" width="8.44140625" style="184" customWidth="1"/>
    <col min="3075" max="3075" width="10.21875" style="184" customWidth="1"/>
    <col min="3076" max="3076" width="23.44140625" style="184" customWidth="1"/>
    <col min="3077" max="3077" width="37" style="184" customWidth="1"/>
    <col min="3078" max="3078" width="12.5546875" style="184" customWidth="1"/>
    <col min="3079" max="3091" width="0" style="184" hidden="1" customWidth="1"/>
    <col min="3092" max="3092" width="12.88671875" style="184" customWidth="1"/>
    <col min="3093" max="3093" width="11.44140625" style="184" customWidth="1"/>
    <col min="3094" max="3094" width="12.6640625" style="184" customWidth="1"/>
    <col min="3095" max="3105" width="0" style="184" hidden="1" customWidth="1"/>
    <col min="3106" max="3106" width="15" style="184" customWidth="1"/>
    <col min="3107" max="3328" width="8.88671875" style="184"/>
    <col min="3329" max="3329" width="3.88671875" style="184" customWidth="1"/>
    <col min="3330" max="3330" width="8.44140625" style="184" customWidth="1"/>
    <col min="3331" max="3331" width="10.21875" style="184" customWidth="1"/>
    <col min="3332" max="3332" width="23.44140625" style="184" customWidth="1"/>
    <col min="3333" max="3333" width="37" style="184" customWidth="1"/>
    <col min="3334" max="3334" width="12.5546875" style="184" customWidth="1"/>
    <col min="3335" max="3347" width="0" style="184" hidden="1" customWidth="1"/>
    <col min="3348" max="3348" width="12.88671875" style="184" customWidth="1"/>
    <col min="3349" max="3349" width="11.44140625" style="184" customWidth="1"/>
    <col min="3350" max="3350" width="12.6640625" style="184" customWidth="1"/>
    <col min="3351" max="3361" width="0" style="184" hidden="1" customWidth="1"/>
    <col min="3362" max="3362" width="15" style="184" customWidth="1"/>
    <col min="3363" max="3584" width="8.88671875" style="184"/>
    <col min="3585" max="3585" width="3.88671875" style="184" customWidth="1"/>
    <col min="3586" max="3586" width="8.44140625" style="184" customWidth="1"/>
    <col min="3587" max="3587" width="10.21875" style="184" customWidth="1"/>
    <col min="3588" max="3588" width="23.44140625" style="184" customWidth="1"/>
    <col min="3589" max="3589" width="37" style="184" customWidth="1"/>
    <col min="3590" max="3590" width="12.5546875" style="184" customWidth="1"/>
    <col min="3591" max="3603" width="0" style="184" hidden="1" customWidth="1"/>
    <col min="3604" max="3604" width="12.88671875" style="184" customWidth="1"/>
    <col min="3605" max="3605" width="11.44140625" style="184" customWidth="1"/>
    <col min="3606" max="3606" width="12.6640625" style="184" customWidth="1"/>
    <col min="3607" max="3617" width="0" style="184" hidden="1" customWidth="1"/>
    <col min="3618" max="3618" width="15" style="184" customWidth="1"/>
    <col min="3619" max="3840" width="8.88671875" style="184"/>
    <col min="3841" max="3841" width="3.88671875" style="184" customWidth="1"/>
    <col min="3842" max="3842" width="8.44140625" style="184" customWidth="1"/>
    <col min="3843" max="3843" width="10.21875" style="184" customWidth="1"/>
    <col min="3844" max="3844" width="23.44140625" style="184" customWidth="1"/>
    <col min="3845" max="3845" width="37" style="184" customWidth="1"/>
    <col min="3846" max="3846" width="12.5546875" style="184" customWidth="1"/>
    <col min="3847" max="3859" width="0" style="184" hidden="1" customWidth="1"/>
    <col min="3860" max="3860" width="12.88671875" style="184" customWidth="1"/>
    <col min="3861" max="3861" width="11.44140625" style="184" customWidth="1"/>
    <col min="3862" max="3862" width="12.6640625" style="184" customWidth="1"/>
    <col min="3863" max="3873" width="0" style="184" hidden="1" customWidth="1"/>
    <col min="3874" max="3874" width="15" style="184" customWidth="1"/>
    <col min="3875" max="4096" width="8.88671875" style="184"/>
    <col min="4097" max="4097" width="3.88671875" style="184" customWidth="1"/>
    <col min="4098" max="4098" width="8.44140625" style="184" customWidth="1"/>
    <col min="4099" max="4099" width="10.21875" style="184" customWidth="1"/>
    <col min="4100" max="4100" width="23.44140625" style="184" customWidth="1"/>
    <col min="4101" max="4101" width="37" style="184" customWidth="1"/>
    <col min="4102" max="4102" width="12.5546875" style="184" customWidth="1"/>
    <col min="4103" max="4115" width="0" style="184" hidden="1" customWidth="1"/>
    <col min="4116" max="4116" width="12.88671875" style="184" customWidth="1"/>
    <col min="4117" max="4117" width="11.44140625" style="184" customWidth="1"/>
    <col min="4118" max="4118" width="12.6640625" style="184" customWidth="1"/>
    <col min="4119" max="4129" width="0" style="184" hidden="1" customWidth="1"/>
    <col min="4130" max="4130" width="15" style="184" customWidth="1"/>
    <col min="4131" max="4352" width="8.88671875" style="184"/>
    <col min="4353" max="4353" width="3.88671875" style="184" customWidth="1"/>
    <col min="4354" max="4354" width="8.44140625" style="184" customWidth="1"/>
    <col min="4355" max="4355" width="10.21875" style="184" customWidth="1"/>
    <col min="4356" max="4356" width="23.44140625" style="184" customWidth="1"/>
    <col min="4357" max="4357" width="37" style="184" customWidth="1"/>
    <col min="4358" max="4358" width="12.5546875" style="184" customWidth="1"/>
    <col min="4359" max="4371" width="0" style="184" hidden="1" customWidth="1"/>
    <col min="4372" max="4372" width="12.88671875" style="184" customWidth="1"/>
    <col min="4373" max="4373" width="11.44140625" style="184" customWidth="1"/>
    <col min="4374" max="4374" width="12.6640625" style="184" customWidth="1"/>
    <col min="4375" max="4385" width="0" style="184" hidden="1" customWidth="1"/>
    <col min="4386" max="4386" width="15" style="184" customWidth="1"/>
    <col min="4387" max="4608" width="8.88671875" style="184"/>
    <col min="4609" max="4609" width="3.88671875" style="184" customWidth="1"/>
    <col min="4610" max="4610" width="8.44140625" style="184" customWidth="1"/>
    <col min="4611" max="4611" width="10.21875" style="184" customWidth="1"/>
    <col min="4612" max="4612" width="23.44140625" style="184" customWidth="1"/>
    <col min="4613" max="4613" width="37" style="184" customWidth="1"/>
    <col min="4614" max="4614" width="12.5546875" style="184" customWidth="1"/>
    <col min="4615" max="4627" width="0" style="184" hidden="1" customWidth="1"/>
    <col min="4628" max="4628" width="12.88671875" style="184" customWidth="1"/>
    <col min="4629" max="4629" width="11.44140625" style="184" customWidth="1"/>
    <col min="4630" max="4630" width="12.6640625" style="184" customWidth="1"/>
    <col min="4631" max="4641" width="0" style="184" hidden="1" customWidth="1"/>
    <col min="4642" max="4642" width="15" style="184" customWidth="1"/>
    <col min="4643" max="4864" width="8.88671875" style="184"/>
    <col min="4865" max="4865" width="3.88671875" style="184" customWidth="1"/>
    <col min="4866" max="4866" width="8.44140625" style="184" customWidth="1"/>
    <col min="4867" max="4867" width="10.21875" style="184" customWidth="1"/>
    <col min="4868" max="4868" width="23.44140625" style="184" customWidth="1"/>
    <col min="4869" max="4869" width="37" style="184" customWidth="1"/>
    <col min="4870" max="4870" width="12.5546875" style="184" customWidth="1"/>
    <col min="4871" max="4883" width="0" style="184" hidden="1" customWidth="1"/>
    <col min="4884" max="4884" width="12.88671875" style="184" customWidth="1"/>
    <col min="4885" max="4885" width="11.44140625" style="184" customWidth="1"/>
    <col min="4886" max="4886" width="12.6640625" style="184" customWidth="1"/>
    <col min="4887" max="4897" width="0" style="184" hidden="1" customWidth="1"/>
    <col min="4898" max="4898" width="15" style="184" customWidth="1"/>
    <col min="4899" max="5120" width="8.88671875" style="184"/>
    <col min="5121" max="5121" width="3.88671875" style="184" customWidth="1"/>
    <col min="5122" max="5122" width="8.44140625" style="184" customWidth="1"/>
    <col min="5123" max="5123" width="10.21875" style="184" customWidth="1"/>
    <col min="5124" max="5124" width="23.44140625" style="184" customWidth="1"/>
    <col min="5125" max="5125" width="37" style="184" customWidth="1"/>
    <col min="5126" max="5126" width="12.5546875" style="184" customWidth="1"/>
    <col min="5127" max="5139" width="0" style="184" hidden="1" customWidth="1"/>
    <col min="5140" max="5140" width="12.88671875" style="184" customWidth="1"/>
    <col min="5141" max="5141" width="11.44140625" style="184" customWidth="1"/>
    <col min="5142" max="5142" width="12.6640625" style="184" customWidth="1"/>
    <col min="5143" max="5153" width="0" style="184" hidden="1" customWidth="1"/>
    <col min="5154" max="5154" width="15" style="184" customWidth="1"/>
    <col min="5155" max="5376" width="8.88671875" style="184"/>
    <col min="5377" max="5377" width="3.88671875" style="184" customWidth="1"/>
    <col min="5378" max="5378" width="8.44140625" style="184" customWidth="1"/>
    <col min="5379" max="5379" width="10.21875" style="184" customWidth="1"/>
    <col min="5380" max="5380" width="23.44140625" style="184" customWidth="1"/>
    <col min="5381" max="5381" width="37" style="184" customWidth="1"/>
    <col min="5382" max="5382" width="12.5546875" style="184" customWidth="1"/>
    <col min="5383" max="5395" width="0" style="184" hidden="1" customWidth="1"/>
    <col min="5396" max="5396" width="12.88671875" style="184" customWidth="1"/>
    <col min="5397" max="5397" width="11.44140625" style="184" customWidth="1"/>
    <col min="5398" max="5398" width="12.6640625" style="184" customWidth="1"/>
    <col min="5399" max="5409" width="0" style="184" hidden="1" customWidth="1"/>
    <col min="5410" max="5410" width="15" style="184" customWidth="1"/>
    <col min="5411" max="5632" width="8.88671875" style="184"/>
    <col min="5633" max="5633" width="3.88671875" style="184" customWidth="1"/>
    <col min="5634" max="5634" width="8.44140625" style="184" customWidth="1"/>
    <col min="5635" max="5635" width="10.21875" style="184" customWidth="1"/>
    <col min="5636" max="5636" width="23.44140625" style="184" customWidth="1"/>
    <col min="5637" max="5637" width="37" style="184" customWidth="1"/>
    <col min="5638" max="5638" width="12.5546875" style="184" customWidth="1"/>
    <col min="5639" max="5651" width="0" style="184" hidden="1" customWidth="1"/>
    <col min="5652" max="5652" width="12.88671875" style="184" customWidth="1"/>
    <col min="5653" max="5653" width="11.44140625" style="184" customWidth="1"/>
    <col min="5654" max="5654" width="12.6640625" style="184" customWidth="1"/>
    <col min="5655" max="5665" width="0" style="184" hidden="1" customWidth="1"/>
    <col min="5666" max="5666" width="15" style="184" customWidth="1"/>
    <col min="5667" max="5888" width="8.88671875" style="184"/>
    <col min="5889" max="5889" width="3.88671875" style="184" customWidth="1"/>
    <col min="5890" max="5890" width="8.44140625" style="184" customWidth="1"/>
    <col min="5891" max="5891" width="10.21875" style="184" customWidth="1"/>
    <col min="5892" max="5892" width="23.44140625" style="184" customWidth="1"/>
    <col min="5893" max="5893" width="37" style="184" customWidth="1"/>
    <col min="5894" max="5894" width="12.5546875" style="184" customWidth="1"/>
    <col min="5895" max="5907" width="0" style="184" hidden="1" customWidth="1"/>
    <col min="5908" max="5908" width="12.88671875" style="184" customWidth="1"/>
    <col min="5909" max="5909" width="11.44140625" style="184" customWidth="1"/>
    <col min="5910" max="5910" width="12.6640625" style="184" customWidth="1"/>
    <col min="5911" max="5921" width="0" style="184" hidden="1" customWidth="1"/>
    <col min="5922" max="5922" width="15" style="184" customWidth="1"/>
    <col min="5923" max="6144" width="8.88671875" style="184"/>
    <col min="6145" max="6145" width="3.88671875" style="184" customWidth="1"/>
    <col min="6146" max="6146" width="8.44140625" style="184" customWidth="1"/>
    <col min="6147" max="6147" width="10.21875" style="184" customWidth="1"/>
    <col min="6148" max="6148" width="23.44140625" style="184" customWidth="1"/>
    <col min="6149" max="6149" width="37" style="184" customWidth="1"/>
    <col min="6150" max="6150" width="12.5546875" style="184" customWidth="1"/>
    <col min="6151" max="6163" width="0" style="184" hidden="1" customWidth="1"/>
    <col min="6164" max="6164" width="12.88671875" style="184" customWidth="1"/>
    <col min="6165" max="6165" width="11.44140625" style="184" customWidth="1"/>
    <col min="6166" max="6166" width="12.6640625" style="184" customWidth="1"/>
    <col min="6167" max="6177" width="0" style="184" hidden="1" customWidth="1"/>
    <col min="6178" max="6178" width="15" style="184" customWidth="1"/>
    <col min="6179" max="6400" width="8.88671875" style="184"/>
    <col min="6401" max="6401" width="3.88671875" style="184" customWidth="1"/>
    <col min="6402" max="6402" width="8.44140625" style="184" customWidth="1"/>
    <col min="6403" max="6403" width="10.21875" style="184" customWidth="1"/>
    <col min="6404" max="6404" width="23.44140625" style="184" customWidth="1"/>
    <col min="6405" max="6405" width="37" style="184" customWidth="1"/>
    <col min="6406" max="6406" width="12.5546875" style="184" customWidth="1"/>
    <col min="6407" max="6419" width="0" style="184" hidden="1" customWidth="1"/>
    <col min="6420" max="6420" width="12.88671875" style="184" customWidth="1"/>
    <col min="6421" max="6421" width="11.44140625" style="184" customWidth="1"/>
    <col min="6422" max="6422" width="12.6640625" style="184" customWidth="1"/>
    <col min="6423" max="6433" width="0" style="184" hidden="1" customWidth="1"/>
    <col min="6434" max="6434" width="15" style="184" customWidth="1"/>
    <col min="6435" max="6656" width="8.88671875" style="184"/>
    <col min="6657" max="6657" width="3.88671875" style="184" customWidth="1"/>
    <col min="6658" max="6658" width="8.44140625" style="184" customWidth="1"/>
    <col min="6659" max="6659" width="10.21875" style="184" customWidth="1"/>
    <col min="6660" max="6660" width="23.44140625" style="184" customWidth="1"/>
    <col min="6661" max="6661" width="37" style="184" customWidth="1"/>
    <col min="6662" max="6662" width="12.5546875" style="184" customWidth="1"/>
    <col min="6663" max="6675" width="0" style="184" hidden="1" customWidth="1"/>
    <col min="6676" max="6676" width="12.88671875" style="184" customWidth="1"/>
    <col min="6677" max="6677" width="11.44140625" style="184" customWidth="1"/>
    <col min="6678" max="6678" width="12.6640625" style="184" customWidth="1"/>
    <col min="6679" max="6689" width="0" style="184" hidden="1" customWidth="1"/>
    <col min="6690" max="6690" width="15" style="184" customWidth="1"/>
    <col min="6691" max="6912" width="8.88671875" style="184"/>
    <col min="6913" max="6913" width="3.88671875" style="184" customWidth="1"/>
    <col min="6914" max="6914" width="8.44140625" style="184" customWidth="1"/>
    <col min="6915" max="6915" width="10.21875" style="184" customWidth="1"/>
    <col min="6916" max="6916" width="23.44140625" style="184" customWidth="1"/>
    <col min="6917" max="6917" width="37" style="184" customWidth="1"/>
    <col min="6918" max="6918" width="12.5546875" style="184" customWidth="1"/>
    <col min="6919" max="6931" width="0" style="184" hidden="1" customWidth="1"/>
    <col min="6932" max="6932" width="12.88671875" style="184" customWidth="1"/>
    <col min="6933" max="6933" width="11.44140625" style="184" customWidth="1"/>
    <col min="6934" max="6934" width="12.6640625" style="184" customWidth="1"/>
    <col min="6935" max="6945" width="0" style="184" hidden="1" customWidth="1"/>
    <col min="6946" max="6946" width="15" style="184" customWidth="1"/>
    <col min="6947" max="7168" width="8.88671875" style="184"/>
    <col min="7169" max="7169" width="3.88671875" style="184" customWidth="1"/>
    <col min="7170" max="7170" width="8.44140625" style="184" customWidth="1"/>
    <col min="7171" max="7171" width="10.21875" style="184" customWidth="1"/>
    <col min="7172" max="7172" width="23.44140625" style="184" customWidth="1"/>
    <col min="7173" max="7173" width="37" style="184" customWidth="1"/>
    <col min="7174" max="7174" width="12.5546875" style="184" customWidth="1"/>
    <col min="7175" max="7187" width="0" style="184" hidden="1" customWidth="1"/>
    <col min="7188" max="7188" width="12.88671875" style="184" customWidth="1"/>
    <col min="7189" max="7189" width="11.44140625" style="184" customWidth="1"/>
    <col min="7190" max="7190" width="12.6640625" style="184" customWidth="1"/>
    <col min="7191" max="7201" width="0" style="184" hidden="1" customWidth="1"/>
    <col min="7202" max="7202" width="15" style="184" customWidth="1"/>
    <col min="7203" max="7424" width="8.88671875" style="184"/>
    <col min="7425" max="7425" width="3.88671875" style="184" customWidth="1"/>
    <col min="7426" max="7426" width="8.44140625" style="184" customWidth="1"/>
    <col min="7427" max="7427" width="10.21875" style="184" customWidth="1"/>
    <col min="7428" max="7428" width="23.44140625" style="184" customWidth="1"/>
    <col min="7429" max="7429" width="37" style="184" customWidth="1"/>
    <col min="7430" max="7430" width="12.5546875" style="184" customWidth="1"/>
    <col min="7431" max="7443" width="0" style="184" hidden="1" customWidth="1"/>
    <col min="7444" max="7444" width="12.88671875" style="184" customWidth="1"/>
    <col min="7445" max="7445" width="11.44140625" style="184" customWidth="1"/>
    <col min="7446" max="7446" width="12.6640625" style="184" customWidth="1"/>
    <col min="7447" max="7457" width="0" style="184" hidden="1" customWidth="1"/>
    <col min="7458" max="7458" width="15" style="184" customWidth="1"/>
    <col min="7459" max="7680" width="8.88671875" style="184"/>
    <col min="7681" max="7681" width="3.88671875" style="184" customWidth="1"/>
    <col min="7682" max="7682" width="8.44140625" style="184" customWidth="1"/>
    <col min="7683" max="7683" width="10.21875" style="184" customWidth="1"/>
    <col min="7684" max="7684" width="23.44140625" style="184" customWidth="1"/>
    <col min="7685" max="7685" width="37" style="184" customWidth="1"/>
    <col min="7686" max="7686" width="12.5546875" style="184" customWidth="1"/>
    <col min="7687" max="7699" width="0" style="184" hidden="1" customWidth="1"/>
    <col min="7700" max="7700" width="12.88671875" style="184" customWidth="1"/>
    <col min="7701" max="7701" width="11.44140625" style="184" customWidth="1"/>
    <col min="7702" max="7702" width="12.6640625" style="184" customWidth="1"/>
    <col min="7703" max="7713" width="0" style="184" hidden="1" customWidth="1"/>
    <col min="7714" max="7714" width="15" style="184" customWidth="1"/>
    <col min="7715" max="7936" width="8.88671875" style="184"/>
    <col min="7937" max="7937" width="3.88671875" style="184" customWidth="1"/>
    <col min="7938" max="7938" width="8.44140625" style="184" customWidth="1"/>
    <col min="7939" max="7939" width="10.21875" style="184" customWidth="1"/>
    <col min="7940" max="7940" width="23.44140625" style="184" customWidth="1"/>
    <col min="7941" max="7941" width="37" style="184" customWidth="1"/>
    <col min="7942" max="7942" width="12.5546875" style="184" customWidth="1"/>
    <col min="7943" max="7955" width="0" style="184" hidden="1" customWidth="1"/>
    <col min="7956" max="7956" width="12.88671875" style="184" customWidth="1"/>
    <col min="7957" max="7957" width="11.44140625" style="184" customWidth="1"/>
    <col min="7958" max="7958" width="12.6640625" style="184" customWidth="1"/>
    <col min="7959" max="7969" width="0" style="184" hidden="1" customWidth="1"/>
    <col min="7970" max="7970" width="15" style="184" customWidth="1"/>
    <col min="7971" max="8192" width="8.88671875" style="184"/>
    <col min="8193" max="8193" width="3.88671875" style="184" customWidth="1"/>
    <col min="8194" max="8194" width="8.44140625" style="184" customWidth="1"/>
    <col min="8195" max="8195" width="10.21875" style="184" customWidth="1"/>
    <col min="8196" max="8196" width="23.44140625" style="184" customWidth="1"/>
    <col min="8197" max="8197" width="37" style="184" customWidth="1"/>
    <col min="8198" max="8198" width="12.5546875" style="184" customWidth="1"/>
    <col min="8199" max="8211" width="0" style="184" hidden="1" customWidth="1"/>
    <col min="8212" max="8212" width="12.88671875" style="184" customWidth="1"/>
    <col min="8213" max="8213" width="11.44140625" style="184" customWidth="1"/>
    <col min="8214" max="8214" width="12.6640625" style="184" customWidth="1"/>
    <col min="8215" max="8225" width="0" style="184" hidden="1" customWidth="1"/>
    <col min="8226" max="8226" width="15" style="184" customWidth="1"/>
    <col min="8227" max="8448" width="8.88671875" style="184"/>
    <col min="8449" max="8449" width="3.88671875" style="184" customWidth="1"/>
    <col min="8450" max="8450" width="8.44140625" style="184" customWidth="1"/>
    <col min="8451" max="8451" width="10.21875" style="184" customWidth="1"/>
    <col min="8452" max="8452" width="23.44140625" style="184" customWidth="1"/>
    <col min="8453" max="8453" width="37" style="184" customWidth="1"/>
    <col min="8454" max="8454" width="12.5546875" style="184" customWidth="1"/>
    <col min="8455" max="8467" width="0" style="184" hidden="1" customWidth="1"/>
    <col min="8468" max="8468" width="12.88671875" style="184" customWidth="1"/>
    <col min="8469" max="8469" width="11.44140625" style="184" customWidth="1"/>
    <col min="8470" max="8470" width="12.6640625" style="184" customWidth="1"/>
    <col min="8471" max="8481" width="0" style="184" hidden="1" customWidth="1"/>
    <col min="8482" max="8482" width="15" style="184" customWidth="1"/>
    <col min="8483" max="8704" width="8.88671875" style="184"/>
    <col min="8705" max="8705" width="3.88671875" style="184" customWidth="1"/>
    <col min="8706" max="8706" width="8.44140625" style="184" customWidth="1"/>
    <col min="8707" max="8707" width="10.21875" style="184" customWidth="1"/>
    <col min="8708" max="8708" width="23.44140625" style="184" customWidth="1"/>
    <col min="8709" max="8709" width="37" style="184" customWidth="1"/>
    <col min="8710" max="8710" width="12.5546875" style="184" customWidth="1"/>
    <col min="8711" max="8723" width="0" style="184" hidden="1" customWidth="1"/>
    <col min="8724" max="8724" width="12.88671875" style="184" customWidth="1"/>
    <col min="8725" max="8725" width="11.44140625" style="184" customWidth="1"/>
    <col min="8726" max="8726" width="12.6640625" style="184" customWidth="1"/>
    <col min="8727" max="8737" width="0" style="184" hidden="1" customWidth="1"/>
    <col min="8738" max="8738" width="15" style="184" customWidth="1"/>
    <col min="8739" max="8960" width="8.88671875" style="184"/>
    <col min="8961" max="8961" width="3.88671875" style="184" customWidth="1"/>
    <col min="8962" max="8962" width="8.44140625" style="184" customWidth="1"/>
    <col min="8963" max="8963" width="10.21875" style="184" customWidth="1"/>
    <col min="8964" max="8964" width="23.44140625" style="184" customWidth="1"/>
    <col min="8965" max="8965" width="37" style="184" customWidth="1"/>
    <col min="8966" max="8966" width="12.5546875" style="184" customWidth="1"/>
    <col min="8967" max="8979" width="0" style="184" hidden="1" customWidth="1"/>
    <col min="8980" max="8980" width="12.88671875" style="184" customWidth="1"/>
    <col min="8981" max="8981" width="11.44140625" style="184" customWidth="1"/>
    <col min="8982" max="8982" width="12.6640625" style="184" customWidth="1"/>
    <col min="8983" max="8993" width="0" style="184" hidden="1" customWidth="1"/>
    <col min="8994" max="8994" width="15" style="184" customWidth="1"/>
    <col min="8995" max="9216" width="8.88671875" style="184"/>
    <col min="9217" max="9217" width="3.88671875" style="184" customWidth="1"/>
    <col min="9218" max="9218" width="8.44140625" style="184" customWidth="1"/>
    <col min="9219" max="9219" width="10.21875" style="184" customWidth="1"/>
    <col min="9220" max="9220" width="23.44140625" style="184" customWidth="1"/>
    <col min="9221" max="9221" width="37" style="184" customWidth="1"/>
    <col min="9222" max="9222" width="12.5546875" style="184" customWidth="1"/>
    <col min="9223" max="9235" width="0" style="184" hidden="1" customWidth="1"/>
    <col min="9236" max="9236" width="12.88671875" style="184" customWidth="1"/>
    <col min="9237" max="9237" width="11.44140625" style="184" customWidth="1"/>
    <col min="9238" max="9238" width="12.6640625" style="184" customWidth="1"/>
    <col min="9239" max="9249" width="0" style="184" hidden="1" customWidth="1"/>
    <col min="9250" max="9250" width="15" style="184" customWidth="1"/>
    <col min="9251" max="9472" width="8.88671875" style="184"/>
    <col min="9473" max="9473" width="3.88671875" style="184" customWidth="1"/>
    <col min="9474" max="9474" width="8.44140625" style="184" customWidth="1"/>
    <col min="9475" max="9475" width="10.21875" style="184" customWidth="1"/>
    <col min="9476" max="9476" width="23.44140625" style="184" customWidth="1"/>
    <col min="9477" max="9477" width="37" style="184" customWidth="1"/>
    <col min="9478" max="9478" width="12.5546875" style="184" customWidth="1"/>
    <col min="9479" max="9491" width="0" style="184" hidden="1" customWidth="1"/>
    <col min="9492" max="9492" width="12.88671875" style="184" customWidth="1"/>
    <col min="9493" max="9493" width="11.44140625" style="184" customWidth="1"/>
    <col min="9494" max="9494" width="12.6640625" style="184" customWidth="1"/>
    <col min="9495" max="9505" width="0" style="184" hidden="1" customWidth="1"/>
    <col min="9506" max="9506" width="15" style="184" customWidth="1"/>
    <col min="9507" max="9728" width="8.88671875" style="184"/>
    <col min="9729" max="9729" width="3.88671875" style="184" customWidth="1"/>
    <col min="9730" max="9730" width="8.44140625" style="184" customWidth="1"/>
    <col min="9731" max="9731" width="10.21875" style="184" customWidth="1"/>
    <col min="9732" max="9732" width="23.44140625" style="184" customWidth="1"/>
    <col min="9733" max="9733" width="37" style="184" customWidth="1"/>
    <col min="9734" max="9734" width="12.5546875" style="184" customWidth="1"/>
    <col min="9735" max="9747" width="0" style="184" hidden="1" customWidth="1"/>
    <col min="9748" max="9748" width="12.88671875" style="184" customWidth="1"/>
    <col min="9749" max="9749" width="11.44140625" style="184" customWidth="1"/>
    <col min="9750" max="9750" width="12.6640625" style="184" customWidth="1"/>
    <col min="9751" max="9761" width="0" style="184" hidden="1" customWidth="1"/>
    <col min="9762" max="9762" width="15" style="184" customWidth="1"/>
    <col min="9763" max="9984" width="8.88671875" style="184"/>
    <col min="9985" max="9985" width="3.88671875" style="184" customWidth="1"/>
    <col min="9986" max="9986" width="8.44140625" style="184" customWidth="1"/>
    <col min="9987" max="9987" width="10.21875" style="184" customWidth="1"/>
    <col min="9988" max="9988" width="23.44140625" style="184" customWidth="1"/>
    <col min="9989" max="9989" width="37" style="184" customWidth="1"/>
    <col min="9990" max="9990" width="12.5546875" style="184" customWidth="1"/>
    <col min="9991" max="10003" width="0" style="184" hidden="1" customWidth="1"/>
    <col min="10004" max="10004" width="12.88671875" style="184" customWidth="1"/>
    <col min="10005" max="10005" width="11.44140625" style="184" customWidth="1"/>
    <col min="10006" max="10006" width="12.6640625" style="184" customWidth="1"/>
    <col min="10007" max="10017" width="0" style="184" hidden="1" customWidth="1"/>
    <col min="10018" max="10018" width="15" style="184" customWidth="1"/>
    <col min="10019" max="10240" width="8.88671875" style="184"/>
    <col min="10241" max="10241" width="3.88671875" style="184" customWidth="1"/>
    <col min="10242" max="10242" width="8.44140625" style="184" customWidth="1"/>
    <col min="10243" max="10243" width="10.21875" style="184" customWidth="1"/>
    <col min="10244" max="10244" width="23.44140625" style="184" customWidth="1"/>
    <col min="10245" max="10245" width="37" style="184" customWidth="1"/>
    <col min="10246" max="10246" width="12.5546875" style="184" customWidth="1"/>
    <col min="10247" max="10259" width="0" style="184" hidden="1" customWidth="1"/>
    <col min="10260" max="10260" width="12.88671875" style="184" customWidth="1"/>
    <col min="10261" max="10261" width="11.44140625" style="184" customWidth="1"/>
    <col min="10262" max="10262" width="12.6640625" style="184" customWidth="1"/>
    <col min="10263" max="10273" width="0" style="184" hidden="1" customWidth="1"/>
    <col min="10274" max="10274" width="15" style="184" customWidth="1"/>
    <col min="10275" max="10496" width="8.88671875" style="184"/>
    <col min="10497" max="10497" width="3.88671875" style="184" customWidth="1"/>
    <col min="10498" max="10498" width="8.44140625" style="184" customWidth="1"/>
    <col min="10499" max="10499" width="10.21875" style="184" customWidth="1"/>
    <col min="10500" max="10500" width="23.44140625" style="184" customWidth="1"/>
    <col min="10501" max="10501" width="37" style="184" customWidth="1"/>
    <col min="10502" max="10502" width="12.5546875" style="184" customWidth="1"/>
    <col min="10503" max="10515" width="0" style="184" hidden="1" customWidth="1"/>
    <col min="10516" max="10516" width="12.88671875" style="184" customWidth="1"/>
    <col min="10517" max="10517" width="11.44140625" style="184" customWidth="1"/>
    <col min="10518" max="10518" width="12.6640625" style="184" customWidth="1"/>
    <col min="10519" max="10529" width="0" style="184" hidden="1" customWidth="1"/>
    <col min="10530" max="10530" width="15" style="184" customWidth="1"/>
    <col min="10531" max="10752" width="8.88671875" style="184"/>
    <col min="10753" max="10753" width="3.88671875" style="184" customWidth="1"/>
    <col min="10754" max="10754" width="8.44140625" style="184" customWidth="1"/>
    <col min="10755" max="10755" width="10.21875" style="184" customWidth="1"/>
    <col min="10756" max="10756" width="23.44140625" style="184" customWidth="1"/>
    <col min="10757" max="10757" width="37" style="184" customWidth="1"/>
    <col min="10758" max="10758" width="12.5546875" style="184" customWidth="1"/>
    <col min="10759" max="10771" width="0" style="184" hidden="1" customWidth="1"/>
    <col min="10772" max="10772" width="12.88671875" style="184" customWidth="1"/>
    <col min="10773" max="10773" width="11.44140625" style="184" customWidth="1"/>
    <col min="10774" max="10774" width="12.6640625" style="184" customWidth="1"/>
    <col min="10775" max="10785" width="0" style="184" hidden="1" customWidth="1"/>
    <col min="10786" max="10786" width="15" style="184" customWidth="1"/>
    <col min="10787" max="11008" width="8.88671875" style="184"/>
    <col min="11009" max="11009" width="3.88671875" style="184" customWidth="1"/>
    <col min="11010" max="11010" width="8.44140625" style="184" customWidth="1"/>
    <col min="11011" max="11011" width="10.21875" style="184" customWidth="1"/>
    <col min="11012" max="11012" width="23.44140625" style="184" customWidth="1"/>
    <col min="11013" max="11013" width="37" style="184" customWidth="1"/>
    <col min="11014" max="11014" width="12.5546875" style="184" customWidth="1"/>
    <col min="11015" max="11027" width="0" style="184" hidden="1" customWidth="1"/>
    <col min="11028" max="11028" width="12.88671875" style="184" customWidth="1"/>
    <col min="11029" max="11029" width="11.44140625" style="184" customWidth="1"/>
    <col min="11030" max="11030" width="12.6640625" style="184" customWidth="1"/>
    <col min="11031" max="11041" width="0" style="184" hidden="1" customWidth="1"/>
    <col min="11042" max="11042" width="15" style="184" customWidth="1"/>
    <col min="11043" max="11264" width="8.88671875" style="184"/>
    <col min="11265" max="11265" width="3.88671875" style="184" customWidth="1"/>
    <col min="11266" max="11266" width="8.44140625" style="184" customWidth="1"/>
    <col min="11267" max="11267" width="10.21875" style="184" customWidth="1"/>
    <col min="11268" max="11268" width="23.44140625" style="184" customWidth="1"/>
    <col min="11269" max="11269" width="37" style="184" customWidth="1"/>
    <col min="11270" max="11270" width="12.5546875" style="184" customWidth="1"/>
    <col min="11271" max="11283" width="0" style="184" hidden="1" customWidth="1"/>
    <col min="11284" max="11284" width="12.88671875" style="184" customWidth="1"/>
    <col min="11285" max="11285" width="11.44140625" style="184" customWidth="1"/>
    <col min="11286" max="11286" width="12.6640625" style="184" customWidth="1"/>
    <col min="11287" max="11297" width="0" style="184" hidden="1" customWidth="1"/>
    <col min="11298" max="11298" width="15" style="184" customWidth="1"/>
    <col min="11299" max="11520" width="8.88671875" style="184"/>
    <col min="11521" max="11521" width="3.88671875" style="184" customWidth="1"/>
    <col min="11522" max="11522" width="8.44140625" style="184" customWidth="1"/>
    <col min="11523" max="11523" width="10.21875" style="184" customWidth="1"/>
    <col min="11524" max="11524" width="23.44140625" style="184" customWidth="1"/>
    <col min="11525" max="11525" width="37" style="184" customWidth="1"/>
    <col min="11526" max="11526" width="12.5546875" style="184" customWidth="1"/>
    <col min="11527" max="11539" width="0" style="184" hidden="1" customWidth="1"/>
    <col min="11540" max="11540" width="12.88671875" style="184" customWidth="1"/>
    <col min="11541" max="11541" width="11.44140625" style="184" customWidth="1"/>
    <col min="11542" max="11542" width="12.6640625" style="184" customWidth="1"/>
    <col min="11543" max="11553" width="0" style="184" hidden="1" customWidth="1"/>
    <col min="11554" max="11554" width="15" style="184" customWidth="1"/>
    <col min="11555" max="11776" width="8.88671875" style="184"/>
    <col min="11777" max="11777" width="3.88671875" style="184" customWidth="1"/>
    <col min="11778" max="11778" width="8.44140625" style="184" customWidth="1"/>
    <col min="11779" max="11779" width="10.21875" style="184" customWidth="1"/>
    <col min="11780" max="11780" width="23.44140625" style="184" customWidth="1"/>
    <col min="11781" max="11781" width="37" style="184" customWidth="1"/>
    <col min="11782" max="11782" width="12.5546875" style="184" customWidth="1"/>
    <col min="11783" max="11795" width="0" style="184" hidden="1" customWidth="1"/>
    <col min="11796" max="11796" width="12.88671875" style="184" customWidth="1"/>
    <col min="11797" max="11797" width="11.44140625" style="184" customWidth="1"/>
    <col min="11798" max="11798" width="12.6640625" style="184" customWidth="1"/>
    <col min="11799" max="11809" width="0" style="184" hidden="1" customWidth="1"/>
    <col min="11810" max="11810" width="15" style="184" customWidth="1"/>
    <col min="11811" max="12032" width="8.88671875" style="184"/>
    <col min="12033" max="12033" width="3.88671875" style="184" customWidth="1"/>
    <col min="12034" max="12034" width="8.44140625" style="184" customWidth="1"/>
    <col min="12035" max="12035" width="10.21875" style="184" customWidth="1"/>
    <col min="12036" max="12036" width="23.44140625" style="184" customWidth="1"/>
    <col min="12037" max="12037" width="37" style="184" customWidth="1"/>
    <col min="12038" max="12038" width="12.5546875" style="184" customWidth="1"/>
    <col min="12039" max="12051" width="0" style="184" hidden="1" customWidth="1"/>
    <col min="12052" max="12052" width="12.88671875" style="184" customWidth="1"/>
    <col min="12053" max="12053" width="11.44140625" style="184" customWidth="1"/>
    <col min="12054" max="12054" width="12.6640625" style="184" customWidth="1"/>
    <col min="12055" max="12065" width="0" style="184" hidden="1" customWidth="1"/>
    <col min="12066" max="12066" width="15" style="184" customWidth="1"/>
    <col min="12067" max="12288" width="8.88671875" style="184"/>
    <col min="12289" max="12289" width="3.88671875" style="184" customWidth="1"/>
    <col min="12290" max="12290" width="8.44140625" style="184" customWidth="1"/>
    <col min="12291" max="12291" width="10.21875" style="184" customWidth="1"/>
    <col min="12292" max="12292" width="23.44140625" style="184" customWidth="1"/>
    <col min="12293" max="12293" width="37" style="184" customWidth="1"/>
    <col min="12294" max="12294" width="12.5546875" style="184" customWidth="1"/>
    <col min="12295" max="12307" width="0" style="184" hidden="1" customWidth="1"/>
    <col min="12308" max="12308" width="12.88671875" style="184" customWidth="1"/>
    <col min="12309" max="12309" width="11.44140625" style="184" customWidth="1"/>
    <col min="12310" max="12310" width="12.6640625" style="184" customWidth="1"/>
    <col min="12311" max="12321" width="0" style="184" hidden="1" customWidth="1"/>
    <col min="12322" max="12322" width="15" style="184" customWidth="1"/>
    <col min="12323" max="12544" width="8.88671875" style="184"/>
    <col min="12545" max="12545" width="3.88671875" style="184" customWidth="1"/>
    <col min="12546" max="12546" width="8.44140625" style="184" customWidth="1"/>
    <col min="12547" max="12547" width="10.21875" style="184" customWidth="1"/>
    <col min="12548" max="12548" width="23.44140625" style="184" customWidth="1"/>
    <col min="12549" max="12549" width="37" style="184" customWidth="1"/>
    <col min="12550" max="12550" width="12.5546875" style="184" customWidth="1"/>
    <col min="12551" max="12563" width="0" style="184" hidden="1" customWidth="1"/>
    <col min="12564" max="12564" width="12.88671875" style="184" customWidth="1"/>
    <col min="12565" max="12565" width="11.44140625" style="184" customWidth="1"/>
    <col min="12566" max="12566" width="12.6640625" style="184" customWidth="1"/>
    <col min="12567" max="12577" width="0" style="184" hidden="1" customWidth="1"/>
    <col min="12578" max="12578" width="15" style="184" customWidth="1"/>
    <col min="12579" max="12800" width="8.88671875" style="184"/>
    <col min="12801" max="12801" width="3.88671875" style="184" customWidth="1"/>
    <col min="12802" max="12802" width="8.44140625" style="184" customWidth="1"/>
    <col min="12803" max="12803" width="10.21875" style="184" customWidth="1"/>
    <col min="12804" max="12804" width="23.44140625" style="184" customWidth="1"/>
    <col min="12805" max="12805" width="37" style="184" customWidth="1"/>
    <col min="12806" max="12806" width="12.5546875" style="184" customWidth="1"/>
    <col min="12807" max="12819" width="0" style="184" hidden="1" customWidth="1"/>
    <col min="12820" max="12820" width="12.88671875" style="184" customWidth="1"/>
    <col min="12821" max="12821" width="11.44140625" style="184" customWidth="1"/>
    <col min="12822" max="12822" width="12.6640625" style="184" customWidth="1"/>
    <col min="12823" max="12833" width="0" style="184" hidden="1" customWidth="1"/>
    <col min="12834" max="12834" width="15" style="184" customWidth="1"/>
    <col min="12835" max="13056" width="8.88671875" style="184"/>
    <col min="13057" max="13057" width="3.88671875" style="184" customWidth="1"/>
    <col min="13058" max="13058" width="8.44140625" style="184" customWidth="1"/>
    <col min="13059" max="13059" width="10.21875" style="184" customWidth="1"/>
    <col min="13060" max="13060" width="23.44140625" style="184" customWidth="1"/>
    <col min="13061" max="13061" width="37" style="184" customWidth="1"/>
    <col min="13062" max="13062" width="12.5546875" style="184" customWidth="1"/>
    <col min="13063" max="13075" width="0" style="184" hidden="1" customWidth="1"/>
    <col min="13076" max="13076" width="12.88671875" style="184" customWidth="1"/>
    <col min="13077" max="13077" width="11.44140625" style="184" customWidth="1"/>
    <col min="13078" max="13078" width="12.6640625" style="184" customWidth="1"/>
    <col min="13079" max="13089" width="0" style="184" hidden="1" customWidth="1"/>
    <col min="13090" max="13090" width="15" style="184" customWidth="1"/>
    <col min="13091" max="13312" width="8.88671875" style="184"/>
    <col min="13313" max="13313" width="3.88671875" style="184" customWidth="1"/>
    <col min="13314" max="13314" width="8.44140625" style="184" customWidth="1"/>
    <col min="13315" max="13315" width="10.21875" style="184" customWidth="1"/>
    <col min="13316" max="13316" width="23.44140625" style="184" customWidth="1"/>
    <col min="13317" max="13317" width="37" style="184" customWidth="1"/>
    <col min="13318" max="13318" width="12.5546875" style="184" customWidth="1"/>
    <col min="13319" max="13331" width="0" style="184" hidden="1" customWidth="1"/>
    <col min="13332" max="13332" width="12.88671875" style="184" customWidth="1"/>
    <col min="13333" max="13333" width="11.44140625" style="184" customWidth="1"/>
    <col min="13334" max="13334" width="12.6640625" style="184" customWidth="1"/>
    <col min="13335" max="13345" width="0" style="184" hidden="1" customWidth="1"/>
    <col min="13346" max="13346" width="15" style="184" customWidth="1"/>
    <col min="13347" max="13568" width="8.88671875" style="184"/>
    <col min="13569" max="13569" width="3.88671875" style="184" customWidth="1"/>
    <col min="13570" max="13570" width="8.44140625" style="184" customWidth="1"/>
    <col min="13571" max="13571" width="10.21875" style="184" customWidth="1"/>
    <col min="13572" max="13572" width="23.44140625" style="184" customWidth="1"/>
    <col min="13573" max="13573" width="37" style="184" customWidth="1"/>
    <col min="13574" max="13574" width="12.5546875" style="184" customWidth="1"/>
    <col min="13575" max="13587" width="0" style="184" hidden="1" customWidth="1"/>
    <col min="13588" max="13588" width="12.88671875" style="184" customWidth="1"/>
    <col min="13589" max="13589" width="11.44140625" style="184" customWidth="1"/>
    <col min="13590" max="13590" width="12.6640625" style="184" customWidth="1"/>
    <col min="13591" max="13601" width="0" style="184" hidden="1" customWidth="1"/>
    <col min="13602" max="13602" width="15" style="184" customWidth="1"/>
    <col min="13603" max="13824" width="8.88671875" style="184"/>
    <col min="13825" max="13825" width="3.88671875" style="184" customWidth="1"/>
    <col min="13826" max="13826" width="8.44140625" style="184" customWidth="1"/>
    <col min="13827" max="13827" width="10.21875" style="184" customWidth="1"/>
    <col min="13828" max="13828" width="23.44140625" style="184" customWidth="1"/>
    <col min="13829" max="13829" width="37" style="184" customWidth="1"/>
    <col min="13830" max="13830" width="12.5546875" style="184" customWidth="1"/>
    <col min="13831" max="13843" width="0" style="184" hidden="1" customWidth="1"/>
    <col min="13844" max="13844" width="12.88671875" style="184" customWidth="1"/>
    <col min="13845" max="13845" width="11.44140625" style="184" customWidth="1"/>
    <col min="13846" max="13846" width="12.6640625" style="184" customWidth="1"/>
    <col min="13847" max="13857" width="0" style="184" hidden="1" customWidth="1"/>
    <col min="13858" max="13858" width="15" style="184" customWidth="1"/>
    <col min="13859" max="14080" width="8.88671875" style="184"/>
    <col min="14081" max="14081" width="3.88671875" style="184" customWidth="1"/>
    <col min="14082" max="14082" width="8.44140625" style="184" customWidth="1"/>
    <col min="14083" max="14083" width="10.21875" style="184" customWidth="1"/>
    <col min="14084" max="14084" width="23.44140625" style="184" customWidth="1"/>
    <col min="14085" max="14085" width="37" style="184" customWidth="1"/>
    <col min="14086" max="14086" width="12.5546875" style="184" customWidth="1"/>
    <col min="14087" max="14099" width="0" style="184" hidden="1" customWidth="1"/>
    <col min="14100" max="14100" width="12.88671875" style="184" customWidth="1"/>
    <col min="14101" max="14101" width="11.44140625" style="184" customWidth="1"/>
    <col min="14102" max="14102" width="12.6640625" style="184" customWidth="1"/>
    <col min="14103" max="14113" width="0" style="184" hidden="1" customWidth="1"/>
    <col min="14114" max="14114" width="15" style="184" customWidth="1"/>
    <col min="14115" max="14336" width="8.88671875" style="184"/>
    <col min="14337" max="14337" width="3.88671875" style="184" customWidth="1"/>
    <col min="14338" max="14338" width="8.44140625" style="184" customWidth="1"/>
    <col min="14339" max="14339" width="10.21875" style="184" customWidth="1"/>
    <col min="14340" max="14340" width="23.44140625" style="184" customWidth="1"/>
    <col min="14341" max="14341" width="37" style="184" customWidth="1"/>
    <col min="14342" max="14342" width="12.5546875" style="184" customWidth="1"/>
    <col min="14343" max="14355" width="0" style="184" hidden="1" customWidth="1"/>
    <col min="14356" max="14356" width="12.88671875" style="184" customWidth="1"/>
    <col min="14357" max="14357" width="11.44140625" style="184" customWidth="1"/>
    <col min="14358" max="14358" width="12.6640625" style="184" customWidth="1"/>
    <col min="14359" max="14369" width="0" style="184" hidden="1" customWidth="1"/>
    <col min="14370" max="14370" width="15" style="184" customWidth="1"/>
    <col min="14371" max="14592" width="8.88671875" style="184"/>
    <col min="14593" max="14593" width="3.88671875" style="184" customWidth="1"/>
    <col min="14594" max="14594" width="8.44140625" style="184" customWidth="1"/>
    <col min="14595" max="14595" width="10.21875" style="184" customWidth="1"/>
    <col min="14596" max="14596" width="23.44140625" style="184" customWidth="1"/>
    <col min="14597" max="14597" width="37" style="184" customWidth="1"/>
    <col min="14598" max="14598" width="12.5546875" style="184" customWidth="1"/>
    <col min="14599" max="14611" width="0" style="184" hidden="1" customWidth="1"/>
    <col min="14612" max="14612" width="12.88671875" style="184" customWidth="1"/>
    <col min="14613" max="14613" width="11.44140625" style="184" customWidth="1"/>
    <col min="14614" max="14614" width="12.6640625" style="184" customWidth="1"/>
    <col min="14615" max="14625" width="0" style="184" hidden="1" customWidth="1"/>
    <col min="14626" max="14626" width="15" style="184" customWidth="1"/>
    <col min="14627" max="14848" width="8.88671875" style="184"/>
    <col min="14849" max="14849" width="3.88671875" style="184" customWidth="1"/>
    <col min="14850" max="14850" width="8.44140625" style="184" customWidth="1"/>
    <col min="14851" max="14851" width="10.21875" style="184" customWidth="1"/>
    <col min="14852" max="14852" width="23.44140625" style="184" customWidth="1"/>
    <col min="14853" max="14853" width="37" style="184" customWidth="1"/>
    <col min="14854" max="14854" width="12.5546875" style="184" customWidth="1"/>
    <col min="14855" max="14867" width="0" style="184" hidden="1" customWidth="1"/>
    <col min="14868" max="14868" width="12.88671875" style="184" customWidth="1"/>
    <col min="14869" max="14869" width="11.44140625" style="184" customWidth="1"/>
    <col min="14870" max="14870" width="12.6640625" style="184" customWidth="1"/>
    <col min="14871" max="14881" width="0" style="184" hidden="1" customWidth="1"/>
    <col min="14882" max="14882" width="15" style="184" customWidth="1"/>
    <col min="14883" max="15104" width="8.88671875" style="184"/>
    <col min="15105" max="15105" width="3.88671875" style="184" customWidth="1"/>
    <col min="15106" max="15106" width="8.44140625" style="184" customWidth="1"/>
    <col min="15107" max="15107" width="10.21875" style="184" customWidth="1"/>
    <col min="15108" max="15108" width="23.44140625" style="184" customWidth="1"/>
    <col min="15109" max="15109" width="37" style="184" customWidth="1"/>
    <col min="15110" max="15110" width="12.5546875" style="184" customWidth="1"/>
    <col min="15111" max="15123" width="0" style="184" hidden="1" customWidth="1"/>
    <col min="15124" max="15124" width="12.88671875" style="184" customWidth="1"/>
    <col min="15125" max="15125" width="11.44140625" style="184" customWidth="1"/>
    <col min="15126" max="15126" width="12.6640625" style="184" customWidth="1"/>
    <col min="15127" max="15137" width="0" style="184" hidden="1" customWidth="1"/>
    <col min="15138" max="15138" width="15" style="184" customWidth="1"/>
    <col min="15139" max="15360" width="8.88671875" style="184"/>
    <col min="15361" max="15361" width="3.88671875" style="184" customWidth="1"/>
    <col min="15362" max="15362" width="8.44140625" style="184" customWidth="1"/>
    <col min="15363" max="15363" width="10.21875" style="184" customWidth="1"/>
    <col min="15364" max="15364" width="23.44140625" style="184" customWidth="1"/>
    <col min="15365" max="15365" width="37" style="184" customWidth="1"/>
    <col min="15366" max="15366" width="12.5546875" style="184" customWidth="1"/>
    <col min="15367" max="15379" width="0" style="184" hidden="1" customWidth="1"/>
    <col min="15380" max="15380" width="12.88671875" style="184" customWidth="1"/>
    <col min="15381" max="15381" width="11.44140625" style="184" customWidth="1"/>
    <col min="15382" max="15382" width="12.6640625" style="184" customWidth="1"/>
    <col min="15383" max="15393" width="0" style="184" hidden="1" customWidth="1"/>
    <col min="15394" max="15394" width="15" style="184" customWidth="1"/>
    <col min="15395" max="15616" width="8.88671875" style="184"/>
    <col min="15617" max="15617" width="3.88671875" style="184" customWidth="1"/>
    <col min="15618" max="15618" width="8.44140625" style="184" customWidth="1"/>
    <col min="15619" max="15619" width="10.21875" style="184" customWidth="1"/>
    <col min="15620" max="15620" width="23.44140625" style="184" customWidth="1"/>
    <col min="15621" max="15621" width="37" style="184" customWidth="1"/>
    <col min="15622" max="15622" width="12.5546875" style="184" customWidth="1"/>
    <col min="15623" max="15635" width="0" style="184" hidden="1" customWidth="1"/>
    <col min="15636" max="15636" width="12.88671875" style="184" customWidth="1"/>
    <col min="15637" max="15637" width="11.44140625" style="184" customWidth="1"/>
    <col min="15638" max="15638" width="12.6640625" style="184" customWidth="1"/>
    <col min="15639" max="15649" width="0" style="184" hidden="1" customWidth="1"/>
    <col min="15650" max="15650" width="15" style="184" customWidth="1"/>
    <col min="15651" max="15872" width="8.88671875" style="184"/>
    <col min="15873" max="15873" width="3.88671875" style="184" customWidth="1"/>
    <col min="15874" max="15874" width="8.44140625" style="184" customWidth="1"/>
    <col min="15875" max="15875" width="10.21875" style="184" customWidth="1"/>
    <col min="15876" max="15876" width="23.44140625" style="184" customWidth="1"/>
    <col min="15877" max="15877" width="37" style="184" customWidth="1"/>
    <col min="15878" max="15878" width="12.5546875" style="184" customWidth="1"/>
    <col min="15879" max="15891" width="0" style="184" hidden="1" customWidth="1"/>
    <col min="15892" max="15892" width="12.88671875" style="184" customWidth="1"/>
    <col min="15893" max="15893" width="11.44140625" style="184" customWidth="1"/>
    <col min="15894" max="15894" width="12.6640625" style="184" customWidth="1"/>
    <col min="15895" max="15905" width="0" style="184" hidden="1" customWidth="1"/>
    <col min="15906" max="15906" width="15" style="184" customWidth="1"/>
    <col min="15907" max="16128" width="8.88671875" style="184"/>
    <col min="16129" max="16129" width="3.88671875" style="184" customWidth="1"/>
    <col min="16130" max="16130" width="8.44140625" style="184" customWidth="1"/>
    <col min="16131" max="16131" width="10.21875" style="184" customWidth="1"/>
    <col min="16132" max="16132" width="23.44140625" style="184" customWidth="1"/>
    <col min="16133" max="16133" width="37" style="184" customWidth="1"/>
    <col min="16134" max="16134" width="12.5546875" style="184" customWidth="1"/>
    <col min="16135" max="16147" width="0" style="184" hidden="1" customWidth="1"/>
    <col min="16148" max="16148" width="12.88671875" style="184" customWidth="1"/>
    <col min="16149" max="16149" width="11.44140625" style="184" customWidth="1"/>
    <col min="16150" max="16150" width="12.6640625" style="184" customWidth="1"/>
    <col min="16151" max="16161" width="0" style="184" hidden="1" customWidth="1"/>
    <col min="16162" max="16162" width="15" style="184" customWidth="1"/>
    <col min="16163" max="16384" width="8.88671875" style="184"/>
  </cols>
  <sheetData>
    <row r="1" spans="1:191" ht="39.75" customHeight="1">
      <c r="A1" s="477" t="s">
        <v>949</v>
      </c>
      <c r="B1" s="477"/>
      <c r="C1" s="477"/>
      <c r="D1" s="477"/>
      <c r="E1" s="477"/>
      <c r="F1" s="477"/>
      <c r="G1" s="477"/>
      <c r="H1" s="477"/>
      <c r="I1" s="182"/>
      <c r="J1" s="478"/>
      <c r="K1" s="478"/>
      <c r="L1" s="478"/>
      <c r="M1" s="478"/>
      <c r="N1" s="478"/>
      <c r="O1" s="478"/>
      <c r="P1" s="478"/>
      <c r="Q1" s="478"/>
      <c r="V1" s="184"/>
      <c r="W1" s="185">
        <v>106201</v>
      </c>
      <c r="X1" s="185">
        <v>106202</v>
      </c>
      <c r="Y1" s="185">
        <v>106203</v>
      </c>
      <c r="Z1" s="185">
        <v>1062</v>
      </c>
    </row>
    <row r="2" spans="1:191" ht="15" customHeight="1">
      <c r="A2" s="187"/>
      <c r="B2" s="196">
        <v>33</v>
      </c>
      <c r="C2" s="197" t="s">
        <v>954</v>
      </c>
      <c r="D2" s="198" t="s">
        <v>955</v>
      </c>
      <c r="E2" s="198" t="s">
        <v>956</v>
      </c>
      <c r="F2" s="198" t="s">
        <v>957</v>
      </c>
      <c r="G2" s="199" t="s">
        <v>952</v>
      </c>
      <c r="H2" s="199"/>
      <c r="I2" s="196" t="s">
        <v>951</v>
      </c>
      <c r="J2" s="199"/>
      <c r="K2" s="196">
        <v>1</v>
      </c>
      <c r="L2" s="200"/>
      <c r="M2" s="200"/>
      <c r="N2" s="199"/>
      <c r="O2" s="201"/>
      <c r="P2" s="201" t="s">
        <v>958</v>
      </c>
      <c r="Q2" s="202" t="s">
        <v>959</v>
      </c>
      <c r="R2" s="201"/>
      <c r="S2" s="201"/>
      <c r="T2" s="203">
        <v>106201</v>
      </c>
      <c r="U2" s="220">
        <v>540330.6089348268</v>
      </c>
      <c r="V2" s="188" t="s">
        <v>952</v>
      </c>
      <c r="W2" s="186">
        <v>540330.6089348268</v>
      </c>
      <c r="X2" s="186">
        <v>0</v>
      </c>
      <c r="Y2" s="186">
        <v>0</v>
      </c>
      <c r="Z2" s="192">
        <v>0</v>
      </c>
      <c r="AA2" s="192">
        <f t="shared" ref="AA2:AA14" si="0">SUM(W2:Z2)</f>
        <v>540330.6089348268</v>
      </c>
      <c r="AB2" s="195"/>
      <c r="AC2" s="195"/>
      <c r="AD2" s="195"/>
      <c r="AE2" s="195"/>
      <c r="AF2" s="195"/>
      <c r="AG2" s="195"/>
      <c r="AH2" s="189" t="str">
        <f t="shared" ref="AH2:AJ5" si="1">MID(D2,31,100)</f>
        <v/>
      </c>
      <c r="AI2" s="189" t="str">
        <f t="shared" si="1"/>
        <v/>
      </c>
      <c r="AJ2" s="189" t="str">
        <f t="shared" si="1"/>
        <v/>
      </c>
      <c r="AK2" s="189" t="str">
        <f t="shared" ref="AK2:AK6" si="2">MID(V2,31,100)</f>
        <v/>
      </c>
      <c r="AL2" s="195"/>
      <c r="AM2" s="195"/>
      <c r="AN2" s="195"/>
      <c r="AO2" s="195"/>
      <c r="AP2" s="195"/>
      <c r="AQ2" s="195"/>
      <c r="AR2" s="195"/>
      <c r="AS2" s="195"/>
      <c r="AT2" s="195"/>
      <c r="AU2" s="195"/>
      <c r="AV2" s="195"/>
      <c r="AW2" s="195"/>
      <c r="AX2" s="195"/>
      <c r="AY2" s="195"/>
      <c r="AZ2" s="195"/>
      <c r="BA2" s="195"/>
      <c r="BB2" s="195"/>
      <c r="BC2" s="195"/>
      <c r="BD2" s="195"/>
      <c r="BE2" s="195"/>
      <c r="BF2" s="195"/>
      <c r="BG2" s="195"/>
      <c r="BH2" s="195"/>
      <c r="BI2" s="195"/>
      <c r="BJ2" s="195"/>
      <c r="BK2" s="195"/>
      <c r="BL2" s="195"/>
      <c r="BM2" s="195"/>
      <c r="BN2" s="195"/>
      <c r="BO2" s="195"/>
      <c r="BP2" s="195"/>
      <c r="BQ2" s="195"/>
      <c r="BR2" s="195"/>
      <c r="BS2" s="195"/>
      <c r="BT2" s="195"/>
      <c r="BU2" s="195"/>
      <c r="BV2" s="195"/>
      <c r="BW2" s="195"/>
      <c r="BX2" s="195"/>
      <c r="BY2" s="195"/>
      <c r="BZ2" s="195"/>
      <c r="CA2" s="195"/>
      <c r="CB2" s="195"/>
      <c r="CC2" s="195"/>
      <c r="CD2" s="195"/>
      <c r="CE2" s="195"/>
      <c r="CF2" s="195"/>
      <c r="CG2" s="195"/>
      <c r="CH2" s="195"/>
      <c r="CI2" s="195"/>
      <c r="CJ2" s="195"/>
      <c r="CK2" s="195"/>
      <c r="CL2" s="195"/>
      <c r="CM2" s="195"/>
      <c r="CN2" s="195"/>
      <c r="CO2" s="195"/>
      <c r="CP2" s="195"/>
      <c r="CQ2" s="195"/>
      <c r="CR2" s="195"/>
      <c r="CS2" s="195"/>
      <c r="CT2" s="195"/>
      <c r="CU2" s="195"/>
      <c r="CV2" s="195"/>
      <c r="CW2" s="195"/>
      <c r="CX2" s="195"/>
      <c r="CY2" s="195"/>
      <c r="CZ2" s="195"/>
      <c r="DA2" s="195"/>
      <c r="DB2" s="195"/>
      <c r="DC2" s="195"/>
      <c r="DD2" s="195"/>
      <c r="DE2" s="195"/>
      <c r="DF2" s="195"/>
      <c r="DG2" s="195"/>
      <c r="DH2" s="195"/>
      <c r="DI2" s="195"/>
      <c r="DJ2" s="195"/>
      <c r="DK2" s="195"/>
      <c r="DL2" s="195"/>
      <c r="DM2" s="195"/>
      <c r="DN2" s="195"/>
      <c r="DO2" s="195"/>
      <c r="DP2" s="195"/>
      <c r="DQ2" s="195"/>
      <c r="DR2" s="195"/>
      <c r="DS2" s="195"/>
      <c r="DT2" s="195"/>
      <c r="DU2" s="195"/>
      <c r="DV2" s="195"/>
      <c r="DW2" s="195"/>
      <c r="DX2" s="195"/>
      <c r="DY2" s="195"/>
      <c r="DZ2" s="195"/>
      <c r="EA2" s="195"/>
      <c r="EB2" s="195"/>
      <c r="EC2" s="195"/>
      <c r="ED2" s="195"/>
      <c r="EE2" s="195"/>
      <c r="EF2" s="195"/>
      <c r="EG2" s="195"/>
      <c r="EH2" s="195"/>
      <c r="EI2" s="195"/>
      <c r="EJ2" s="195"/>
      <c r="EK2" s="195"/>
      <c r="EL2" s="195"/>
      <c r="EM2" s="195"/>
      <c r="EN2" s="195"/>
      <c r="EO2" s="195"/>
      <c r="EP2" s="195"/>
      <c r="EQ2" s="195"/>
      <c r="ER2" s="195"/>
      <c r="ES2" s="195"/>
      <c r="ET2" s="195"/>
      <c r="EU2" s="195"/>
      <c r="EV2" s="195"/>
      <c r="EW2" s="195"/>
      <c r="EX2" s="195"/>
      <c r="EY2" s="195"/>
      <c r="EZ2" s="195"/>
      <c r="FA2" s="195"/>
      <c r="FB2" s="195"/>
      <c r="FC2" s="195"/>
      <c r="FD2" s="195"/>
      <c r="FE2" s="195"/>
      <c r="FF2" s="195"/>
      <c r="FG2" s="195"/>
      <c r="FH2" s="195"/>
      <c r="FI2" s="195"/>
      <c r="FJ2" s="195"/>
      <c r="FK2" s="195"/>
      <c r="FL2" s="195"/>
      <c r="FM2" s="195"/>
      <c r="FN2" s="195"/>
      <c r="FO2" s="195"/>
      <c r="FP2" s="195"/>
      <c r="FQ2" s="195"/>
      <c r="FR2" s="195"/>
      <c r="FS2" s="195"/>
      <c r="FT2" s="195"/>
      <c r="FU2" s="195"/>
      <c r="FV2" s="195"/>
      <c r="FW2" s="195"/>
      <c r="FX2" s="195"/>
      <c r="FY2" s="195"/>
      <c r="FZ2" s="195"/>
      <c r="GA2" s="195"/>
      <c r="GB2" s="195"/>
      <c r="GC2" s="195"/>
      <c r="GD2" s="195"/>
      <c r="GE2" s="195"/>
      <c r="GF2" s="195"/>
      <c r="GG2" s="195"/>
      <c r="GH2" s="195"/>
      <c r="GI2" s="195"/>
    </row>
    <row r="3" spans="1:191" ht="15" customHeight="1">
      <c r="A3" s="187"/>
      <c r="B3" s="196">
        <v>33</v>
      </c>
      <c r="C3" s="197" t="s">
        <v>954</v>
      </c>
      <c r="D3" s="198" t="s">
        <v>955</v>
      </c>
      <c r="E3" s="198" t="s">
        <v>956</v>
      </c>
      <c r="F3" s="198" t="s">
        <v>960</v>
      </c>
      <c r="G3" s="199" t="s">
        <v>952</v>
      </c>
      <c r="H3" s="199"/>
      <c r="I3" s="196" t="s">
        <v>951</v>
      </c>
      <c r="J3" s="199"/>
      <c r="K3" s="200"/>
      <c r="L3" s="196">
        <v>1</v>
      </c>
      <c r="M3" s="200"/>
      <c r="N3" s="199"/>
      <c r="O3" s="201"/>
      <c r="P3" s="201" t="s">
        <v>958</v>
      </c>
      <c r="Q3" s="202" t="s">
        <v>959</v>
      </c>
      <c r="R3" s="201"/>
      <c r="S3" s="201"/>
      <c r="T3" s="203">
        <v>106202</v>
      </c>
      <c r="U3" s="220">
        <v>519555.57319296827</v>
      </c>
      <c r="V3" s="188" t="s">
        <v>952</v>
      </c>
      <c r="W3" s="186">
        <v>0</v>
      </c>
      <c r="X3" s="186">
        <v>519555.57319296827</v>
      </c>
      <c r="Y3" s="186">
        <v>0</v>
      </c>
      <c r="Z3" s="192">
        <v>0</v>
      </c>
      <c r="AA3" s="192">
        <f t="shared" si="0"/>
        <v>519555.57319296827</v>
      </c>
      <c r="AB3" s="195"/>
      <c r="AC3" s="195"/>
      <c r="AD3" s="195"/>
      <c r="AE3" s="195"/>
      <c r="AF3" s="195"/>
      <c r="AG3" s="195"/>
      <c r="AH3" s="189" t="str">
        <f t="shared" si="1"/>
        <v/>
      </c>
      <c r="AI3" s="189" t="str">
        <f t="shared" si="1"/>
        <v/>
      </c>
      <c r="AJ3" s="189" t="str">
        <f t="shared" si="1"/>
        <v/>
      </c>
      <c r="AK3" s="189" t="str">
        <f t="shared" si="2"/>
        <v/>
      </c>
      <c r="AL3" s="195"/>
      <c r="AM3" s="195"/>
      <c r="AN3" s="195"/>
      <c r="AO3" s="195"/>
      <c r="AP3" s="195"/>
      <c r="AQ3" s="195"/>
      <c r="AR3" s="195"/>
      <c r="AS3" s="195"/>
      <c r="AT3" s="195"/>
      <c r="AU3" s="195"/>
      <c r="AV3" s="195"/>
      <c r="AW3" s="195"/>
      <c r="AX3" s="195"/>
      <c r="AY3" s="195"/>
      <c r="AZ3" s="195"/>
      <c r="BA3" s="195"/>
      <c r="BB3" s="195"/>
      <c r="BC3" s="195"/>
      <c r="BD3" s="195"/>
      <c r="BE3" s="195"/>
      <c r="BF3" s="195"/>
      <c r="BG3" s="195"/>
      <c r="BH3" s="195"/>
      <c r="BI3" s="195"/>
      <c r="BJ3" s="195"/>
      <c r="BK3" s="195"/>
      <c r="BL3" s="195"/>
      <c r="BM3" s="195"/>
      <c r="BN3" s="195"/>
      <c r="BO3" s="195"/>
      <c r="BP3" s="195"/>
      <c r="BQ3" s="195"/>
      <c r="BR3" s="195"/>
      <c r="BS3" s="195"/>
      <c r="BT3" s="195"/>
      <c r="BU3" s="195"/>
      <c r="BV3" s="195"/>
      <c r="BW3" s="195"/>
      <c r="BX3" s="195"/>
      <c r="BY3" s="195"/>
      <c r="BZ3" s="195"/>
      <c r="CA3" s="195"/>
      <c r="CB3" s="195"/>
      <c r="CC3" s="195"/>
      <c r="CD3" s="195"/>
      <c r="CE3" s="195"/>
      <c r="CF3" s="195"/>
      <c r="CG3" s="195"/>
      <c r="CH3" s="195"/>
      <c r="CI3" s="195"/>
      <c r="CJ3" s="195"/>
      <c r="CK3" s="195"/>
      <c r="CL3" s="195"/>
      <c r="CM3" s="195"/>
      <c r="CN3" s="195"/>
      <c r="CO3" s="195"/>
      <c r="CP3" s="195"/>
      <c r="CQ3" s="195"/>
      <c r="CR3" s="195"/>
      <c r="CS3" s="195"/>
      <c r="CT3" s="195"/>
      <c r="CU3" s="195"/>
      <c r="CV3" s="195"/>
      <c r="CW3" s="195"/>
      <c r="CX3" s="195"/>
      <c r="CY3" s="195"/>
      <c r="CZ3" s="195"/>
      <c r="DA3" s="195"/>
      <c r="DB3" s="195"/>
      <c r="DC3" s="195"/>
      <c r="DD3" s="195"/>
      <c r="DE3" s="195"/>
      <c r="DF3" s="195"/>
      <c r="DG3" s="195"/>
      <c r="DH3" s="195"/>
      <c r="DI3" s="195"/>
      <c r="DJ3" s="195"/>
      <c r="DK3" s="195"/>
      <c r="DL3" s="195"/>
      <c r="DM3" s="195"/>
      <c r="DN3" s="195"/>
      <c r="DO3" s="195"/>
      <c r="DP3" s="195"/>
      <c r="DQ3" s="195"/>
      <c r="DR3" s="195"/>
      <c r="DS3" s="195"/>
      <c r="DT3" s="195"/>
      <c r="DU3" s="195"/>
      <c r="DV3" s="195"/>
      <c r="DW3" s="195"/>
      <c r="DX3" s="195"/>
      <c r="DY3" s="195"/>
      <c r="DZ3" s="195"/>
      <c r="EA3" s="195"/>
      <c r="EB3" s="195"/>
      <c r="EC3" s="195"/>
      <c r="ED3" s="195"/>
      <c r="EE3" s="195"/>
      <c r="EF3" s="195"/>
      <c r="EG3" s="195"/>
      <c r="EH3" s="195"/>
      <c r="EI3" s="195"/>
      <c r="EJ3" s="195"/>
      <c r="EK3" s="195"/>
      <c r="EL3" s="195"/>
      <c r="EM3" s="195"/>
      <c r="EN3" s="195"/>
      <c r="EO3" s="195"/>
      <c r="EP3" s="195"/>
      <c r="EQ3" s="195"/>
      <c r="ER3" s="195"/>
      <c r="ES3" s="195"/>
      <c r="ET3" s="195"/>
      <c r="EU3" s="195"/>
      <c r="EV3" s="195"/>
      <c r="EW3" s="195"/>
      <c r="EX3" s="195"/>
      <c r="EY3" s="195"/>
      <c r="EZ3" s="195"/>
      <c r="FA3" s="195"/>
      <c r="FB3" s="195"/>
      <c r="FC3" s="195"/>
      <c r="FD3" s="195"/>
      <c r="FE3" s="195"/>
      <c r="FF3" s="195"/>
      <c r="FG3" s="195"/>
      <c r="FH3" s="195"/>
      <c r="FI3" s="195"/>
      <c r="FJ3" s="195"/>
      <c r="FK3" s="195"/>
      <c r="FL3" s="195"/>
      <c r="FM3" s="195"/>
      <c r="FN3" s="195"/>
      <c r="FO3" s="195"/>
      <c r="FP3" s="195"/>
      <c r="FQ3" s="195"/>
      <c r="FR3" s="195"/>
      <c r="FS3" s="195"/>
      <c r="FT3" s="195"/>
      <c r="FU3" s="195"/>
      <c r="FV3" s="195"/>
      <c r="FW3" s="195"/>
      <c r="FX3" s="195"/>
      <c r="FY3" s="195"/>
      <c r="FZ3" s="195"/>
      <c r="GA3" s="195"/>
      <c r="GB3" s="195"/>
      <c r="GC3" s="195"/>
      <c r="GD3" s="195"/>
      <c r="GE3" s="195"/>
      <c r="GF3" s="195"/>
      <c r="GG3" s="195"/>
      <c r="GH3" s="195"/>
      <c r="GI3" s="195"/>
    </row>
    <row r="4" spans="1:191" ht="15" customHeight="1">
      <c r="A4" s="187"/>
      <c r="B4" s="196">
        <v>33</v>
      </c>
      <c r="C4" s="197" t="s">
        <v>954</v>
      </c>
      <c r="D4" s="198" t="s">
        <v>955</v>
      </c>
      <c r="E4" s="198" t="s">
        <v>956</v>
      </c>
      <c r="F4" s="198" t="s">
        <v>961</v>
      </c>
      <c r="G4" s="199" t="s">
        <v>952</v>
      </c>
      <c r="H4" s="199"/>
      <c r="I4" s="196" t="s">
        <v>951</v>
      </c>
      <c r="J4" s="199"/>
      <c r="K4" s="200"/>
      <c r="L4" s="200"/>
      <c r="M4" s="196">
        <v>1</v>
      </c>
      <c r="N4" s="199"/>
      <c r="O4" s="201"/>
      <c r="P4" s="201" t="s">
        <v>958</v>
      </c>
      <c r="Q4" s="202" t="s">
        <v>959</v>
      </c>
      <c r="R4" s="201"/>
      <c r="S4" s="201"/>
      <c r="T4" s="203">
        <v>106203</v>
      </c>
      <c r="U4" s="220">
        <v>519565.72418412467</v>
      </c>
      <c r="V4" s="188" t="s">
        <v>952</v>
      </c>
      <c r="W4" s="186">
        <v>0</v>
      </c>
      <c r="X4" s="186">
        <v>0</v>
      </c>
      <c r="Y4" s="186">
        <v>519565.72418412467</v>
      </c>
      <c r="Z4" s="192">
        <v>0</v>
      </c>
      <c r="AA4" s="192">
        <f t="shared" si="0"/>
        <v>519565.72418412467</v>
      </c>
      <c r="AB4" s="195"/>
      <c r="AC4" s="195"/>
      <c r="AD4" s="195"/>
      <c r="AE4" s="195"/>
      <c r="AF4" s="195"/>
      <c r="AG4" s="195"/>
      <c r="AH4" s="189" t="str">
        <f t="shared" si="1"/>
        <v/>
      </c>
      <c r="AI4" s="189" t="str">
        <f t="shared" si="1"/>
        <v/>
      </c>
      <c r="AJ4" s="189" t="str">
        <f t="shared" si="1"/>
        <v/>
      </c>
      <c r="AK4" s="189" t="str">
        <f t="shared" si="2"/>
        <v/>
      </c>
      <c r="AL4" s="195"/>
      <c r="AM4" s="195"/>
      <c r="AN4" s="195"/>
      <c r="AO4" s="195"/>
      <c r="AP4" s="195"/>
      <c r="AQ4" s="195"/>
      <c r="AR4" s="195"/>
      <c r="AS4" s="195"/>
      <c r="AT4" s="195"/>
      <c r="AU4" s="195"/>
      <c r="AV4" s="195"/>
      <c r="AW4" s="195"/>
      <c r="AX4" s="195"/>
      <c r="AY4" s="195"/>
      <c r="AZ4" s="195"/>
      <c r="BA4" s="195"/>
      <c r="BB4" s="195"/>
      <c r="BC4" s="195"/>
      <c r="BD4" s="195"/>
      <c r="BE4" s="195"/>
      <c r="BF4" s="195"/>
      <c r="BG4" s="195"/>
      <c r="BH4" s="195"/>
      <c r="BI4" s="195"/>
      <c r="BJ4" s="195"/>
      <c r="BK4" s="195"/>
      <c r="BL4" s="195"/>
      <c r="BM4" s="195"/>
      <c r="BN4" s="195"/>
      <c r="BO4" s="195"/>
      <c r="BP4" s="195"/>
      <c r="BQ4" s="195"/>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5"/>
      <c r="EB4" s="195"/>
      <c r="EC4" s="195"/>
      <c r="ED4" s="195"/>
      <c r="EE4" s="195"/>
      <c r="EF4" s="195"/>
      <c r="EG4" s="195"/>
      <c r="EH4" s="195"/>
      <c r="EI4" s="195"/>
      <c r="EJ4" s="195"/>
      <c r="EK4" s="195"/>
      <c r="EL4" s="195"/>
      <c r="EM4" s="195"/>
      <c r="EN4" s="195"/>
      <c r="EO4" s="195"/>
      <c r="EP4" s="195"/>
      <c r="EQ4" s="195"/>
      <c r="ER4" s="195"/>
      <c r="ES4" s="195"/>
      <c r="ET4" s="195"/>
      <c r="EU4" s="195"/>
      <c r="EV4" s="195"/>
      <c r="EW4" s="195"/>
      <c r="EX4" s="195"/>
      <c r="EY4" s="195"/>
      <c r="EZ4" s="195"/>
      <c r="FA4" s="195"/>
      <c r="FB4" s="195"/>
      <c r="FC4" s="195"/>
      <c r="FD4" s="195"/>
      <c r="FE4" s="195"/>
      <c r="FF4" s="195"/>
      <c r="FG4" s="195"/>
      <c r="FH4" s="195"/>
      <c r="FI4" s="195"/>
      <c r="FJ4" s="195"/>
      <c r="FK4" s="195"/>
      <c r="FL4" s="195"/>
      <c r="FM4" s="195"/>
      <c r="FN4" s="195"/>
      <c r="FO4" s="195"/>
      <c r="FP4" s="195"/>
      <c r="FQ4" s="195"/>
      <c r="FR4" s="195"/>
      <c r="FS4" s="195"/>
      <c r="FT4" s="195"/>
      <c r="FU4" s="195"/>
      <c r="FV4" s="195"/>
      <c r="FW4" s="195"/>
      <c r="FX4" s="195"/>
      <c r="FY4" s="195"/>
      <c r="FZ4" s="195"/>
      <c r="GA4" s="195"/>
      <c r="GB4" s="195"/>
      <c r="GC4" s="195"/>
      <c r="GD4" s="195"/>
      <c r="GE4" s="195"/>
      <c r="GF4" s="195"/>
      <c r="GG4" s="195"/>
      <c r="GH4" s="195"/>
      <c r="GI4" s="195"/>
    </row>
    <row r="5" spans="1:191" ht="15" customHeight="1">
      <c r="A5" s="187"/>
      <c r="B5" s="196">
        <v>33</v>
      </c>
      <c r="C5" s="197" t="s">
        <v>954</v>
      </c>
      <c r="D5" s="198" t="s">
        <v>955</v>
      </c>
      <c r="E5" s="198" t="s">
        <v>962</v>
      </c>
      <c r="F5" s="198" t="s">
        <v>963</v>
      </c>
      <c r="G5" s="199" t="s">
        <v>952</v>
      </c>
      <c r="H5" s="199"/>
      <c r="I5" s="196" t="s">
        <v>951</v>
      </c>
      <c r="J5" s="199"/>
      <c r="K5" s="196">
        <v>1</v>
      </c>
      <c r="L5" s="200"/>
      <c r="M5" s="200"/>
      <c r="N5" s="199"/>
      <c r="O5" s="201"/>
      <c r="P5" s="201" t="s">
        <v>958</v>
      </c>
      <c r="Q5" s="202" t="s">
        <v>959</v>
      </c>
      <c r="R5" s="201"/>
      <c r="S5" s="201"/>
      <c r="T5" s="203">
        <v>106201</v>
      </c>
      <c r="U5" s="220">
        <v>1086534.3766624236</v>
      </c>
      <c r="V5" s="188" t="s">
        <v>952</v>
      </c>
      <c r="W5" s="186">
        <v>1086534.3766624236</v>
      </c>
      <c r="X5" s="186">
        <v>0</v>
      </c>
      <c r="Y5" s="186">
        <v>0</v>
      </c>
      <c r="Z5" s="192">
        <v>0</v>
      </c>
      <c r="AA5" s="192">
        <f t="shared" si="0"/>
        <v>1086534.3766624236</v>
      </c>
      <c r="AB5" s="195"/>
      <c r="AC5" s="195"/>
      <c r="AD5" s="195"/>
      <c r="AE5" s="195"/>
      <c r="AF5" s="195"/>
      <c r="AG5" s="195"/>
      <c r="AH5" s="189" t="str">
        <f t="shared" si="1"/>
        <v/>
      </c>
      <c r="AI5" s="189" t="str">
        <f t="shared" si="1"/>
        <v/>
      </c>
      <c r="AJ5" s="189" t="str">
        <f t="shared" si="1"/>
        <v/>
      </c>
      <c r="AK5" s="189" t="str">
        <f t="shared" si="2"/>
        <v/>
      </c>
      <c r="AL5" s="195"/>
      <c r="AM5" s="195"/>
      <c r="AN5" s="195"/>
      <c r="AO5" s="195"/>
      <c r="AP5" s="195"/>
      <c r="AQ5" s="195"/>
      <c r="AR5" s="195"/>
      <c r="AS5" s="195"/>
      <c r="AT5" s="195"/>
      <c r="AU5" s="195"/>
      <c r="AV5" s="195"/>
      <c r="AW5" s="195"/>
      <c r="AX5" s="195"/>
      <c r="AY5" s="195"/>
      <c r="AZ5" s="195"/>
      <c r="BA5" s="195"/>
      <c r="BB5" s="195"/>
      <c r="BC5" s="195"/>
      <c r="BD5" s="195"/>
      <c r="BE5" s="195"/>
      <c r="BF5" s="195"/>
      <c r="BG5" s="195"/>
      <c r="BH5" s="195"/>
      <c r="BI5" s="195"/>
      <c r="BJ5" s="195"/>
      <c r="BK5" s="195"/>
      <c r="BL5" s="195"/>
      <c r="BM5" s="195"/>
      <c r="BN5" s="195"/>
      <c r="BO5" s="195"/>
      <c r="BP5" s="195"/>
      <c r="BQ5" s="195"/>
      <c r="BR5" s="195"/>
      <c r="BS5" s="195"/>
      <c r="BT5" s="195"/>
      <c r="BU5" s="195"/>
      <c r="BV5" s="195"/>
      <c r="BW5" s="195"/>
      <c r="BX5" s="195"/>
      <c r="BY5" s="195"/>
      <c r="BZ5" s="195"/>
      <c r="CA5" s="195"/>
      <c r="CB5" s="195"/>
      <c r="CC5" s="195"/>
      <c r="CD5" s="195"/>
      <c r="CE5" s="195"/>
      <c r="CF5" s="195"/>
      <c r="CG5" s="195"/>
      <c r="CH5" s="195"/>
      <c r="CI5" s="195"/>
      <c r="CJ5" s="195"/>
      <c r="CK5" s="195"/>
      <c r="CL5" s="195"/>
      <c r="CM5" s="195"/>
      <c r="CN5" s="195"/>
      <c r="CO5" s="195"/>
      <c r="CP5" s="195"/>
      <c r="CQ5" s="195"/>
      <c r="CR5" s="195"/>
      <c r="CS5" s="195"/>
      <c r="CT5" s="195"/>
      <c r="CU5" s="195"/>
      <c r="CV5" s="195"/>
      <c r="CW5" s="195"/>
      <c r="CX5" s="195"/>
      <c r="CY5" s="195"/>
      <c r="CZ5" s="195"/>
      <c r="DA5" s="195"/>
      <c r="DB5" s="195"/>
      <c r="DC5" s="195"/>
      <c r="DD5" s="195"/>
      <c r="DE5" s="195"/>
      <c r="DF5" s="195"/>
      <c r="DG5" s="195"/>
      <c r="DH5" s="195"/>
      <c r="DI5" s="195"/>
      <c r="DJ5" s="195"/>
      <c r="DK5" s="195"/>
      <c r="DL5" s="195"/>
      <c r="DM5" s="195"/>
      <c r="DN5" s="195"/>
      <c r="DO5" s="195"/>
      <c r="DP5" s="195"/>
      <c r="DQ5" s="195"/>
      <c r="DR5" s="195"/>
      <c r="DS5" s="195"/>
      <c r="DT5" s="195"/>
      <c r="DU5" s="195"/>
      <c r="DV5" s="195"/>
      <c r="DW5" s="195"/>
      <c r="DX5" s="195"/>
      <c r="DY5" s="195"/>
      <c r="DZ5" s="195"/>
      <c r="EA5" s="195"/>
      <c r="EB5" s="195"/>
      <c r="EC5" s="195"/>
      <c r="ED5" s="195"/>
      <c r="EE5" s="195"/>
      <c r="EF5" s="195"/>
      <c r="EG5" s="195"/>
      <c r="EH5" s="195"/>
      <c r="EI5" s="195"/>
      <c r="EJ5" s="195"/>
      <c r="EK5" s="195"/>
      <c r="EL5" s="195"/>
      <c r="EM5" s="195"/>
      <c r="EN5" s="195"/>
      <c r="EO5" s="195"/>
      <c r="EP5" s="195"/>
      <c r="EQ5" s="195"/>
      <c r="ER5" s="195"/>
      <c r="ES5" s="195"/>
      <c r="ET5" s="195"/>
      <c r="EU5" s="195"/>
      <c r="EV5" s="195"/>
      <c r="EW5" s="195"/>
      <c r="EX5" s="195"/>
      <c r="EY5" s="195"/>
      <c r="EZ5" s="195"/>
      <c r="FA5" s="195"/>
      <c r="FB5" s="195"/>
      <c r="FC5" s="195"/>
      <c r="FD5" s="195"/>
      <c r="FE5" s="195"/>
      <c r="FF5" s="195"/>
      <c r="FG5" s="195"/>
      <c r="FH5" s="195"/>
      <c r="FI5" s="195"/>
      <c r="FJ5" s="195"/>
      <c r="FK5" s="195"/>
      <c r="FL5" s="195"/>
      <c r="FM5" s="195"/>
      <c r="FN5" s="195"/>
      <c r="FO5" s="195"/>
      <c r="FP5" s="195"/>
      <c r="FQ5" s="195"/>
      <c r="FR5" s="195"/>
      <c r="FS5" s="195"/>
      <c r="FT5" s="195"/>
      <c r="FU5" s="195"/>
      <c r="FV5" s="195"/>
      <c r="FW5" s="195"/>
      <c r="FX5" s="195"/>
      <c r="FY5" s="195"/>
      <c r="FZ5" s="195"/>
      <c r="GA5" s="195"/>
      <c r="GB5" s="195"/>
      <c r="GC5" s="195"/>
      <c r="GD5" s="195"/>
      <c r="GE5" s="195"/>
      <c r="GF5" s="195"/>
      <c r="GG5" s="195"/>
      <c r="GH5" s="195"/>
      <c r="GI5" s="195"/>
    </row>
    <row r="6" spans="1:191" ht="15" customHeight="1">
      <c r="A6" s="187"/>
      <c r="B6" s="196">
        <v>33</v>
      </c>
      <c r="C6" s="197" t="s">
        <v>954</v>
      </c>
      <c r="D6" s="198" t="s">
        <v>955</v>
      </c>
      <c r="E6" s="198" t="s">
        <v>962</v>
      </c>
      <c r="F6" s="198" t="s">
        <v>964</v>
      </c>
      <c r="G6" s="199" t="s">
        <v>952</v>
      </c>
      <c r="H6" s="199"/>
      <c r="I6" s="196" t="s">
        <v>951</v>
      </c>
      <c r="J6" s="199"/>
      <c r="K6" s="200"/>
      <c r="L6" s="196">
        <v>1</v>
      </c>
      <c r="M6" s="200"/>
      <c r="N6" s="199"/>
      <c r="O6" s="201"/>
      <c r="P6" s="201" t="s">
        <v>958</v>
      </c>
      <c r="Q6" s="202" t="s">
        <v>959</v>
      </c>
      <c r="R6" s="201"/>
      <c r="S6" s="201"/>
      <c r="T6" s="203">
        <v>106202</v>
      </c>
      <c r="U6" s="220">
        <v>1044758.4895728168</v>
      </c>
      <c r="V6" s="188" t="s">
        <v>952</v>
      </c>
      <c r="W6" s="186">
        <v>0</v>
      </c>
      <c r="X6" s="186">
        <v>1044758.4895728168</v>
      </c>
      <c r="Y6" s="186">
        <v>0</v>
      </c>
      <c r="Z6" s="192">
        <v>0</v>
      </c>
      <c r="AA6" s="192">
        <f t="shared" si="0"/>
        <v>1044758.4895728168</v>
      </c>
      <c r="AB6" s="195"/>
      <c r="AC6" s="195"/>
      <c r="AD6" s="195"/>
      <c r="AE6" s="195"/>
      <c r="AF6" s="195"/>
      <c r="AG6" s="195"/>
      <c r="AH6" s="189" t="str">
        <f t="shared" ref="AH6:AJ54" si="3">MID(D6,31,100)</f>
        <v/>
      </c>
      <c r="AI6" s="189" t="str">
        <f t="shared" si="3"/>
        <v/>
      </c>
      <c r="AJ6" s="189" t="str">
        <f t="shared" si="3"/>
        <v/>
      </c>
      <c r="AK6" s="189" t="str">
        <f t="shared" si="2"/>
        <v/>
      </c>
      <c r="AL6" s="195"/>
      <c r="AM6" s="195"/>
      <c r="AN6" s="195"/>
      <c r="AO6" s="195"/>
      <c r="AP6" s="195"/>
      <c r="AQ6" s="195"/>
      <c r="AR6" s="195"/>
      <c r="AS6" s="195"/>
      <c r="AT6" s="195"/>
      <c r="AU6" s="195"/>
      <c r="AV6" s="195"/>
      <c r="AW6" s="195"/>
      <c r="AX6" s="195"/>
      <c r="AY6" s="195"/>
      <c r="AZ6" s="195"/>
      <c r="BA6" s="195"/>
      <c r="BB6" s="195"/>
      <c r="BC6" s="195"/>
      <c r="BD6" s="195"/>
      <c r="BE6" s="195"/>
      <c r="BF6" s="195"/>
      <c r="BG6" s="195"/>
      <c r="BH6" s="195"/>
      <c r="BI6" s="195"/>
      <c r="BJ6" s="195"/>
      <c r="BK6" s="195"/>
      <c r="BL6" s="195"/>
      <c r="BM6" s="195"/>
      <c r="BN6" s="195"/>
      <c r="BO6" s="195"/>
      <c r="BP6" s="195"/>
      <c r="BQ6" s="195"/>
      <c r="BR6" s="195"/>
      <c r="BS6" s="195"/>
      <c r="BT6" s="195"/>
      <c r="BU6" s="195"/>
      <c r="BV6" s="195"/>
      <c r="BW6" s="195"/>
      <c r="BX6" s="195"/>
      <c r="BY6" s="195"/>
      <c r="BZ6" s="195"/>
      <c r="CA6" s="195"/>
      <c r="CB6" s="195"/>
      <c r="CC6" s="195"/>
      <c r="CD6" s="195"/>
      <c r="CE6" s="195"/>
      <c r="CF6" s="195"/>
      <c r="CG6" s="195"/>
      <c r="CH6" s="195"/>
      <c r="CI6" s="195"/>
      <c r="CJ6" s="195"/>
      <c r="CK6" s="195"/>
      <c r="CL6" s="195"/>
      <c r="CM6" s="195"/>
      <c r="CN6" s="195"/>
      <c r="CO6" s="195"/>
      <c r="CP6" s="195"/>
      <c r="CQ6" s="195"/>
      <c r="CR6" s="195"/>
      <c r="CS6" s="195"/>
      <c r="CT6" s="195"/>
      <c r="CU6" s="195"/>
      <c r="CV6" s="195"/>
      <c r="CW6" s="195"/>
      <c r="CX6" s="195"/>
      <c r="CY6" s="195"/>
      <c r="CZ6" s="195"/>
      <c r="DA6" s="195"/>
      <c r="DB6" s="195"/>
      <c r="DC6" s="195"/>
      <c r="DD6" s="195"/>
      <c r="DE6" s="195"/>
      <c r="DF6" s="195"/>
      <c r="DG6" s="195"/>
      <c r="DH6" s="195"/>
      <c r="DI6" s="195"/>
      <c r="DJ6" s="195"/>
      <c r="DK6" s="195"/>
      <c r="DL6" s="195"/>
      <c r="DM6" s="195"/>
      <c r="DN6" s="195"/>
      <c r="DO6" s="195"/>
      <c r="DP6" s="195"/>
      <c r="DQ6" s="195"/>
      <c r="DR6" s="195"/>
      <c r="DS6" s="195"/>
      <c r="DT6" s="195"/>
      <c r="DU6" s="195"/>
      <c r="DV6" s="195"/>
      <c r="DW6" s="195"/>
      <c r="DX6" s="195"/>
      <c r="DY6" s="195"/>
      <c r="DZ6" s="195"/>
      <c r="EA6" s="195"/>
      <c r="EB6" s="195"/>
      <c r="EC6" s="195"/>
      <c r="ED6" s="195"/>
      <c r="EE6" s="195"/>
      <c r="EF6" s="195"/>
      <c r="EG6" s="195"/>
      <c r="EH6" s="195"/>
      <c r="EI6" s="195"/>
      <c r="EJ6" s="195"/>
      <c r="EK6" s="195"/>
      <c r="EL6" s="195"/>
      <c r="EM6" s="195"/>
      <c r="EN6" s="195"/>
      <c r="EO6" s="195"/>
      <c r="EP6" s="195"/>
      <c r="EQ6" s="195"/>
      <c r="ER6" s="195"/>
      <c r="ES6" s="195"/>
      <c r="ET6" s="195"/>
      <c r="EU6" s="195"/>
      <c r="EV6" s="195"/>
      <c r="EW6" s="195"/>
      <c r="EX6" s="195"/>
      <c r="EY6" s="195"/>
      <c r="EZ6" s="195"/>
      <c r="FA6" s="195"/>
      <c r="FB6" s="195"/>
      <c r="FC6" s="195"/>
      <c r="FD6" s="195"/>
      <c r="FE6" s="195"/>
      <c r="FF6" s="195"/>
      <c r="FG6" s="195"/>
      <c r="FH6" s="195"/>
      <c r="FI6" s="195"/>
      <c r="FJ6" s="195"/>
      <c r="FK6" s="195"/>
      <c r="FL6" s="195"/>
      <c r="FM6" s="195"/>
      <c r="FN6" s="195"/>
      <c r="FO6" s="195"/>
      <c r="FP6" s="195"/>
      <c r="FQ6" s="195"/>
      <c r="FR6" s="195"/>
      <c r="FS6" s="195"/>
      <c r="FT6" s="195"/>
      <c r="FU6" s="195"/>
      <c r="FV6" s="195"/>
      <c r="FW6" s="195"/>
      <c r="FX6" s="195"/>
      <c r="FY6" s="195"/>
      <c r="FZ6" s="195"/>
      <c r="GA6" s="195"/>
      <c r="GB6" s="195"/>
      <c r="GC6" s="195"/>
      <c r="GD6" s="195"/>
      <c r="GE6" s="195"/>
      <c r="GF6" s="195"/>
      <c r="GG6" s="195"/>
      <c r="GH6" s="195"/>
      <c r="GI6" s="195"/>
    </row>
    <row r="7" spans="1:191" ht="15" customHeight="1">
      <c r="A7" s="187"/>
      <c r="B7" s="196">
        <v>33</v>
      </c>
      <c r="C7" s="197" t="s">
        <v>954</v>
      </c>
      <c r="D7" s="198" t="s">
        <v>955</v>
      </c>
      <c r="E7" s="198" t="s">
        <v>962</v>
      </c>
      <c r="F7" s="198" t="s">
        <v>965</v>
      </c>
      <c r="G7" s="199" t="s">
        <v>952</v>
      </c>
      <c r="H7" s="199"/>
      <c r="I7" s="196" t="s">
        <v>951</v>
      </c>
      <c r="J7" s="199"/>
      <c r="K7" s="200"/>
      <c r="L7" s="200"/>
      <c r="M7" s="196">
        <v>1</v>
      </c>
      <c r="N7" s="199"/>
      <c r="O7" s="201"/>
      <c r="P7" s="201" t="s">
        <v>958</v>
      </c>
      <c r="Q7" s="202" t="s">
        <v>959</v>
      </c>
      <c r="R7" s="201"/>
      <c r="S7" s="201"/>
      <c r="T7" s="203">
        <v>106203</v>
      </c>
      <c r="U7" s="220">
        <v>1044778.9018919899</v>
      </c>
      <c r="V7" s="188" t="s">
        <v>952</v>
      </c>
      <c r="W7" s="186">
        <v>0</v>
      </c>
      <c r="X7" s="186">
        <v>0</v>
      </c>
      <c r="Y7" s="186">
        <v>1044778.9018919899</v>
      </c>
      <c r="Z7" s="192">
        <v>0</v>
      </c>
      <c r="AA7" s="192">
        <f t="shared" si="0"/>
        <v>1044778.9018919899</v>
      </c>
      <c r="AB7" s="195"/>
      <c r="AC7" s="195"/>
      <c r="AD7" s="195"/>
      <c r="AE7" s="195"/>
      <c r="AF7" s="195"/>
      <c r="AG7" s="195"/>
      <c r="AH7" s="189" t="str">
        <f t="shared" si="3"/>
        <v/>
      </c>
      <c r="AI7" s="189" t="str">
        <f t="shared" si="3"/>
        <v/>
      </c>
      <c r="AJ7" s="189" t="str">
        <f t="shared" si="3"/>
        <v/>
      </c>
      <c r="AK7" s="189" t="str">
        <f t="shared" ref="AK7:AK54" si="4">MID(V7,31,100)</f>
        <v/>
      </c>
      <c r="AL7" s="195"/>
      <c r="AM7" s="195"/>
      <c r="AN7" s="195"/>
      <c r="AO7" s="195"/>
      <c r="AP7" s="195"/>
      <c r="AQ7" s="195"/>
      <c r="AR7" s="195"/>
      <c r="AS7" s="195"/>
      <c r="AT7" s="195"/>
      <c r="AU7" s="195"/>
      <c r="AV7" s="195"/>
      <c r="AW7" s="195"/>
      <c r="AX7" s="195"/>
      <c r="AY7" s="195"/>
      <c r="AZ7" s="195"/>
      <c r="BA7" s="195"/>
      <c r="BB7" s="195"/>
      <c r="BC7" s="195"/>
      <c r="BD7" s="195"/>
      <c r="BE7" s="195"/>
      <c r="BF7" s="195"/>
      <c r="BG7" s="195"/>
      <c r="BH7" s="195"/>
      <c r="BI7" s="195"/>
      <c r="BJ7" s="195"/>
      <c r="BK7" s="195"/>
      <c r="BL7" s="195"/>
      <c r="BM7" s="195"/>
      <c r="BN7" s="195"/>
      <c r="BO7" s="195"/>
      <c r="BP7" s="195"/>
      <c r="BQ7" s="195"/>
      <c r="BR7" s="195"/>
      <c r="BS7" s="195"/>
      <c r="BT7" s="195"/>
      <c r="BU7" s="195"/>
      <c r="BV7" s="195"/>
      <c r="BW7" s="195"/>
      <c r="BX7" s="195"/>
      <c r="BY7" s="195"/>
      <c r="BZ7" s="195"/>
      <c r="CA7" s="195"/>
      <c r="CB7" s="195"/>
      <c r="CC7" s="195"/>
      <c r="CD7" s="195"/>
      <c r="CE7" s="195"/>
      <c r="CF7" s="195"/>
      <c r="CG7" s="195"/>
      <c r="CH7" s="195"/>
      <c r="CI7" s="195"/>
      <c r="CJ7" s="195"/>
      <c r="CK7" s="195"/>
      <c r="CL7" s="195"/>
      <c r="CM7" s="195"/>
      <c r="CN7" s="195"/>
      <c r="CO7" s="195"/>
      <c r="CP7" s="195"/>
      <c r="CQ7" s="195"/>
      <c r="CR7" s="195"/>
      <c r="CS7" s="195"/>
      <c r="CT7" s="195"/>
      <c r="CU7" s="195"/>
      <c r="CV7" s="195"/>
      <c r="CW7" s="195"/>
      <c r="CX7" s="195"/>
      <c r="CY7" s="195"/>
      <c r="CZ7" s="195"/>
      <c r="DA7" s="195"/>
      <c r="DB7" s="195"/>
      <c r="DC7" s="195"/>
      <c r="DD7" s="195"/>
      <c r="DE7" s="195"/>
      <c r="DF7" s="195"/>
      <c r="DG7" s="195"/>
      <c r="DH7" s="195"/>
      <c r="DI7" s="195"/>
      <c r="DJ7" s="195"/>
      <c r="DK7" s="195"/>
      <c r="DL7" s="195"/>
      <c r="DM7" s="195"/>
      <c r="DN7" s="195"/>
      <c r="DO7" s="195"/>
      <c r="DP7" s="195"/>
      <c r="DQ7" s="195"/>
      <c r="DR7" s="195"/>
      <c r="DS7" s="195"/>
      <c r="DT7" s="195"/>
      <c r="DU7" s="195"/>
      <c r="DV7" s="195"/>
      <c r="DW7" s="195"/>
      <c r="DX7" s="195"/>
      <c r="DY7" s="195"/>
      <c r="DZ7" s="195"/>
      <c r="EA7" s="195"/>
      <c r="EB7" s="195"/>
      <c r="EC7" s="195"/>
      <c r="ED7" s="195"/>
      <c r="EE7" s="195"/>
      <c r="EF7" s="195"/>
      <c r="EG7" s="195"/>
      <c r="EH7" s="195"/>
      <c r="EI7" s="195"/>
      <c r="EJ7" s="195"/>
      <c r="EK7" s="195"/>
      <c r="EL7" s="195"/>
      <c r="EM7" s="195"/>
      <c r="EN7" s="195"/>
      <c r="EO7" s="195"/>
      <c r="EP7" s="195"/>
      <c r="EQ7" s="195"/>
      <c r="ER7" s="195"/>
      <c r="ES7" s="195"/>
      <c r="ET7" s="195"/>
      <c r="EU7" s="195"/>
      <c r="EV7" s="195"/>
      <c r="EW7" s="195"/>
      <c r="EX7" s="195"/>
      <c r="EY7" s="195"/>
      <c r="EZ7" s="195"/>
      <c r="FA7" s="195"/>
      <c r="FB7" s="195"/>
      <c r="FC7" s="195"/>
      <c r="FD7" s="195"/>
      <c r="FE7" s="195"/>
      <c r="FF7" s="195"/>
      <c r="FG7" s="195"/>
      <c r="FH7" s="195"/>
      <c r="FI7" s="195"/>
      <c r="FJ7" s="195"/>
      <c r="FK7" s="195"/>
      <c r="FL7" s="195"/>
      <c r="FM7" s="195"/>
      <c r="FN7" s="195"/>
      <c r="FO7" s="195"/>
      <c r="FP7" s="195"/>
      <c r="FQ7" s="195"/>
      <c r="FR7" s="195"/>
      <c r="FS7" s="195"/>
      <c r="FT7" s="195"/>
      <c r="FU7" s="195"/>
      <c r="FV7" s="195"/>
      <c r="FW7" s="195"/>
      <c r="FX7" s="195"/>
      <c r="FY7" s="195"/>
      <c r="FZ7" s="195"/>
      <c r="GA7" s="195"/>
      <c r="GB7" s="195"/>
      <c r="GC7" s="195"/>
      <c r="GD7" s="195"/>
      <c r="GE7" s="195"/>
      <c r="GF7" s="195"/>
      <c r="GG7" s="195"/>
      <c r="GH7" s="195"/>
      <c r="GI7" s="195"/>
    </row>
    <row r="8" spans="1:191" ht="15" customHeight="1">
      <c r="A8" s="187"/>
      <c r="B8" s="196">
        <v>33</v>
      </c>
      <c r="C8" s="197" t="s">
        <v>966</v>
      </c>
      <c r="D8" s="198" t="s">
        <v>967</v>
      </c>
      <c r="E8" s="198" t="s">
        <v>967</v>
      </c>
      <c r="F8" s="198" t="s">
        <v>968</v>
      </c>
      <c r="G8" s="199" t="s">
        <v>952</v>
      </c>
      <c r="H8" s="199"/>
      <c r="I8" s="196" t="s">
        <v>951</v>
      </c>
      <c r="J8" s="199"/>
      <c r="K8" s="200"/>
      <c r="L8" s="200"/>
      <c r="M8" s="200"/>
      <c r="N8" s="196">
        <v>1</v>
      </c>
      <c r="O8" s="201"/>
      <c r="P8" s="201" t="s">
        <v>969</v>
      </c>
      <c r="Q8" s="202" t="s">
        <v>959</v>
      </c>
      <c r="R8" s="201"/>
      <c r="S8" s="201"/>
      <c r="T8" s="203">
        <v>1062</v>
      </c>
      <c r="U8" s="220">
        <v>211624.17990361704</v>
      </c>
      <c r="V8" s="188" t="s">
        <v>952</v>
      </c>
      <c r="W8" s="186">
        <v>0</v>
      </c>
      <c r="X8" s="186">
        <v>0</v>
      </c>
      <c r="Y8" s="186">
        <v>0</v>
      </c>
      <c r="Z8" s="192">
        <v>211624.17990361704</v>
      </c>
      <c r="AA8" s="192">
        <f t="shared" si="0"/>
        <v>211624.17990361704</v>
      </c>
      <c r="AB8" s="195"/>
      <c r="AC8" s="195"/>
      <c r="AD8" s="195"/>
      <c r="AE8" s="195"/>
      <c r="AF8" s="195"/>
      <c r="AG8" s="195"/>
      <c r="AH8" s="189" t="str">
        <f t="shared" si="3"/>
        <v/>
      </c>
      <c r="AI8" s="189" t="str">
        <f t="shared" si="3"/>
        <v/>
      </c>
      <c r="AJ8" s="189" t="str">
        <f t="shared" si="3"/>
        <v/>
      </c>
      <c r="AK8" s="189" t="str">
        <f t="shared" si="4"/>
        <v/>
      </c>
      <c r="AL8" s="195"/>
      <c r="AM8" s="195"/>
      <c r="AN8" s="195"/>
      <c r="AO8" s="195"/>
      <c r="AP8" s="195"/>
      <c r="AQ8" s="195"/>
      <c r="AR8" s="195"/>
      <c r="AS8" s="195"/>
      <c r="AT8" s="195"/>
      <c r="AU8" s="195"/>
      <c r="AV8" s="195"/>
      <c r="AW8" s="195"/>
      <c r="AX8" s="195"/>
      <c r="AY8" s="195"/>
      <c r="AZ8" s="195"/>
      <c r="BA8" s="195"/>
      <c r="BB8" s="195"/>
      <c r="BC8" s="195"/>
      <c r="BD8" s="195"/>
      <c r="BE8" s="195"/>
      <c r="BF8" s="195"/>
      <c r="BG8" s="195"/>
      <c r="BH8" s="195"/>
      <c r="BI8" s="195"/>
      <c r="BJ8" s="195"/>
      <c r="BK8" s="195"/>
      <c r="BL8" s="195"/>
      <c r="BM8" s="195"/>
      <c r="BN8" s="195"/>
      <c r="BO8" s="195"/>
      <c r="BP8" s="195"/>
      <c r="BQ8" s="195"/>
      <c r="BR8" s="195"/>
      <c r="BS8" s="195"/>
      <c r="BT8" s="195"/>
      <c r="BU8" s="195"/>
      <c r="BV8" s="195"/>
      <c r="BW8" s="195"/>
      <c r="BX8" s="195"/>
      <c r="BY8" s="195"/>
      <c r="BZ8" s="195"/>
      <c r="CA8" s="195"/>
      <c r="CB8" s="195"/>
      <c r="CC8" s="195"/>
      <c r="CD8" s="195"/>
      <c r="CE8" s="195"/>
      <c r="CF8" s="195"/>
      <c r="CG8" s="195"/>
      <c r="CH8" s="195"/>
      <c r="CI8" s="195"/>
      <c r="CJ8" s="195"/>
      <c r="CK8" s="195"/>
      <c r="CL8" s="195"/>
      <c r="CM8" s="195"/>
      <c r="CN8" s="195"/>
      <c r="CO8" s="195"/>
      <c r="CP8" s="195"/>
      <c r="CQ8" s="195"/>
      <c r="CR8" s="195"/>
      <c r="CS8" s="195"/>
      <c r="CT8" s="195"/>
      <c r="CU8" s="195"/>
      <c r="CV8" s="195"/>
      <c r="CW8" s="195"/>
      <c r="CX8" s="195"/>
      <c r="CY8" s="195"/>
      <c r="CZ8" s="195"/>
      <c r="DA8" s="195"/>
      <c r="DB8" s="195"/>
      <c r="DC8" s="195"/>
      <c r="DD8" s="195"/>
      <c r="DE8" s="195"/>
      <c r="DF8" s="195"/>
      <c r="DG8" s="195"/>
      <c r="DH8" s="195"/>
      <c r="DI8" s="195"/>
      <c r="DJ8" s="195"/>
      <c r="DK8" s="195"/>
      <c r="DL8" s="195"/>
      <c r="DM8" s="195"/>
      <c r="DN8" s="195"/>
      <c r="DO8" s="195"/>
      <c r="DP8" s="195"/>
      <c r="DQ8" s="195"/>
      <c r="DR8" s="195"/>
      <c r="DS8" s="195"/>
      <c r="DT8" s="195"/>
      <c r="DU8" s="195"/>
      <c r="DV8" s="195"/>
      <c r="DW8" s="195"/>
      <c r="DX8" s="195"/>
      <c r="DY8" s="195"/>
      <c r="DZ8" s="195"/>
      <c r="EA8" s="195"/>
      <c r="EB8" s="195"/>
      <c r="EC8" s="195"/>
      <c r="ED8" s="195"/>
      <c r="EE8" s="195"/>
      <c r="EF8" s="195"/>
      <c r="EG8" s="195"/>
      <c r="EH8" s="195"/>
      <c r="EI8" s="195"/>
      <c r="EJ8" s="195"/>
      <c r="EK8" s="195"/>
      <c r="EL8" s="195"/>
      <c r="EM8" s="195"/>
      <c r="EN8" s="195"/>
      <c r="EO8" s="195"/>
      <c r="EP8" s="195"/>
      <c r="EQ8" s="195"/>
      <c r="ER8" s="195"/>
      <c r="ES8" s="195"/>
      <c r="ET8" s="195"/>
      <c r="EU8" s="195"/>
      <c r="EV8" s="195"/>
      <c r="EW8" s="195"/>
      <c r="EX8" s="195"/>
      <c r="EY8" s="195"/>
      <c r="EZ8" s="195"/>
      <c r="FA8" s="195"/>
      <c r="FB8" s="195"/>
      <c r="FC8" s="195"/>
      <c r="FD8" s="195"/>
      <c r="FE8" s="195"/>
      <c r="FF8" s="195"/>
      <c r="FG8" s="195"/>
      <c r="FH8" s="195"/>
      <c r="FI8" s="195"/>
      <c r="FJ8" s="195"/>
      <c r="FK8" s="195"/>
      <c r="FL8" s="195"/>
      <c r="FM8" s="195"/>
      <c r="FN8" s="195"/>
      <c r="FO8" s="195"/>
      <c r="FP8" s="195"/>
      <c r="FQ8" s="195"/>
      <c r="FR8" s="195"/>
      <c r="FS8" s="195"/>
      <c r="FT8" s="195"/>
      <c r="FU8" s="195"/>
      <c r="FV8" s="195"/>
      <c r="FW8" s="195"/>
      <c r="FX8" s="195"/>
      <c r="FY8" s="195"/>
      <c r="FZ8" s="195"/>
      <c r="GA8" s="195"/>
      <c r="GB8" s="195"/>
      <c r="GC8" s="195"/>
      <c r="GD8" s="195"/>
      <c r="GE8" s="195"/>
      <c r="GF8" s="195"/>
      <c r="GG8" s="195"/>
      <c r="GH8" s="195"/>
      <c r="GI8" s="195"/>
    </row>
    <row r="9" spans="1:191" ht="15" customHeight="1">
      <c r="A9" s="187"/>
      <c r="B9" s="196">
        <v>33</v>
      </c>
      <c r="C9" s="197" t="s">
        <v>966</v>
      </c>
      <c r="D9" s="198" t="s">
        <v>967</v>
      </c>
      <c r="E9" s="198" t="s">
        <v>967</v>
      </c>
      <c r="F9" s="198" t="s">
        <v>970</v>
      </c>
      <c r="G9" s="199" t="s">
        <v>952</v>
      </c>
      <c r="H9" s="199"/>
      <c r="I9" s="196" t="s">
        <v>951</v>
      </c>
      <c r="J9" s="199"/>
      <c r="K9" s="200"/>
      <c r="L9" s="200"/>
      <c r="M9" s="200"/>
      <c r="N9" s="196">
        <v>1</v>
      </c>
      <c r="O9" s="201"/>
      <c r="P9" s="201" t="s">
        <v>969</v>
      </c>
      <c r="Q9" s="202" t="s">
        <v>959</v>
      </c>
      <c r="R9" s="201"/>
      <c r="S9" s="201"/>
      <c r="T9" s="203">
        <v>1062</v>
      </c>
      <c r="U9" s="220">
        <v>211624.17990361704</v>
      </c>
      <c r="V9" s="188" t="s">
        <v>952</v>
      </c>
      <c r="W9" s="186">
        <v>0</v>
      </c>
      <c r="X9" s="186">
        <v>0</v>
      </c>
      <c r="Y9" s="186">
        <v>0</v>
      </c>
      <c r="Z9" s="192">
        <v>211624.17990361704</v>
      </c>
      <c r="AA9" s="192">
        <f t="shared" si="0"/>
        <v>211624.17990361704</v>
      </c>
      <c r="AB9" s="195"/>
      <c r="AC9" s="195"/>
      <c r="AD9" s="195"/>
      <c r="AE9" s="195"/>
      <c r="AF9" s="195"/>
      <c r="AG9" s="195"/>
      <c r="AH9" s="189" t="str">
        <f t="shared" si="3"/>
        <v/>
      </c>
      <c r="AI9" s="189" t="str">
        <f t="shared" si="3"/>
        <v/>
      </c>
      <c r="AJ9" s="189" t="str">
        <f t="shared" si="3"/>
        <v/>
      </c>
      <c r="AK9" s="189" t="str">
        <f t="shared" si="4"/>
        <v/>
      </c>
      <c r="AL9" s="195"/>
      <c r="AM9" s="195"/>
      <c r="AN9" s="195"/>
      <c r="AO9" s="195"/>
      <c r="AP9" s="195"/>
      <c r="AQ9" s="195"/>
      <c r="AR9" s="195"/>
      <c r="AS9" s="195"/>
      <c r="AT9" s="195"/>
      <c r="AU9" s="195"/>
      <c r="AV9" s="195"/>
      <c r="AW9" s="195"/>
      <c r="AX9" s="195"/>
      <c r="AY9" s="195"/>
      <c r="AZ9" s="195"/>
      <c r="BA9" s="195"/>
      <c r="BB9" s="195"/>
      <c r="BC9" s="195"/>
      <c r="BD9" s="195"/>
      <c r="BE9" s="195"/>
      <c r="BF9" s="195"/>
      <c r="BG9" s="195"/>
      <c r="BH9" s="195"/>
      <c r="BI9" s="195"/>
      <c r="BJ9" s="195"/>
      <c r="BK9" s="195"/>
      <c r="BL9" s="195"/>
      <c r="BM9" s="195"/>
      <c r="BN9" s="195"/>
      <c r="BO9" s="195"/>
      <c r="BP9" s="195"/>
      <c r="BQ9" s="195"/>
      <c r="BR9" s="195"/>
      <c r="BS9" s="195"/>
      <c r="BT9" s="195"/>
      <c r="BU9" s="195"/>
      <c r="BV9" s="195"/>
      <c r="BW9" s="195"/>
      <c r="BX9" s="195"/>
      <c r="BY9" s="195"/>
      <c r="BZ9" s="195"/>
      <c r="CA9" s="195"/>
      <c r="CB9" s="195"/>
      <c r="CC9" s="195"/>
      <c r="CD9" s="195"/>
      <c r="CE9" s="195"/>
      <c r="CF9" s="195"/>
      <c r="CG9" s="195"/>
      <c r="CH9" s="195"/>
      <c r="CI9" s="195"/>
      <c r="CJ9" s="195"/>
      <c r="CK9" s="195"/>
      <c r="CL9" s="195"/>
      <c r="CM9" s="195"/>
      <c r="CN9" s="195"/>
      <c r="CO9" s="195"/>
      <c r="CP9" s="195"/>
      <c r="CQ9" s="195"/>
      <c r="CR9" s="195"/>
      <c r="CS9" s="195"/>
      <c r="CT9" s="195"/>
      <c r="CU9" s="195"/>
      <c r="CV9" s="195"/>
      <c r="CW9" s="195"/>
      <c r="CX9" s="195"/>
      <c r="CY9" s="195"/>
      <c r="CZ9" s="195"/>
      <c r="DA9" s="195"/>
      <c r="DB9" s="195"/>
      <c r="DC9" s="195"/>
      <c r="DD9" s="195"/>
      <c r="DE9" s="195"/>
      <c r="DF9" s="195"/>
      <c r="DG9" s="195"/>
      <c r="DH9" s="195"/>
      <c r="DI9" s="195"/>
      <c r="DJ9" s="195"/>
      <c r="DK9" s="195"/>
      <c r="DL9" s="195"/>
      <c r="DM9" s="195"/>
      <c r="DN9" s="195"/>
      <c r="DO9" s="195"/>
      <c r="DP9" s="195"/>
      <c r="DQ9" s="195"/>
      <c r="DR9" s="195"/>
      <c r="DS9" s="195"/>
      <c r="DT9" s="195"/>
      <c r="DU9" s="195"/>
      <c r="DV9" s="195"/>
      <c r="DW9" s="195"/>
      <c r="DX9" s="195"/>
      <c r="DY9" s="195"/>
      <c r="DZ9" s="195"/>
      <c r="EA9" s="195"/>
      <c r="EB9" s="195"/>
      <c r="EC9" s="195"/>
      <c r="ED9" s="195"/>
      <c r="EE9" s="195"/>
      <c r="EF9" s="195"/>
      <c r="EG9" s="195"/>
      <c r="EH9" s="195"/>
      <c r="EI9" s="195"/>
      <c r="EJ9" s="195"/>
      <c r="EK9" s="195"/>
      <c r="EL9" s="195"/>
      <c r="EM9" s="195"/>
      <c r="EN9" s="195"/>
      <c r="EO9" s="195"/>
      <c r="EP9" s="195"/>
      <c r="EQ9" s="195"/>
      <c r="ER9" s="195"/>
      <c r="ES9" s="195"/>
      <c r="ET9" s="195"/>
      <c r="EU9" s="195"/>
      <c r="EV9" s="195"/>
      <c r="EW9" s="195"/>
      <c r="EX9" s="195"/>
      <c r="EY9" s="195"/>
      <c r="EZ9" s="195"/>
      <c r="FA9" s="195"/>
      <c r="FB9" s="195"/>
      <c r="FC9" s="195"/>
      <c r="FD9" s="195"/>
      <c r="FE9" s="195"/>
      <c r="FF9" s="195"/>
      <c r="FG9" s="195"/>
      <c r="FH9" s="195"/>
      <c r="FI9" s="195"/>
      <c r="FJ9" s="195"/>
      <c r="FK9" s="195"/>
      <c r="FL9" s="195"/>
      <c r="FM9" s="195"/>
      <c r="FN9" s="195"/>
      <c r="FO9" s="195"/>
      <c r="FP9" s="195"/>
      <c r="FQ9" s="195"/>
      <c r="FR9" s="195"/>
      <c r="FS9" s="195"/>
      <c r="FT9" s="195"/>
      <c r="FU9" s="195"/>
      <c r="FV9" s="195"/>
      <c r="FW9" s="195"/>
      <c r="FX9" s="195"/>
      <c r="FY9" s="195"/>
      <c r="FZ9" s="195"/>
      <c r="GA9" s="195"/>
      <c r="GB9" s="195"/>
      <c r="GC9" s="195"/>
      <c r="GD9" s="195"/>
      <c r="GE9" s="195"/>
      <c r="GF9" s="195"/>
      <c r="GG9" s="195"/>
      <c r="GH9" s="195"/>
      <c r="GI9" s="195"/>
    </row>
    <row r="10" spans="1:191" ht="15" customHeight="1">
      <c r="A10" s="187"/>
      <c r="B10" s="196">
        <v>33</v>
      </c>
      <c r="C10" s="197" t="s">
        <v>971</v>
      </c>
      <c r="D10" s="205" t="s">
        <v>972</v>
      </c>
      <c r="E10" s="198" t="s">
        <v>973</v>
      </c>
      <c r="F10" s="198" t="s">
        <v>974</v>
      </c>
      <c r="G10" s="199"/>
      <c r="H10" s="199"/>
      <c r="I10" s="196" t="s">
        <v>951</v>
      </c>
      <c r="J10" s="199"/>
      <c r="K10" s="196">
        <v>1</v>
      </c>
      <c r="L10" s="200"/>
      <c r="M10" s="200"/>
      <c r="N10" s="200"/>
      <c r="O10" s="201"/>
      <c r="P10" s="202" t="s">
        <v>975</v>
      </c>
      <c r="Q10" s="202" t="s">
        <v>976</v>
      </c>
      <c r="R10" s="201"/>
      <c r="S10" s="201"/>
      <c r="T10" s="203">
        <v>106201</v>
      </c>
      <c r="U10" s="204">
        <v>22949.156166903602</v>
      </c>
      <c r="V10" s="188"/>
      <c r="W10" s="186">
        <v>22949.156166903602</v>
      </c>
      <c r="X10" s="186">
        <v>0</v>
      </c>
      <c r="Y10" s="186">
        <v>0</v>
      </c>
      <c r="Z10" s="192">
        <v>0</v>
      </c>
      <c r="AA10" s="192">
        <f t="shared" si="0"/>
        <v>22949.156166903602</v>
      </c>
      <c r="AB10" s="195"/>
      <c r="AC10" s="195"/>
      <c r="AD10" s="195"/>
      <c r="AE10" s="195"/>
      <c r="AF10" s="195"/>
      <c r="AG10" s="195"/>
      <c r="AH10" s="189" t="str">
        <f t="shared" si="3"/>
        <v/>
      </c>
      <c r="AI10" s="189" t="str">
        <f t="shared" si="3"/>
        <v/>
      </c>
      <c r="AJ10" s="189" t="str">
        <f t="shared" si="3"/>
        <v/>
      </c>
      <c r="AK10" s="189" t="str">
        <f t="shared" si="4"/>
        <v/>
      </c>
      <c r="AL10" s="195"/>
      <c r="AM10" s="195"/>
      <c r="AN10" s="195"/>
      <c r="AO10" s="195"/>
      <c r="AP10" s="195"/>
      <c r="AQ10" s="195"/>
      <c r="AR10" s="195"/>
      <c r="AS10" s="195"/>
      <c r="AT10" s="195"/>
      <c r="AU10" s="195"/>
      <c r="AV10" s="195"/>
      <c r="AW10" s="195"/>
      <c r="AX10" s="195"/>
      <c r="AY10" s="195"/>
      <c r="AZ10" s="195"/>
      <c r="BA10" s="195"/>
      <c r="BB10" s="195"/>
      <c r="BC10" s="195"/>
      <c r="BD10" s="195"/>
      <c r="BE10" s="195"/>
      <c r="BF10" s="195"/>
      <c r="BG10" s="195"/>
      <c r="BH10" s="195"/>
      <c r="BI10" s="195"/>
      <c r="BJ10" s="195"/>
      <c r="BK10" s="195"/>
      <c r="BL10" s="195"/>
      <c r="BM10" s="195"/>
      <c r="BN10" s="195"/>
      <c r="BO10" s="195"/>
      <c r="BP10" s="195"/>
      <c r="BQ10" s="195"/>
      <c r="BR10" s="195"/>
      <c r="BS10" s="195"/>
      <c r="BT10" s="195"/>
      <c r="BU10" s="195"/>
      <c r="BV10" s="195"/>
      <c r="BW10" s="195"/>
      <c r="BX10" s="195"/>
      <c r="BY10" s="195"/>
      <c r="BZ10" s="195"/>
      <c r="CA10" s="195"/>
      <c r="CB10" s="195"/>
      <c r="CC10" s="195"/>
      <c r="CD10" s="195"/>
      <c r="CE10" s="195"/>
      <c r="CF10" s="195"/>
      <c r="CG10" s="195"/>
      <c r="CH10" s="195"/>
      <c r="CI10" s="195"/>
      <c r="CJ10" s="195"/>
      <c r="CK10" s="195"/>
      <c r="CL10" s="195"/>
      <c r="CM10" s="195"/>
      <c r="CN10" s="195"/>
      <c r="CO10" s="195"/>
      <c r="CP10" s="195"/>
      <c r="CQ10" s="195"/>
      <c r="CR10" s="195"/>
      <c r="CS10" s="195"/>
      <c r="CT10" s="195"/>
      <c r="CU10" s="195"/>
      <c r="CV10" s="195"/>
      <c r="CW10" s="195"/>
      <c r="CX10" s="195"/>
      <c r="CY10" s="195"/>
      <c r="CZ10" s="195"/>
      <c r="DA10" s="195"/>
      <c r="DB10" s="195"/>
      <c r="DC10" s="195"/>
      <c r="DD10" s="195"/>
      <c r="DE10" s="195"/>
      <c r="DF10" s="195"/>
      <c r="DG10" s="195"/>
      <c r="DH10" s="195"/>
      <c r="DI10" s="195"/>
      <c r="DJ10" s="195"/>
      <c r="DK10" s="195"/>
      <c r="DL10" s="195"/>
      <c r="DM10" s="195"/>
      <c r="DN10" s="195"/>
      <c r="DO10" s="195"/>
      <c r="DP10" s="195"/>
      <c r="DQ10" s="195"/>
      <c r="DR10" s="195"/>
      <c r="DS10" s="195"/>
      <c r="DT10" s="195"/>
      <c r="DU10" s="195"/>
      <c r="DV10" s="195"/>
      <c r="DW10" s="195"/>
      <c r="DX10" s="195"/>
      <c r="DY10" s="195"/>
      <c r="DZ10" s="195"/>
      <c r="EA10" s="195"/>
      <c r="EB10" s="195"/>
      <c r="EC10" s="195"/>
      <c r="ED10" s="195"/>
      <c r="EE10" s="195"/>
      <c r="EF10" s="195"/>
      <c r="EG10" s="195"/>
      <c r="EH10" s="195"/>
      <c r="EI10" s="195"/>
      <c r="EJ10" s="195"/>
      <c r="EK10" s="195"/>
      <c r="EL10" s="195"/>
      <c r="EM10" s="195"/>
      <c r="EN10" s="195"/>
      <c r="EO10" s="195"/>
      <c r="EP10" s="195"/>
      <c r="EQ10" s="195"/>
      <c r="ER10" s="195"/>
      <c r="ES10" s="195"/>
      <c r="ET10" s="195"/>
      <c r="EU10" s="195"/>
      <c r="EV10" s="195"/>
      <c r="EW10" s="195"/>
      <c r="EX10" s="195"/>
      <c r="EY10" s="195"/>
      <c r="EZ10" s="195"/>
      <c r="FA10" s="195"/>
      <c r="FB10" s="195"/>
      <c r="FC10" s="195"/>
      <c r="FD10" s="195"/>
      <c r="FE10" s="195"/>
      <c r="FF10" s="195"/>
      <c r="FG10" s="195"/>
      <c r="FH10" s="195"/>
      <c r="FI10" s="195"/>
      <c r="FJ10" s="195"/>
      <c r="FK10" s="195"/>
      <c r="FL10" s="195"/>
      <c r="FM10" s="195"/>
      <c r="FN10" s="195"/>
      <c r="FO10" s="195"/>
      <c r="FP10" s="195"/>
      <c r="FQ10" s="195"/>
      <c r="FR10" s="195"/>
      <c r="FS10" s="195"/>
      <c r="FT10" s="195"/>
      <c r="FU10" s="195"/>
      <c r="FV10" s="195"/>
      <c r="FW10" s="195"/>
      <c r="FX10" s="195"/>
      <c r="FY10" s="195"/>
      <c r="FZ10" s="195"/>
      <c r="GA10" s="195"/>
      <c r="GB10" s="195"/>
      <c r="GC10" s="195"/>
      <c r="GD10" s="195"/>
      <c r="GE10" s="195"/>
      <c r="GF10" s="195"/>
      <c r="GG10" s="195"/>
      <c r="GH10" s="195"/>
      <c r="GI10" s="195"/>
    </row>
    <row r="11" spans="1:191" ht="15" customHeight="1">
      <c r="A11" s="187"/>
      <c r="B11" s="196">
        <v>33</v>
      </c>
      <c r="C11" s="197" t="s">
        <v>971</v>
      </c>
      <c r="D11" s="205" t="s">
        <v>972</v>
      </c>
      <c r="E11" s="198" t="s">
        <v>973</v>
      </c>
      <c r="F11" s="198" t="s">
        <v>977</v>
      </c>
      <c r="G11" s="199"/>
      <c r="H11" s="199"/>
      <c r="I11" s="196"/>
      <c r="J11" s="199"/>
      <c r="K11" s="196">
        <v>1</v>
      </c>
      <c r="L11" s="200"/>
      <c r="M11" s="200"/>
      <c r="N11" s="200"/>
      <c r="O11" s="201"/>
      <c r="P11" s="202" t="s">
        <v>975</v>
      </c>
      <c r="Q11" s="202"/>
      <c r="R11" s="201"/>
      <c r="S11" s="201"/>
      <c r="T11" s="203">
        <v>106201</v>
      </c>
      <c r="U11" s="204">
        <v>22949.156166903602</v>
      </c>
      <c r="V11" s="188"/>
      <c r="W11" s="186">
        <v>22949.156166903602</v>
      </c>
      <c r="X11" s="186">
        <v>0</v>
      </c>
      <c r="Y11" s="186">
        <v>0</v>
      </c>
      <c r="Z11" s="192">
        <v>0</v>
      </c>
      <c r="AA11" s="192">
        <f t="shared" si="0"/>
        <v>22949.156166903602</v>
      </c>
      <c r="AB11" s="195"/>
      <c r="AC11" s="195"/>
      <c r="AD11" s="195"/>
      <c r="AE11" s="195"/>
      <c r="AF11" s="195"/>
      <c r="AG11" s="195"/>
      <c r="AH11" s="189" t="str">
        <f t="shared" si="3"/>
        <v/>
      </c>
      <c r="AI11" s="189" t="str">
        <f t="shared" si="3"/>
        <v/>
      </c>
      <c r="AJ11" s="189" t="str">
        <f t="shared" si="3"/>
        <v/>
      </c>
      <c r="AK11" s="189" t="str">
        <f t="shared" si="4"/>
        <v/>
      </c>
      <c r="AL11" s="195"/>
      <c r="AM11" s="195"/>
      <c r="AN11" s="195"/>
      <c r="AO11" s="195"/>
      <c r="AP11" s="195"/>
      <c r="AQ11" s="195"/>
      <c r="AR11" s="195"/>
      <c r="AS11" s="195"/>
      <c r="AT11" s="195"/>
      <c r="AU11" s="195"/>
      <c r="AV11" s="195"/>
      <c r="AW11" s="195"/>
      <c r="AX11" s="195"/>
      <c r="AY11" s="195"/>
      <c r="AZ11" s="195"/>
      <c r="BA11" s="195"/>
      <c r="BB11" s="195"/>
      <c r="BC11" s="195"/>
      <c r="BD11" s="195"/>
      <c r="BE11" s="195"/>
      <c r="BF11" s="195"/>
      <c r="BG11" s="195"/>
      <c r="BH11" s="195"/>
      <c r="BI11" s="195"/>
      <c r="BJ11" s="195"/>
      <c r="BK11" s="195"/>
      <c r="BL11" s="195"/>
      <c r="BM11" s="195"/>
      <c r="BN11" s="195"/>
      <c r="BO11" s="195"/>
      <c r="BP11" s="195"/>
      <c r="BQ11" s="195"/>
      <c r="BR11" s="195"/>
      <c r="BS11" s="195"/>
      <c r="BT11" s="195"/>
      <c r="BU11" s="195"/>
      <c r="BV11" s="195"/>
      <c r="BW11" s="195"/>
      <c r="BX11" s="195"/>
      <c r="BY11" s="195"/>
      <c r="BZ11" s="195"/>
      <c r="CA11" s="195"/>
      <c r="CB11" s="195"/>
      <c r="CC11" s="195"/>
      <c r="CD11" s="195"/>
      <c r="CE11" s="195"/>
      <c r="CF11" s="195"/>
      <c r="CG11" s="195"/>
      <c r="CH11" s="195"/>
      <c r="CI11" s="195"/>
      <c r="CJ11" s="195"/>
      <c r="CK11" s="195"/>
      <c r="CL11" s="195"/>
      <c r="CM11" s="195"/>
      <c r="CN11" s="195"/>
      <c r="CO11" s="195"/>
      <c r="CP11" s="195"/>
      <c r="CQ11" s="195"/>
      <c r="CR11" s="195"/>
      <c r="CS11" s="195"/>
      <c r="CT11" s="195"/>
      <c r="CU11" s="195"/>
      <c r="CV11" s="195"/>
      <c r="CW11" s="195"/>
      <c r="CX11" s="195"/>
      <c r="CY11" s="195"/>
      <c r="CZ11" s="195"/>
      <c r="DA11" s="195"/>
      <c r="DB11" s="195"/>
      <c r="DC11" s="195"/>
      <c r="DD11" s="195"/>
      <c r="DE11" s="195"/>
      <c r="DF11" s="195"/>
      <c r="DG11" s="195"/>
      <c r="DH11" s="195"/>
      <c r="DI11" s="195"/>
      <c r="DJ11" s="195"/>
      <c r="DK11" s="195"/>
      <c r="DL11" s="195"/>
      <c r="DM11" s="195"/>
      <c r="DN11" s="195"/>
      <c r="DO11" s="195"/>
      <c r="DP11" s="195"/>
      <c r="DQ11" s="195"/>
      <c r="DR11" s="195"/>
      <c r="DS11" s="195"/>
      <c r="DT11" s="195"/>
      <c r="DU11" s="195"/>
      <c r="DV11" s="195"/>
      <c r="DW11" s="195"/>
      <c r="DX11" s="195"/>
      <c r="DY11" s="195"/>
      <c r="DZ11" s="195"/>
      <c r="EA11" s="195"/>
      <c r="EB11" s="195"/>
      <c r="EC11" s="195"/>
      <c r="ED11" s="195"/>
      <c r="EE11" s="195"/>
      <c r="EF11" s="195"/>
      <c r="EG11" s="195"/>
      <c r="EH11" s="195"/>
      <c r="EI11" s="195"/>
      <c r="EJ11" s="195"/>
      <c r="EK11" s="195"/>
      <c r="EL11" s="195"/>
      <c r="EM11" s="195"/>
      <c r="EN11" s="195"/>
      <c r="EO11" s="195"/>
      <c r="EP11" s="195"/>
      <c r="EQ11" s="195"/>
      <c r="ER11" s="195"/>
      <c r="ES11" s="195"/>
      <c r="ET11" s="195"/>
      <c r="EU11" s="195"/>
      <c r="EV11" s="195"/>
      <c r="EW11" s="195"/>
      <c r="EX11" s="195"/>
      <c r="EY11" s="195"/>
      <c r="EZ11" s="195"/>
      <c r="FA11" s="195"/>
      <c r="FB11" s="195"/>
      <c r="FC11" s="195"/>
      <c r="FD11" s="195"/>
      <c r="FE11" s="195"/>
      <c r="FF11" s="195"/>
      <c r="FG11" s="195"/>
      <c r="FH11" s="195"/>
      <c r="FI11" s="195"/>
      <c r="FJ11" s="195"/>
      <c r="FK11" s="195"/>
      <c r="FL11" s="195"/>
      <c r="FM11" s="195"/>
      <c r="FN11" s="195"/>
      <c r="FO11" s="195"/>
      <c r="FP11" s="195"/>
      <c r="FQ11" s="195"/>
      <c r="FR11" s="195"/>
      <c r="FS11" s="195"/>
      <c r="FT11" s="195"/>
      <c r="FU11" s="195"/>
      <c r="FV11" s="195"/>
      <c r="FW11" s="195"/>
      <c r="FX11" s="195"/>
      <c r="FY11" s="195"/>
      <c r="FZ11" s="195"/>
      <c r="GA11" s="195"/>
      <c r="GB11" s="195"/>
      <c r="GC11" s="195"/>
      <c r="GD11" s="195"/>
      <c r="GE11" s="195"/>
      <c r="GF11" s="195"/>
      <c r="GG11" s="195"/>
      <c r="GH11" s="195"/>
      <c r="GI11" s="195"/>
    </row>
    <row r="12" spans="1:191" ht="15" customHeight="1">
      <c r="A12" s="187"/>
      <c r="B12" s="196">
        <v>33</v>
      </c>
      <c r="C12" s="197" t="s">
        <v>971</v>
      </c>
      <c r="D12" s="205" t="s">
        <v>972</v>
      </c>
      <c r="E12" s="198" t="s">
        <v>973</v>
      </c>
      <c r="F12" s="198" t="s">
        <v>978</v>
      </c>
      <c r="G12" s="199"/>
      <c r="H12" s="199"/>
      <c r="I12" s="196"/>
      <c r="J12" s="199"/>
      <c r="K12" s="200"/>
      <c r="L12" s="196">
        <v>1</v>
      </c>
      <c r="M12" s="200"/>
      <c r="N12" s="200"/>
      <c r="O12" s="201"/>
      <c r="P12" s="202" t="s">
        <v>975</v>
      </c>
      <c r="Q12" s="202"/>
      <c r="R12" s="201"/>
      <c r="S12" s="201"/>
      <c r="T12" s="203">
        <v>106202</v>
      </c>
      <c r="U12" s="204">
        <v>22066.789830943497</v>
      </c>
      <c r="V12" s="188"/>
      <c r="W12" s="186">
        <v>0</v>
      </c>
      <c r="X12" s="186">
        <v>22066.789830943497</v>
      </c>
      <c r="Y12" s="186">
        <v>0</v>
      </c>
      <c r="Z12" s="192">
        <v>0</v>
      </c>
      <c r="AA12" s="192">
        <f t="shared" si="0"/>
        <v>22066.789830943497</v>
      </c>
      <c r="AB12" s="195"/>
      <c r="AC12" s="195"/>
      <c r="AD12" s="195"/>
      <c r="AE12" s="195"/>
      <c r="AF12" s="195"/>
      <c r="AG12" s="195"/>
      <c r="AH12" s="189" t="str">
        <f t="shared" si="3"/>
        <v/>
      </c>
      <c r="AI12" s="189" t="str">
        <f t="shared" si="3"/>
        <v/>
      </c>
      <c r="AJ12" s="189" t="str">
        <f t="shared" si="3"/>
        <v/>
      </c>
      <c r="AK12" s="189" t="str">
        <f t="shared" si="4"/>
        <v/>
      </c>
      <c r="AL12" s="195"/>
      <c r="AM12" s="195"/>
      <c r="AN12" s="195"/>
      <c r="AO12" s="195"/>
      <c r="AP12" s="195"/>
      <c r="AQ12" s="195"/>
      <c r="AR12" s="195"/>
      <c r="AS12" s="195"/>
      <c r="AT12" s="195"/>
      <c r="AU12" s="195"/>
      <c r="AV12" s="195"/>
      <c r="AW12" s="195"/>
      <c r="AX12" s="195"/>
      <c r="AY12" s="195"/>
      <c r="AZ12" s="195"/>
      <c r="BA12" s="195"/>
      <c r="BB12" s="195"/>
      <c r="BC12" s="195"/>
      <c r="BD12" s="195"/>
      <c r="BE12" s="195"/>
      <c r="BF12" s="195"/>
      <c r="BG12" s="195"/>
      <c r="BH12" s="195"/>
      <c r="BI12" s="195"/>
      <c r="BJ12" s="195"/>
      <c r="BK12" s="195"/>
      <c r="BL12" s="195"/>
      <c r="BM12" s="195"/>
      <c r="BN12" s="195"/>
      <c r="BO12" s="195"/>
      <c r="BP12" s="195"/>
      <c r="BQ12" s="195"/>
      <c r="BR12" s="195"/>
      <c r="BS12" s="195"/>
      <c r="BT12" s="195"/>
      <c r="BU12" s="195"/>
      <c r="BV12" s="195"/>
      <c r="BW12" s="195"/>
      <c r="BX12" s="195"/>
      <c r="BY12" s="195"/>
      <c r="BZ12" s="195"/>
      <c r="CA12" s="195"/>
      <c r="CB12" s="195"/>
      <c r="CC12" s="195"/>
      <c r="CD12" s="195"/>
      <c r="CE12" s="195"/>
      <c r="CF12" s="195"/>
      <c r="CG12" s="195"/>
      <c r="CH12" s="195"/>
      <c r="CI12" s="195"/>
      <c r="CJ12" s="195"/>
      <c r="CK12" s="195"/>
      <c r="CL12" s="195"/>
      <c r="CM12" s="195"/>
      <c r="CN12" s="195"/>
      <c r="CO12" s="195"/>
      <c r="CP12" s="195"/>
      <c r="CQ12" s="195"/>
      <c r="CR12" s="195"/>
      <c r="CS12" s="195"/>
      <c r="CT12" s="195"/>
      <c r="CU12" s="195"/>
      <c r="CV12" s="195"/>
      <c r="CW12" s="195"/>
      <c r="CX12" s="195"/>
      <c r="CY12" s="195"/>
      <c r="CZ12" s="195"/>
      <c r="DA12" s="195"/>
      <c r="DB12" s="195"/>
      <c r="DC12" s="195"/>
      <c r="DD12" s="195"/>
      <c r="DE12" s="195"/>
      <c r="DF12" s="195"/>
      <c r="DG12" s="195"/>
      <c r="DH12" s="195"/>
      <c r="DI12" s="195"/>
      <c r="DJ12" s="195"/>
      <c r="DK12" s="195"/>
      <c r="DL12" s="195"/>
      <c r="DM12" s="195"/>
      <c r="DN12" s="195"/>
      <c r="DO12" s="195"/>
      <c r="DP12" s="195"/>
      <c r="DQ12" s="195"/>
      <c r="DR12" s="195"/>
      <c r="DS12" s="195"/>
      <c r="DT12" s="195"/>
      <c r="DU12" s="195"/>
      <c r="DV12" s="195"/>
      <c r="DW12" s="195"/>
      <c r="DX12" s="195"/>
      <c r="DY12" s="195"/>
      <c r="DZ12" s="195"/>
      <c r="EA12" s="195"/>
      <c r="EB12" s="195"/>
      <c r="EC12" s="195"/>
      <c r="ED12" s="195"/>
      <c r="EE12" s="195"/>
      <c r="EF12" s="195"/>
      <c r="EG12" s="195"/>
      <c r="EH12" s="195"/>
      <c r="EI12" s="195"/>
      <c r="EJ12" s="195"/>
      <c r="EK12" s="195"/>
      <c r="EL12" s="195"/>
      <c r="EM12" s="195"/>
      <c r="EN12" s="195"/>
      <c r="EO12" s="195"/>
      <c r="EP12" s="195"/>
      <c r="EQ12" s="195"/>
      <c r="ER12" s="195"/>
      <c r="ES12" s="195"/>
      <c r="ET12" s="195"/>
      <c r="EU12" s="195"/>
      <c r="EV12" s="195"/>
      <c r="EW12" s="195"/>
      <c r="EX12" s="195"/>
      <c r="EY12" s="195"/>
      <c r="EZ12" s="195"/>
      <c r="FA12" s="195"/>
      <c r="FB12" s="195"/>
      <c r="FC12" s="195"/>
      <c r="FD12" s="195"/>
      <c r="FE12" s="195"/>
      <c r="FF12" s="195"/>
      <c r="FG12" s="195"/>
      <c r="FH12" s="195"/>
      <c r="FI12" s="195"/>
      <c r="FJ12" s="195"/>
      <c r="FK12" s="195"/>
      <c r="FL12" s="195"/>
      <c r="FM12" s="195"/>
      <c r="FN12" s="195"/>
      <c r="FO12" s="195"/>
      <c r="FP12" s="195"/>
      <c r="FQ12" s="195"/>
      <c r="FR12" s="195"/>
      <c r="FS12" s="195"/>
      <c r="FT12" s="195"/>
      <c r="FU12" s="195"/>
      <c r="FV12" s="195"/>
      <c r="FW12" s="195"/>
      <c r="FX12" s="195"/>
      <c r="FY12" s="195"/>
      <c r="FZ12" s="195"/>
      <c r="GA12" s="195"/>
      <c r="GB12" s="195"/>
      <c r="GC12" s="195"/>
      <c r="GD12" s="195"/>
      <c r="GE12" s="195"/>
      <c r="GF12" s="195"/>
      <c r="GG12" s="195"/>
      <c r="GH12" s="195"/>
      <c r="GI12" s="195"/>
    </row>
    <row r="13" spans="1:191" ht="15" customHeight="1">
      <c r="A13" s="187"/>
      <c r="B13" s="196">
        <v>33</v>
      </c>
      <c r="C13" s="197" t="s">
        <v>971</v>
      </c>
      <c r="D13" s="205" t="s">
        <v>972</v>
      </c>
      <c r="E13" s="198" t="s">
        <v>973</v>
      </c>
      <c r="F13" s="198" t="s">
        <v>979</v>
      </c>
      <c r="G13" s="199"/>
      <c r="H13" s="199"/>
      <c r="I13" s="196"/>
      <c r="J13" s="199"/>
      <c r="K13" s="200"/>
      <c r="L13" s="196">
        <v>1</v>
      </c>
      <c r="M13" s="200"/>
      <c r="N13" s="200"/>
      <c r="O13" s="201"/>
      <c r="P13" s="202" t="s">
        <v>975</v>
      </c>
      <c r="Q13" s="202"/>
      <c r="R13" s="201"/>
      <c r="S13" s="201"/>
      <c r="T13" s="203">
        <v>106202</v>
      </c>
      <c r="U13" s="204">
        <v>22066.789830943497</v>
      </c>
      <c r="V13" s="188"/>
      <c r="W13" s="186">
        <v>0</v>
      </c>
      <c r="X13" s="186">
        <v>22066.789830943497</v>
      </c>
      <c r="Y13" s="186">
        <v>0</v>
      </c>
      <c r="Z13" s="192">
        <v>0</v>
      </c>
      <c r="AA13" s="192">
        <f t="shared" si="0"/>
        <v>22066.789830943497</v>
      </c>
      <c r="AB13" s="195"/>
      <c r="AC13" s="195"/>
      <c r="AD13" s="195"/>
      <c r="AE13" s="195"/>
      <c r="AF13" s="195"/>
      <c r="AG13" s="195"/>
      <c r="AH13" s="189" t="str">
        <f t="shared" si="3"/>
        <v/>
      </c>
      <c r="AI13" s="189" t="str">
        <f t="shared" si="3"/>
        <v/>
      </c>
      <c r="AJ13" s="189" t="str">
        <f t="shared" si="3"/>
        <v/>
      </c>
      <c r="AK13" s="189" t="str">
        <f t="shared" si="4"/>
        <v/>
      </c>
      <c r="AL13" s="195"/>
      <c r="AM13" s="195"/>
      <c r="AN13" s="195"/>
      <c r="AO13" s="195"/>
      <c r="AP13" s="195"/>
      <c r="AQ13" s="195"/>
      <c r="AR13" s="195"/>
      <c r="AS13" s="195"/>
      <c r="AT13" s="195"/>
      <c r="AU13" s="195"/>
      <c r="AV13" s="195"/>
      <c r="AW13" s="195"/>
      <c r="AX13" s="195"/>
      <c r="AY13" s="195"/>
      <c r="AZ13" s="195"/>
      <c r="BA13" s="195"/>
      <c r="BB13" s="195"/>
      <c r="BC13" s="195"/>
      <c r="BD13" s="195"/>
      <c r="BE13" s="195"/>
      <c r="BF13" s="195"/>
      <c r="BG13" s="195"/>
      <c r="BH13" s="195"/>
      <c r="BI13" s="195"/>
      <c r="BJ13" s="195"/>
      <c r="BK13" s="195"/>
      <c r="BL13" s="195"/>
      <c r="BM13" s="195"/>
      <c r="BN13" s="195"/>
      <c r="BO13" s="195"/>
      <c r="BP13" s="195"/>
      <c r="BQ13" s="195"/>
      <c r="BR13" s="195"/>
      <c r="BS13" s="195"/>
      <c r="BT13" s="195"/>
      <c r="BU13" s="195"/>
      <c r="BV13" s="195"/>
      <c r="BW13" s="195"/>
      <c r="BX13" s="195"/>
      <c r="BY13" s="195"/>
      <c r="BZ13" s="195"/>
      <c r="CA13" s="195"/>
      <c r="CB13" s="195"/>
      <c r="CC13" s="195"/>
      <c r="CD13" s="195"/>
      <c r="CE13" s="195"/>
      <c r="CF13" s="195"/>
      <c r="CG13" s="195"/>
      <c r="CH13" s="195"/>
      <c r="CI13" s="195"/>
      <c r="CJ13" s="195"/>
      <c r="CK13" s="195"/>
      <c r="CL13" s="195"/>
      <c r="CM13" s="195"/>
      <c r="CN13" s="195"/>
      <c r="CO13" s="195"/>
      <c r="CP13" s="195"/>
      <c r="CQ13" s="195"/>
      <c r="CR13" s="195"/>
      <c r="CS13" s="195"/>
      <c r="CT13" s="195"/>
      <c r="CU13" s="195"/>
      <c r="CV13" s="195"/>
      <c r="CW13" s="195"/>
      <c r="CX13" s="195"/>
      <c r="CY13" s="195"/>
      <c r="CZ13" s="195"/>
      <c r="DA13" s="195"/>
      <c r="DB13" s="195"/>
      <c r="DC13" s="195"/>
      <c r="DD13" s="195"/>
      <c r="DE13" s="195"/>
      <c r="DF13" s="195"/>
      <c r="DG13" s="195"/>
      <c r="DH13" s="195"/>
      <c r="DI13" s="195"/>
      <c r="DJ13" s="195"/>
      <c r="DK13" s="195"/>
      <c r="DL13" s="195"/>
      <c r="DM13" s="195"/>
      <c r="DN13" s="195"/>
      <c r="DO13" s="195"/>
      <c r="DP13" s="195"/>
      <c r="DQ13" s="195"/>
      <c r="DR13" s="195"/>
      <c r="DS13" s="195"/>
      <c r="DT13" s="195"/>
      <c r="DU13" s="195"/>
      <c r="DV13" s="195"/>
      <c r="DW13" s="195"/>
      <c r="DX13" s="195"/>
      <c r="DY13" s="195"/>
      <c r="DZ13" s="195"/>
      <c r="EA13" s="195"/>
      <c r="EB13" s="195"/>
      <c r="EC13" s="195"/>
      <c r="ED13" s="195"/>
      <c r="EE13" s="195"/>
      <c r="EF13" s="195"/>
      <c r="EG13" s="195"/>
      <c r="EH13" s="195"/>
      <c r="EI13" s="195"/>
      <c r="EJ13" s="195"/>
      <c r="EK13" s="195"/>
      <c r="EL13" s="195"/>
      <c r="EM13" s="195"/>
      <c r="EN13" s="195"/>
      <c r="EO13" s="195"/>
      <c r="EP13" s="195"/>
      <c r="EQ13" s="195"/>
      <c r="ER13" s="195"/>
      <c r="ES13" s="195"/>
      <c r="ET13" s="195"/>
      <c r="EU13" s="195"/>
      <c r="EV13" s="195"/>
      <c r="EW13" s="195"/>
      <c r="EX13" s="195"/>
      <c r="EY13" s="195"/>
      <c r="EZ13" s="195"/>
      <c r="FA13" s="195"/>
      <c r="FB13" s="195"/>
      <c r="FC13" s="195"/>
      <c r="FD13" s="195"/>
      <c r="FE13" s="195"/>
      <c r="FF13" s="195"/>
      <c r="FG13" s="195"/>
      <c r="FH13" s="195"/>
      <c r="FI13" s="195"/>
      <c r="FJ13" s="195"/>
      <c r="FK13" s="195"/>
      <c r="FL13" s="195"/>
      <c r="FM13" s="195"/>
      <c r="FN13" s="195"/>
      <c r="FO13" s="195"/>
      <c r="FP13" s="195"/>
      <c r="FQ13" s="195"/>
      <c r="FR13" s="195"/>
      <c r="FS13" s="195"/>
      <c r="FT13" s="195"/>
      <c r="FU13" s="195"/>
      <c r="FV13" s="195"/>
      <c r="FW13" s="195"/>
      <c r="FX13" s="195"/>
      <c r="FY13" s="195"/>
      <c r="FZ13" s="195"/>
      <c r="GA13" s="195"/>
      <c r="GB13" s="195"/>
      <c r="GC13" s="195"/>
      <c r="GD13" s="195"/>
      <c r="GE13" s="195"/>
      <c r="GF13" s="195"/>
      <c r="GG13" s="195"/>
      <c r="GH13" s="195"/>
      <c r="GI13" s="195"/>
    </row>
    <row r="14" spans="1:191" ht="15" customHeight="1">
      <c r="A14" s="187"/>
      <c r="B14" s="196">
        <v>33</v>
      </c>
      <c r="C14" s="197" t="s">
        <v>971</v>
      </c>
      <c r="D14" s="205" t="s">
        <v>972</v>
      </c>
      <c r="E14" s="198" t="s">
        <v>973</v>
      </c>
      <c r="F14" s="198" t="s">
        <v>980</v>
      </c>
      <c r="G14" s="199"/>
      <c r="H14" s="199"/>
      <c r="I14" s="196"/>
      <c r="J14" s="199"/>
      <c r="K14" s="200"/>
      <c r="L14" s="200"/>
      <c r="M14" s="196">
        <v>1</v>
      </c>
      <c r="N14" s="200"/>
      <c r="O14" s="201"/>
      <c r="P14" s="202" t="s">
        <v>975</v>
      </c>
      <c r="Q14" s="202"/>
      <c r="R14" s="201"/>
      <c r="S14" s="201"/>
      <c r="T14" s="203">
        <v>106203</v>
      </c>
      <c r="U14" s="204">
        <v>22067.220968246183</v>
      </c>
      <c r="V14" s="188"/>
      <c r="W14" s="186">
        <v>0</v>
      </c>
      <c r="X14" s="186">
        <v>0</v>
      </c>
      <c r="Y14" s="186">
        <v>22067.220968246183</v>
      </c>
      <c r="Z14" s="192">
        <v>0</v>
      </c>
      <c r="AA14" s="192">
        <f t="shared" si="0"/>
        <v>22067.220968246183</v>
      </c>
      <c r="AB14" s="195"/>
      <c r="AC14" s="195"/>
      <c r="AD14" s="195"/>
      <c r="AE14" s="195"/>
      <c r="AF14" s="195"/>
      <c r="AG14" s="195"/>
      <c r="AH14" s="189" t="str">
        <f t="shared" si="3"/>
        <v/>
      </c>
      <c r="AI14" s="189" t="str">
        <f t="shared" si="3"/>
        <v/>
      </c>
      <c r="AJ14" s="189" t="str">
        <f t="shared" si="3"/>
        <v/>
      </c>
      <c r="AK14" s="189" t="str">
        <f t="shared" si="4"/>
        <v/>
      </c>
      <c r="AL14" s="195"/>
      <c r="AM14" s="195"/>
      <c r="AN14" s="195"/>
      <c r="AO14" s="195"/>
      <c r="AP14" s="195"/>
      <c r="AQ14" s="195"/>
      <c r="AR14" s="195"/>
      <c r="AS14" s="195"/>
      <c r="AT14" s="195"/>
      <c r="AU14" s="195"/>
      <c r="AV14" s="195"/>
      <c r="AW14" s="195"/>
      <c r="AX14" s="195"/>
      <c r="AY14" s="195"/>
      <c r="AZ14" s="195"/>
      <c r="BA14" s="195"/>
      <c r="BB14" s="195"/>
      <c r="BC14" s="195"/>
      <c r="BD14" s="195"/>
      <c r="BE14" s="195"/>
      <c r="BF14" s="195"/>
      <c r="BG14" s="195"/>
      <c r="BH14" s="195"/>
      <c r="BI14" s="195"/>
      <c r="BJ14" s="195"/>
      <c r="BK14" s="195"/>
      <c r="BL14" s="195"/>
      <c r="BM14" s="195"/>
      <c r="BN14" s="195"/>
      <c r="BO14" s="195"/>
      <c r="BP14" s="195"/>
      <c r="BQ14" s="195"/>
      <c r="BR14" s="195"/>
      <c r="BS14" s="195"/>
      <c r="BT14" s="195"/>
      <c r="BU14" s="195"/>
      <c r="BV14" s="195"/>
      <c r="BW14" s="195"/>
      <c r="BX14" s="195"/>
      <c r="BY14" s="195"/>
      <c r="BZ14" s="195"/>
      <c r="CA14" s="195"/>
      <c r="CB14" s="195"/>
      <c r="CC14" s="195"/>
      <c r="CD14" s="195"/>
      <c r="CE14" s="195"/>
      <c r="CF14" s="195"/>
      <c r="CG14" s="195"/>
      <c r="CH14" s="195"/>
      <c r="CI14" s="195"/>
      <c r="CJ14" s="195"/>
      <c r="CK14" s="195"/>
      <c r="CL14" s="195"/>
      <c r="CM14" s="195"/>
      <c r="CN14" s="195"/>
      <c r="CO14" s="195"/>
      <c r="CP14" s="195"/>
      <c r="CQ14" s="195"/>
      <c r="CR14" s="195"/>
      <c r="CS14" s="195"/>
      <c r="CT14" s="195"/>
      <c r="CU14" s="195"/>
      <c r="CV14" s="195"/>
      <c r="CW14" s="195"/>
      <c r="CX14" s="195"/>
      <c r="CY14" s="195"/>
      <c r="CZ14" s="195"/>
      <c r="DA14" s="195"/>
      <c r="DB14" s="195"/>
      <c r="DC14" s="195"/>
      <c r="DD14" s="195"/>
      <c r="DE14" s="195"/>
      <c r="DF14" s="195"/>
      <c r="DG14" s="195"/>
      <c r="DH14" s="195"/>
      <c r="DI14" s="195"/>
      <c r="DJ14" s="195"/>
      <c r="DK14" s="195"/>
      <c r="DL14" s="195"/>
      <c r="DM14" s="195"/>
      <c r="DN14" s="195"/>
      <c r="DO14" s="195"/>
      <c r="DP14" s="195"/>
      <c r="DQ14" s="195"/>
      <c r="DR14" s="195"/>
      <c r="DS14" s="195"/>
      <c r="DT14" s="195"/>
      <c r="DU14" s="195"/>
      <c r="DV14" s="195"/>
      <c r="DW14" s="195"/>
      <c r="DX14" s="195"/>
      <c r="DY14" s="195"/>
      <c r="DZ14" s="195"/>
      <c r="EA14" s="195"/>
      <c r="EB14" s="195"/>
      <c r="EC14" s="195"/>
      <c r="ED14" s="195"/>
      <c r="EE14" s="195"/>
      <c r="EF14" s="195"/>
      <c r="EG14" s="195"/>
      <c r="EH14" s="195"/>
      <c r="EI14" s="195"/>
      <c r="EJ14" s="195"/>
      <c r="EK14" s="195"/>
      <c r="EL14" s="195"/>
      <c r="EM14" s="195"/>
      <c r="EN14" s="195"/>
      <c r="EO14" s="195"/>
      <c r="EP14" s="195"/>
      <c r="EQ14" s="195"/>
      <c r="ER14" s="195"/>
      <c r="ES14" s="195"/>
      <c r="ET14" s="195"/>
      <c r="EU14" s="195"/>
      <c r="EV14" s="195"/>
      <c r="EW14" s="195"/>
      <c r="EX14" s="195"/>
      <c r="EY14" s="195"/>
      <c r="EZ14" s="195"/>
      <c r="FA14" s="195"/>
      <c r="FB14" s="195"/>
      <c r="FC14" s="195"/>
      <c r="FD14" s="195"/>
      <c r="FE14" s="195"/>
      <c r="FF14" s="195"/>
      <c r="FG14" s="195"/>
      <c r="FH14" s="195"/>
      <c r="FI14" s="195"/>
      <c r="FJ14" s="195"/>
      <c r="FK14" s="195"/>
      <c r="FL14" s="195"/>
      <c r="FM14" s="195"/>
      <c r="FN14" s="195"/>
      <c r="FO14" s="195"/>
      <c r="FP14" s="195"/>
      <c r="FQ14" s="195"/>
      <c r="FR14" s="195"/>
      <c r="FS14" s="195"/>
      <c r="FT14" s="195"/>
      <c r="FU14" s="195"/>
      <c r="FV14" s="195"/>
      <c r="FW14" s="195"/>
      <c r="FX14" s="195"/>
      <c r="FY14" s="195"/>
      <c r="FZ14" s="195"/>
      <c r="GA14" s="195"/>
      <c r="GB14" s="195"/>
      <c r="GC14" s="195"/>
      <c r="GD14" s="195"/>
      <c r="GE14" s="195"/>
      <c r="GF14" s="195"/>
      <c r="GG14" s="195"/>
      <c r="GH14" s="195"/>
      <c r="GI14" s="195"/>
    </row>
    <row r="15" spans="1:191" ht="15" customHeight="1">
      <c r="A15" s="187"/>
      <c r="B15" s="196">
        <v>33</v>
      </c>
      <c r="C15" s="197" t="s">
        <v>971</v>
      </c>
      <c r="D15" s="205" t="s">
        <v>972</v>
      </c>
      <c r="E15" s="198" t="s">
        <v>973</v>
      </c>
      <c r="F15" s="198" t="s">
        <v>981</v>
      </c>
      <c r="G15" s="199"/>
      <c r="H15" s="199"/>
      <c r="I15" s="196"/>
      <c r="J15" s="199"/>
      <c r="K15" s="200"/>
      <c r="L15" s="200"/>
      <c r="M15" s="196">
        <v>1</v>
      </c>
      <c r="N15" s="200"/>
      <c r="O15" s="201"/>
      <c r="P15" s="202" t="s">
        <v>975</v>
      </c>
      <c r="Q15" s="202"/>
      <c r="R15" s="201"/>
      <c r="S15" s="201"/>
      <c r="T15" s="203">
        <v>106203</v>
      </c>
      <c r="U15" s="204">
        <v>22067.220968246183</v>
      </c>
      <c r="V15" s="188"/>
      <c r="W15" s="186">
        <v>0</v>
      </c>
      <c r="X15" s="186">
        <v>0</v>
      </c>
      <c r="Y15" s="186">
        <v>22067.220968246183</v>
      </c>
      <c r="Z15" s="192">
        <v>0</v>
      </c>
      <c r="AA15" s="192">
        <f t="shared" ref="AA15:AA54" si="5">SUM(W15:Z15)</f>
        <v>22067.220968246183</v>
      </c>
      <c r="AB15" s="195"/>
      <c r="AC15" s="195"/>
      <c r="AD15" s="195"/>
      <c r="AE15" s="195"/>
      <c r="AF15" s="195"/>
      <c r="AG15" s="195"/>
      <c r="AH15" s="189" t="str">
        <f t="shared" si="3"/>
        <v/>
      </c>
      <c r="AI15" s="189" t="str">
        <f t="shared" si="3"/>
        <v/>
      </c>
      <c r="AJ15" s="189" t="str">
        <f t="shared" si="3"/>
        <v/>
      </c>
      <c r="AK15" s="189" t="str">
        <f t="shared" si="4"/>
        <v/>
      </c>
      <c r="AL15" s="195"/>
      <c r="AM15" s="195"/>
      <c r="AN15" s="195"/>
      <c r="AO15" s="195"/>
      <c r="AP15" s="195"/>
      <c r="AQ15" s="195"/>
      <c r="AR15" s="195"/>
      <c r="AS15" s="195"/>
      <c r="AT15" s="195"/>
      <c r="AU15" s="195"/>
      <c r="AV15" s="195"/>
      <c r="AW15" s="195"/>
      <c r="AX15" s="195"/>
      <c r="AY15" s="195"/>
      <c r="AZ15" s="195"/>
      <c r="BA15" s="195"/>
      <c r="BB15" s="195"/>
      <c r="BC15" s="195"/>
      <c r="BD15" s="195"/>
      <c r="BE15" s="195"/>
      <c r="BF15" s="195"/>
      <c r="BG15" s="195"/>
      <c r="BH15" s="195"/>
      <c r="BI15" s="195"/>
      <c r="BJ15" s="195"/>
      <c r="BK15" s="195"/>
      <c r="BL15" s="195"/>
      <c r="BM15" s="195"/>
      <c r="BN15" s="195"/>
      <c r="BO15" s="195"/>
      <c r="BP15" s="195"/>
      <c r="BQ15" s="195"/>
      <c r="BR15" s="195"/>
      <c r="BS15" s="195"/>
      <c r="BT15" s="195"/>
      <c r="BU15" s="195"/>
      <c r="BV15" s="195"/>
      <c r="BW15" s="195"/>
      <c r="BX15" s="195"/>
      <c r="BY15" s="195"/>
      <c r="BZ15" s="195"/>
      <c r="CA15" s="195"/>
      <c r="CB15" s="195"/>
      <c r="CC15" s="195"/>
      <c r="CD15" s="195"/>
      <c r="CE15" s="195"/>
      <c r="CF15" s="195"/>
      <c r="CG15" s="195"/>
      <c r="CH15" s="195"/>
      <c r="CI15" s="195"/>
      <c r="CJ15" s="195"/>
      <c r="CK15" s="195"/>
      <c r="CL15" s="195"/>
      <c r="CM15" s="195"/>
      <c r="CN15" s="195"/>
      <c r="CO15" s="195"/>
      <c r="CP15" s="195"/>
      <c r="CQ15" s="195"/>
      <c r="CR15" s="195"/>
      <c r="CS15" s="195"/>
      <c r="CT15" s="195"/>
      <c r="CU15" s="195"/>
      <c r="CV15" s="195"/>
      <c r="CW15" s="195"/>
      <c r="CX15" s="195"/>
      <c r="CY15" s="195"/>
      <c r="CZ15" s="195"/>
      <c r="DA15" s="195"/>
      <c r="DB15" s="195"/>
      <c r="DC15" s="195"/>
      <c r="DD15" s="195"/>
      <c r="DE15" s="195"/>
      <c r="DF15" s="195"/>
      <c r="DG15" s="195"/>
      <c r="DH15" s="195"/>
      <c r="DI15" s="195"/>
      <c r="DJ15" s="195"/>
      <c r="DK15" s="195"/>
      <c r="DL15" s="195"/>
      <c r="DM15" s="195"/>
      <c r="DN15" s="195"/>
      <c r="DO15" s="195"/>
      <c r="DP15" s="195"/>
      <c r="DQ15" s="195"/>
      <c r="DR15" s="195"/>
      <c r="DS15" s="195"/>
      <c r="DT15" s="195"/>
      <c r="DU15" s="195"/>
      <c r="DV15" s="195"/>
      <c r="DW15" s="195"/>
      <c r="DX15" s="195"/>
      <c r="DY15" s="195"/>
      <c r="DZ15" s="195"/>
      <c r="EA15" s="195"/>
      <c r="EB15" s="195"/>
      <c r="EC15" s="195"/>
      <c r="ED15" s="195"/>
      <c r="EE15" s="195"/>
      <c r="EF15" s="195"/>
      <c r="EG15" s="195"/>
      <c r="EH15" s="195"/>
      <c r="EI15" s="195"/>
      <c r="EJ15" s="195"/>
      <c r="EK15" s="195"/>
      <c r="EL15" s="195"/>
      <c r="EM15" s="195"/>
      <c r="EN15" s="195"/>
      <c r="EO15" s="195"/>
      <c r="EP15" s="195"/>
      <c r="EQ15" s="195"/>
      <c r="ER15" s="195"/>
      <c r="ES15" s="195"/>
      <c r="ET15" s="195"/>
      <c r="EU15" s="195"/>
      <c r="EV15" s="195"/>
      <c r="EW15" s="195"/>
      <c r="EX15" s="195"/>
      <c r="EY15" s="195"/>
      <c r="EZ15" s="195"/>
      <c r="FA15" s="195"/>
      <c r="FB15" s="195"/>
      <c r="FC15" s="195"/>
      <c r="FD15" s="195"/>
      <c r="FE15" s="195"/>
      <c r="FF15" s="195"/>
      <c r="FG15" s="195"/>
      <c r="FH15" s="195"/>
      <c r="FI15" s="195"/>
      <c r="FJ15" s="195"/>
      <c r="FK15" s="195"/>
      <c r="FL15" s="195"/>
      <c r="FM15" s="195"/>
      <c r="FN15" s="195"/>
      <c r="FO15" s="195"/>
      <c r="FP15" s="195"/>
      <c r="FQ15" s="195"/>
      <c r="FR15" s="195"/>
      <c r="FS15" s="195"/>
      <c r="FT15" s="195"/>
      <c r="FU15" s="195"/>
      <c r="FV15" s="195"/>
      <c r="FW15" s="195"/>
      <c r="FX15" s="195"/>
      <c r="FY15" s="195"/>
      <c r="FZ15" s="195"/>
      <c r="GA15" s="195"/>
      <c r="GB15" s="195"/>
      <c r="GC15" s="195"/>
      <c r="GD15" s="195"/>
      <c r="GE15" s="195"/>
      <c r="GF15" s="195"/>
      <c r="GG15" s="195"/>
      <c r="GH15" s="195"/>
      <c r="GI15" s="195"/>
    </row>
    <row r="16" spans="1:191" ht="15" customHeight="1">
      <c r="A16" s="187"/>
      <c r="B16" s="196">
        <v>33</v>
      </c>
      <c r="C16" s="197" t="s">
        <v>971</v>
      </c>
      <c r="D16" s="205" t="s">
        <v>972</v>
      </c>
      <c r="E16" s="198" t="s">
        <v>973</v>
      </c>
      <c r="F16" s="198" t="s">
        <v>982</v>
      </c>
      <c r="G16" s="199"/>
      <c r="H16" s="199"/>
      <c r="I16" s="196"/>
      <c r="J16" s="199"/>
      <c r="K16" s="200"/>
      <c r="L16" s="200"/>
      <c r="M16" s="200"/>
      <c r="N16" s="196">
        <v>1</v>
      </c>
      <c r="O16" s="201"/>
      <c r="P16" s="202" t="s">
        <v>975</v>
      </c>
      <c r="Q16" s="202"/>
      <c r="R16" s="201"/>
      <c r="S16" s="201"/>
      <c r="T16" s="203">
        <v>1062</v>
      </c>
      <c r="U16" s="204">
        <v>18396.527652586767</v>
      </c>
      <c r="V16" s="188"/>
      <c r="W16" s="186">
        <v>0</v>
      </c>
      <c r="X16" s="186">
        <v>0</v>
      </c>
      <c r="Y16" s="186">
        <v>0</v>
      </c>
      <c r="Z16" s="192">
        <v>18396.527652586767</v>
      </c>
      <c r="AA16" s="192">
        <f t="shared" si="5"/>
        <v>18396.527652586767</v>
      </c>
      <c r="AB16" s="195"/>
      <c r="AC16" s="195"/>
      <c r="AD16" s="195"/>
      <c r="AE16" s="195"/>
      <c r="AF16" s="195"/>
      <c r="AG16" s="195"/>
      <c r="AH16" s="189" t="str">
        <f t="shared" si="3"/>
        <v/>
      </c>
      <c r="AI16" s="189" t="str">
        <f t="shared" si="3"/>
        <v/>
      </c>
      <c r="AJ16" s="189" t="str">
        <f t="shared" si="3"/>
        <v/>
      </c>
      <c r="AK16" s="189" t="str">
        <f t="shared" si="4"/>
        <v/>
      </c>
      <c r="AL16" s="195"/>
      <c r="AM16" s="195"/>
      <c r="AN16" s="195"/>
      <c r="AO16" s="195"/>
      <c r="AP16" s="195"/>
      <c r="AQ16" s="195"/>
      <c r="AR16" s="195"/>
      <c r="AS16" s="195"/>
      <c r="AT16" s="195"/>
      <c r="AU16" s="195"/>
      <c r="AV16" s="195"/>
      <c r="AW16" s="195"/>
      <c r="AX16" s="195"/>
      <c r="AY16" s="195"/>
      <c r="AZ16" s="195"/>
      <c r="BA16" s="195"/>
      <c r="BB16" s="195"/>
      <c r="BC16" s="195"/>
      <c r="BD16" s="195"/>
      <c r="BE16" s="195"/>
      <c r="BF16" s="195"/>
      <c r="BG16" s="195"/>
      <c r="BH16" s="195"/>
      <c r="BI16" s="195"/>
      <c r="BJ16" s="195"/>
      <c r="BK16" s="195"/>
      <c r="BL16" s="195"/>
      <c r="BM16" s="195"/>
      <c r="BN16" s="195"/>
      <c r="BO16" s="195"/>
      <c r="BP16" s="195"/>
      <c r="BQ16" s="195"/>
      <c r="BR16" s="195"/>
      <c r="BS16" s="195"/>
      <c r="BT16" s="195"/>
      <c r="BU16" s="195"/>
      <c r="BV16" s="195"/>
      <c r="BW16" s="195"/>
      <c r="BX16" s="195"/>
      <c r="BY16" s="195"/>
      <c r="BZ16" s="195"/>
      <c r="CA16" s="195"/>
      <c r="CB16" s="195"/>
      <c r="CC16" s="195"/>
      <c r="CD16" s="195"/>
      <c r="CE16" s="195"/>
      <c r="CF16" s="195"/>
      <c r="CG16" s="195"/>
      <c r="CH16" s="195"/>
      <c r="CI16" s="195"/>
      <c r="CJ16" s="195"/>
      <c r="CK16" s="195"/>
      <c r="CL16" s="195"/>
      <c r="CM16" s="195"/>
      <c r="CN16" s="195"/>
      <c r="CO16" s="195"/>
      <c r="CP16" s="195"/>
      <c r="CQ16" s="195"/>
      <c r="CR16" s="195"/>
      <c r="CS16" s="195"/>
      <c r="CT16" s="195"/>
      <c r="CU16" s="195"/>
      <c r="CV16" s="195"/>
      <c r="CW16" s="195"/>
      <c r="CX16" s="195"/>
      <c r="CY16" s="195"/>
      <c r="CZ16" s="195"/>
      <c r="DA16" s="195"/>
      <c r="DB16" s="195"/>
      <c r="DC16" s="195"/>
      <c r="DD16" s="195"/>
      <c r="DE16" s="195"/>
      <c r="DF16" s="195"/>
      <c r="DG16" s="195"/>
      <c r="DH16" s="195"/>
      <c r="DI16" s="195"/>
      <c r="DJ16" s="195"/>
      <c r="DK16" s="195"/>
      <c r="DL16" s="195"/>
      <c r="DM16" s="195"/>
      <c r="DN16" s="195"/>
      <c r="DO16" s="195"/>
      <c r="DP16" s="195"/>
      <c r="DQ16" s="195"/>
      <c r="DR16" s="195"/>
      <c r="DS16" s="195"/>
      <c r="DT16" s="195"/>
      <c r="DU16" s="195"/>
      <c r="DV16" s="195"/>
      <c r="DW16" s="195"/>
      <c r="DX16" s="195"/>
      <c r="DY16" s="195"/>
      <c r="DZ16" s="195"/>
      <c r="EA16" s="195"/>
      <c r="EB16" s="195"/>
      <c r="EC16" s="195"/>
      <c r="ED16" s="195"/>
      <c r="EE16" s="195"/>
      <c r="EF16" s="195"/>
      <c r="EG16" s="195"/>
      <c r="EH16" s="195"/>
      <c r="EI16" s="195"/>
      <c r="EJ16" s="195"/>
      <c r="EK16" s="195"/>
      <c r="EL16" s="195"/>
      <c r="EM16" s="195"/>
      <c r="EN16" s="195"/>
      <c r="EO16" s="195"/>
      <c r="EP16" s="195"/>
      <c r="EQ16" s="195"/>
      <c r="ER16" s="195"/>
      <c r="ES16" s="195"/>
      <c r="ET16" s="195"/>
      <c r="EU16" s="195"/>
      <c r="EV16" s="195"/>
      <c r="EW16" s="195"/>
      <c r="EX16" s="195"/>
      <c r="EY16" s="195"/>
      <c r="EZ16" s="195"/>
      <c r="FA16" s="195"/>
      <c r="FB16" s="195"/>
      <c r="FC16" s="195"/>
      <c r="FD16" s="195"/>
      <c r="FE16" s="195"/>
      <c r="FF16" s="195"/>
      <c r="FG16" s="195"/>
      <c r="FH16" s="195"/>
      <c r="FI16" s="195"/>
      <c r="FJ16" s="195"/>
      <c r="FK16" s="195"/>
      <c r="FL16" s="195"/>
      <c r="FM16" s="195"/>
      <c r="FN16" s="195"/>
      <c r="FO16" s="195"/>
      <c r="FP16" s="195"/>
      <c r="FQ16" s="195"/>
      <c r="FR16" s="195"/>
      <c r="FS16" s="195"/>
      <c r="FT16" s="195"/>
      <c r="FU16" s="195"/>
      <c r="FV16" s="195"/>
      <c r="FW16" s="195"/>
      <c r="FX16" s="195"/>
      <c r="FY16" s="195"/>
      <c r="FZ16" s="195"/>
      <c r="GA16" s="195"/>
      <c r="GB16" s="195"/>
      <c r="GC16" s="195"/>
      <c r="GD16" s="195"/>
      <c r="GE16" s="195"/>
      <c r="GF16" s="195"/>
      <c r="GG16" s="195"/>
      <c r="GH16" s="195"/>
      <c r="GI16" s="195"/>
    </row>
    <row r="17" spans="1:191" ht="15" customHeight="1">
      <c r="A17" s="187"/>
      <c r="B17" s="196">
        <v>33</v>
      </c>
      <c r="C17" s="197" t="s">
        <v>971</v>
      </c>
      <c r="D17" s="205" t="s">
        <v>972</v>
      </c>
      <c r="E17" s="198" t="s">
        <v>973</v>
      </c>
      <c r="F17" s="198" t="s">
        <v>983</v>
      </c>
      <c r="G17" s="199"/>
      <c r="H17" s="199"/>
      <c r="I17" s="196"/>
      <c r="J17" s="199"/>
      <c r="K17" s="200"/>
      <c r="L17" s="200"/>
      <c r="M17" s="200"/>
      <c r="N17" s="196">
        <v>1</v>
      </c>
      <c r="O17" s="201"/>
      <c r="P17" s="202" t="s">
        <v>975</v>
      </c>
      <c r="Q17" s="202"/>
      <c r="R17" s="201"/>
      <c r="S17" s="201"/>
      <c r="T17" s="203">
        <v>1062</v>
      </c>
      <c r="U17" s="204">
        <v>18396.527652586767</v>
      </c>
      <c r="V17" s="188"/>
      <c r="W17" s="186">
        <v>0</v>
      </c>
      <c r="X17" s="186">
        <v>0</v>
      </c>
      <c r="Y17" s="186">
        <v>0</v>
      </c>
      <c r="Z17" s="192">
        <v>18396.527652586767</v>
      </c>
      <c r="AA17" s="192">
        <f t="shared" si="5"/>
        <v>18396.527652586767</v>
      </c>
      <c r="AB17" s="195"/>
      <c r="AC17" s="195"/>
      <c r="AD17" s="195"/>
      <c r="AE17" s="195"/>
      <c r="AF17" s="195"/>
      <c r="AG17" s="195"/>
      <c r="AH17" s="189" t="str">
        <f t="shared" si="3"/>
        <v/>
      </c>
      <c r="AI17" s="189" t="str">
        <f t="shared" si="3"/>
        <v/>
      </c>
      <c r="AJ17" s="189" t="str">
        <f t="shared" si="3"/>
        <v/>
      </c>
      <c r="AK17" s="189" t="str">
        <f t="shared" si="4"/>
        <v/>
      </c>
      <c r="AL17" s="195"/>
      <c r="AM17" s="195"/>
      <c r="AN17" s="195"/>
      <c r="AO17" s="195"/>
      <c r="AP17" s="195"/>
      <c r="AQ17" s="195"/>
      <c r="AR17" s="195"/>
      <c r="AS17" s="195"/>
      <c r="AT17" s="195"/>
      <c r="AU17" s="195"/>
      <c r="AV17" s="195"/>
      <c r="AW17" s="195"/>
      <c r="AX17" s="195"/>
      <c r="AY17" s="195"/>
      <c r="AZ17" s="195"/>
      <c r="BA17" s="195"/>
      <c r="BB17" s="195"/>
      <c r="BC17" s="195"/>
      <c r="BD17" s="195"/>
      <c r="BE17" s="195"/>
      <c r="BF17" s="195"/>
      <c r="BG17" s="195"/>
      <c r="BH17" s="195"/>
      <c r="BI17" s="195"/>
      <c r="BJ17" s="195"/>
      <c r="BK17" s="195"/>
      <c r="BL17" s="195"/>
      <c r="BM17" s="195"/>
      <c r="BN17" s="195"/>
      <c r="BO17" s="195"/>
      <c r="BP17" s="195"/>
      <c r="BQ17" s="195"/>
      <c r="BR17" s="195"/>
      <c r="BS17" s="195"/>
      <c r="BT17" s="195"/>
      <c r="BU17" s="195"/>
      <c r="BV17" s="195"/>
      <c r="BW17" s="195"/>
      <c r="BX17" s="195"/>
      <c r="BY17" s="195"/>
      <c r="BZ17" s="195"/>
      <c r="CA17" s="195"/>
      <c r="CB17" s="195"/>
      <c r="CC17" s="195"/>
      <c r="CD17" s="195"/>
      <c r="CE17" s="195"/>
      <c r="CF17" s="195"/>
      <c r="CG17" s="195"/>
      <c r="CH17" s="195"/>
      <c r="CI17" s="195"/>
      <c r="CJ17" s="195"/>
      <c r="CK17" s="195"/>
      <c r="CL17" s="195"/>
      <c r="CM17" s="195"/>
      <c r="CN17" s="195"/>
      <c r="CO17" s="195"/>
      <c r="CP17" s="195"/>
      <c r="CQ17" s="195"/>
      <c r="CR17" s="195"/>
      <c r="CS17" s="195"/>
      <c r="CT17" s="195"/>
      <c r="CU17" s="195"/>
      <c r="CV17" s="195"/>
      <c r="CW17" s="195"/>
      <c r="CX17" s="195"/>
      <c r="CY17" s="195"/>
      <c r="CZ17" s="195"/>
      <c r="DA17" s="195"/>
      <c r="DB17" s="195"/>
      <c r="DC17" s="195"/>
      <c r="DD17" s="195"/>
      <c r="DE17" s="195"/>
      <c r="DF17" s="195"/>
      <c r="DG17" s="195"/>
      <c r="DH17" s="195"/>
      <c r="DI17" s="195"/>
      <c r="DJ17" s="195"/>
      <c r="DK17" s="195"/>
      <c r="DL17" s="195"/>
      <c r="DM17" s="195"/>
      <c r="DN17" s="195"/>
      <c r="DO17" s="195"/>
      <c r="DP17" s="195"/>
      <c r="DQ17" s="195"/>
      <c r="DR17" s="195"/>
      <c r="DS17" s="195"/>
      <c r="DT17" s="195"/>
      <c r="DU17" s="195"/>
      <c r="DV17" s="195"/>
      <c r="DW17" s="195"/>
      <c r="DX17" s="195"/>
      <c r="DY17" s="195"/>
      <c r="DZ17" s="195"/>
      <c r="EA17" s="195"/>
      <c r="EB17" s="195"/>
      <c r="EC17" s="195"/>
      <c r="ED17" s="195"/>
      <c r="EE17" s="195"/>
      <c r="EF17" s="195"/>
      <c r="EG17" s="195"/>
      <c r="EH17" s="195"/>
      <c r="EI17" s="195"/>
      <c r="EJ17" s="195"/>
      <c r="EK17" s="195"/>
      <c r="EL17" s="195"/>
      <c r="EM17" s="195"/>
      <c r="EN17" s="195"/>
      <c r="EO17" s="195"/>
      <c r="EP17" s="195"/>
      <c r="EQ17" s="195"/>
      <c r="ER17" s="195"/>
      <c r="ES17" s="195"/>
      <c r="ET17" s="195"/>
      <c r="EU17" s="195"/>
      <c r="EV17" s="195"/>
      <c r="EW17" s="195"/>
      <c r="EX17" s="195"/>
      <c r="EY17" s="195"/>
      <c r="EZ17" s="195"/>
      <c r="FA17" s="195"/>
      <c r="FB17" s="195"/>
      <c r="FC17" s="195"/>
      <c r="FD17" s="195"/>
      <c r="FE17" s="195"/>
      <c r="FF17" s="195"/>
      <c r="FG17" s="195"/>
      <c r="FH17" s="195"/>
      <c r="FI17" s="195"/>
      <c r="FJ17" s="195"/>
      <c r="FK17" s="195"/>
      <c r="FL17" s="195"/>
      <c r="FM17" s="195"/>
      <c r="FN17" s="195"/>
      <c r="FO17" s="195"/>
      <c r="FP17" s="195"/>
      <c r="FQ17" s="195"/>
      <c r="FR17" s="195"/>
      <c r="FS17" s="195"/>
      <c r="FT17" s="195"/>
      <c r="FU17" s="195"/>
      <c r="FV17" s="195"/>
      <c r="FW17" s="195"/>
      <c r="FX17" s="195"/>
      <c r="FY17" s="195"/>
      <c r="FZ17" s="195"/>
      <c r="GA17" s="195"/>
      <c r="GB17" s="195"/>
      <c r="GC17" s="195"/>
      <c r="GD17" s="195"/>
      <c r="GE17" s="195"/>
      <c r="GF17" s="195"/>
      <c r="GG17" s="195"/>
      <c r="GH17" s="195"/>
      <c r="GI17" s="195"/>
    </row>
    <row r="18" spans="1:191" ht="15" customHeight="1">
      <c r="A18" s="187"/>
      <c r="B18" s="196">
        <v>33</v>
      </c>
      <c r="C18" s="197" t="s">
        <v>971</v>
      </c>
      <c r="D18" s="205" t="s">
        <v>972</v>
      </c>
      <c r="E18" s="198" t="s">
        <v>973</v>
      </c>
      <c r="F18" s="198" t="s">
        <v>984</v>
      </c>
      <c r="G18" s="199"/>
      <c r="H18" s="199"/>
      <c r="I18" s="196"/>
      <c r="J18" s="199"/>
      <c r="K18" s="200"/>
      <c r="L18" s="200"/>
      <c r="M18" s="200"/>
      <c r="N18" s="196">
        <v>1</v>
      </c>
      <c r="O18" s="201"/>
      <c r="P18" s="202" t="s">
        <v>985</v>
      </c>
      <c r="Q18" s="202"/>
      <c r="R18" s="201"/>
      <c r="S18" s="201"/>
      <c r="T18" s="203">
        <v>1062</v>
      </c>
      <c r="U18" s="204">
        <v>18396.527652586767</v>
      </c>
      <c r="V18" s="188"/>
      <c r="W18" s="186">
        <v>0</v>
      </c>
      <c r="X18" s="186">
        <v>0</v>
      </c>
      <c r="Y18" s="186">
        <v>0</v>
      </c>
      <c r="Z18" s="192">
        <v>18396.527652586767</v>
      </c>
      <c r="AA18" s="192">
        <f t="shared" si="5"/>
        <v>18396.527652586767</v>
      </c>
      <c r="AB18" s="195"/>
      <c r="AC18" s="195"/>
      <c r="AD18" s="195"/>
      <c r="AE18" s="195"/>
      <c r="AF18" s="195"/>
      <c r="AG18" s="195"/>
      <c r="AH18" s="189" t="str">
        <f t="shared" si="3"/>
        <v/>
      </c>
      <c r="AI18" s="189" t="str">
        <f t="shared" si="3"/>
        <v/>
      </c>
      <c r="AJ18" s="189" t="str">
        <f t="shared" si="3"/>
        <v/>
      </c>
      <c r="AK18" s="189" t="str">
        <f t="shared" si="4"/>
        <v/>
      </c>
      <c r="AL18" s="195"/>
      <c r="AM18" s="195"/>
      <c r="AN18" s="195"/>
      <c r="AO18" s="195"/>
      <c r="AP18" s="195"/>
      <c r="AQ18" s="195"/>
      <c r="AR18" s="195"/>
      <c r="AS18" s="195"/>
      <c r="AT18" s="195"/>
      <c r="AU18" s="195"/>
      <c r="AV18" s="195"/>
      <c r="AW18" s="195"/>
      <c r="AX18" s="195"/>
      <c r="AY18" s="195"/>
      <c r="AZ18" s="195"/>
      <c r="BA18" s="195"/>
      <c r="BB18" s="195"/>
      <c r="BC18" s="195"/>
      <c r="BD18" s="195"/>
      <c r="BE18" s="195"/>
      <c r="BF18" s="195"/>
      <c r="BG18" s="195"/>
      <c r="BH18" s="195"/>
      <c r="BI18" s="195"/>
      <c r="BJ18" s="195"/>
      <c r="BK18" s="195"/>
      <c r="BL18" s="195"/>
      <c r="BM18" s="195"/>
      <c r="BN18" s="195"/>
      <c r="BO18" s="195"/>
      <c r="BP18" s="195"/>
      <c r="BQ18" s="195"/>
      <c r="BR18" s="195"/>
      <c r="BS18" s="195"/>
      <c r="BT18" s="195"/>
      <c r="BU18" s="195"/>
      <c r="BV18" s="195"/>
      <c r="BW18" s="195"/>
      <c r="BX18" s="195"/>
      <c r="BY18" s="195"/>
      <c r="BZ18" s="195"/>
      <c r="CA18" s="195"/>
      <c r="CB18" s="195"/>
      <c r="CC18" s="195"/>
      <c r="CD18" s="195"/>
      <c r="CE18" s="195"/>
      <c r="CF18" s="195"/>
      <c r="CG18" s="195"/>
      <c r="CH18" s="195"/>
      <c r="CI18" s="195"/>
      <c r="CJ18" s="195"/>
      <c r="CK18" s="195"/>
      <c r="CL18" s="195"/>
      <c r="CM18" s="195"/>
      <c r="CN18" s="195"/>
      <c r="CO18" s="195"/>
      <c r="CP18" s="195"/>
      <c r="CQ18" s="195"/>
      <c r="CR18" s="195"/>
      <c r="CS18" s="195"/>
      <c r="CT18" s="195"/>
      <c r="CU18" s="195"/>
      <c r="CV18" s="195"/>
      <c r="CW18" s="195"/>
      <c r="CX18" s="195"/>
      <c r="CY18" s="195"/>
      <c r="CZ18" s="195"/>
      <c r="DA18" s="195"/>
      <c r="DB18" s="195"/>
      <c r="DC18" s="195"/>
      <c r="DD18" s="195"/>
      <c r="DE18" s="195"/>
      <c r="DF18" s="195"/>
      <c r="DG18" s="195"/>
      <c r="DH18" s="195"/>
      <c r="DI18" s="195"/>
      <c r="DJ18" s="195"/>
      <c r="DK18" s="195"/>
      <c r="DL18" s="195"/>
      <c r="DM18" s="195"/>
      <c r="DN18" s="195"/>
      <c r="DO18" s="195"/>
      <c r="DP18" s="195"/>
      <c r="DQ18" s="195"/>
      <c r="DR18" s="195"/>
      <c r="DS18" s="195"/>
      <c r="DT18" s="195"/>
      <c r="DU18" s="195"/>
      <c r="DV18" s="195"/>
      <c r="DW18" s="195"/>
      <c r="DX18" s="195"/>
      <c r="DY18" s="195"/>
      <c r="DZ18" s="195"/>
      <c r="EA18" s="195"/>
      <c r="EB18" s="195"/>
      <c r="EC18" s="195"/>
      <c r="ED18" s="195"/>
      <c r="EE18" s="195"/>
      <c r="EF18" s="195"/>
      <c r="EG18" s="195"/>
      <c r="EH18" s="195"/>
      <c r="EI18" s="195"/>
      <c r="EJ18" s="195"/>
      <c r="EK18" s="195"/>
      <c r="EL18" s="195"/>
      <c r="EM18" s="195"/>
      <c r="EN18" s="195"/>
      <c r="EO18" s="195"/>
      <c r="EP18" s="195"/>
      <c r="EQ18" s="195"/>
      <c r="ER18" s="195"/>
      <c r="ES18" s="195"/>
      <c r="ET18" s="195"/>
      <c r="EU18" s="195"/>
      <c r="EV18" s="195"/>
      <c r="EW18" s="195"/>
      <c r="EX18" s="195"/>
      <c r="EY18" s="195"/>
      <c r="EZ18" s="195"/>
      <c r="FA18" s="195"/>
      <c r="FB18" s="195"/>
      <c r="FC18" s="195"/>
      <c r="FD18" s="195"/>
      <c r="FE18" s="195"/>
      <c r="FF18" s="195"/>
      <c r="FG18" s="195"/>
      <c r="FH18" s="195"/>
      <c r="FI18" s="195"/>
      <c r="FJ18" s="195"/>
      <c r="FK18" s="195"/>
      <c r="FL18" s="195"/>
      <c r="FM18" s="195"/>
      <c r="FN18" s="195"/>
      <c r="FO18" s="195"/>
      <c r="FP18" s="195"/>
      <c r="FQ18" s="195"/>
      <c r="FR18" s="195"/>
      <c r="FS18" s="195"/>
      <c r="FT18" s="195"/>
      <c r="FU18" s="195"/>
      <c r="FV18" s="195"/>
      <c r="FW18" s="195"/>
      <c r="FX18" s="195"/>
      <c r="FY18" s="195"/>
      <c r="FZ18" s="195"/>
      <c r="GA18" s="195"/>
      <c r="GB18" s="195"/>
      <c r="GC18" s="195"/>
      <c r="GD18" s="195"/>
      <c r="GE18" s="195"/>
      <c r="GF18" s="195"/>
      <c r="GG18" s="195"/>
      <c r="GH18" s="195"/>
      <c r="GI18" s="195"/>
    </row>
    <row r="19" spans="1:191" ht="15" customHeight="1">
      <c r="A19" s="187"/>
      <c r="B19" s="196">
        <v>33</v>
      </c>
      <c r="C19" s="197" t="s">
        <v>971</v>
      </c>
      <c r="D19" s="205" t="s">
        <v>972</v>
      </c>
      <c r="E19" s="198" t="s">
        <v>973</v>
      </c>
      <c r="F19" s="198" t="s">
        <v>986</v>
      </c>
      <c r="G19" s="199"/>
      <c r="H19" s="199"/>
      <c r="I19" s="196"/>
      <c r="J19" s="199"/>
      <c r="K19" s="200"/>
      <c r="L19" s="200"/>
      <c r="M19" s="200"/>
      <c r="N19" s="196">
        <v>1</v>
      </c>
      <c r="O19" s="201"/>
      <c r="P19" s="202" t="s">
        <v>985</v>
      </c>
      <c r="Q19" s="202"/>
      <c r="R19" s="201"/>
      <c r="S19" s="201"/>
      <c r="T19" s="203">
        <v>1062</v>
      </c>
      <c r="U19" s="204">
        <v>18396.527652586767</v>
      </c>
      <c r="V19" s="188"/>
      <c r="W19" s="186">
        <v>0</v>
      </c>
      <c r="X19" s="186">
        <v>0</v>
      </c>
      <c r="Y19" s="186">
        <v>0</v>
      </c>
      <c r="Z19" s="192">
        <v>18396.527652586767</v>
      </c>
      <c r="AA19" s="192">
        <f t="shared" si="5"/>
        <v>18396.527652586767</v>
      </c>
      <c r="AB19" s="195"/>
      <c r="AC19" s="195"/>
      <c r="AD19" s="195"/>
      <c r="AE19" s="195"/>
      <c r="AF19" s="195"/>
      <c r="AG19" s="195"/>
      <c r="AH19" s="189" t="str">
        <f t="shared" si="3"/>
        <v/>
      </c>
      <c r="AI19" s="189" t="str">
        <f t="shared" si="3"/>
        <v/>
      </c>
      <c r="AJ19" s="189" t="str">
        <f t="shared" si="3"/>
        <v/>
      </c>
      <c r="AK19" s="189" t="str">
        <f t="shared" si="4"/>
        <v/>
      </c>
      <c r="AL19" s="195"/>
      <c r="AM19" s="195"/>
      <c r="AN19" s="195"/>
      <c r="AO19" s="195"/>
      <c r="AP19" s="195"/>
      <c r="AQ19" s="195"/>
      <c r="AR19" s="195"/>
      <c r="AS19" s="195"/>
      <c r="AT19" s="195"/>
      <c r="AU19" s="195"/>
      <c r="AV19" s="195"/>
      <c r="AW19" s="195"/>
      <c r="AX19" s="195"/>
      <c r="AY19" s="195"/>
      <c r="AZ19" s="195"/>
      <c r="BA19" s="195"/>
      <c r="BB19" s="195"/>
      <c r="BC19" s="195"/>
      <c r="BD19" s="195"/>
      <c r="BE19" s="195"/>
      <c r="BF19" s="195"/>
      <c r="BG19" s="195"/>
      <c r="BH19" s="195"/>
      <c r="BI19" s="195"/>
      <c r="BJ19" s="195"/>
      <c r="BK19" s="195"/>
      <c r="BL19" s="195"/>
      <c r="BM19" s="195"/>
      <c r="BN19" s="195"/>
      <c r="BO19" s="195"/>
      <c r="BP19" s="195"/>
      <c r="BQ19" s="195"/>
      <c r="BR19" s="195"/>
      <c r="BS19" s="195"/>
      <c r="BT19" s="195"/>
      <c r="BU19" s="195"/>
      <c r="BV19" s="195"/>
      <c r="BW19" s="195"/>
      <c r="BX19" s="195"/>
      <c r="BY19" s="195"/>
      <c r="BZ19" s="195"/>
      <c r="CA19" s="195"/>
      <c r="CB19" s="195"/>
      <c r="CC19" s="195"/>
      <c r="CD19" s="195"/>
      <c r="CE19" s="195"/>
      <c r="CF19" s="195"/>
      <c r="CG19" s="195"/>
      <c r="CH19" s="195"/>
      <c r="CI19" s="195"/>
      <c r="CJ19" s="195"/>
      <c r="CK19" s="195"/>
      <c r="CL19" s="195"/>
      <c r="CM19" s="195"/>
      <c r="CN19" s="195"/>
      <c r="CO19" s="195"/>
      <c r="CP19" s="195"/>
      <c r="CQ19" s="195"/>
      <c r="CR19" s="195"/>
      <c r="CS19" s="195"/>
      <c r="CT19" s="195"/>
      <c r="CU19" s="195"/>
      <c r="CV19" s="195"/>
      <c r="CW19" s="195"/>
      <c r="CX19" s="195"/>
      <c r="CY19" s="195"/>
      <c r="CZ19" s="195"/>
      <c r="DA19" s="195"/>
      <c r="DB19" s="195"/>
      <c r="DC19" s="195"/>
      <c r="DD19" s="195"/>
      <c r="DE19" s="195"/>
      <c r="DF19" s="195"/>
      <c r="DG19" s="195"/>
      <c r="DH19" s="195"/>
      <c r="DI19" s="195"/>
      <c r="DJ19" s="195"/>
      <c r="DK19" s="195"/>
      <c r="DL19" s="195"/>
      <c r="DM19" s="195"/>
      <c r="DN19" s="195"/>
      <c r="DO19" s="195"/>
      <c r="DP19" s="195"/>
      <c r="DQ19" s="195"/>
      <c r="DR19" s="195"/>
      <c r="DS19" s="195"/>
      <c r="DT19" s="195"/>
      <c r="DU19" s="195"/>
      <c r="DV19" s="195"/>
      <c r="DW19" s="195"/>
      <c r="DX19" s="195"/>
      <c r="DY19" s="195"/>
      <c r="DZ19" s="195"/>
      <c r="EA19" s="195"/>
      <c r="EB19" s="195"/>
      <c r="EC19" s="195"/>
      <c r="ED19" s="195"/>
      <c r="EE19" s="195"/>
      <c r="EF19" s="195"/>
      <c r="EG19" s="195"/>
      <c r="EH19" s="195"/>
      <c r="EI19" s="195"/>
      <c r="EJ19" s="195"/>
      <c r="EK19" s="195"/>
      <c r="EL19" s="195"/>
      <c r="EM19" s="195"/>
      <c r="EN19" s="195"/>
      <c r="EO19" s="195"/>
      <c r="EP19" s="195"/>
      <c r="EQ19" s="195"/>
      <c r="ER19" s="195"/>
      <c r="ES19" s="195"/>
      <c r="ET19" s="195"/>
      <c r="EU19" s="195"/>
      <c r="EV19" s="195"/>
      <c r="EW19" s="195"/>
      <c r="EX19" s="195"/>
      <c r="EY19" s="195"/>
      <c r="EZ19" s="195"/>
      <c r="FA19" s="195"/>
      <c r="FB19" s="195"/>
      <c r="FC19" s="195"/>
      <c r="FD19" s="195"/>
      <c r="FE19" s="195"/>
      <c r="FF19" s="195"/>
      <c r="FG19" s="195"/>
      <c r="FH19" s="195"/>
      <c r="FI19" s="195"/>
      <c r="FJ19" s="195"/>
      <c r="FK19" s="195"/>
      <c r="FL19" s="195"/>
      <c r="FM19" s="195"/>
      <c r="FN19" s="195"/>
      <c r="FO19" s="195"/>
      <c r="FP19" s="195"/>
      <c r="FQ19" s="195"/>
      <c r="FR19" s="195"/>
      <c r="FS19" s="195"/>
      <c r="FT19" s="195"/>
      <c r="FU19" s="195"/>
      <c r="FV19" s="195"/>
      <c r="FW19" s="195"/>
      <c r="FX19" s="195"/>
      <c r="FY19" s="195"/>
      <c r="FZ19" s="195"/>
      <c r="GA19" s="195"/>
      <c r="GB19" s="195"/>
      <c r="GC19" s="195"/>
      <c r="GD19" s="195"/>
      <c r="GE19" s="195"/>
      <c r="GF19" s="195"/>
      <c r="GG19" s="195"/>
      <c r="GH19" s="195"/>
      <c r="GI19" s="195"/>
    </row>
    <row r="20" spans="1:191" ht="15" customHeight="1">
      <c r="A20" s="187"/>
      <c r="B20" s="196">
        <v>33</v>
      </c>
      <c r="C20" s="197" t="s">
        <v>971</v>
      </c>
      <c r="D20" s="205" t="s">
        <v>972</v>
      </c>
      <c r="E20" s="198" t="s">
        <v>973</v>
      </c>
      <c r="F20" s="198" t="s">
        <v>987</v>
      </c>
      <c r="G20" s="199"/>
      <c r="H20" s="199"/>
      <c r="I20" s="196"/>
      <c r="J20" s="199"/>
      <c r="K20" s="200"/>
      <c r="L20" s="200"/>
      <c r="M20" s="200"/>
      <c r="N20" s="196">
        <v>1</v>
      </c>
      <c r="O20" s="201"/>
      <c r="P20" s="202" t="s">
        <v>985</v>
      </c>
      <c r="Q20" s="202"/>
      <c r="R20" s="201"/>
      <c r="S20" s="201"/>
      <c r="T20" s="203">
        <v>1062</v>
      </c>
      <c r="U20" s="204">
        <v>18396.527652586767</v>
      </c>
      <c r="V20" s="188"/>
      <c r="W20" s="186">
        <v>0</v>
      </c>
      <c r="X20" s="186">
        <v>0</v>
      </c>
      <c r="Y20" s="186">
        <v>0</v>
      </c>
      <c r="Z20" s="192">
        <v>18396.527652586767</v>
      </c>
      <c r="AA20" s="192">
        <f t="shared" si="5"/>
        <v>18396.527652586767</v>
      </c>
      <c r="AB20" s="195"/>
      <c r="AC20" s="195"/>
      <c r="AD20" s="195"/>
      <c r="AE20" s="195"/>
      <c r="AF20" s="195"/>
      <c r="AG20" s="195"/>
      <c r="AH20" s="189" t="str">
        <f t="shared" si="3"/>
        <v/>
      </c>
      <c r="AI20" s="189" t="str">
        <f t="shared" si="3"/>
        <v/>
      </c>
      <c r="AJ20" s="189" t="str">
        <f t="shared" si="3"/>
        <v/>
      </c>
      <c r="AK20" s="189" t="str">
        <f t="shared" si="4"/>
        <v/>
      </c>
      <c r="AL20" s="195"/>
      <c r="AM20" s="195"/>
      <c r="AN20" s="195"/>
      <c r="AO20" s="195"/>
      <c r="AP20" s="195"/>
      <c r="AQ20" s="195"/>
      <c r="AR20" s="195"/>
      <c r="AS20" s="195"/>
      <c r="AT20" s="195"/>
      <c r="AU20" s="195"/>
      <c r="AV20" s="195"/>
      <c r="AW20" s="195"/>
      <c r="AX20" s="195"/>
      <c r="AY20" s="195"/>
      <c r="AZ20" s="195"/>
      <c r="BA20" s="195"/>
      <c r="BB20" s="195"/>
      <c r="BC20" s="195"/>
      <c r="BD20" s="195"/>
      <c r="BE20" s="195"/>
      <c r="BF20" s="195"/>
      <c r="BG20" s="195"/>
      <c r="BH20" s="195"/>
      <c r="BI20" s="195"/>
      <c r="BJ20" s="195"/>
      <c r="BK20" s="195"/>
      <c r="BL20" s="195"/>
      <c r="BM20" s="195"/>
      <c r="BN20" s="195"/>
      <c r="BO20" s="195"/>
      <c r="BP20" s="195"/>
      <c r="BQ20" s="195"/>
      <c r="BR20" s="195"/>
      <c r="BS20" s="195"/>
      <c r="BT20" s="195"/>
      <c r="BU20" s="195"/>
      <c r="BV20" s="195"/>
      <c r="BW20" s="195"/>
      <c r="BX20" s="195"/>
      <c r="BY20" s="195"/>
      <c r="BZ20" s="195"/>
      <c r="CA20" s="195"/>
      <c r="CB20" s="195"/>
      <c r="CC20" s="195"/>
      <c r="CD20" s="195"/>
      <c r="CE20" s="195"/>
      <c r="CF20" s="195"/>
      <c r="CG20" s="195"/>
      <c r="CH20" s="195"/>
      <c r="CI20" s="195"/>
      <c r="CJ20" s="195"/>
      <c r="CK20" s="195"/>
      <c r="CL20" s="195"/>
      <c r="CM20" s="195"/>
      <c r="CN20" s="195"/>
      <c r="CO20" s="195"/>
      <c r="CP20" s="195"/>
      <c r="CQ20" s="195"/>
      <c r="CR20" s="195"/>
      <c r="CS20" s="195"/>
      <c r="CT20" s="195"/>
      <c r="CU20" s="195"/>
      <c r="CV20" s="195"/>
      <c r="CW20" s="195"/>
      <c r="CX20" s="195"/>
      <c r="CY20" s="195"/>
      <c r="CZ20" s="195"/>
      <c r="DA20" s="195"/>
      <c r="DB20" s="195"/>
      <c r="DC20" s="195"/>
      <c r="DD20" s="195"/>
      <c r="DE20" s="195"/>
      <c r="DF20" s="195"/>
      <c r="DG20" s="195"/>
      <c r="DH20" s="195"/>
      <c r="DI20" s="195"/>
      <c r="DJ20" s="195"/>
      <c r="DK20" s="195"/>
      <c r="DL20" s="195"/>
      <c r="DM20" s="195"/>
      <c r="DN20" s="195"/>
      <c r="DO20" s="195"/>
      <c r="DP20" s="195"/>
      <c r="DQ20" s="195"/>
      <c r="DR20" s="195"/>
      <c r="DS20" s="195"/>
      <c r="DT20" s="195"/>
      <c r="DU20" s="195"/>
      <c r="DV20" s="195"/>
      <c r="DW20" s="195"/>
      <c r="DX20" s="195"/>
      <c r="DY20" s="195"/>
      <c r="DZ20" s="195"/>
      <c r="EA20" s="195"/>
      <c r="EB20" s="195"/>
      <c r="EC20" s="195"/>
      <c r="ED20" s="195"/>
      <c r="EE20" s="195"/>
      <c r="EF20" s="195"/>
      <c r="EG20" s="195"/>
      <c r="EH20" s="195"/>
      <c r="EI20" s="195"/>
      <c r="EJ20" s="195"/>
      <c r="EK20" s="195"/>
      <c r="EL20" s="195"/>
      <c r="EM20" s="195"/>
      <c r="EN20" s="195"/>
      <c r="EO20" s="195"/>
      <c r="EP20" s="195"/>
      <c r="EQ20" s="195"/>
      <c r="ER20" s="195"/>
      <c r="ES20" s="195"/>
      <c r="ET20" s="195"/>
      <c r="EU20" s="195"/>
      <c r="EV20" s="195"/>
      <c r="EW20" s="195"/>
      <c r="EX20" s="195"/>
      <c r="EY20" s="195"/>
      <c r="EZ20" s="195"/>
      <c r="FA20" s="195"/>
      <c r="FB20" s="195"/>
      <c r="FC20" s="195"/>
      <c r="FD20" s="195"/>
      <c r="FE20" s="195"/>
      <c r="FF20" s="195"/>
      <c r="FG20" s="195"/>
      <c r="FH20" s="195"/>
      <c r="FI20" s="195"/>
      <c r="FJ20" s="195"/>
      <c r="FK20" s="195"/>
      <c r="FL20" s="195"/>
      <c r="FM20" s="195"/>
      <c r="FN20" s="195"/>
      <c r="FO20" s="195"/>
      <c r="FP20" s="195"/>
      <c r="FQ20" s="195"/>
      <c r="FR20" s="195"/>
      <c r="FS20" s="195"/>
      <c r="FT20" s="195"/>
      <c r="FU20" s="195"/>
      <c r="FV20" s="195"/>
      <c r="FW20" s="195"/>
      <c r="FX20" s="195"/>
      <c r="FY20" s="195"/>
      <c r="FZ20" s="195"/>
      <c r="GA20" s="195"/>
      <c r="GB20" s="195"/>
      <c r="GC20" s="195"/>
      <c r="GD20" s="195"/>
      <c r="GE20" s="195"/>
      <c r="GF20" s="195"/>
      <c r="GG20" s="195"/>
      <c r="GH20" s="195"/>
      <c r="GI20" s="195"/>
    </row>
    <row r="21" spans="1:191" ht="15" customHeight="1">
      <c r="A21" s="187"/>
      <c r="B21" s="196">
        <v>33</v>
      </c>
      <c r="C21" s="197" t="s">
        <v>971</v>
      </c>
      <c r="D21" s="205" t="s">
        <v>972</v>
      </c>
      <c r="E21" s="198" t="s">
        <v>973</v>
      </c>
      <c r="F21" s="198" t="s">
        <v>988</v>
      </c>
      <c r="G21" s="199"/>
      <c r="H21" s="199"/>
      <c r="I21" s="196"/>
      <c r="J21" s="199"/>
      <c r="K21" s="200"/>
      <c r="L21" s="200"/>
      <c r="M21" s="200"/>
      <c r="N21" s="196">
        <v>1</v>
      </c>
      <c r="O21" s="201"/>
      <c r="P21" s="202" t="s">
        <v>985</v>
      </c>
      <c r="Q21" s="202"/>
      <c r="R21" s="201"/>
      <c r="S21" s="201"/>
      <c r="T21" s="203">
        <v>1062</v>
      </c>
      <c r="U21" s="204">
        <v>18396.527652586767</v>
      </c>
      <c r="V21" s="188"/>
      <c r="W21" s="186">
        <v>0</v>
      </c>
      <c r="X21" s="186">
        <v>0</v>
      </c>
      <c r="Y21" s="186">
        <v>0</v>
      </c>
      <c r="Z21" s="192">
        <v>18396.527652586767</v>
      </c>
      <c r="AA21" s="192">
        <f t="shared" si="5"/>
        <v>18396.527652586767</v>
      </c>
      <c r="AB21" s="195"/>
      <c r="AC21" s="195"/>
      <c r="AD21" s="195"/>
      <c r="AE21" s="195"/>
      <c r="AF21" s="195"/>
      <c r="AG21" s="195"/>
      <c r="AH21" s="189" t="str">
        <f t="shared" si="3"/>
        <v/>
      </c>
      <c r="AI21" s="189" t="str">
        <f t="shared" si="3"/>
        <v/>
      </c>
      <c r="AJ21" s="189" t="str">
        <f t="shared" si="3"/>
        <v/>
      </c>
      <c r="AK21" s="189" t="str">
        <f t="shared" si="4"/>
        <v/>
      </c>
      <c r="AL21" s="195"/>
      <c r="AM21" s="195"/>
      <c r="AN21" s="195"/>
      <c r="AO21" s="195"/>
      <c r="AP21" s="195"/>
      <c r="AQ21" s="195"/>
      <c r="AR21" s="195"/>
      <c r="AS21" s="195"/>
      <c r="AT21" s="195"/>
      <c r="AU21" s="195"/>
      <c r="AV21" s="195"/>
      <c r="AW21" s="195"/>
      <c r="AX21" s="195"/>
      <c r="AY21" s="195"/>
      <c r="AZ21" s="195"/>
      <c r="BA21" s="195"/>
      <c r="BB21" s="195"/>
      <c r="BC21" s="195"/>
      <c r="BD21" s="195"/>
      <c r="BE21" s="195"/>
      <c r="BF21" s="195"/>
      <c r="BG21" s="195"/>
      <c r="BH21" s="195"/>
      <c r="BI21" s="195"/>
      <c r="BJ21" s="195"/>
      <c r="BK21" s="195"/>
      <c r="BL21" s="195"/>
      <c r="BM21" s="195"/>
      <c r="BN21" s="195"/>
      <c r="BO21" s="195"/>
      <c r="BP21" s="195"/>
      <c r="BQ21" s="195"/>
      <c r="BR21" s="195"/>
      <c r="BS21" s="195"/>
      <c r="BT21" s="195"/>
      <c r="BU21" s="195"/>
      <c r="BV21" s="195"/>
      <c r="BW21" s="195"/>
      <c r="BX21" s="195"/>
      <c r="BY21" s="195"/>
      <c r="BZ21" s="195"/>
      <c r="CA21" s="195"/>
      <c r="CB21" s="195"/>
      <c r="CC21" s="195"/>
      <c r="CD21" s="195"/>
      <c r="CE21" s="195"/>
      <c r="CF21" s="195"/>
      <c r="CG21" s="195"/>
      <c r="CH21" s="195"/>
      <c r="CI21" s="195"/>
      <c r="CJ21" s="195"/>
      <c r="CK21" s="195"/>
      <c r="CL21" s="195"/>
      <c r="CM21" s="195"/>
      <c r="CN21" s="195"/>
      <c r="CO21" s="195"/>
      <c r="CP21" s="195"/>
      <c r="CQ21" s="195"/>
      <c r="CR21" s="195"/>
      <c r="CS21" s="195"/>
      <c r="CT21" s="195"/>
      <c r="CU21" s="195"/>
      <c r="CV21" s="195"/>
      <c r="CW21" s="195"/>
      <c r="CX21" s="195"/>
      <c r="CY21" s="195"/>
      <c r="CZ21" s="195"/>
      <c r="DA21" s="195"/>
      <c r="DB21" s="195"/>
      <c r="DC21" s="195"/>
      <c r="DD21" s="195"/>
      <c r="DE21" s="195"/>
      <c r="DF21" s="195"/>
      <c r="DG21" s="195"/>
      <c r="DH21" s="195"/>
      <c r="DI21" s="195"/>
      <c r="DJ21" s="195"/>
      <c r="DK21" s="195"/>
      <c r="DL21" s="195"/>
      <c r="DM21" s="195"/>
      <c r="DN21" s="195"/>
      <c r="DO21" s="195"/>
      <c r="DP21" s="195"/>
      <c r="DQ21" s="195"/>
      <c r="DR21" s="195"/>
      <c r="DS21" s="195"/>
      <c r="DT21" s="195"/>
      <c r="DU21" s="195"/>
      <c r="DV21" s="195"/>
      <c r="DW21" s="195"/>
      <c r="DX21" s="195"/>
      <c r="DY21" s="195"/>
      <c r="DZ21" s="195"/>
      <c r="EA21" s="195"/>
      <c r="EB21" s="195"/>
      <c r="EC21" s="195"/>
      <c r="ED21" s="195"/>
      <c r="EE21" s="195"/>
      <c r="EF21" s="195"/>
      <c r="EG21" s="195"/>
      <c r="EH21" s="195"/>
      <c r="EI21" s="195"/>
      <c r="EJ21" s="195"/>
      <c r="EK21" s="195"/>
      <c r="EL21" s="195"/>
      <c r="EM21" s="195"/>
      <c r="EN21" s="195"/>
      <c r="EO21" s="195"/>
      <c r="EP21" s="195"/>
      <c r="EQ21" s="195"/>
      <c r="ER21" s="195"/>
      <c r="ES21" s="195"/>
      <c r="ET21" s="195"/>
      <c r="EU21" s="195"/>
      <c r="EV21" s="195"/>
      <c r="EW21" s="195"/>
      <c r="EX21" s="195"/>
      <c r="EY21" s="195"/>
      <c r="EZ21" s="195"/>
      <c r="FA21" s="195"/>
      <c r="FB21" s="195"/>
      <c r="FC21" s="195"/>
      <c r="FD21" s="195"/>
      <c r="FE21" s="195"/>
      <c r="FF21" s="195"/>
      <c r="FG21" s="195"/>
      <c r="FH21" s="195"/>
      <c r="FI21" s="195"/>
      <c r="FJ21" s="195"/>
      <c r="FK21" s="195"/>
      <c r="FL21" s="195"/>
      <c r="FM21" s="195"/>
      <c r="FN21" s="195"/>
      <c r="FO21" s="195"/>
      <c r="FP21" s="195"/>
      <c r="FQ21" s="195"/>
      <c r="FR21" s="195"/>
      <c r="FS21" s="195"/>
      <c r="FT21" s="195"/>
      <c r="FU21" s="195"/>
      <c r="FV21" s="195"/>
      <c r="FW21" s="195"/>
      <c r="FX21" s="195"/>
      <c r="FY21" s="195"/>
      <c r="FZ21" s="195"/>
      <c r="GA21" s="195"/>
      <c r="GB21" s="195"/>
      <c r="GC21" s="195"/>
      <c r="GD21" s="195"/>
      <c r="GE21" s="195"/>
      <c r="GF21" s="195"/>
      <c r="GG21" s="195"/>
      <c r="GH21" s="195"/>
      <c r="GI21" s="195"/>
    </row>
    <row r="22" spans="1:191" ht="15" customHeight="1">
      <c r="A22" s="187"/>
      <c r="B22" s="196">
        <v>33</v>
      </c>
      <c r="C22" s="197" t="s">
        <v>971</v>
      </c>
      <c r="D22" s="205" t="s">
        <v>972</v>
      </c>
      <c r="E22" s="198" t="s">
        <v>973</v>
      </c>
      <c r="F22" s="198" t="s">
        <v>989</v>
      </c>
      <c r="G22" s="199"/>
      <c r="H22" s="199"/>
      <c r="I22" s="196"/>
      <c r="J22" s="199"/>
      <c r="K22" s="200"/>
      <c r="L22" s="200"/>
      <c r="M22" s="200"/>
      <c r="N22" s="196">
        <v>1</v>
      </c>
      <c r="O22" s="201"/>
      <c r="P22" s="202" t="s">
        <v>985</v>
      </c>
      <c r="Q22" s="202"/>
      <c r="R22" s="201"/>
      <c r="S22" s="201"/>
      <c r="T22" s="203">
        <v>1062</v>
      </c>
      <c r="U22" s="204">
        <v>18396.527652586767</v>
      </c>
      <c r="V22" s="188"/>
      <c r="W22" s="186">
        <v>0</v>
      </c>
      <c r="X22" s="186">
        <v>0</v>
      </c>
      <c r="Y22" s="186">
        <v>0</v>
      </c>
      <c r="Z22" s="192">
        <v>18396.527652586767</v>
      </c>
      <c r="AA22" s="192">
        <f t="shared" si="5"/>
        <v>18396.527652586767</v>
      </c>
      <c r="AB22" s="195"/>
      <c r="AC22" s="195"/>
      <c r="AD22" s="195"/>
      <c r="AE22" s="195"/>
      <c r="AF22" s="195"/>
      <c r="AG22" s="195"/>
      <c r="AH22" s="189" t="str">
        <f t="shared" si="3"/>
        <v/>
      </c>
      <c r="AI22" s="189" t="str">
        <f t="shared" si="3"/>
        <v/>
      </c>
      <c r="AJ22" s="189" t="str">
        <f t="shared" si="3"/>
        <v/>
      </c>
      <c r="AK22" s="189" t="str">
        <f t="shared" si="4"/>
        <v/>
      </c>
      <c r="AL22" s="195"/>
      <c r="AM22" s="195"/>
      <c r="AN22" s="195"/>
      <c r="AO22" s="195"/>
      <c r="AP22" s="195"/>
      <c r="AQ22" s="195"/>
      <c r="AR22" s="195"/>
      <c r="AS22" s="195"/>
      <c r="AT22" s="195"/>
      <c r="AU22" s="195"/>
      <c r="AV22" s="195"/>
      <c r="AW22" s="195"/>
      <c r="AX22" s="195"/>
      <c r="AY22" s="195"/>
      <c r="AZ22" s="195"/>
      <c r="BA22" s="195"/>
      <c r="BB22" s="195"/>
      <c r="BC22" s="195"/>
      <c r="BD22" s="195"/>
      <c r="BE22" s="195"/>
      <c r="BF22" s="195"/>
      <c r="BG22" s="195"/>
      <c r="BH22" s="195"/>
      <c r="BI22" s="195"/>
      <c r="BJ22" s="195"/>
      <c r="BK22" s="195"/>
      <c r="BL22" s="195"/>
      <c r="BM22" s="195"/>
      <c r="BN22" s="195"/>
      <c r="BO22" s="195"/>
      <c r="BP22" s="195"/>
      <c r="BQ22" s="195"/>
      <c r="BR22" s="195"/>
      <c r="BS22" s="195"/>
      <c r="BT22" s="195"/>
      <c r="BU22" s="195"/>
      <c r="BV22" s="195"/>
      <c r="BW22" s="195"/>
      <c r="BX22" s="195"/>
      <c r="BY22" s="195"/>
      <c r="BZ22" s="195"/>
      <c r="CA22" s="195"/>
      <c r="CB22" s="195"/>
      <c r="CC22" s="195"/>
      <c r="CD22" s="195"/>
      <c r="CE22" s="195"/>
      <c r="CF22" s="195"/>
      <c r="CG22" s="195"/>
      <c r="CH22" s="195"/>
      <c r="CI22" s="195"/>
      <c r="CJ22" s="195"/>
      <c r="CK22" s="195"/>
      <c r="CL22" s="195"/>
      <c r="CM22" s="195"/>
      <c r="CN22" s="195"/>
      <c r="CO22" s="195"/>
      <c r="CP22" s="195"/>
      <c r="CQ22" s="195"/>
      <c r="CR22" s="195"/>
      <c r="CS22" s="195"/>
      <c r="CT22" s="195"/>
      <c r="CU22" s="195"/>
      <c r="CV22" s="195"/>
      <c r="CW22" s="195"/>
      <c r="CX22" s="195"/>
      <c r="CY22" s="195"/>
      <c r="CZ22" s="195"/>
      <c r="DA22" s="195"/>
      <c r="DB22" s="195"/>
      <c r="DC22" s="195"/>
      <c r="DD22" s="195"/>
      <c r="DE22" s="195"/>
      <c r="DF22" s="195"/>
      <c r="DG22" s="195"/>
      <c r="DH22" s="195"/>
      <c r="DI22" s="195"/>
      <c r="DJ22" s="195"/>
      <c r="DK22" s="195"/>
      <c r="DL22" s="195"/>
      <c r="DM22" s="195"/>
      <c r="DN22" s="195"/>
      <c r="DO22" s="195"/>
      <c r="DP22" s="195"/>
      <c r="DQ22" s="195"/>
      <c r="DR22" s="195"/>
      <c r="DS22" s="195"/>
      <c r="DT22" s="195"/>
      <c r="DU22" s="195"/>
      <c r="DV22" s="195"/>
      <c r="DW22" s="195"/>
      <c r="DX22" s="195"/>
      <c r="DY22" s="195"/>
      <c r="DZ22" s="195"/>
      <c r="EA22" s="195"/>
      <c r="EB22" s="195"/>
      <c r="EC22" s="195"/>
      <c r="ED22" s="195"/>
      <c r="EE22" s="195"/>
      <c r="EF22" s="195"/>
      <c r="EG22" s="195"/>
      <c r="EH22" s="195"/>
      <c r="EI22" s="195"/>
      <c r="EJ22" s="195"/>
      <c r="EK22" s="195"/>
      <c r="EL22" s="195"/>
      <c r="EM22" s="195"/>
      <c r="EN22" s="195"/>
      <c r="EO22" s="195"/>
      <c r="EP22" s="195"/>
      <c r="EQ22" s="195"/>
      <c r="ER22" s="195"/>
      <c r="ES22" s="195"/>
      <c r="ET22" s="195"/>
      <c r="EU22" s="195"/>
      <c r="EV22" s="195"/>
      <c r="EW22" s="195"/>
      <c r="EX22" s="195"/>
      <c r="EY22" s="195"/>
      <c r="EZ22" s="195"/>
      <c r="FA22" s="195"/>
      <c r="FB22" s="195"/>
      <c r="FC22" s="195"/>
      <c r="FD22" s="195"/>
      <c r="FE22" s="195"/>
      <c r="FF22" s="195"/>
      <c r="FG22" s="195"/>
      <c r="FH22" s="195"/>
      <c r="FI22" s="195"/>
      <c r="FJ22" s="195"/>
      <c r="FK22" s="195"/>
      <c r="FL22" s="195"/>
      <c r="FM22" s="195"/>
      <c r="FN22" s="195"/>
      <c r="FO22" s="195"/>
      <c r="FP22" s="195"/>
      <c r="FQ22" s="195"/>
      <c r="FR22" s="195"/>
      <c r="FS22" s="195"/>
      <c r="FT22" s="195"/>
      <c r="FU22" s="195"/>
      <c r="FV22" s="195"/>
      <c r="FW22" s="195"/>
      <c r="FX22" s="195"/>
      <c r="FY22" s="195"/>
      <c r="FZ22" s="195"/>
      <c r="GA22" s="195"/>
      <c r="GB22" s="195"/>
      <c r="GC22" s="195"/>
      <c r="GD22" s="195"/>
      <c r="GE22" s="195"/>
      <c r="GF22" s="195"/>
      <c r="GG22" s="195"/>
      <c r="GH22" s="195"/>
      <c r="GI22" s="195"/>
    </row>
    <row r="23" spans="1:191" ht="15" customHeight="1">
      <c r="A23" s="187"/>
      <c r="B23" s="196">
        <v>33</v>
      </c>
      <c r="C23" s="197" t="s">
        <v>990</v>
      </c>
      <c r="D23" s="205" t="s">
        <v>991</v>
      </c>
      <c r="E23" s="198" t="s">
        <v>992</v>
      </c>
      <c r="F23" s="205"/>
      <c r="G23" s="199"/>
      <c r="H23" s="199"/>
      <c r="I23" s="196" t="s">
        <v>951</v>
      </c>
      <c r="J23" s="199"/>
      <c r="K23" s="200"/>
      <c r="L23" s="200"/>
      <c r="M23" s="200"/>
      <c r="N23" s="196">
        <v>1</v>
      </c>
      <c r="O23" s="202" t="s">
        <v>993</v>
      </c>
      <c r="P23" s="202"/>
      <c r="Q23" s="202" t="s">
        <v>976</v>
      </c>
      <c r="R23" s="201"/>
      <c r="S23" s="201"/>
      <c r="T23" s="203">
        <v>1062</v>
      </c>
      <c r="U23" s="204">
        <v>538790.51120845322</v>
      </c>
      <c r="V23" s="188"/>
      <c r="W23" s="186">
        <v>0</v>
      </c>
      <c r="X23" s="186">
        <v>0</v>
      </c>
      <c r="Y23" s="186">
        <v>0</v>
      </c>
      <c r="Z23" s="192">
        <v>538790.51120845322</v>
      </c>
      <c r="AA23" s="192">
        <f t="shared" si="5"/>
        <v>538790.51120845322</v>
      </c>
      <c r="AB23" s="195"/>
      <c r="AC23" s="195"/>
      <c r="AD23" s="195"/>
      <c r="AE23" s="195"/>
      <c r="AF23" s="195"/>
      <c r="AG23" s="195"/>
      <c r="AH23" s="189" t="str">
        <f t="shared" si="3"/>
        <v/>
      </c>
      <c r="AI23" s="189" t="str">
        <f t="shared" si="3"/>
        <v/>
      </c>
      <c r="AJ23" s="189" t="str">
        <f t="shared" si="3"/>
        <v/>
      </c>
      <c r="AK23" s="189" t="str">
        <f t="shared" si="4"/>
        <v/>
      </c>
      <c r="AL23" s="195"/>
      <c r="AM23" s="195"/>
      <c r="AN23" s="195"/>
      <c r="AO23" s="195"/>
      <c r="AP23" s="195"/>
      <c r="AQ23" s="195"/>
      <c r="AR23" s="195"/>
      <c r="AS23" s="195"/>
      <c r="AT23" s="195"/>
      <c r="AU23" s="195"/>
      <c r="AV23" s="195"/>
      <c r="AW23" s="195"/>
      <c r="AX23" s="195"/>
      <c r="AY23" s="195"/>
      <c r="AZ23" s="195"/>
      <c r="BA23" s="195"/>
      <c r="BB23" s="195"/>
      <c r="BC23" s="195"/>
      <c r="BD23" s="195"/>
      <c r="BE23" s="195"/>
      <c r="BF23" s="195"/>
      <c r="BG23" s="195"/>
      <c r="BH23" s="195"/>
      <c r="BI23" s="195"/>
      <c r="BJ23" s="195"/>
      <c r="BK23" s="195"/>
      <c r="BL23" s="195"/>
      <c r="BM23" s="195"/>
      <c r="BN23" s="195"/>
      <c r="BO23" s="195"/>
      <c r="BP23" s="195"/>
      <c r="BQ23" s="195"/>
      <c r="BR23" s="195"/>
      <c r="BS23" s="195"/>
      <c r="BT23" s="195"/>
      <c r="BU23" s="195"/>
      <c r="BV23" s="195"/>
      <c r="BW23" s="195"/>
      <c r="BX23" s="195"/>
      <c r="BY23" s="195"/>
      <c r="BZ23" s="195"/>
      <c r="CA23" s="195"/>
      <c r="CB23" s="195"/>
      <c r="CC23" s="195"/>
      <c r="CD23" s="195"/>
      <c r="CE23" s="195"/>
      <c r="CF23" s="195"/>
      <c r="CG23" s="195"/>
      <c r="CH23" s="195"/>
      <c r="CI23" s="195"/>
      <c r="CJ23" s="195"/>
      <c r="CK23" s="195"/>
      <c r="CL23" s="195"/>
      <c r="CM23" s="195"/>
      <c r="CN23" s="195"/>
      <c r="CO23" s="195"/>
      <c r="CP23" s="195"/>
      <c r="CQ23" s="195"/>
      <c r="CR23" s="195"/>
      <c r="CS23" s="195"/>
      <c r="CT23" s="195"/>
      <c r="CU23" s="195"/>
      <c r="CV23" s="195"/>
      <c r="CW23" s="195"/>
      <c r="CX23" s="195"/>
      <c r="CY23" s="195"/>
      <c r="CZ23" s="195"/>
      <c r="DA23" s="195"/>
      <c r="DB23" s="195"/>
      <c r="DC23" s="195"/>
      <c r="DD23" s="195"/>
      <c r="DE23" s="195"/>
      <c r="DF23" s="195"/>
      <c r="DG23" s="195"/>
      <c r="DH23" s="195"/>
      <c r="DI23" s="195"/>
      <c r="DJ23" s="195"/>
      <c r="DK23" s="195"/>
      <c r="DL23" s="195"/>
      <c r="DM23" s="195"/>
      <c r="DN23" s="195"/>
      <c r="DO23" s="195"/>
      <c r="DP23" s="195"/>
      <c r="DQ23" s="195"/>
      <c r="DR23" s="195"/>
      <c r="DS23" s="195"/>
      <c r="DT23" s="195"/>
      <c r="DU23" s="195"/>
      <c r="DV23" s="195"/>
      <c r="DW23" s="195"/>
      <c r="DX23" s="195"/>
      <c r="DY23" s="195"/>
      <c r="DZ23" s="195"/>
      <c r="EA23" s="195"/>
      <c r="EB23" s="195"/>
      <c r="EC23" s="195"/>
      <c r="ED23" s="195"/>
      <c r="EE23" s="195"/>
      <c r="EF23" s="195"/>
      <c r="EG23" s="195"/>
      <c r="EH23" s="195"/>
      <c r="EI23" s="195"/>
      <c r="EJ23" s="195"/>
      <c r="EK23" s="195"/>
      <c r="EL23" s="195"/>
      <c r="EM23" s="195"/>
      <c r="EN23" s="195"/>
      <c r="EO23" s="195"/>
      <c r="EP23" s="195"/>
      <c r="EQ23" s="195"/>
      <c r="ER23" s="195"/>
      <c r="ES23" s="195"/>
      <c r="ET23" s="195"/>
      <c r="EU23" s="195"/>
      <c r="EV23" s="195"/>
      <c r="EW23" s="195"/>
      <c r="EX23" s="195"/>
      <c r="EY23" s="195"/>
      <c r="EZ23" s="195"/>
      <c r="FA23" s="195"/>
      <c r="FB23" s="195"/>
      <c r="FC23" s="195"/>
      <c r="FD23" s="195"/>
      <c r="FE23" s="195"/>
      <c r="FF23" s="195"/>
      <c r="FG23" s="195"/>
      <c r="FH23" s="195"/>
      <c r="FI23" s="195"/>
      <c r="FJ23" s="195"/>
      <c r="FK23" s="195"/>
      <c r="FL23" s="195"/>
      <c r="FM23" s="195"/>
      <c r="FN23" s="195"/>
      <c r="FO23" s="195"/>
      <c r="FP23" s="195"/>
      <c r="FQ23" s="195"/>
      <c r="FR23" s="195"/>
      <c r="FS23" s="195"/>
      <c r="FT23" s="195"/>
      <c r="FU23" s="195"/>
      <c r="FV23" s="195"/>
      <c r="FW23" s="195"/>
      <c r="FX23" s="195"/>
      <c r="FY23" s="195"/>
      <c r="FZ23" s="195"/>
      <c r="GA23" s="195"/>
      <c r="GB23" s="195"/>
      <c r="GC23" s="195"/>
      <c r="GD23" s="195"/>
      <c r="GE23" s="195"/>
      <c r="GF23" s="195"/>
      <c r="GG23" s="195"/>
      <c r="GH23" s="195"/>
      <c r="GI23" s="195"/>
    </row>
    <row r="24" spans="1:191" ht="15" customHeight="1">
      <c r="A24" s="187"/>
      <c r="B24" s="196">
        <v>33</v>
      </c>
      <c r="C24" s="197" t="s">
        <v>994</v>
      </c>
      <c r="D24" s="205" t="s">
        <v>972</v>
      </c>
      <c r="E24" s="205" t="s">
        <v>995</v>
      </c>
      <c r="F24" s="205"/>
      <c r="G24" s="199" t="s">
        <v>996</v>
      </c>
      <c r="H24" s="199"/>
      <c r="I24" s="196" t="s">
        <v>951</v>
      </c>
      <c r="J24" s="199"/>
      <c r="K24" s="200"/>
      <c r="L24" s="200"/>
      <c r="M24" s="200"/>
      <c r="N24" s="196">
        <v>1</v>
      </c>
      <c r="O24" s="201"/>
      <c r="P24" s="202"/>
      <c r="Q24" s="202" t="s">
        <v>976</v>
      </c>
      <c r="R24" s="201"/>
      <c r="S24" s="201"/>
      <c r="T24" s="203">
        <v>1062</v>
      </c>
      <c r="U24" s="204">
        <v>1825598.0020973769</v>
      </c>
      <c r="V24" s="188" t="s">
        <v>953</v>
      </c>
      <c r="W24" s="186">
        <v>0</v>
      </c>
      <c r="X24" s="186">
        <v>0</v>
      </c>
      <c r="Y24" s="186">
        <v>0</v>
      </c>
      <c r="Z24" s="192">
        <v>1825598.0020973769</v>
      </c>
      <c r="AA24" s="192">
        <f t="shared" si="5"/>
        <v>1825598.0020973769</v>
      </c>
      <c r="AB24" s="195"/>
      <c r="AC24" s="195"/>
      <c r="AD24" s="195"/>
      <c r="AE24" s="195"/>
      <c r="AF24" s="195"/>
      <c r="AG24" s="195"/>
      <c r="AH24" s="189" t="str">
        <f t="shared" si="3"/>
        <v/>
      </c>
      <c r="AI24" s="189" t="str">
        <f t="shared" si="3"/>
        <v/>
      </c>
      <c r="AJ24" s="189" t="str">
        <f t="shared" si="3"/>
        <v/>
      </c>
      <c r="AK24" s="189" t="str">
        <f t="shared" si="4"/>
        <v/>
      </c>
      <c r="AL24" s="195"/>
      <c r="AM24" s="195"/>
      <c r="AN24" s="195"/>
      <c r="AO24" s="195"/>
      <c r="AP24" s="195"/>
      <c r="AQ24" s="195"/>
      <c r="AR24" s="195"/>
      <c r="AS24" s="195"/>
      <c r="AT24" s="195"/>
      <c r="AU24" s="195"/>
      <c r="AV24" s="195"/>
      <c r="AW24" s="195"/>
      <c r="AX24" s="195"/>
      <c r="AY24" s="195"/>
      <c r="AZ24" s="195"/>
      <c r="BA24" s="195"/>
      <c r="BB24" s="195"/>
      <c r="BC24" s="195"/>
      <c r="BD24" s="195"/>
      <c r="BE24" s="195"/>
      <c r="BF24" s="195"/>
      <c r="BG24" s="195"/>
      <c r="BH24" s="195"/>
      <c r="BI24" s="195"/>
      <c r="BJ24" s="195"/>
      <c r="BK24" s="195"/>
      <c r="BL24" s="195"/>
      <c r="BM24" s="195"/>
      <c r="BN24" s="195"/>
      <c r="BO24" s="195"/>
      <c r="BP24" s="195"/>
      <c r="BQ24" s="195"/>
      <c r="BR24" s="195"/>
      <c r="BS24" s="195"/>
      <c r="BT24" s="195"/>
      <c r="BU24" s="195"/>
      <c r="BV24" s="195"/>
      <c r="BW24" s="195"/>
      <c r="BX24" s="195"/>
      <c r="BY24" s="195"/>
      <c r="BZ24" s="195"/>
      <c r="CA24" s="195"/>
      <c r="CB24" s="195"/>
      <c r="CC24" s="195"/>
      <c r="CD24" s="195"/>
      <c r="CE24" s="195"/>
      <c r="CF24" s="195"/>
      <c r="CG24" s="195"/>
      <c r="CH24" s="195"/>
      <c r="CI24" s="195"/>
      <c r="CJ24" s="195"/>
      <c r="CK24" s="195"/>
      <c r="CL24" s="195"/>
      <c r="CM24" s="195"/>
      <c r="CN24" s="195"/>
      <c r="CO24" s="195"/>
      <c r="CP24" s="195"/>
      <c r="CQ24" s="195"/>
      <c r="CR24" s="195"/>
      <c r="CS24" s="195"/>
      <c r="CT24" s="195"/>
      <c r="CU24" s="195"/>
      <c r="CV24" s="195"/>
      <c r="CW24" s="195"/>
      <c r="CX24" s="195"/>
      <c r="CY24" s="195"/>
      <c r="CZ24" s="195"/>
      <c r="DA24" s="195"/>
      <c r="DB24" s="195"/>
      <c r="DC24" s="195"/>
      <c r="DD24" s="195"/>
      <c r="DE24" s="195"/>
      <c r="DF24" s="195"/>
      <c r="DG24" s="195"/>
      <c r="DH24" s="195"/>
      <c r="DI24" s="195"/>
      <c r="DJ24" s="195"/>
      <c r="DK24" s="195"/>
      <c r="DL24" s="195"/>
      <c r="DM24" s="195"/>
      <c r="DN24" s="195"/>
      <c r="DO24" s="195"/>
      <c r="DP24" s="195"/>
      <c r="DQ24" s="195"/>
      <c r="DR24" s="195"/>
      <c r="DS24" s="195"/>
      <c r="DT24" s="195"/>
      <c r="DU24" s="195"/>
      <c r="DV24" s="195"/>
      <c r="DW24" s="195"/>
      <c r="DX24" s="195"/>
      <c r="DY24" s="195"/>
      <c r="DZ24" s="195"/>
      <c r="EA24" s="195"/>
      <c r="EB24" s="195"/>
      <c r="EC24" s="195"/>
      <c r="ED24" s="195"/>
      <c r="EE24" s="195"/>
      <c r="EF24" s="195"/>
      <c r="EG24" s="195"/>
      <c r="EH24" s="195"/>
      <c r="EI24" s="195"/>
      <c r="EJ24" s="195"/>
      <c r="EK24" s="195"/>
      <c r="EL24" s="195"/>
      <c r="EM24" s="195"/>
      <c r="EN24" s="195"/>
      <c r="EO24" s="195"/>
      <c r="EP24" s="195"/>
      <c r="EQ24" s="195"/>
      <c r="ER24" s="195"/>
      <c r="ES24" s="195"/>
      <c r="ET24" s="195"/>
      <c r="EU24" s="195"/>
      <c r="EV24" s="195"/>
      <c r="EW24" s="195"/>
      <c r="EX24" s="195"/>
      <c r="EY24" s="195"/>
      <c r="EZ24" s="195"/>
      <c r="FA24" s="195"/>
      <c r="FB24" s="195"/>
      <c r="FC24" s="195"/>
      <c r="FD24" s="195"/>
      <c r="FE24" s="195"/>
      <c r="FF24" s="195"/>
      <c r="FG24" s="195"/>
      <c r="FH24" s="195"/>
      <c r="FI24" s="195"/>
      <c r="FJ24" s="195"/>
      <c r="FK24" s="195"/>
      <c r="FL24" s="195"/>
      <c r="FM24" s="195"/>
      <c r="FN24" s="195"/>
      <c r="FO24" s="195"/>
      <c r="FP24" s="195"/>
      <c r="FQ24" s="195"/>
      <c r="FR24" s="195"/>
      <c r="FS24" s="195"/>
      <c r="FT24" s="195"/>
      <c r="FU24" s="195"/>
      <c r="FV24" s="195"/>
      <c r="FW24" s="195"/>
      <c r="FX24" s="195"/>
      <c r="FY24" s="195"/>
      <c r="FZ24" s="195"/>
      <c r="GA24" s="195"/>
      <c r="GB24" s="195"/>
      <c r="GC24" s="195"/>
      <c r="GD24" s="195"/>
      <c r="GE24" s="195"/>
      <c r="GF24" s="195"/>
      <c r="GG24" s="195"/>
      <c r="GH24" s="195"/>
      <c r="GI24" s="195"/>
    </row>
    <row r="25" spans="1:191" ht="15" customHeight="1">
      <c r="A25" s="187"/>
      <c r="B25" s="196">
        <v>23</v>
      </c>
      <c r="C25" s="197" t="s">
        <v>997</v>
      </c>
      <c r="D25" s="205" t="s">
        <v>998</v>
      </c>
      <c r="E25" s="198" t="s">
        <v>999</v>
      </c>
      <c r="F25" s="205"/>
      <c r="G25" s="199" t="s">
        <v>996</v>
      </c>
      <c r="H25" s="199"/>
      <c r="I25" s="196" t="s">
        <v>951</v>
      </c>
      <c r="J25" s="199"/>
      <c r="K25" s="196">
        <v>1</v>
      </c>
      <c r="L25" s="196"/>
      <c r="M25" s="196"/>
      <c r="N25" s="196"/>
      <c r="O25" s="201"/>
      <c r="P25" s="202"/>
      <c r="Q25" s="202" t="s">
        <v>976</v>
      </c>
      <c r="R25" s="201"/>
      <c r="S25" s="201"/>
      <c r="T25" s="203">
        <v>106201</v>
      </c>
      <c r="U25" s="204">
        <v>32611.958763494593</v>
      </c>
      <c r="V25" s="188" t="s">
        <v>953</v>
      </c>
      <c r="W25" s="186">
        <v>32611.958763494593</v>
      </c>
      <c r="X25" s="186">
        <v>0</v>
      </c>
      <c r="Y25" s="186">
        <v>0</v>
      </c>
      <c r="Z25" s="192">
        <v>0</v>
      </c>
      <c r="AA25" s="192">
        <f t="shared" si="5"/>
        <v>32611.958763494593</v>
      </c>
      <c r="AB25" s="195"/>
      <c r="AC25" s="195"/>
      <c r="AD25" s="195"/>
      <c r="AE25" s="195"/>
      <c r="AF25" s="195"/>
      <c r="AG25" s="195"/>
      <c r="AH25" s="189" t="str">
        <f t="shared" si="3"/>
        <v/>
      </c>
      <c r="AI25" s="189" t="str">
        <f t="shared" si="3"/>
        <v/>
      </c>
      <c r="AJ25" s="189" t="str">
        <f t="shared" si="3"/>
        <v/>
      </c>
      <c r="AK25" s="189" t="str">
        <f t="shared" si="4"/>
        <v/>
      </c>
      <c r="AL25" s="195"/>
      <c r="AM25" s="195"/>
      <c r="AN25" s="195"/>
      <c r="AO25" s="195"/>
      <c r="AP25" s="195"/>
      <c r="AQ25" s="195"/>
      <c r="AR25" s="195"/>
      <c r="AS25" s="195"/>
      <c r="AT25" s="195"/>
      <c r="AU25" s="195"/>
      <c r="AV25" s="195"/>
      <c r="AW25" s="195"/>
      <c r="AX25" s="195"/>
      <c r="AY25" s="195"/>
      <c r="AZ25" s="195"/>
      <c r="BA25" s="195"/>
      <c r="BB25" s="195"/>
      <c r="BC25" s="195"/>
      <c r="BD25" s="195"/>
      <c r="BE25" s="195"/>
      <c r="BF25" s="195"/>
      <c r="BG25" s="195"/>
      <c r="BH25" s="195"/>
      <c r="BI25" s="195"/>
      <c r="BJ25" s="195"/>
      <c r="BK25" s="195"/>
      <c r="BL25" s="195"/>
      <c r="BM25" s="195"/>
      <c r="BN25" s="195"/>
      <c r="BO25" s="195"/>
      <c r="BP25" s="195"/>
      <c r="BQ25" s="195"/>
      <c r="BR25" s="195"/>
      <c r="BS25" s="195"/>
      <c r="BT25" s="195"/>
      <c r="BU25" s="195"/>
      <c r="BV25" s="195"/>
      <c r="BW25" s="195"/>
      <c r="BX25" s="195"/>
      <c r="BY25" s="195"/>
      <c r="BZ25" s="195"/>
      <c r="CA25" s="195"/>
      <c r="CB25" s="195"/>
      <c r="CC25" s="195"/>
      <c r="CD25" s="195"/>
      <c r="CE25" s="195"/>
      <c r="CF25" s="195"/>
      <c r="CG25" s="195"/>
      <c r="CH25" s="195"/>
      <c r="CI25" s="195"/>
      <c r="CJ25" s="195"/>
      <c r="CK25" s="195"/>
      <c r="CL25" s="195"/>
      <c r="CM25" s="195"/>
      <c r="CN25" s="195"/>
      <c r="CO25" s="195"/>
      <c r="CP25" s="195"/>
      <c r="CQ25" s="195"/>
      <c r="CR25" s="195"/>
      <c r="CS25" s="195"/>
      <c r="CT25" s="195"/>
      <c r="CU25" s="195"/>
      <c r="CV25" s="195"/>
      <c r="CW25" s="195"/>
      <c r="CX25" s="195"/>
      <c r="CY25" s="195"/>
      <c r="CZ25" s="195"/>
      <c r="DA25" s="195"/>
      <c r="DB25" s="195"/>
      <c r="DC25" s="195"/>
      <c r="DD25" s="195"/>
      <c r="DE25" s="195"/>
      <c r="DF25" s="195"/>
      <c r="DG25" s="195"/>
      <c r="DH25" s="195"/>
      <c r="DI25" s="195"/>
      <c r="DJ25" s="195"/>
      <c r="DK25" s="195"/>
      <c r="DL25" s="195"/>
      <c r="DM25" s="195"/>
      <c r="DN25" s="195"/>
      <c r="DO25" s="195"/>
      <c r="DP25" s="195"/>
      <c r="DQ25" s="195"/>
      <c r="DR25" s="195"/>
      <c r="DS25" s="195"/>
      <c r="DT25" s="195"/>
      <c r="DU25" s="195"/>
      <c r="DV25" s="195"/>
      <c r="DW25" s="195"/>
      <c r="DX25" s="195"/>
      <c r="DY25" s="195"/>
      <c r="DZ25" s="195"/>
      <c r="EA25" s="195"/>
      <c r="EB25" s="195"/>
      <c r="EC25" s="195"/>
      <c r="ED25" s="195"/>
      <c r="EE25" s="195"/>
      <c r="EF25" s="195"/>
      <c r="EG25" s="195"/>
      <c r="EH25" s="195"/>
      <c r="EI25" s="195"/>
      <c r="EJ25" s="195"/>
      <c r="EK25" s="195"/>
      <c r="EL25" s="195"/>
      <c r="EM25" s="195"/>
      <c r="EN25" s="195"/>
      <c r="EO25" s="195"/>
      <c r="EP25" s="195"/>
      <c r="EQ25" s="195"/>
      <c r="ER25" s="195"/>
      <c r="ES25" s="195"/>
      <c r="ET25" s="195"/>
      <c r="EU25" s="195"/>
      <c r="EV25" s="195"/>
      <c r="EW25" s="195"/>
      <c r="EX25" s="195"/>
      <c r="EY25" s="195"/>
      <c r="EZ25" s="195"/>
      <c r="FA25" s="195"/>
      <c r="FB25" s="195"/>
      <c r="FC25" s="195"/>
      <c r="FD25" s="195"/>
      <c r="FE25" s="195"/>
      <c r="FF25" s="195"/>
      <c r="FG25" s="195"/>
      <c r="FH25" s="195"/>
      <c r="FI25" s="195"/>
      <c r="FJ25" s="195"/>
      <c r="FK25" s="195"/>
      <c r="FL25" s="195"/>
      <c r="FM25" s="195"/>
      <c r="FN25" s="195"/>
      <c r="FO25" s="195"/>
      <c r="FP25" s="195"/>
      <c r="FQ25" s="195"/>
      <c r="FR25" s="195"/>
      <c r="FS25" s="195"/>
      <c r="FT25" s="195"/>
      <c r="FU25" s="195"/>
      <c r="FV25" s="195"/>
      <c r="FW25" s="195"/>
      <c r="FX25" s="195"/>
      <c r="FY25" s="195"/>
      <c r="FZ25" s="195"/>
      <c r="GA25" s="195"/>
      <c r="GB25" s="195"/>
      <c r="GC25" s="195"/>
      <c r="GD25" s="195"/>
      <c r="GE25" s="195"/>
      <c r="GF25" s="195"/>
      <c r="GG25" s="195"/>
      <c r="GH25" s="195"/>
      <c r="GI25" s="195"/>
    </row>
    <row r="26" spans="1:191" ht="15" customHeight="1">
      <c r="A26" s="187"/>
      <c r="B26" s="196">
        <v>23</v>
      </c>
      <c r="C26" s="197" t="s">
        <v>997</v>
      </c>
      <c r="D26" s="205" t="s">
        <v>998</v>
      </c>
      <c r="E26" s="198" t="s">
        <v>999</v>
      </c>
      <c r="F26" s="205"/>
      <c r="G26" s="199"/>
      <c r="H26" s="199"/>
      <c r="I26" s="196"/>
      <c r="J26" s="199"/>
      <c r="K26" s="196"/>
      <c r="L26" s="196">
        <v>1</v>
      </c>
      <c r="M26" s="196"/>
      <c r="N26" s="196"/>
      <c r="O26" s="201"/>
      <c r="P26" s="202"/>
      <c r="Q26" s="202"/>
      <c r="R26" s="201"/>
      <c r="S26" s="201"/>
      <c r="T26" s="203">
        <v>106202</v>
      </c>
      <c r="U26" s="204">
        <v>31358.069759761813</v>
      </c>
      <c r="V26" s="188"/>
      <c r="W26" s="186">
        <v>0</v>
      </c>
      <c r="X26" s="186">
        <v>31358.069759761813</v>
      </c>
      <c r="Y26" s="186">
        <v>0</v>
      </c>
      <c r="Z26" s="192">
        <v>0</v>
      </c>
      <c r="AA26" s="192">
        <f t="shared" si="5"/>
        <v>31358.069759761813</v>
      </c>
      <c r="AB26" s="195"/>
      <c r="AC26" s="195"/>
      <c r="AD26" s="195"/>
      <c r="AE26" s="195"/>
      <c r="AF26" s="195"/>
      <c r="AG26" s="195"/>
      <c r="AH26" s="189" t="str">
        <f t="shared" si="3"/>
        <v/>
      </c>
      <c r="AI26" s="189" t="str">
        <f t="shared" si="3"/>
        <v/>
      </c>
      <c r="AJ26" s="189" t="str">
        <f t="shared" si="3"/>
        <v/>
      </c>
      <c r="AK26" s="189" t="str">
        <f t="shared" si="4"/>
        <v/>
      </c>
      <c r="AL26" s="195"/>
      <c r="AM26" s="195"/>
      <c r="AN26" s="195"/>
      <c r="AO26" s="195"/>
      <c r="AP26" s="195"/>
      <c r="AQ26" s="195"/>
      <c r="AR26" s="195"/>
      <c r="AS26" s="195"/>
      <c r="AT26" s="195"/>
      <c r="AU26" s="195"/>
      <c r="AV26" s="195"/>
      <c r="AW26" s="195"/>
      <c r="AX26" s="195"/>
      <c r="AY26" s="195"/>
      <c r="AZ26" s="195"/>
      <c r="BA26" s="195"/>
      <c r="BB26" s="195"/>
      <c r="BC26" s="195"/>
      <c r="BD26" s="195"/>
      <c r="BE26" s="195"/>
      <c r="BF26" s="195"/>
      <c r="BG26" s="195"/>
      <c r="BH26" s="195"/>
      <c r="BI26" s="195"/>
      <c r="BJ26" s="195"/>
      <c r="BK26" s="195"/>
      <c r="BL26" s="195"/>
      <c r="BM26" s="195"/>
      <c r="BN26" s="195"/>
      <c r="BO26" s="195"/>
      <c r="BP26" s="195"/>
      <c r="BQ26" s="195"/>
      <c r="BR26" s="195"/>
      <c r="BS26" s="195"/>
      <c r="BT26" s="195"/>
      <c r="BU26" s="195"/>
      <c r="BV26" s="195"/>
      <c r="BW26" s="195"/>
      <c r="BX26" s="195"/>
      <c r="BY26" s="195"/>
      <c r="BZ26" s="195"/>
      <c r="CA26" s="195"/>
      <c r="CB26" s="195"/>
      <c r="CC26" s="195"/>
      <c r="CD26" s="195"/>
      <c r="CE26" s="195"/>
      <c r="CF26" s="195"/>
      <c r="CG26" s="195"/>
      <c r="CH26" s="195"/>
      <c r="CI26" s="195"/>
      <c r="CJ26" s="195"/>
      <c r="CK26" s="195"/>
      <c r="CL26" s="195"/>
      <c r="CM26" s="195"/>
      <c r="CN26" s="195"/>
      <c r="CO26" s="195"/>
      <c r="CP26" s="195"/>
      <c r="CQ26" s="195"/>
      <c r="CR26" s="195"/>
      <c r="CS26" s="195"/>
      <c r="CT26" s="195"/>
      <c r="CU26" s="195"/>
      <c r="CV26" s="195"/>
      <c r="CW26" s="195"/>
      <c r="CX26" s="195"/>
      <c r="CY26" s="195"/>
      <c r="CZ26" s="195"/>
      <c r="DA26" s="195"/>
      <c r="DB26" s="195"/>
      <c r="DC26" s="195"/>
      <c r="DD26" s="195"/>
      <c r="DE26" s="195"/>
      <c r="DF26" s="195"/>
      <c r="DG26" s="195"/>
      <c r="DH26" s="195"/>
      <c r="DI26" s="195"/>
      <c r="DJ26" s="195"/>
      <c r="DK26" s="195"/>
      <c r="DL26" s="195"/>
      <c r="DM26" s="195"/>
      <c r="DN26" s="195"/>
      <c r="DO26" s="195"/>
      <c r="DP26" s="195"/>
      <c r="DQ26" s="195"/>
      <c r="DR26" s="195"/>
      <c r="DS26" s="195"/>
      <c r="DT26" s="195"/>
      <c r="DU26" s="195"/>
      <c r="DV26" s="195"/>
      <c r="DW26" s="195"/>
      <c r="DX26" s="195"/>
      <c r="DY26" s="195"/>
      <c r="DZ26" s="195"/>
      <c r="EA26" s="195"/>
      <c r="EB26" s="195"/>
      <c r="EC26" s="195"/>
      <c r="ED26" s="195"/>
      <c r="EE26" s="195"/>
      <c r="EF26" s="195"/>
      <c r="EG26" s="195"/>
      <c r="EH26" s="195"/>
      <c r="EI26" s="195"/>
      <c r="EJ26" s="195"/>
      <c r="EK26" s="195"/>
      <c r="EL26" s="195"/>
      <c r="EM26" s="195"/>
      <c r="EN26" s="195"/>
      <c r="EO26" s="195"/>
      <c r="EP26" s="195"/>
      <c r="EQ26" s="195"/>
      <c r="ER26" s="195"/>
      <c r="ES26" s="195"/>
      <c r="ET26" s="195"/>
      <c r="EU26" s="195"/>
      <c r="EV26" s="195"/>
      <c r="EW26" s="195"/>
      <c r="EX26" s="195"/>
      <c r="EY26" s="195"/>
      <c r="EZ26" s="195"/>
      <c r="FA26" s="195"/>
      <c r="FB26" s="195"/>
      <c r="FC26" s="195"/>
      <c r="FD26" s="195"/>
      <c r="FE26" s="195"/>
      <c r="FF26" s="195"/>
      <c r="FG26" s="195"/>
      <c r="FH26" s="195"/>
      <c r="FI26" s="195"/>
      <c r="FJ26" s="195"/>
      <c r="FK26" s="195"/>
      <c r="FL26" s="195"/>
      <c r="FM26" s="195"/>
      <c r="FN26" s="195"/>
      <c r="FO26" s="195"/>
      <c r="FP26" s="195"/>
      <c r="FQ26" s="195"/>
      <c r="FR26" s="195"/>
      <c r="FS26" s="195"/>
      <c r="FT26" s="195"/>
      <c r="FU26" s="195"/>
      <c r="FV26" s="195"/>
      <c r="FW26" s="195"/>
      <c r="FX26" s="195"/>
      <c r="FY26" s="195"/>
      <c r="FZ26" s="195"/>
      <c r="GA26" s="195"/>
      <c r="GB26" s="195"/>
      <c r="GC26" s="195"/>
      <c r="GD26" s="195"/>
      <c r="GE26" s="195"/>
      <c r="GF26" s="195"/>
      <c r="GG26" s="195"/>
      <c r="GH26" s="195"/>
      <c r="GI26" s="195"/>
    </row>
    <row r="27" spans="1:191" ht="15" customHeight="1">
      <c r="A27" s="187"/>
      <c r="B27" s="196">
        <v>23</v>
      </c>
      <c r="C27" s="197" t="s">
        <v>997</v>
      </c>
      <c r="D27" s="205" t="s">
        <v>998</v>
      </c>
      <c r="E27" s="198" t="s">
        <v>999</v>
      </c>
      <c r="F27" s="205"/>
      <c r="G27" s="199"/>
      <c r="H27" s="199"/>
      <c r="I27" s="196"/>
      <c r="J27" s="199"/>
      <c r="K27" s="196"/>
      <c r="L27" s="196"/>
      <c r="M27" s="196">
        <v>1</v>
      </c>
      <c r="N27" s="196"/>
      <c r="O27" s="201"/>
      <c r="P27" s="202"/>
      <c r="Q27" s="202"/>
      <c r="R27" s="201"/>
      <c r="S27" s="201"/>
      <c r="T27" s="203">
        <v>106203</v>
      </c>
      <c r="U27" s="204">
        <v>31358.682428560369</v>
      </c>
      <c r="V27" s="188"/>
      <c r="W27" s="186">
        <v>0</v>
      </c>
      <c r="X27" s="186">
        <v>0</v>
      </c>
      <c r="Y27" s="186">
        <v>31358.682428560369</v>
      </c>
      <c r="Z27" s="192">
        <v>0</v>
      </c>
      <c r="AA27" s="192">
        <f t="shared" si="5"/>
        <v>31358.682428560369</v>
      </c>
      <c r="AB27" s="195"/>
      <c r="AC27" s="195"/>
      <c r="AD27" s="195"/>
      <c r="AE27" s="195"/>
      <c r="AF27" s="195"/>
      <c r="AG27" s="195"/>
      <c r="AH27" s="189" t="str">
        <f t="shared" si="3"/>
        <v/>
      </c>
      <c r="AI27" s="189" t="str">
        <f t="shared" si="3"/>
        <v/>
      </c>
      <c r="AJ27" s="189" t="str">
        <f t="shared" si="3"/>
        <v/>
      </c>
      <c r="AK27" s="189" t="str">
        <f t="shared" si="4"/>
        <v/>
      </c>
      <c r="AL27" s="195"/>
      <c r="AM27" s="195"/>
      <c r="AN27" s="195"/>
      <c r="AO27" s="195"/>
      <c r="AP27" s="195"/>
      <c r="AQ27" s="195"/>
      <c r="AR27" s="195"/>
      <c r="AS27" s="195"/>
      <c r="AT27" s="195"/>
      <c r="AU27" s="195"/>
      <c r="AV27" s="195"/>
      <c r="AW27" s="195"/>
      <c r="AX27" s="195"/>
      <c r="AY27" s="195"/>
      <c r="AZ27" s="195"/>
      <c r="BA27" s="195"/>
      <c r="BB27" s="195"/>
      <c r="BC27" s="195"/>
      <c r="BD27" s="195"/>
      <c r="BE27" s="195"/>
      <c r="BF27" s="195"/>
      <c r="BG27" s="195"/>
      <c r="BH27" s="195"/>
      <c r="BI27" s="195"/>
      <c r="BJ27" s="195"/>
      <c r="BK27" s="195"/>
      <c r="BL27" s="195"/>
      <c r="BM27" s="195"/>
      <c r="BN27" s="195"/>
      <c r="BO27" s="195"/>
      <c r="BP27" s="195"/>
      <c r="BQ27" s="195"/>
      <c r="BR27" s="195"/>
      <c r="BS27" s="195"/>
      <c r="BT27" s="195"/>
      <c r="BU27" s="195"/>
      <c r="BV27" s="195"/>
      <c r="BW27" s="195"/>
      <c r="BX27" s="195"/>
      <c r="BY27" s="195"/>
      <c r="BZ27" s="195"/>
      <c r="CA27" s="195"/>
      <c r="CB27" s="195"/>
      <c r="CC27" s="195"/>
      <c r="CD27" s="195"/>
      <c r="CE27" s="195"/>
      <c r="CF27" s="195"/>
      <c r="CG27" s="195"/>
      <c r="CH27" s="195"/>
      <c r="CI27" s="195"/>
      <c r="CJ27" s="195"/>
      <c r="CK27" s="195"/>
      <c r="CL27" s="195"/>
      <c r="CM27" s="195"/>
      <c r="CN27" s="195"/>
      <c r="CO27" s="195"/>
      <c r="CP27" s="195"/>
      <c r="CQ27" s="195"/>
      <c r="CR27" s="195"/>
      <c r="CS27" s="195"/>
      <c r="CT27" s="195"/>
      <c r="CU27" s="195"/>
      <c r="CV27" s="195"/>
      <c r="CW27" s="195"/>
      <c r="CX27" s="195"/>
      <c r="CY27" s="195"/>
      <c r="CZ27" s="195"/>
      <c r="DA27" s="195"/>
      <c r="DB27" s="195"/>
      <c r="DC27" s="195"/>
      <c r="DD27" s="195"/>
      <c r="DE27" s="195"/>
      <c r="DF27" s="195"/>
      <c r="DG27" s="195"/>
      <c r="DH27" s="195"/>
      <c r="DI27" s="195"/>
      <c r="DJ27" s="195"/>
      <c r="DK27" s="195"/>
      <c r="DL27" s="195"/>
      <c r="DM27" s="195"/>
      <c r="DN27" s="195"/>
      <c r="DO27" s="195"/>
      <c r="DP27" s="195"/>
      <c r="DQ27" s="195"/>
      <c r="DR27" s="195"/>
      <c r="DS27" s="195"/>
      <c r="DT27" s="195"/>
      <c r="DU27" s="195"/>
      <c r="DV27" s="195"/>
      <c r="DW27" s="195"/>
      <c r="DX27" s="195"/>
      <c r="DY27" s="195"/>
      <c r="DZ27" s="195"/>
      <c r="EA27" s="195"/>
      <c r="EB27" s="195"/>
      <c r="EC27" s="195"/>
      <c r="ED27" s="195"/>
      <c r="EE27" s="195"/>
      <c r="EF27" s="195"/>
      <c r="EG27" s="195"/>
      <c r="EH27" s="195"/>
      <c r="EI27" s="195"/>
      <c r="EJ27" s="195"/>
      <c r="EK27" s="195"/>
      <c r="EL27" s="195"/>
      <c r="EM27" s="195"/>
      <c r="EN27" s="195"/>
      <c r="EO27" s="195"/>
      <c r="EP27" s="195"/>
      <c r="EQ27" s="195"/>
      <c r="ER27" s="195"/>
      <c r="ES27" s="195"/>
      <c r="ET27" s="195"/>
      <c r="EU27" s="195"/>
      <c r="EV27" s="195"/>
      <c r="EW27" s="195"/>
      <c r="EX27" s="195"/>
      <c r="EY27" s="195"/>
      <c r="EZ27" s="195"/>
      <c r="FA27" s="195"/>
      <c r="FB27" s="195"/>
      <c r="FC27" s="195"/>
      <c r="FD27" s="195"/>
      <c r="FE27" s="195"/>
      <c r="FF27" s="195"/>
      <c r="FG27" s="195"/>
      <c r="FH27" s="195"/>
      <c r="FI27" s="195"/>
      <c r="FJ27" s="195"/>
      <c r="FK27" s="195"/>
      <c r="FL27" s="195"/>
      <c r="FM27" s="195"/>
      <c r="FN27" s="195"/>
      <c r="FO27" s="195"/>
      <c r="FP27" s="195"/>
      <c r="FQ27" s="195"/>
      <c r="FR27" s="195"/>
      <c r="FS27" s="195"/>
      <c r="FT27" s="195"/>
      <c r="FU27" s="195"/>
      <c r="FV27" s="195"/>
      <c r="FW27" s="195"/>
      <c r="FX27" s="195"/>
      <c r="FY27" s="195"/>
      <c r="FZ27" s="195"/>
      <c r="GA27" s="195"/>
      <c r="GB27" s="195"/>
      <c r="GC27" s="195"/>
      <c r="GD27" s="195"/>
      <c r="GE27" s="195"/>
      <c r="GF27" s="195"/>
      <c r="GG27" s="195"/>
      <c r="GH27" s="195"/>
      <c r="GI27" s="195"/>
    </row>
    <row r="28" spans="1:191" ht="15" customHeight="1">
      <c r="A28" s="187"/>
      <c r="B28" s="196">
        <v>23</v>
      </c>
      <c r="C28" s="197" t="s">
        <v>997</v>
      </c>
      <c r="D28" s="205" t="s">
        <v>998</v>
      </c>
      <c r="E28" s="198" t="s">
        <v>1000</v>
      </c>
      <c r="F28" s="205"/>
      <c r="G28" s="199"/>
      <c r="H28" s="199"/>
      <c r="I28" s="196"/>
      <c r="J28" s="199"/>
      <c r="K28" s="196">
        <v>1</v>
      </c>
      <c r="L28" s="196"/>
      <c r="M28" s="196"/>
      <c r="N28" s="196"/>
      <c r="O28" s="201"/>
      <c r="P28" s="202"/>
      <c r="Q28" s="202"/>
      <c r="R28" s="201"/>
      <c r="S28" s="201"/>
      <c r="T28" s="203">
        <v>106201</v>
      </c>
      <c r="U28" s="204">
        <v>32611.958763494593</v>
      </c>
      <c r="V28" s="188"/>
      <c r="W28" s="186">
        <v>32611.958763494593</v>
      </c>
      <c r="X28" s="186">
        <v>0</v>
      </c>
      <c r="Y28" s="186">
        <v>0</v>
      </c>
      <c r="Z28" s="192">
        <v>0</v>
      </c>
      <c r="AA28" s="192">
        <f t="shared" si="5"/>
        <v>32611.958763494593</v>
      </c>
      <c r="AB28" s="195"/>
      <c r="AC28" s="195"/>
      <c r="AD28" s="195"/>
      <c r="AE28" s="195"/>
      <c r="AF28" s="195"/>
      <c r="AG28" s="195"/>
      <c r="AH28" s="189" t="str">
        <f t="shared" si="3"/>
        <v/>
      </c>
      <c r="AI28" s="189" t="str">
        <f t="shared" si="3"/>
        <v/>
      </c>
      <c r="AJ28" s="189" t="str">
        <f t="shared" si="3"/>
        <v/>
      </c>
      <c r="AK28" s="189" t="str">
        <f t="shared" si="4"/>
        <v/>
      </c>
      <c r="AL28" s="195"/>
      <c r="AM28" s="195"/>
      <c r="AN28" s="195"/>
      <c r="AO28" s="195"/>
      <c r="AP28" s="195"/>
      <c r="AQ28" s="195"/>
      <c r="AR28" s="195"/>
      <c r="AS28" s="195"/>
      <c r="AT28" s="195"/>
      <c r="AU28" s="195"/>
      <c r="AV28" s="195"/>
      <c r="AW28" s="195"/>
      <c r="AX28" s="195"/>
      <c r="AY28" s="195"/>
      <c r="AZ28" s="195"/>
      <c r="BA28" s="195"/>
      <c r="BB28" s="195"/>
      <c r="BC28" s="195"/>
      <c r="BD28" s="195"/>
      <c r="BE28" s="195"/>
      <c r="BF28" s="195"/>
      <c r="BG28" s="195"/>
      <c r="BH28" s="195"/>
      <c r="BI28" s="195"/>
      <c r="BJ28" s="195"/>
      <c r="BK28" s="195"/>
      <c r="BL28" s="195"/>
      <c r="BM28" s="195"/>
      <c r="BN28" s="195"/>
      <c r="BO28" s="195"/>
      <c r="BP28" s="195"/>
      <c r="BQ28" s="195"/>
      <c r="BR28" s="195"/>
      <c r="BS28" s="195"/>
      <c r="BT28" s="195"/>
      <c r="BU28" s="195"/>
      <c r="BV28" s="195"/>
      <c r="BW28" s="195"/>
      <c r="BX28" s="195"/>
      <c r="BY28" s="195"/>
      <c r="BZ28" s="195"/>
      <c r="CA28" s="195"/>
      <c r="CB28" s="195"/>
      <c r="CC28" s="195"/>
      <c r="CD28" s="195"/>
      <c r="CE28" s="195"/>
      <c r="CF28" s="195"/>
      <c r="CG28" s="195"/>
      <c r="CH28" s="195"/>
      <c r="CI28" s="195"/>
      <c r="CJ28" s="195"/>
      <c r="CK28" s="195"/>
      <c r="CL28" s="195"/>
      <c r="CM28" s="195"/>
      <c r="CN28" s="195"/>
      <c r="CO28" s="195"/>
      <c r="CP28" s="195"/>
      <c r="CQ28" s="195"/>
      <c r="CR28" s="195"/>
      <c r="CS28" s="195"/>
      <c r="CT28" s="195"/>
      <c r="CU28" s="195"/>
      <c r="CV28" s="195"/>
      <c r="CW28" s="195"/>
      <c r="CX28" s="195"/>
      <c r="CY28" s="195"/>
      <c r="CZ28" s="195"/>
      <c r="DA28" s="195"/>
      <c r="DB28" s="195"/>
      <c r="DC28" s="195"/>
      <c r="DD28" s="195"/>
      <c r="DE28" s="195"/>
      <c r="DF28" s="195"/>
      <c r="DG28" s="195"/>
      <c r="DH28" s="195"/>
      <c r="DI28" s="195"/>
      <c r="DJ28" s="195"/>
      <c r="DK28" s="195"/>
      <c r="DL28" s="195"/>
      <c r="DM28" s="195"/>
      <c r="DN28" s="195"/>
      <c r="DO28" s="195"/>
      <c r="DP28" s="195"/>
      <c r="DQ28" s="195"/>
      <c r="DR28" s="195"/>
      <c r="DS28" s="195"/>
      <c r="DT28" s="195"/>
      <c r="DU28" s="195"/>
      <c r="DV28" s="195"/>
      <c r="DW28" s="195"/>
      <c r="DX28" s="195"/>
      <c r="DY28" s="195"/>
      <c r="DZ28" s="195"/>
      <c r="EA28" s="195"/>
      <c r="EB28" s="195"/>
      <c r="EC28" s="195"/>
      <c r="ED28" s="195"/>
      <c r="EE28" s="195"/>
      <c r="EF28" s="195"/>
      <c r="EG28" s="195"/>
      <c r="EH28" s="195"/>
      <c r="EI28" s="195"/>
      <c r="EJ28" s="195"/>
      <c r="EK28" s="195"/>
      <c r="EL28" s="195"/>
      <c r="EM28" s="195"/>
      <c r="EN28" s="195"/>
      <c r="EO28" s="195"/>
      <c r="EP28" s="195"/>
      <c r="EQ28" s="195"/>
      <c r="ER28" s="195"/>
      <c r="ES28" s="195"/>
      <c r="ET28" s="195"/>
      <c r="EU28" s="195"/>
      <c r="EV28" s="195"/>
      <c r="EW28" s="195"/>
      <c r="EX28" s="195"/>
      <c r="EY28" s="195"/>
      <c r="EZ28" s="195"/>
      <c r="FA28" s="195"/>
      <c r="FB28" s="195"/>
      <c r="FC28" s="195"/>
      <c r="FD28" s="195"/>
      <c r="FE28" s="195"/>
      <c r="FF28" s="195"/>
      <c r="FG28" s="195"/>
      <c r="FH28" s="195"/>
      <c r="FI28" s="195"/>
      <c r="FJ28" s="195"/>
      <c r="FK28" s="195"/>
      <c r="FL28" s="195"/>
      <c r="FM28" s="195"/>
      <c r="FN28" s="195"/>
      <c r="FO28" s="195"/>
      <c r="FP28" s="195"/>
      <c r="FQ28" s="195"/>
      <c r="FR28" s="195"/>
      <c r="FS28" s="195"/>
      <c r="FT28" s="195"/>
      <c r="FU28" s="195"/>
      <c r="FV28" s="195"/>
      <c r="FW28" s="195"/>
      <c r="FX28" s="195"/>
      <c r="FY28" s="195"/>
      <c r="FZ28" s="195"/>
      <c r="GA28" s="195"/>
      <c r="GB28" s="195"/>
      <c r="GC28" s="195"/>
      <c r="GD28" s="195"/>
      <c r="GE28" s="195"/>
      <c r="GF28" s="195"/>
      <c r="GG28" s="195"/>
      <c r="GH28" s="195"/>
      <c r="GI28" s="195"/>
    </row>
    <row r="29" spans="1:191" ht="15" customHeight="1">
      <c r="A29" s="187"/>
      <c r="B29" s="196">
        <v>23</v>
      </c>
      <c r="C29" s="197" t="s">
        <v>997</v>
      </c>
      <c r="D29" s="205" t="s">
        <v>998</v>
      </c>
      <c r="E29" s="198" t="s">
        <v>1000</v>
      </c>
      <c r="F29" s="205"/>
      <c r="G29" s="199"/>
      <c r="H29" s="199"/>
      <c r="I29" s="196"/>
      <c r="J29" s="199"/>
      <c r="K29" s="196"/>
      <c r="L29" s="196">
        <v>1</v>
      </c>
      <c r="M29" s="196"/>
      <c r="N29" s="196"/>
      <c r="O29" s="201"/>
      <c r="P29" s="202"/>
      <c r="Q29" s="202"/>
      <c r="R29" s="201"/>
      <c r="S29" s="201"/>
      <c r="T29" s="203">
        <v>106202</v>
      </c>
      <c r="U29" s="204">
        <v>31358.069759761813</v>
      </c>
      <c r="V29" s="188"/>
      <c r="W29" s="186">
        <v>0</v>
      </c>
      <c r="X29" s="186">
        <v>31358.069759761813</v>
      </c>
      <c r="Y29" s="186">
        <v>0</v>
      </c>
      <c r="Z29" s="192">
        <v>0</v>
      </c>
      <c r="AA29" s="192">
        <f t="shared" si="5"/>
        <v>31358.069759761813</v>
      </c>
      <c r="AB29" s="195"/>
      <c r="AC29" s="195"/>
      <c r="AD29" s="195"/>
      <c r="AE29" s="195"/>
      <c r="AF29" s="195"/>
      <c r="AG29" s="195"/>
      <c r="AH29" s="189" t="str">
        <f t="shared" si="3"/>
        <v/>
      </c>
      <c r="AI29" s="189" t="str">
        <f t="shared" si="3"/>
        <v/>
      </c>
      <c r="AJ29" s="189" t="str">
        <f t="shared" si="3"/>
        <v/>
      </c>
      <c r="AK29" s="189" t="str">
        <f t="shared" si="4"/>
        <v/>
      </c>
      <c r="AL29" s="195"/>
      <c r="AM29" s="195"/>
      <c r="AN29" s="195"/>
      <c r="AO29" s="195"/>
      <c r="AP29" s="195"/>
      <c r="AQ29" s="195"/>
      <c r="AR29" s="195"/>
      <c r="AS29" s="195"/>
      <c r="AT29" s="195"/>
      <c r="AU29" s="195"/>
      <c r="AV29" s="195"/>
      <c r="AW29" s="195"/>
      <c r="AX29" s="195"/>
      <c r="AY29" s="195"/>
      <c r="AZ29" s="195"/>
      <c r="BA29" s="195"/>
      <c r="BB29" s="195"/>
      <c r="BC29" s="195"/>
      <c r="BD29" s="195"/>
      <c r="BE29" s="195"/>
      <c r="BF29" s="195"/>
      <c r="BG29" s="195"/>
      <c r="BH29" s="195"/>
      <c r="BI29" s="195"/>
      <c r="BJ29" s="195"/>
      <c r="BK29" s="195"/>
      <c r="BL29" s="195"/>
      <c r="BM29" s="195"/>
      <c r="BN29" s="195"/>
      <c r="BO29" s="195"/>
      <c r="BP29" s="195"/>
      <c r="BQ29" s="195"/>
      <c r="BR29" s="195"/>
      <c r="BS29" s="195"/>
      <c r="BT29" s="195"/>
      <c r="BU29" s="195"/>
      <c r="BV29" s="195"/>
      <c r="BW29" s="195"/>
      <c r="BX29" s="195"/>
      <c r="BY29" s="195"/>
      <c r="BZ29" s="195"/>
      <c r="CA29" s="195"/>
      <c r="CB29" s="195"/>
      <c r="CC29" s="195"/>
      <c r="CD29" s="195"/>
      <c r="CE29" s="195"/>
      <c r="CF29" s="195"/>
      <c r="CG29" s="195"/>
      <c r="CH29" s="195"/>
      <c r="CI29" s="195"/>
      <c r="CJ29" s="195"/>
      <c r="CK29" s="195"/>
      <c r="CL29" s="195"/>
      <c r="CM29" s="195"/>
      <c r="CN29" s="195"/>
      <c r="CO29" s="195"/>
      <c r="CP29" s="195"/>
      <c r="CQ29" s="195"/>
      <c r="CR29" s="195"/>
      <c r="CS29" s="195"/>
      <c r="CT29" s="195"/>
      <c r="CU29" s="195"/>
      <c r="CV29" s="195"/>
      <c r="CW29" s="195"/>
      <c r="CX29" s="195"/>
      <c r="CY29" s="195"/>
      <c r="CZ29" s="195"/>
      <c r="DA29" s="195"/>
      <c r="DB29" s="195"/>
      <c r="DC29" s="195"/>
      <c r="DD29" s="195"/>
      <c r="DE29" s="195"/>
      <c r="DF29" s="195"/>
      <c r="DG29" s="195"/>
      <c r="DH29" s="195"/>
      <c r="DI29" s="195"/>
      <c r="DJ29" s="195"/>
      <c r="DK29" s="195"/>
      <c r="DL29" s="195"/>
      <c r="DM29" s="195"/>
      <c r="DN29" s="195"/>
      <c r="DO29" s="195"/>
      <c r="DP29" s="195"/>
      <c r="DQ29" s="195"/>
      <c r="DR29" s="195"/>
      <c r="DS29" s="195"/>
      <c r="DT29" s="195"/>
      <c r="DU29" s="195"/>
      <c r="DV29" s="195"/>
      <c r="DW29" s="195"/>
      <c r="DX29" s="195"/>
      <c r="DY29" s="195"/>
      <c r="DZ29" s="195"/>
      <c r="EA29" s="195"/>
      <c r="EB29" s="195"/>
      <c r="EC29" s="195"/>
      <c r="ED29" s="195"/>
      <c r="EE29" s="195"/>
      <c r="EF29" s="195"/>
      <c r="EG29" s="195"/>
      <c r="EH29" s="195"/>
      <c r="EI29" s="195"/>
      <c r="EJ29" s="195"/>
      <c r="EK29" s="195"/>
      <c r="EL29" s="195"/>
      <c r="EM29" s="195"/>
      <c r="EN29" s="195"/>
      <c r="EO29" s="195"/>
      <c r="EP29" s="195"/>
      <c r="EQ29" s="195"/>
      <c r="ER29" s="195"/>
      <c r="ES29" s="195"/>
      <c r="ET29" s="195"/>
      <c r="EU29" s="195"/>
      <c r="EV29" s="195"/>
      <c r="EW29" s="195"/>
      <c r="EX29" s="195"/>
      <c r="EY29" s="195"/>
      <c r="EZ29" s="195"/>
      <c r="FA29" s="195"/>
      <c r="FB29" s="195"/>
      <c r="FC29" s="195"/>
      <c r="FD29" s="195"/>
      <c r="FE29" s="195"/>
      <c r="FF29" s="195"/>
      <c r="FG29" s="195"/>
      <c r="FH29" s="195"/>
      <c r="FI29" s="195"/>
      <c r="FJ29" s="195"/>
      <c r="FK29" s="195"/>
      <c r="FL29" s="195"/>
      <c r="FM29" s="195"/>
      <c r="FN29" s="195"/>
      <c r="FO29" s="195"/>
      <c r="FP29" s="195"/>
      <c r="FQ29" s="195"/>
      <c r="FR29" s="195"/>
      <c r="FS29" s="195"/>
      <c r="FT29" s="195"/>
      <c r="FU29" s="195"/>
      <c r="FV29" s="195"/>
      <c r="FW29" s="195"/>
      <c r="FX29" s="195"/>
      <c r="FY29" s="195"/>
      <c r="FZ29" s="195"/>
      <c r="GA29" s="195"/>
      <c r="GB29" s="195"/>
      <c r="GC29" s="195"/>
      <c r="GD29" s="195"/>
      <c r="GE29" s="195"/>
      <c r="GF29" s="195"/>
      <c r="GG29" s="195"/>
      <c r="GH29" s="195"/>
      <c r="GI29" s="195"/>
    </row>
    <row r="30" spans="1:191" ht="15" customHeight="1">
      <c r="A30" s="187"/>
      <c r="B30" s="196">
        <v>23</v>
      </c>
      <c r="C30" s="197" t="s">
        <v>997</v>
      </c>
      <c r="D30" s="205" t="s">
        <v>998</v>
      </c>
      <c r="E30" s="198" t="s">
        <v>1000</v>
      </c>
      <c r="F30" s="205"/>
      <c r="G30" s="199"/>
      <c r="H30" s="199"/>
      <c r="I30" s="196"/>
      <c r="J30" s="199"/>
      <c r="K30" s="196"/>
      <c r="L30" s="196"/>
      <c r="M30" s="196">
        <v>1</v>
      </c>
      <c r="N30" s="196"/>
      <c r="O30" s="201"/>
      <c r="P30" s="202"/>
      <c r="Q30" s="202"/>
      <c r="R30" s="201"/>
      <c r="S30" s="201"/>
      <c r="T30" s="203">
        <v>106203</v>
      </c>
      <c r="U30" s="204">
        <v>31358.682428560369</v>
      </c>
      <c r="V30" s="188"/>
      <c r="W30" s="186">
        <v>0</v>
      </c>
      <c r="X30" s="186">
        <v>0</v>
      </c>
      <c r="Y30" s="186">
        <v>31358.682428560369</v>
      </c>
      <c r="Z30" s="192">
        <v>0</v>
      </c>
      <c r="AA30" s="192">
        <f t="shared" si="5"/>
        <v>31358.682428560369</v>
      </c>
      <c r="AB30" s="195"/>
      <c r="AC30" s="195"/>
      <c r="AD30" s="195"/>
      <c r="AE30" s="195"/>
      <c r="AF30" s="195"/>
      <c r="AG30" s="195"/>
      <c r="AH30" s="189" t="str">
        <f t="shared" si="3"/>
        <v/>
      </c>
      <c r="AI30" s="189" t="str">
        <f t="shared" si="3"/>
        <v/>
      </c>
      <c r="AJ30" s="189" t="str">
        <f t="shared" si="3"/>
        <v/>
      </c>
      <c r="AK30" s="189" t="str">
        <f t="shared" si="4"/>
        <v/>
      </c>
      <c r="AL30" s="195"/>
      <c r="AM30" s="195"/>
      <c r="AN30" s="195"/>
      <c r="AO30" s="195"/>
      <c r="AP30" s="195"/>
      <c r="AQ30" s="195"/>
      <c r="AR30" s="195"/>
      <c r="AS30" s="195"/>
      <c r="AT30" s="195"/>
      <c r="AU30" s="195"/>
      <c r="AV30" s="195"/>
      <c r="AW30" s="195"/>
      <c r="AX30" s="195"/>
      <c r="AY30" s="195"/>
      <c r="AZ30" s="195"/>
      <c r="BA30" s="195"/>
      <c r="BB30" s="195"/>
      <c r="BC30" s="195"/>
      <c r="BD30" s="195"/>
      <c r="BE30" s="195"/>
      <c r="BF30" s="195"/>
      <c r="BG30" s="195"/>
      <c r="BH30" s="195"/>
      <c r="BI30" s="195"/>
      <c r="BJ30" s="195"/>
      <c r="BK30" s="195"/>
      <c r="BL30" s="195"/>
      <c r="BM30" s="195"/>
      <c r="BN30" s="195"/>
      <c r="BO30" s="195"/>
      <c r="BP30" s="195"/>
      <c r="BQ30" s="195"/>
      <c r="BR30" s="195"/>
      <c r="BS30" s="195"/>
      <c r="BT30" s="195"/>
      <c r="BU30" s="195"/>
      <c r="BV30" s="195"/>
      <c r="BW30" s="195"/>
      <c r="BX30" s="195"/>
      <c r="BY30" s="195"/>
      <c r="BZ30" s="195"/>
      <c r="CA30" s="195"/>
      <c r="CB30" s="195"/>
      <c r="CC30" s="195"/>
      <c r="CD30" s="195"/>
      <c r="CE30" s="195"/>
      <c r="CF30" s="195"/>
      <c r="CG30" s="195"/>
      <c r="CH30" s="195"/>
      <c r="CI30" s="195"/>
      <c r="CJ30" s="195"/>
      <c r="CK30" s="195"/>
      <c r="CL30" s="195"/>
      <c r="CM30" s="195"/>
      <c r="CN30" s="195"/>
      <c r="CO30" s="195"/>
      <c r="CP30" s="195"/>
      <c r="CQ30" s="195"/>
      <c r="CR30" s="195"/>
      <c r="CS30" s="195"/>
      <c r="CT30" s="195"/>
      <c r="CU30" s="195"/>
      <c r="CV30" s="195"/>
      <c r="CW30" s="195"/>
      <c r="CX30" s="195"/>
      <c r="CY30" s="195"/>
      <c r="CZ30" s="195"/>
      <c r="DA30" s="195"/>
      <c r="DB30" s="195"/>
      <c r="DC30" s="195"/>
      <c r="DD30" s="195"/>
      <c r="DE30" s="195"/>
      <c r="DF30" s="195"/>
      <c r="DG30" s="195"/>
      <c r="DH30" s="195"/>
      <c r="DI30" s="195"/>
      <c r="DJ30" s="195"/>
      <c r="DK30" s="195"/>
      <c r="DL30" s="195"/>
      <c r="DM30" s="195"/>
      <c r="DN30" s="195"/>
      <c r="DO30" s="195"/>
      <c r="DP30" s="195"/>
      <c r="DQ30" s="195"/>
      <c r="DR30" s="195"/>
      <c r="DS30" s="195"/>
      <c r="DT30" s="195"/>
      <c r="DU30" s="195"/>
      <c r="DV30" s="195"/>
      <c r="DW30" s="195"/>
      <c r="DX30" s="195"/>
      <c r="DY30" s="195"/>
      <c r="DZ30" s="195"/>
      <c r="EA30" s="195"/>
      <c r="EB30" s="195"/>
      <c r="EC30" s="195"/>
      <c r="ED30" s="195"/>
      <c r="EE30" s="195"/>
      <c r="EF30" s="195"/>
      <c r="EG30" s="195"/>
      <c r="EH30" s="195"/>
      <c r="EI30" s="195"/>
      <c r="EJ30" s="195"/>
      <c r="EK30" s="195"/>
      <c r="EL30" s="195"/>
      <c r="EM30" s="195"/>
      <c r="EN30" s="195"/>
      <c r="EO30" s="195"/>
      <c r="EP30" s="195"/>
      <c r="EQ30" s="195"/>
      <c r="ER30" s="195"/>
      <c r="ES30" s="195"/>
      <c r="ET30" s="195"/>
      <c r="EU30" s="195"/>
      <c r="EV30" s="195"/>
      <c r="EW30" s="195"/>
      <c r="EX30" s="195"/>
      <c r="EY30" s="195"/>
      <c r="EZ30" s="195"/>
      <c r="FA30" s="195"/>
      <c r="FB30" s="195"/>
      <c r="FC30" s="195"/>
      <c r="FD30" s="195"/>
      <c r="FE30" s="195"/>
      <c r="FF30" s="195"/>
      <c r="FG30" s="195"/>
      <c r="FH30" s="195"/>
      <c r="FI30" s="195"/>
      <c r="FJ30" s="195"/>
      <c r="FK30" s="195"/>
      <c r="FL30" s="195"/>
      <c r="FM30" s="195"/>
      <c r="FN30" s="195"/>
      <c r="FO30" s="195"/>
      <c r="FP30" s="195"/>
      <c r="FQ30" s="195"/>
      <c r="FR30" s="195"/>
      <c r="FS30" s="195"/>
      <c r="FT30" s="195"/>
      <c r="FU30" s="195"/>
      <c r="FV30" s="195"/>
      <c r="FW30" s="195"/>
      <c r="FX30" s="195"/>
      <c r="FY30" s="195"/>
      <c r="FZ30" s="195"/>
      <c r="GA30" s="195"/>
      <c r="GB30" s="195"/>
      <c r="GC30" s="195"/>
      <c r="GD30" s="195"/>
      <c r="GE30" s="195"/>
      <c r="GF30" s="195"/>
      <c r="GG30" s="195"/>
      <c r="GH30" s="195"/>
      <c r="GI30" s="195"/>
    </row>
    <row r="31" spans="1:191" ht="15" customHeight="1">
      <c r="A31" s="187"/>
      <c r="B31" s="196">
        <v>23</v>
      </c>
      <c r="C31" s="197" t="s">
        <v>997</v>
      </c>
      <c r="D31" s="205" t="s">
        <v>998</v>
      </c>
      <c r="E31" s="198" t="s">
        <v>1001</v>
      </c>
      <c r="F31" s="205"/>
      <c r="G31" s="199"/>
      <c r="H31" s="199"/>
      <c r="I31" s="196"/>
      <c r="J31" s="199"/>
      <c r="K31" s="196"/>
      <c r="L31" s="196"/>
      <c r="M31" s="196"/>
      <c r="N31" s="196">
        <v>1</v>
      </c>
      <c r="O31" s="201"/>
      <c r="P31" s="202"/>
      <c r="Q31" s="202"/>
      <c r="R31" s="201"/>
      <c r="S31" s="201"/>
      <c r="T31" s="203">
        <v>1062</v>
      </c>
      <c r="U31" s="204">
        <v>26142.4340326233</v>
      </c>
      <c r="V31" s="188"/>
      <c r="W31" s="186">
        <v>0</v>
      </c>
      <c r="X31" s="186">
        <v>0</v>
      </c>
      <c r="Y31" s="186">
        <v>0</v>
      </c>
      <c r="Z31" s="192">
        <v>26142.4340326233</v>
      </c>
      <c r="AA31" s="192">
        <f t="shared" si="5"/>
        <v>26142.4340326233</v>
      </c>
      <c r="AB31" s="195"/>
      <c r="AC31" s="195"/>
      <c r="AD31" s="195"/>
      <c r="AE31" s="195"/>
      <c r="AF31" s="195"/>
      <c r="AG31" s="195"/>
      <c r="AH31" s="189" t="str">
        <f t="shared" si="3"/>
        <v/>
      </c>
      <c r="AI31" s="189" t="str">
        <f t="shared" si="3"/>
        <v/>
      </c>
      <c r="AJ31" s="189" t="str">
        <f t="shared" si="3"/>
        <v/>
      </c>
      <c r="AK31" s="189" t="str">
        <f t="shared" si="4"/>
        <v/>
      </c>
      <c r="AL31" s="195"/>
      <c r="AM31" s="195"/>
      <c r="AN31" s="195"/>
      <c r="AO31" s="195"/>
      <c r="AP31" s="195"/>
      <c r="AQ31" s="195"/>
      <c r="AR31" s="195"/>
      <c r="AS31" s="195"/>
      <c r="AT31" s="195"/>
      <c r="AU31" s="195"/>
      <c r="AV31" s="195"/>
      <c r="AW31" s="195"/>
      <c r="AX31" s="195"/>
      <c r="AY31" s="195"/>
      <c r="AZ31" s="195"/>
      <c r="BA31" s="195"/>
      <c r="BB31" s="195"/>
      <c r="BC31" s="195"/>
      <c r="BD31" s="195"/>
      <c r="BE31" s="195"/>
      <c r="BF31" s="195"/>
      <c r="BG31" s="195"/>
      <c r="BH31" s="195"/>
      <c r="BI31" s="195"/>
      <c r="BJ31" s="195"/>
      <c r="BK31" s="195"/>
      <c r="BL31" s="195"/>
      <c r="BM31" s="195"/>
      <c r="BN31" s="195"/>
      <c r="BO31" s="195"/>
      <c r="BP31" s="195"/>
      <c r="BQ31" s="195"/>
      <c r="BR31" s="195"/>
      <c r="BS31" s="195"/>
      <c r="BT31" s="195"/>
      <c r="BU31" s="195"/>
      <c r="BV31" s="195"/>
      <c r="BW31" s="195"/>
      <c r="BX31" s="195"/>
      <c r="BY31" s="195"/>
      <c r="BZ31" s="195"/>
      <c r="CA31" s="195"/>
      <c r="CB31" s="195"/>
      <c r="CC31" s="195"/>
      <c r="CD31" s="195"/>
      <c r="CE31" s="195"/>
      <c r="CF31" s="195"/>
      <c r="CG31" s="195"/>
      <c r="CH31" s="195"/>
      <c r="CI31" s="195"/>
      <c r="CJ31" s="195"/>
      <c r="CK31" s="195"/>
      <c r="CL31" s="195"/>
      <c r="CM31" s="195"/>
      <c r="CN31" s="195"/>
      <c r="CO31" s="195"/>
      <c r="CP31" s="195"/>
      <c r="CQ31" s="195"/>
      <c r="CR31" s="195"/>
      <c r="CS31" s="195"/>
      <c r="CT31" s="195"/>
      <c r="CU31" s="195"/>
      <c r="CV31" s="195"/>
      <c r="CW31" s="195"/>
      <c r="CX31" s="195"/>
      <c r="CY31" s="195"/>
      <c r="CZ31" s="195"/>
      <c r="DA31" s="195"/>
      <c r="DB31" s="195"/>
      <c r="DC31" s="195"/>
      <c r="DD31" s="195"/>
      <c r="DE31" s="195"/>
      <c r="DF31" s="195"/>
      <c r="DG31" s="195"/>
      <c r="DH31" s="195"/>
      <c r="DI31" s="195"/>
      <c r="DJ31" s="195"/>
      <c r="DK31" s="195"/>
      <c r="DL31" s="195"/>
      <c r="DM31" s="195"/>
      <c r="DN31" s="195"/>
      <c r="DO31" s="195"/>
      <c r="DP31" s="195"/>
      <c r="DQ31" s="195"/>
      <c r="DR31" s="195"/>
      <c r="DS31" s="195"/>
      <c r="DT31" s="195"/>
      <c r="DU31" s="195"/>
      <c r="DV31" s="195"/>
      <c r="DW31" s="195"/>
      <c r="DX31" s="195"/>
      <c r="DY31" s="195"/>
      <c r="DZ31" s="195"/>
      <c r="EA31" s="195"/>
      <c r="EB31" s="195"/>
      <c r="EC31" s="195"/>
      <c r="ED31" s="195"/>
      <c r="EE31" s="195"/>
      <c r="EF31" s="195"/>
      <c r="EG31" s="195"/>
      <c r="EH31" s="195"/>
      <c r="EI31" s="195"/>
      <c r="EJ31" s="195"/>
      <c r="EK31" s="195"/>
      <c r="EL31" s="195"/>
      <c r="EM31" s="195"/>
      <c r="EN31" s="195"/>
      <c r="EO31" s="195"/>
      <c r="EP31" s="195"/>
      <c r="EQ31" s="195"/>
      <c r="ER31" s="195"/>
      <c r="ES31" s="195"/>
      <c r="ET31" s="195"/>
      <c r="EU31" s="195"/>
      <c r="EV31" s="195"/>
      <c r="EW31" s="195"/>
      <c r="EX31" s="195"/>
      <c r="EY31" s="195"/>
      <c r="EZ31" s="195"/>
      <c r="FA31" s="195"/>
      <c r="FB31" s="195"/>
      <c r="FC31" s="195"/>
      <c r="FD31" s="195"/>
      <c r="FE31" s="195"/>
      <c r="FF31" s="195"/>
      <c r="FG31" s="195"/>
      <c r="FH31" s="195"/>
      <c r="FI31" s="195"/>
      <c r="FJ31" s="195"/>
      <c r="FK31" s="195"/>
      <c r="FL31" s="195"/>
      <c r="FM31" s="195"/>
      <c r="FN31" s="195"/>
      <c r="FO31" s="195"/>
      <c r="FP31" s="195"/>
      <c r="FQ31" s="195"/>
      <c r="FR31" s="195"/>
      <c r="FS31" s="195"/>
      <c r="FT31" s="195"/>
      <c r="FU31" s="195"/>
      <c r="FV31" s="195"/>
      <c r="FW31" s="195"/>
      <c r="FX31" s="195"/>
      <c r="FY31" s="195"/>
      <c r="FZ31" s="195"/>
      <c r="GA31" s="195"/>
      <c r="GB31" s="195"/>
      <c r="GC31" s="195"/>
      <c r="GD31" s="195"/>
      <c r="GE31" s="195"/>
      <c r="GF31" s="195"/>
      <c r="GG31" s="195"/>
      <c r="GH31" s="195"/>
      <c r="GI31" s="195"/>
    </row>
    <row r="32" spans="1:191" ht="15" customHeight="1">
      <c r="A32" s="187"/>
      <c r="B32" s="196">
        <v>23</v>
      </c>
      <c r="C32" s="197" t="s">
        <v>997</v>
      </c>
      <c r="D32" s="205" t="s">
        <v>998</v>
      </c>
      <c r="E32" s="198" t="s">
        <v>1001</v>
      </c>
      <c r="F32" s="205"/>
      <c r="G32" s="199"/>
      <c r="H32" s="199"/>
      <c r="I32" s="196"/>
      <c r="J32" s="199"/>
      <c r="K32" s="196"/>
      <c r="L32" s="196"/>
      <c r="M32" s="196"/>
      <c r="N32" s="196">
        <v>1</v>
      </c>
      <c r="O32" s="201"/>
      <c r="P32" s="202"/>
      <c r="Q32" s="202"/>
      <c r="R32" s="201"/>
      <c r="S32" s="201"/>
      <c r="T32" s="203">
        <v>1062</v>
      </c>
      <c r="U32" s="204">
        <v>26142.4340326233</v>
      </c>
      <c r="V32" s="188"/>
      <c r="W32" s="186">
        <v>0</v>
      </c>
      <c r="X32" s="186">
        <v>0</v>
      </c>
      <c r="Y32" s="186">
        <v>0</v>
      </c>
      <c r="Z32" s="192">
        <v>26142.4340326233</v>
      </c>
      <c r="AA32" s="192">
        <f t="shared" si="5"/>
        <v>26142.4340326233</v>
      </c>
      <c r="AB32" s="195"/>
      <c r="AC32" s="195"/>
      <c r="AD32" s="195"/>
      <c r="AE32" s="195"/>
      <c r="AF32" s="195"/>
      <c r="AG32" s="195"/>
      <c r="AH32" s="189" t="str">
        <f t="shared" si="3"/>
        <v/>
      </c>
      <c r="AI32" s="189" t="str">
        <f t="shared" si="3"/>
        <v/>
      </c>
      <c r="AJ32" s="189" t="str">
        <f t="shared" si="3"/>
        <v/>
      </c>
      <c r="AK32" s="189" t="str">
        <f t="shared" si="4"/>
        <v/>
      </c>
      <c r="AL32" s="195"/>
      <c r="AM32" s="195"/>
      <c r="AN32" s="195"/>
      <c r="AO32" s="195"/>
      <c r="AP32" s="195"/>
      <c r="AQ32" s="195"/>
      <c r="AR32" s="195"/>
      <c r="AS32" s="195"/>
      <c r="AT32" s="195"/>
      <c r="AU32" s="195"/>
      <c r="AV32" s="195"/>
      <c r="AW32" s="195"/>
      <c r="AX32" s="195"/>
      <c r="AY32" s="195"/>
      <c r="AZ32" s="195"/>
      <c r="BA32" s="195"/>
      <c r="BB32" s="195"/>
      <c r="BC32" s="195"/>
      <c r="BD32" s="195"/>
      <c r="BE32" s="195"/>
      <c r="BF32" s="195"/>
      <c r="BG32" s="195"/>
      <c r="BH32" s="195"/>
      <c r="BI32" s="195"/>
      <c r="BJ32" s="195"/>
      <c r="BK32" s="195"/>
      <c r="BL32" s="195"/>
      <c r="BM32" s="195"/>
      <c r="BN32" s="195"/>
      <c r="BO32" s="195"/>
      <c r="BP32" s="195"/>
      <c r="BQ32" s="195"/>
      <c r="BR32" s="195"/>
      <c r="BS32" s="195"/>
      <c r="BT32" s="195"/>
      <c r="BU32" s="195"/>
      <c r="BV32" s="195"/>
      <c r="BW32" s="195"/>
      <c r="BX32" s="195"/>
      <c r="BY32" s="195"/>
      <c r="BZ32" s="195"/>
      <c r="CA32" s="195"/>
      <c r="CB32" s="195"/>
      <c r="CC32" s="195"/>
      <c r="CD32" s="195"/>
      <c r="CE32" s="195"/>
      <c r="CF32" s="195"/>
      <c r="CG32" s="195"/>
      <c r="CH32" s="195"/>
      <c r="CI32" s="195"/>
      <c r="CJ32" s="195"/>
      <c r="CK32" s="195"/>
      <c r="CL32" s="195"/>
      <c r="CM32" s="195"/>
      <c r="CN32" s="195"/>
      <c r="CO32" s="195"/>
      <c r="CP32" s="195"/>
      <c r="CQ32" s="195"/>
      <c r="CR32" s="195"/>
      <c r="CS32" s="195"/>
      <c r="CT32" s="195"/>
      <c r="CU32" s="195"/>
      <c r="CV32" s="195"/>
      <c r="CW32" s="195"/>
      <c r="CX32" s="195"/>
      <c r="CY32" s="195"/>
      <c r="CZ32" s="195"/>
      <c r="DA32" s="195"/>
      <c r="DB32" s="195"/>
      <c r="DC32" s="195"/>
      <c r="DD32" s="195"/>
      <c r="DE32" s="195"/>
      <c r="DF32" s="195"/>
      <c r="DG32" s="195"/>
      <c r="DH32" s="195"/>
      <c r="DI32" s="195"/>
      <c r="DJ32" s="195"/>
      <c r="DK32" s="195"/>
      <c r="DL32" s="195"/>
      <c r="DM32" s="195"/>
      <c r="DN32" s="195"/>
      <c r="DO32" s="195"/>
      <c r="DP32" s="195"/>
      <c r="DQ32" s="195"/>
      <c r="DR32" s="195"/>
      <c r="DS32" s="195"/>
      <c r="DT32" s="195"/>
      <c r="DU32" s="195"/>
      <c r="DV32" s="195"/>
      <c r="DW32" s="195"/>
      <c r="DX32" s="195"/>
      <c r="DY32" s="195"/>
      <c r="DZ32" s="195"/>
      <c r="EA32" s="195"/>
      <c r="EB32" s="195"/>
      <c r="EC32" s="195"/>
      <c r="ED32" s="195"/>
      <c r="EE32" s="195"/>
      <c r="EF32" s="195"/>
      <c r="EG32" s="195"/>
      <c r="EH32" s="195"/>
      <c r="EI32" s="195"/>
      <c r="EJ32" s="195"/>
      <c r="EK32" s="195"/>
      <c r="EL32" s="195"/>
      <c r="EM32" s="195"/>
      <c r="EN32" s="195"/>
      <c r="EO32" s="195"/>
      <c r="EP32" s="195"/>
      <c r="EQ32" s="195"/>
      <c r="ER32" s="195"/>
      <c r="ES32" s="195"/>
      <c r="ET32" s="195"/>
      <c r="EU32" s="195"/>
      <c r="EV32" s="195"/>
      <c r="EW32" s="195"/>
      <c r="EX32" s="195"/>
      <c r="EY32" s="195"/>
      <c r="EZ32" s="195"/>
      <c r="FA32" s="195"/>
      <c r="FB32" s="195"/>
      <c r="FC32" s="195"/>
      <c r="FD32" s="195"/>
      <c r="FE32" s="195"/>
      <c r="FF32" s="195"/>
      <c r="FG32" s="195"/>
      <c r="FH32" s="195"/>
      <c r="FI32" s="195"/>
      <c r="FJ32" s="195"/>
      <c r="FK32" s="195"/>
      <c r="FL32" s="195"/>
      <c r="FM32" s="195"/>
      <c r="FN32" s="195"/>
      <c r="FO32" s="195"/>
      <c r="FP32" s="195"/>
      <c r="FQ32" s="195"/>
      <c r="FR32" s="195"/>
      <c r="FS32" s="195"/>
      <c r="FT32" s="195"/>
      <c r="FU32" s="195"/>
      <c r="FV32" s="195"/>
      <c r="FW32" s="195"/>
      <c r="FX32" s="195"/>
      <c r="FY32" s="195"/>
      <c r="FZ32" s="195"/>
      <c r="GA32" s="195"/>
      <c r="GB32" s="195"/>
      <c r="GC32" s="195"/>
      <c r="GD32" s="195"/>
      <c r="GE32" s="195"/>
      <c r="GF32" s="195"/>
      <c r="GG32" s="195"/>
      <c r="GH32" s="195"/>
      <c r="GI32" s="195"/>
    </row>
    <row r="33" spans="1:191" ht="15" customHeight="1">
      <c r="A33" s="187"/>
      <c r="B33" s="196">
        <v>28</v>
      </c>
      <c r="C33" s="197" t="s">
        <v>1002</v>
      </c>
      <c r="D33" s="198" t="s">
        <v>1003</v>
      </c>
      <c r="E33" s="198" t="s">
        <v>1003</v>
      </c>
      <c r="F33" s="198" t="s">
        <v>1004</v>
      </c>
      <c r="G33" s="199" t="s">
        <v>952</v>
      </c>
      <c r="H33" s="199"/>
      <c r="I33" s="196" t="s">
        <v>950</v>
      </c>
      <c r="J33" s="199"/>
      <c r="K33" s="200"/>
      <c r="L33" s="200"/>
      <c r="M33" s="200"/>
      <c r="N33" s="196">
        <v>1</v>
      </c>
      <c r="O33" s="201"/>
      <c r="P33" s="202" t="s">
        <v>1005</v>
      </c>
      <c r="Q33" s="202" t="s">
        <v>959</v>
      </c>
      <c r="R33" s="201"/>
      <c r="S33" s="201"/>
      <c r="T33" s="203">
        <v>1062</v>
      </c>
      <c r="U33" s="204">
        <v>506921.4855024647</v>
      </c>
      <c r="V33" s="188" t="s">
        <v>952</v>
      </c>
      <c r="W33" s="186">
        <v>0</v>
      </c>
      <c r="X33" s="186">
        <v>0</v>
      </c>
      <c r="Y33" s="186">
        <v>0</v>
      </c>
      <c r="Z33" s="192">
        <v>506921.4855024647</v>
      </c>
      <c r="AA33" s="192">
        <f t="shared" si="5"/>
        <v>506921.4855024647</v>
      </c>
      <c r="AB33" s="195"/>
      <c r="AC33" s="195"/>
      <c r="AD33" s="195"/>
      <c r="AE33" s="195"/>
      <c r="AF33" s="195"/>
      <c r="AG33" s="195"/>
      <c r="AH33" s="189" t="str">
        <f t="shared" si="3"/>
        <v/>
      </c>
      <c r="AI33" s="189" t="str">
        <f t="shared" si="3"/>
        <v/>
      </c>
      <c r="AJ33" s="189" t="str">
        <f t="shared" si="3"/>
        <v/>
      </c>
      <c r="AK33" s="189" t="str">
        <f t="shared" si="4"/>
        <v/>
      </c>
      <c r="AL33" s="195"/>
      <c r="AM33" s="195"/>
      <c r="AN33" s="195"/>
      <c r="AO33" s="195"/>
      <c r="AP33" s="195"/>
      <c r="AQ33" s="195"/>
      <c r="AR33" s="195"/>
      <c r="AS33" s="195"/>
      <c r="AT33" s="195"/>
      <c r="AU33" s="195"/>
      <c r="AV33" s="195"/>
      <c r="AW33" s="195"/>
      <c r="AX33" s="195"/>
      <c r="AY33" s="195"/>
      <c r="AZ33" s="195"/>
      <c r="BA33" s="195"/>
      <c r="BB33" s="195"/>
      <c r="BC33" s="195"/>
      <c r="BD33" s="195"/>
      <c r="BE33" s="195"/>
      <c r="BF33" s="195"/>
      <c r="BG33" s="195"/>
      <c r="BH33" s="195"/>
      <c r="BI33" s="195"/>
      <c r="BJ33" s="195"/>
      <c r="BK33" s="195"/>
      <c r="BL33" s="195"/>
      <c r="BM33" s="195"/>
      <c r="BN33" s="195"/>
      <c r="BO33" s="195"/>
      <c r="BP33" s="195"/>
      <c r="BQ33" s="195"/>
      <c r="BR33" s="195"/>
      <c r="BS33" s="195"/>
      <c r="BT33" s="195"/>
      <c r="BU33" s="195"/>
      <c r="BV33" s="195"/>
      <c r="BW33" s="195"/>
      <c r="BX33" s="195"/>
      <c r="BY33" s="195"/>
      <c r="BZ33" s="195"/>
      <c r="CA33" s="195"/>
      <c r="CB33" s="195"/>
      <c r="CC33" s="195"/>
      <c r="CD33" s="195"/>
      <c r="CE33" s="195"/>
      <c r="CF33" s="195"/>
      <c r="CG33" s="195"/>
      <c r="CH33" s="195"/>
      <c r="CI33" s="195"/>
      <c r="CJ33" s="195"/>
      <c r="CK33" s="195"/>
      <c r="CL33" s="195"/>
      <c r="CM33" s="195"/>
      <c r="CN33" s="195"/>
      <c r="CO33" s="195"/>
      <c r="CP33" s="195"/>
      <c r="CQ33" s="195"/>
      <c r="CR33" s="195"/>
      <c r="CS33" s="195"/>
      <c r="CT33" s="195"/>
      <c r="CU33" s="195"/>
      <c r="CV33" s="195"/>
      <c r="CW33" s="195"/>
      <c r="CX33" s="195"/>
      <c r="CY33" s="195"/>
      <c r="CZ33" s="195"/>
      <c r="DA33" s="195"/>
      <c r="DB33" s="195"/>
      <c r="DC33" s="195"/>
      <c r="DD33" s="195"/>
      <c r="DE33" s="195"/>
      <c r="DF33" s="195"/>
      <c r="DG33" s="195"/>
      <c r="DH33" s="195"/>
      <c r="DI33" s="195"/>
      <c r="DJ33" s="195"/>
      <c r="DK33" s="195"/>
      <c r="DL33" s="195"/>
      <c r="DM33" s="195"/>
      <c r="DN33" s="195"/>
      <c r="DO33" s="195"/>
      <c r="DP33" s="195"/>
      <c r="DQ33" s="195"/>
      <c r="DR33" s="195"/>
      <c r="DS33" s="195"/>
      <c r="DT33" s="195"/>
      <c r="DU33" s="195"/>
      <c r="DV33" s="195"/>
      <c r="DW33" s="195"/>
      <c r="DX33" s="195"/>
      <c r="DY33" s="195"/>
      <c r="DZ33" s="195"/>
      <c r="EA33" s="195"/>
      <c r="EB33" s="195"/>
      <c r="EC33" s="195"/>
      <c r="ED33" s="195"/>
      <c r="EE33" s="195"/>
      <c r="EF33" s="195"/>
      <c r="EG33" s="195"/>
      <c r="EH33" s="195"/>
      <c r="EI33" s="195"/>
      <c r="EJ33" s="195"/>
      <c r="EK33" s="195"/>
      <c r="EL33" s="195"/>
      <c r="EM33" s="195"/>
      <c r="EN33" s="195"/>
      <c r="EO33" s="195"/>
      <c r="EP33" s="195"/>
      <c r="EQ33" s="195"/>
      <c r="ER33" s="195"/>
      <c r="ES33" s="195"/>
      <c r="ET33" s="195"/>
      <c r="EU33" s="195"/>
      <c r="EV33" s="195"/>
      <c r="EW33" s="195"/>
      <c r="EX33" s="195"/>
      <c r="EY33" s="195"/>
      <c r="EZ33" s="195"/>
      <c r="FA33" s="195"/>
      <c r="FB33" s="195"/>
      <c r="FC33" s="195"/>
      <c r="FD33" s="195"/>
      <c r="FE33" s="195"/>
      <c r="FF33" s="195"/>
      <c r="FG33" s="195"/>
      <c r="FH33" s="195"/>
      <c r="FI33" s="195"/>
      <c r="FJ33" s="195"/>
      <c r="FK33" s="195"/>
      <c r="FL33" s="195"/>
      <c r="FM33" s="195"/>
      <c r="FN33" s="195"/>
      <c r="FO33" s="195"/>
      <c r="FP33" s="195"/>
      <c r="FQ33" s="195"/>
      <c r="FR33" s="195"/>
      <c r="FS33" s="195"/>
      <c r="FT33" s="195"/>
      <c r="FU33" s="195"/>
      <c r="FV33" s="195"/>
      <c r="FW33" s="195"/>
      <c r="FX33" s="195"/>
      <c r="FY33" s="195"/>
      <c r="FZ33" s="195"/>
      <c r="GA33" s="195"/>
      <c r="GB33" s="195"/>
      <c r="GC33" s="195"/>
      <c r="GD33" s="195"/>
      <c r="GE33" s="195"/>
      <c r="GF33" s="195"/>
      <c r="GG33" s="195"/>
      <c r="GH33" s="195"/>
      <c r="GI33" s="195"/>
    </row>
    <row r="34" spans="1:191" ht="15" customHeight="1">
      <c r="A34" s="187"/>
      <c r="B34" s="196">
        <v>28</v>
      </c>
      <c r="C34" s="197" t="s">
        <v>1002</v>
      </c>
      <c r="D34" s="198" t="s">
        <v>1003</v>
      </c>
      <c r="E34" s="198" t="s">
        <v>1003</v>
      </c>
      <c r="F34" s="198" t="s">
        <v>1004</v>
      </c>
      <c r="G34" s="199" t="s">
        <v>952</v>
      </c>
      <c r="H34" s="199"/>
      <c r="I34" s="196" t="s">
        <v>950</v>
      </c>
      <c r="J34" s="199"/>
      <c r="K34" s="200"/>
      <c r="L34" s="200"/>
      <c r="M34" s="200"/>
      <c r="N34" s="196">
        <v>1</v>
      </c>
      <c r="O34" s="201"/>
      <c r="P34" s="202" t="s">
        <v>1005</v>
      </c>
      <c r="Q34" s="202" t="s">
        <v>959</v>
      </c>
      <c r="R34" s="201"/>
      <c r="S34" s="201"/>
      <c r="T34" s="203">
        <v>1062</v>
      </c>
      <c r="U34" s="204">
        <v>506921.4855024647</v>
      </c>
      <c r="V34" s="188" t="s">
        <v>952</v>
      </c>
      <c r="W34" s="186">
        <v>0</v>
      </c>
      <c r="X34" s="186">
        <v>0</v>
      </c>
      <c r="Y34" s="186">
        <v>0</v>
      </c>
      <c r="Z34" s="192">
        <v>506921.4855024647</v>
      </c>
      <c r="AA34" s="192">
        <f t="shared" si="5"/>
        <v>506921.4855024647</v>
      </c>
      <c r="AB34" s="195"/>
      <c r="AC34" s="195"/>
      <c r="AD34" s="195"/>
      <c r="AE34" s="195"/>
      <c r="AF34" s="195"/>
      <c r="AG34" s="195"/>
      <c r="AH34" s="189" t="str">
        <f t="shared" si="3"/>
        <v/>
      </c>
      <c r="AI34" s="189" t="str">
        <f t="shared" si="3"/>
        <v/>
      </c>
      <c r="AJ34" s="189" t="str">
        <f t="shared" si="3"/>
        <v/>
      </c>
      <c r="AK34" s="189" t="str">
        <f t="shared" si="4"/>
        <v/>
      </c>
      <c r="AL34" s="195"/>
      <c r="AM34" s="195"/>
      <c r="AN34" s="195"/>
      <c r="AO34" s="195"/>
      <c r="AP34" s="195"/>
      <c r="AQ34" s="195"/>
      <c r="AR34" s="195"/>
      <c r="AS34" s="195"/>
      <c r="AT34" s="195"/>
      <c r="AU34" s="195"/>
      <c r="AV34" s="195"/>
      <c r="AW34" s="195"/>
      <c r="AX34" s="195"/>
      <c r="AY34" s="195"/>
      <c r="AZ34" s="195"/>
      <c r="BA34" s="195"/>
      <c r="BB34" s="195"/>
      <c r="BC34" s="195"/>
      <c r="BD34" s="195"/>
      <c r="BE34" s="195"/>
      <c r="BF34" s="195"/>
      <c r="BG34" s="195"/>
      <c r="BH34" s="195"/>
      <c r="BI34" s="195"/>
      <c r="BJ34" s="195"/>
      <c r="BK34" s="195"/>
      <c r="BL34" s="195"/>
      <c r="BM34" s="195"/>
      <c r="BN34" s="195"/>
      <c r="BO34" s="195"/>
      <c r="BP34" s="195"/>
      <c r="BQ34" s="195"/>
      <c r="BR34" s="195"/>
      <c r="BS34" s="195"/>
      <c r="BT34" s="195"/>
      <c r="BU34" s="195"/>
      <c r="BV34" s="195"/>
      <c r="BW34" s="195"/>
      <c r="BX34" s="195"/>
      <c r="BY34" s="195"/>
      <c r="BZ34" s="195"/>
      <c r="CA34" s="195"/>
      <c r="CB34" s="195"/>
      <c r="CC34" s="195"/>
      <c r="CD34" s="195"/>
      <c r="CE34" s="195"/>
      <c r="CF34" s="195"/>
      <c r="CG34" s="195"/>
      <c r="CH34" s="195"/>
      <c r="CI34" s="195"/>
      <c r="CJ34" s="195"/>
      <c r="CK34" s="195"/>
      <c r="CL34" s="195"/>
      <c r="CM34" s="195"/>
      <c r="CN34" s="195"/>
      <c r="CO34" s="195"/>
      <c r="CP34" s="195"/>
      <c r="CQ34" s="195"/>
      <c r="CR34" s="195"/>
      <c r="CS34" s="195"/>
      <c r="CT34" s="195"/>
      <c r="CU34" s="195"/>
      <c r="CV34" s="195"/>
      <c r="CW34" s="195"/>
      <c r="CX34" s="195"/>
      <c r="CY34" s="195"/>
      <c r="CZ34" s="195"/>
      <c r="DA34" s="195"/>
      <c r="DB34" s="195"/>
      <c r="DC34" s="195"/>
      <c r="DD34" s="195"/>
      <c r="DE34" s="195"/>
      <c r="DF34" s="195"/>
      <c r="DG34" s="195"/>
      <c r="DH34" s="195"/>
      <c r="DI34" s="195"/>
      <c r="DJ34" s="195"/>
      <c r="DK34" s="195"/>
      <c r="DL34" s="195"/>
      <c r="DM34" s="195"/>
      <c r="DN34" s="195"/>
      <c r="DO34" s="195"/>
      <c r="DP34" s="195"/>
      <c r="DQ34" s="195"/>
      <c r="DR34" s="195"/>
      <c r="DS34" s="195"/>
      <c r="DT34" s="195"/>
      <c r="DU34" s="195"/>
      <c r="DV34" s="195"/>
      <c r="DW34" s="195"/>
      <c r="DX34" s="195"/>
      <c r="DY34" s="195"/>
      <c r="DZ34" s="195"/>
      <c r="EA34" s="195"/>
      <c r="EB34" s="195"/>
      <c r="EC34" s="195"/>
      <c r="ED34" s="195"/>
      <c r="EE34" s="195"/>
      <c r="EF34" s="195"/>
      <c r="EG34" s="195"/>
      <c r="EH34" s="195"/>
      <c r="EI34" s="195"/>
      <c r="EJ34" s="195"/>
      <c r="EK34" s="195"/>
      <c r="EL34" s="195"/>
      <c r="EM34" s="195"/>
      <c r="EN34" s="195"/>
      <c r="EO34" s="195"/>
      <c r="EP34" s="195"/>
      <c r="EQ34" s="195"/>
      <c r="ER34" s="195"/>
      <c r="ES34" s="195"/>
      <c r="ET34" s="195"/>
      <c r="EU34" s="195"/>
      <c r="EV34" s="195"/>
      <c r="EW34" s="195"/>
      <c r="EX34" s="195"/>
      <c r="EY34" s="195"/>
      <c r="EZ34" s="195"/>
      <c r="FA34" s="195"/>
      <c r="FB34" s="195"/>
      <c r="FC34" s="195"/>
      <c r="FD34" s="195"/>
      <c r="FE34" s="195"/>
      <c r="FF34" s="195"/>
      <c r="FG34" s="195"/>
      <c r="FH34" s="195"/>
      <c r="FI34" s="195"/>
      <c r="FJ34" s="195"/>
      <c r="FK34" s="195"/>
      <c r="FL34" s="195"/>
      <c r="FM34" s="195"/>
      <c r="FN34" s="195"/>
      <c r="FO34" s="195"/>
      <c r="FP34" s="195"/>
      <c r="FQ34" s="195"/>
      <c r="FR34" s="195"/>
      <c r="FS34" s="195"/>
      <c r="FT34" s="195"/>
      <c r="FU34" s="195"/>
      <c r="FV34" s="195"/>
      <c r="FW34" s="195"/>
      <c r="FX34" s="195"/>
      <c r="FY34" s="195"/>
      <c r="FZ34" s="195"/>
      <c r="GA34" s="195"/>
      <c r="GB34" s="195"/>
      <c r="GC34" s="195"/>
      <c r="GD34" s="195"/>
      <c r="GE34" s="195"/>
      <c r="GF34" s="195"/>
      <c r="GG34" s="195"/>
      <c r="GH34" s="195"/>
      <c r="GI34" s="195"/>
    </row>
    <row r="35" spans="1:191" ht="15" customHeight="1">
      <c r="A35" s="187"/>
      <c r="B35" s="196">
        <v>28</v>
      </c>
      <c r="C35" s="197" t="s">
        <v>1002</v>
      </c>
      <c r="D35" s="198" t="s">
        <v>1003</v>
      </c>
      <c r="E35" s="198" t="s">
        <v>1003</v>
      </c>
      <c r="F35" s="198" t="s">
        <v>1004</v>
      </c>
      <c r="G35" s="199" t="s">
        <v>952</v>
      </c>
      <c r="H35" s="199"/>
      <c r="I35" s="196" t="s">
        <v>950</v>
      </c>
      <c r="J35" s="199"/>
      <c r="K35" s="200"/>
      <c r="L35" s="200"/>
      <c r="M35" s="200"/>
      <c r="N35" s="196">
        <v>1</v>
      </c>
      <c r="O35" s="201"/>
      <c r="P35" s="202" t="s">
        <v>1005</v>
      </c>
      <c r="Q35" s="202" t="s">
        <v>959</v>
      </c>
      <c r="R35" s="201"/>
      <c r="S35" s="201"/>
      <c r="T35" s="203">
        <v>1062</v>
      </c>
      <c r="U35" s="204">
        <v>506921.4855024647</v>
      </c>
      <c r="V35" s="188" t="s">
        <v>952</v>
      </c>
      <c r="W35" s="186">
        <v>0</v>
      </c>
      <c r="X35" s="186">
        <v>0</v>
      </c>
      <c r="Y35" s="186">
        <v>0</v>
      </c>
      <c r="Z35" s="192">
        <v>506921.4855024647</v>
      </c>
      <c r="AA35" s="192">
        <f t="shared" si="5"/>
        <v>506921.4855024647</v>
      </c>
      <c r="AB35" s="195"/>
      <c r="AC35" s="195"/>
      <c r="AD35" s="195"/>
      <c r="AE35" s="195"/>
      <c r="AF35" s="195"/>
      <c r="AG35" s="195"/>
      <c r="AH35" s="189" t="str">
        <f t="shared" si="3"/>
        <v/>
      </c>
      <c r="AI35" s="189" t="str">
        <f t="shared" si="3"/>
        <v/>
      </c>
      <c r="AJ35" s="189" t="str">
        <f t="shared" si="3"/>
        <v/>
      </c>
      <c r="AK35" s="189" t="str">
        <f t="shared" si="4"/>
        <v/>
      </c>
      <c r="AL35" s="195"/>
      <c r="AM35" s="195"/>
      <c r="AN35" s="195"/>
      <c r="AO35" s="195"/>
      <c r="AP35" s="195"/>
      <c r="AQ35" s="195"/>
      <c r="AR35" s="195"/>
      <c r="AS35" s="195"/>
      <c r="AT35" s="195"/>
      <c r="AU35" s="195"/>
      <c r="AV35" s="195"/>
      <c r="AW35" s="195"/>
      <c r="AX35" s="195"/>
      <c r="AY35" s="195"/>
      <c r="AZ35" s="195"/>
      <c r="BA35" s="195"/>
      <c r="BB35" s="195"/>
      <c r="BC35" s="195"/>
      <c r="BD35" s="195"/>
      <c r="BE35" s="195"/>
      <c r="BF35" s="195"/>
      <c r="BG35" s="195"/>
      <c r="BH35" s="195"/>
      <c r="BI35" s="195"/>
      <c r="BJ35" s="195"/>
      <c r="BK35" s="195"/>
      <c r="BL35" s="195"/>
      <c r="BM35" s="195"/>
      <c r="BN35" s="195"/>
      <c r="BO35" s="195"/>
      <c r="BP35" s="195"/>
      <c r="BQ35" s="195"/>
      <c r="BR35" s="195"/>
      <c r="BS35" s="195"/>
      <c r="BT35" s="195"/>
      <c r="BU35" s="195"/>
      <c r="BV35" s="195"/>
      <c r="BW35" s="195"/>
      <c r="BX35" s="195"/>
      <c r="BY35" s="195"/>
      <c r="BZ35" s="195"/>
      <c r="CA35" s="195"/>
      <c r="CB35" s="195"/>
      <c r="CC35" s="195"/>
      <c r="CD35" s="195"/>
      <c r="CE35" s="195"/>
      <c r="CF35" s="195"/>
      <c r="CG35" s="195"/>
      <c r="CH35" s="195"/>
      <c r="CI35" s="195"/>
      <c r="CJ35" s="195"/>
      <c r="CK35" s="195"/>
      <c r="CL35" s="195"/>
      <c r="CM35" s="195"/>
      <c r="CN35" s="195"/>
      <c r="CO35" s="195"/>
      <c r="CP35" s="195"/>
      <c r="CQ35" s="195"/>
      <c r="CR35" s="195"/>
      <c r="CS35" s="195"/>
      <c r="CT35" s="195"/>
      <c r="CU35" s="195"/>
      <c r="CV35" s="195"/>
      <c r="CW35" s="195"/>
      <c r="CX35" s="195"/>
      <c r="CY35" s="195"/>
      <c r="CZ35" s="195"/>
      <c r="DA35" s="195"/>
      <c r="DB35" s="195"/>
      <c r="DC35" s="195"/>
      <c r="DD35" s="195"/>
      <c r="DE35" s="195"/>
      <c r="DF35" s="195"/>
      <c r="DG35" s="195"/>
      <c r="DH35" s="195"/>
      <c r="DI35" s="195"/>
      <c r="DJ35" s="195"/>
      <c r="DK35" s="195"/>
      <c r="DL35" s="195"/>
      <c r="DM35" s="195"/>
      <c r="DN35" s="195"/>
      <c r="DO35" s="195"/>
      <c r="DP35" s="195"/>
      <c r="DQ35" s="195"/>
      <c r="DR35" s="195"/>
      <c r="DS35" s="195"/>
      <c r="DT35" s="195"/>
      <c r="DU35" s="195"/>
      <c r="DV35" s="195"/>
      <c r="DW35" s="195"/>
      <c r="DX35" s="195"/>
      <c r="DY35" s="195"/>
      <c r="DZ35" s="195"/>
      <c r="EA35" s="195"/>
      <c r="EB35" s="195"/>
      <c r="EC35" s="195"/>
      <c r="ED35" s="195"/>
      <c r="EE35" s="195"/>
      <c r="EF35" s="195"/>
      <c r="EG35" s="195"/>
      <c r="EH35" s="195"/>
      <c r="EI35" s="195"/>
      <c r="EJ35" s="195"/>
      <c r="EK35" s="195"/>
      <c r="EL35" s="195"/>
      <c r="EM35" s="195"/>
      <c r="EN35" s="195"/>
      <c r="EO35" s="195"/>
      <c r="EP35" s="195"/>
      <c r="EQ35" s="195"/>
      <c r="ER35" s="195"/>
      <c r="ES35" s="195"/>
      <c r="ET35" s="195"/>
      <c r="EU35" s="195"/>
      <c r="EV35" s="195"/>
      <c r="EW35" s="195"/>
      <c r="EX35" s="195"/>
      <c r="EY35" s="195"/>
      <c r="EZ35" s="195"/>
      <c r="FA35" s="195"/>
      <c r="FB35" s="195"/>
      <c r="FC35" s="195"/>
      <c r="FD35" s="195"/>
      <c r="FE35" s="195"/>
      <c r="FF35" s="195"/>
      <c r="FG35" s="195"/>
      <c r="FH35" s="195"/>
      <c r="FI35" s="195"/>
      <c r="FJ35" s="195"/>
      <c r="FK35" s="195"/>
      <c r="FL35" s="195"/>
      <c r="FM35" s="195"/>
      <c r="FN35" s="195"/>
      <c r="FO35" s="195"/>
      <c r="FP35" s="195"/>
      <c r="FQ35" s="195"/>
      <c r="FR35" s="195"/>
      <c r="FS35" s="195"/>
      <c r="FT35" s="195"/>
      <c r="FU35" s="195"/>
      <c r="FV35" s="195"/>
      <c r="FW35" s="195"/>
      <c r="FX35" s="195"/>
      <c r="FY35" s="195"/>
      <c r="FZ35" s="195"/>
      <c r="GA35" s="195"/>
      <c r="GB35" s="195"/>
      <c r="GC35" s="195"/>
      <c r="GD35" s="195"/>
      <c r="GE35" s="195"/>
      <c r="GF35" s="195"/>
      <c r="GG35" s="195"/>
      <c r="GH35" s="195"/>
      <c r="GI35" s="195"/>
    </row>
    <row r="36" spans="1:191" ht="15" customHeight="1">
      <c r="A36" s="187"/>
      <c r="B36" s="196">
        <v>28</v>
      </c>
      <c r="C36" s="197" t="s">
        <v>1002</v>
      </c>
      <c r="D36" s="198" t="s">
        <v>1003</v>
      </c>
      <c r="E36" s="198" t="s">
        <v>1003</v>
      </c>
      <c r="F36" s="198" t="s">
        <v>1004</v>
      </c>
      <c r="G36" s="199" t="s">
        <v>952</v>
      </c>
      <c r="H36" s="199"/>
      <c r="I36" s="196" t="s">
        <v>950</v>
      </c>
      <c r="J36" s="199"/>
      <c r="K36" s="200"/>
      <c r="L36" s="200"/>
      <c r="M36" s="200"/>
      <c r="N36" s="196">
        <v>1</v>
      </c>
      <c r="O36" s="201"/>
      <c r="P36" s="202" t="s">
        <v>1005</v>
      </c>
      <c r="Q36" s="202" t="s">
        <v>959</v>
      </c>
      <c r="R36" s="201"/>
      <c r="S36" s="201"/>
      <c r="T36" s="203">
        <v>1062</v>
      </c>
      <c r="U36" s="220">
        <v>506921.4855024647</v>
      </c>
      <c r="V36" s="188" t="s">
        <v>952</v>
      </c>
      <c r="W36" s="186">
        <v>0</v>
      </c>
      <c r="X36" s="186">
        <v>0</v>
      </c>
      <c r="Y36" s="186">
        <v>0</v>
      </c>
      <c r="Z36" s="192">
        <v>506921.4855024647</v>
      </c>
      <c r="AA36" s="192">
        <f t="shared" si="5"/>
        <v>506921.4855024647</v>
      </c>
      <c r="AB36" s="195"/>
      <c r="AC36" s="195"/>
      <c r="AD36" s="195"/>
      <c r="AE36" s="195"/>
      <c r="AF36" s="195"/>
      <c r="AG36" s="195"/>
      <c r="AH36" s="206">
        <f>SUM(U2:U36)</f>
        <v>10076730.807031248</v>
      </c>
      <c r="AI36" s="189" t="str">
        <f t="shared" si="3"/>
        <v/>
      </c>
      <c r="AJ36" s="189" t="str">
        <f t="shared" si="3"/>
        <v/>
      </c>
      <c r="AK36" s="189" t="str">
        <f t="shared" si="4"/>
        <v/>
      </c>
      <c r="AL36" s="195"/>
      <c r="AM36" s="195"/>
      <c r="AN36" s="195"/>
      <c r="AO36" s="195"/>
      <c r="AP36" s="195"/>
      <c r="AQ36" s="195"/>
      <c r="AR36" s="195"/>
      <c r="AS36" s="195"/>
      <c r="AT36" s="195"/>
      <c r="AU36" s="195"/>
      <c r="AV36" s="195"/>
      <c r="AW36" s="195"/>
      <c r="AX36" s="195"/>
      <c r="AY36" s="195"/>
      <c r="AZ36" s="195"/>
      <c r="BA36" s="195"/>
      <c r="BB36" s="195"/>
      <c r="BC36" s="195"/>
      <c r="BD36" s="195"/>
      <c r="BE36" s="195"/>
      <c r="BF36" s="195"/>
      <c r="BG36" s="195"/>
      <c r="BH36" s="195"/>
      <c r="BI36" s="195"/>
      <c r="BJ36" s="195"/>
      <c r="BK36" s="195"/>
      <c r="BL36" s="195"/>
      <c r="BM36" s="195"/>
      <c r="BN36" s="195"/>
      <c r="BO36" s="195"/>
      <c r="BP36" s="195"/>
      <c r="BQ36" s="195"/>
      <c r="BR36" s="195"/>
      <c r="BS36" s="195"/>
      <c r="BT36" s="195"/>
      <c r="BU36" s="195"/>
      <c r="BV36" s="195"/>
      <c r="BW36" s="195"/>
      <c r="BX36" s="195"/>
      <c r="BY36" s="195"/>
      <c r="BZ36" s="195"/>
      <c r="CA36" s="195"/>
      <c r="CB36" s="195"/>
      <c r="CC36" s="195"/>
      <c r="CD36" s="195"/>
      <c r="CE36" s="195"/>
      <c r="CF36" s="195"/>
      <c r="CG36" s="195"/>
      <c r="CH36" s="195"/>
      <c r="CI36" s="195"/>
      <c r="CJ36" s="195"/>
      <c r="CK36" s="195"/>
      <c r="CL36" s="195"/>
      <c r="CM36" s="195"/>
      <c r="CN36" s="195"/>
      <c r="CO36" s="195"/>
      <c r="CP36" s="195"/>
      <c r="CQ36" s="195"/>
      <c r="CR36" s="195"/>
      <c r="CS36" s="195"/>
      <c r="CT36" s="195"/>
      <c r="CU36" s="195"/>
      <c r="CV36" s="195"/>
      <c r="CW36" s="195"/>
      <c r="CX36" s="195"/>
      <c r="CY36" s="195"/>
      <c r="CZ36" s="195"/>
      <c r="DA36" s="195"/>
      <c r="DB36" s="195"/>
      <c r="DC36" s="195"/>
      <c r="DD36" s="195"/>
      <c r="DE36" s="195"/>
      <c r="DF36" s="195"/>
      <c r="DG36" s="195"/>
      <c r="DH36" s="195"/>
      <c r="DI36" s="195"/>
      <c r="DJ36" s="195"/>
      <c r="DK36" s="195"/>
      <c r="DL36" s="195"/>
      <c r="DM36" s="195"/>
      <c r="DN36" s="195"/>
      <c r="DO36" s="195"/>
      <c r="DP36" s="195"/>
      <c r="DQ36" s="195"/>
      <c r="DR36" s="195"/>
      <c r="DS36" s="195"/>
      <c r="DT36" s="195"/>
      <c r="DU36" s="195"/>
      <c r="DV36" s="195"/>
      <c r="DW36" s="195"/>
      <c r="DX36" s="195"/>
      <c r="DY36" s="195"/>
      <c r="DZ36" s="195"/>
      <c r="EA36" s="195"/>
      <c r="EB36" s="195"/>
      <c r="EC36" s="195"/>
      <c r="ED36" s="195"/>
      <c r="EE36" s="195"/>
      <c r="EF36" s="195"/>
      <c r="EG36" s="195"/>
      <c r="EH36" s="195"/>
      <c r="EI36" s="195"/>
      <c r="EJ36" s="195"/>
      <c r="EK36" s="195"/>
      <c r="EL36" s="195"/>
      <c r="EM36" s="195"/>
      <c r="EN36" s="195"/>
      <c r="EO36" s="195"/>
      <c r="EP36" s="195"/>
      <c r="EQ36" s="195"/>
      <c r="ER36" s="195"/>
      <c r="ES36" s="195"/>
      <c r="ET36" s="195"/>
      <c r="EU36" s="195"/>
      <c r="EV36" s="195"/>
      <c r="EW36" s="195"/>
      <c r="EX36" s="195"/>
      <c r="EY36" s="195"/>
      <c r="EZ36" s="195"/>
      <c r="FA36" s="195"/>
      <c r="FB36" s="195"/>
      <c r="FC36" s="195"/>
      <c r="FD36" s="195"/>
      <c r="FE36" s="195"/>
      <c r="FF36" s="195"/>
      <c r="FG36" s="195"/>
      <c r="FH36" s="195"/>
      <c r="FI36" s="195"/>
      <c r="FJ36" s="195"/>
      <c r="FK36" s="195"/>
      <c r="FL36" s="195"/>
      <c r="FM36" s="195"/>
      <c r="FN36" s="195"/>
      <c r="FO36" s="195"/>
      <c r="FP36" s="195"/>
      <c r="FQ36" s="195"/>
      <c r="FR36" s="195"/>
      <c r="FS36" s="195"/>
      <c r="FT36" s="195"/>
      <c r="FU36" s="195"/>
      <c r="FV36" s="195"/>
      <c r="FW36" s="195"/>
      <c r="FX36" s="195"/>
      <c r="FY36" s="195"/>
      <c r="FZ36" s="195"/>
      <c r="GA36" s="195"/>
      <c r="GB36" s="195"/>
      <c r="GC36" s="195"/>
      <c r="GD36" s="195"/>
      <c r="GE36" s="195"/>
      <c r="GF36" s="195"/>
      <c r="GG36" s="195"/>
      <c r="GH36" s="195"/>
      <c r="GI36" s="195"/>
    </row>
    <row r="37" spans="1:191" ht="15" customHeight="1">
      <c r="A37" s="187"/>
      <c r="B37" s="196">
        <v>23</v>
      </c>
      <c r="C37" s="197" t="s">
        <v>1006</v>
      </c>
      <c r="D37" s="198" t="s">
        <v>1007</v>
      </c>
      <c r="E37" s="198" t="s">
        <v>1008</v>
      </c>
      <c r="F37" s="198" t="s">
        <v>1009</v>
      </c>
      <c r="G37" s="207" t="s">
        <v>1010</v>
      </c>
      <c r="H37" s="207"/>
      <c r="I37" s="196" t="s">
        <v>950</v>
      </c>
      <c r="J37" s="207"/>
      <c r="K37" s="208"/>
      <c r="L37" s="208"/>
      <c r="M37" s="208"/>
      <c r="N37" s="196">
        <v>1</v>
      </c>
      <c r="O37" s="201"/>
      <c r="P37" s="202"/>
      <c r="Q37" s="202" t="s">
        <v>976</v>
      </c>
      <c r="R37" s="201"/>
      <c r="S37" s="201"/>
      <c r="T37" s="203">
        <v>1062</v>
      </c>
      <c r="U37" s="204">
        <v>41827.894452197273</v>
      </c>
      <c r="V37" s="209" t="s">
        <v>1010</v>
      </c>
      <c r="W37" s="186">
        <v>0</v>
      </c>
      <c r="X37" s="186">
        <v>0</v>
      </c>
      <c r="Y37" s="186">
        <v>0</v>
      </c>
      <c r="Z37" s="192">
        <v>41827.894452197273</v>
      </c>
      <c r="AA37" s="192">
        <f t="shared" si="5"/>
        <v>41827.894452197273</v>
      </c>
      <c r="AB37" s="195"/>
      <c r="AC37" s="195"/>
      <c r="AD37" s="195"/>
      <c r="AE37" s="195"/>
      <c r="AF37" s="195"/>
      <c r="AG37" s="195"/>
      <c r="AH37" s="189" t="str">
        <f t="shared" si="3"/>
        <v/>
      </c>
      <c r="AI37" s="189" t="str">
        <f t="shared" si="3"/>
        <v/>
      </c>
      <c r="AJ37" s="189" t="str">
        <f t="shared" si="3"/>
        <v/>
      </c>
      <c r="AK37" s="189" t="str">
        <f t="shared" si="4"/>
        <v/>
      </c>
      <c r="AL37" s="195"/>
      <c r="AM37" s="195"/>
      <c r="AN37" s="195"/>
      <c r="AO37" s="195"/>
      <c r="AP37" s="195"/>
      <c r="AQ37" s="195"/>
      <c r="AR37" s="195"/>
      <c r="AS37" s="195"/>
      <c r="AT37" s="195"/>
      <c r="AU37" s="195"/>
      <c r="AV37" s="195"/>
      <c r="AW37" s="195"/>
      <c r="AX37" s="195"/>
      <c r="AY37" s="195"/>
      <c r="AZ37" s="195"/>
      <c r="BA37" s="195"/>
      <c r="BB37" s="195"/>
      <c r="BC37" s="195"/>
      <c r="BD37" s="195"/>
      <c r="BE37" s="195"/>
      <c r="BF37" s="195"/>
      <c r="BG37" s="195"/>
      <c r="BH37" s="195"/>
      <c r="BI37" s="195"/>
      <c r="BJ37" s="195"/>
      <c r="BK37" s="195"/>
      <c r="BL37" s="195"/>
      <c r="BM37" s="195"/>
      <c r="BN37" s="195"/>
      <c r="BO37" s="195"/>
      <c r="BP37" s="195"/>
      <c r="BQ37" s="195"/>
      <c r="BR37" s="195"/>
      <c r="BS37" s="195"/>
      <c r="BT37" s="195"/>
      <c r="BU37" s="195"/>
      <c r="BV37" s="210"/>
      <c r="BW37" s="210"/>
      <c r="BX37" s="210"/>
      <c r="BY37" s="210"/>
      <c r="BZ37" s="210"/>
      <c r="CA37" s="210"/>
      <c r="CB37" s="210"/>
      <c r="CC37" s="210"/>
      <c r="CD37" s="210"/>
      <c r="CE37" s="210"/>
      <c r="CF37" s="210"/>
      <c r="CG37" s="210"/>
      <c r="CH37" s="210"/>
      <c r="CI37" s="210"/>
      <c r="CJ37" s="210"/>
      <c r="CK37" s="210"/>
      <c r="CL37" s="210"/>
      <c r="CM37" s="210"/>
      <c r="CN37" s="210"/>
      <c r="CO37" s="210"/>
      <c r="CP37" s="210"/>
      <c r="CQ37" s="210"/>
      <c r="CR37" s="210"/>
      <c r="CS37" s="210"/>
      <c r="CT37" s="210"/>
      <c r="CU37" s="210"/>
      <c r="CV37" s="210"/>
      <c r="CW37" s="210"/>
      <c r="CX37" s="210"/>
      <c r="CY37" s="210"/>
      <c r="CZ37" s="210"/>
      <c r="DA37" s="210"/>
      <c r="DB37" s="210"/>
      <c r="DC37" s="210"/>
      <c r="DD37" s="210"/>
      <c r="DE37" s="210"/>
      <c r="DF37" s="210"/>
      <c r="DG37" s="210"/>
      <c r="DH37" s="210"/>
      <c r="DI37" s="210"/>
      <c r="DJ37" s="210"/>
      <c r="DK37" s="210"/>
      <c r="DL37" s="210"/>
      <c r="DM37" s="210"/>
      <c r="DN37" s="210"/>
      <c r="DO37" s="210"/>
      <c r="DP37" s="210"/>
      <c r="DQ37" s="210"/>
      <c r="DR37" s="210"/>
      <c r="DS37" s="210"/>
      <c r="DT37" s="210"/>
      <c r="DU37" s="210"/>
      <c r="DV37" s="210"/>
      <c r="DW37" s="210"/>
      <c r="DX37" s="210"/>
      <c r="DY37" s="210"/>
      <c r="DZ37" s="210"/>
      <c r="EA37" s="210"/>
      <c r="EB37" s="210"/>
      <c r="EC37" s="210"/>
      <c r="ED37" s="210"/>
      <c r="EE37" s="210"/>
      <c r="EF37" s="210"/>
      <c r="EG37" s="210"/>
      <c r="EH37" s="210"/>
      <c r="EI37" s="210"/>
      <c r="EJ37" s="210"/>
      <c r="EK37" s="210"/>
      <c r="EL37" s="210"/>
      <c r="EM37" s="210"/>
      <c r="EN37" s="210"/>
      <c r="EO37" s="210"/>
      <c r="EP37" s="210"/>
      <c r="EQ37" s="210"/>
      <c r="ER37" s="210"/>
      <c r="ES37" s="210"/>
      <c r="ET37" s="210"/>
      <c r="EU37" s="210"/>
      <c r="EV37" s="210"/>
      <c r="EW37" s="210"/>
      <c r="EX37" s="210"/>
      <c r="EY37" s="210"/>
      <c r="EZ37" s="210"/>
      <c r="FA37" s="210"/>
      <c r="FB37" s="210"/>
      <c r="FC37" s="210"/>
      <c r="FD37" s="210"/>
      <c r="FE37" s="210"/>
      <c r="FF37" s="210"/>
      <c r="FG37" s="210"/>
      <c r="FH37" s="210"/>
      <c r="FI37" s="210"/>
      <c r="FJ37" s="210"/>
      <c r="FK37" s="210"/>
      <c r="FL37" s="210"/>
      <c r="FM37" s="210"/>
      <c r="FN37" s="210"/>
      <c r="FO37" s="210"/>
      <c r="FP37" s="210"/>
      <c r="FQ37" s="210"/>
      <c r="FR37" s="210"/>
      <c r="FS37" s="210"/>
      <c r="FT37" s="210"/>
      <c r="FU37" s="210"/>
      <c r="FV37" s="210"/>
      <c r="FW37" s="210"/>
      <c r="FX37" s="210"/>
      <c r="FY37" s="210"/>
      <c r="FZ37" s="210"/>
      <c r="GA37" s="210"/>
      <c r="GB37" s="210"/>
      <c r="GC37" s="210"/>
      <c r="GD37" s="210"/>
      <c r="GE37" s="210"/>
      <c r="GF37" s="210"/>
      <c r="GG37" s="210"/>
      <c r="GH37" s="210"/>
      <c r="GI37" s="210"/>
    </row>
    <row r="38" spans="1:191" ht="15" customHeight="1">
      <c r="A38" s="187"/>
      <c r="B38" s="196">
        <v>23</v>
      </c>
      <c r="C38" s="197" t="s">
        <v>1006</v>
      </c>
      <c r="D38" s="198" t="s">
        <v>1007</v>
      </c>
      <c r="E38" s="198" t="s">
        <v>1008</v>
      </c>
      <c r="F38" s="198" t="s">
        <v>1011</v>
      </c>
      <c r="G38" s="207"/>
      <c r="H38" s="207"/>
      <c r="I38" s="196"/>
      <c r="J38" s="207"/>
      <c r="K38" s="208"/>
      <c r="L38" s="208"/>
      <c r="M38" s="208"/>
      <c r="N38" s="196">
        <v>1</v>
      </c>
      <c r="O38" s="201"/>
      <c r="P38" s="202"/>
      <c r="Q38" s="202"/>
      <c r="R38" s="201"/>
      <c r="S38" s="201"/>
      <c r="T38" s="203">
        <v>1062</v>
      </c>
      <c r="U38" s="204">
        <v>41827.894452197273</v>
      </c>
      <c r="V38" s="209"/>
      <c r="W38" s="186">
        <v>0</v>
      </c>
      <c r="X38" s="186">
        <v>0</v>
      </c>
      <c r="Y38" s="186">
        <v>0</v>
      </c>
      <c r="Z38" s="192">
        <v>41827.894452197273</v>
      </c>
      <c r="AA38" s="192">
        <f t="shared" si="5"/>
        <v>41827.894452197273</v>
      </c>
      <c r="AB38" s="195"/>
      <c r="AC38" s="195"/>
      <c r="AD38" s="195"/>
      <c r="AE38" s="195"/>
      <c r="AF38" s="195"/>
      <c r="AG38" s="195"/>
      <c r="AH38" s="189" t="str">
        <f t="shared" si="3"/>
        <v/>
      </c>
      <c r="AI38" s="189" t="str">
        <f t="shared" si="3"/>
        <v/>
      </c>
      <c r="AJ38" s="189" t="str">
        <f t="shared" si="3"/>
        <v/>
      </c>
      <c r="AK38" s="189" t="str">
        <f t="shared" si="4"/>
        <v/>
      </c>
      <c r="AL38" s="195"/>
      <c r="AM38" s="195"/>
      <c r="AN38" s="195"/>
      <c r="AO38" s="195"/>
      <c r="AP38" s="195"/>
      <c r="AQ38" s="195"/>
      <c r="AR38" s="195"/>
      <c r="AS38" s="195"/>
      <c r="AT38" s="195"/>
      <c r="AU38" s="195"/>
      <c r="AV38" s="195"/>
      <c r="AW38" s="195"/>
      <c r="AX38" s="195"/>
      <c r="AY38" s="195"/>
      <c r="AZ38" s="195"/>
      <c r="BA38" s="195"/>
      <c r="BB38" s="195"/>
      <c r="BC38" s="195"/>
      <c r="BD38" s="195"/>
      <c r="BE38" s="195"/>
      <c r="BF38" s="195"/>
      <c r="BG38" s="195"/>
      <c r="BH38" s="195"/>
      <c r="BI38" s="195"/>
      <c r="BJ38" s="195"/>
      <c r="BK38" s="195"/>
      <c r="BL38" s="195"/>
      <c r="BM38" s="195"/>
      <c r="BN38" s="195"/>
      <c r="BO38" s="195"/>
      <c r="BP38" s="195"/>
      <c r="BQ38" s="195"/>
      <c r="BR38" s="195"/>
      <c r="BS38" s="195"/>
      <c r="BT38" s="195"/>
      <c r="BU38" s="195"/>
      <c r="BV38" s="210"/>
      <c r="BW38" s="210"/>
      <c r="BX38" s="210"/>
      <c r="BY38" s="210"/>
      <c r="BZ38" s="210"/>
      <c r="CA38" s="210"/>
      <c r="CB38" s="210"/>
      <c r="CC38" s="210"/>
      <c r="CD38" s="210"/>
      <c r="CE38" s="210"/>
      <c r="CF38" s="210"/>
      <c r="CG38" s="210"/>
      <c r="CH38" s="210"/>
      <c r="CI38" s="210"/>
      <c r="CJ38" s="210"/>
      <c r="CK38" s="210"/>
      <c r="CL38" s="210"/>
      <c r="CM38" s="210"/>
      <c r="CN38" s="210"/>
      <c r="CO38" s="210"/>
      <c r="CP38" s="210"/>
      <c r="CQ38" s="210"/>
      <c r="CR38" s="210"/>
      <c r="CS38" s="210"/>
      <c r="CT38" s="210"/>
      <c r="CU38" s="210"/>
      <c r="CV38" s="210"/>
      <c r="CW38" s="210"/>
      <c r="CX38" s="210"/>
      <c r="CY38" s="210"/>
      <c r="CZ38" s="210"/>
      <c r="DA38" s="210"/>
      <c r="DB38" s="210"/>
      <c r="DC38" s="210"/>
      <c r="DD38" s="210"/>
      <c r="DE38" s="210"/>
      <c r="DF38" s="210"/>
      <c r="DG38" s="210"/>
      <c r="DH38" s="210"/>
      <c r="DI38" s="210"/>
      <c r="DJ38" s="210"/>
      <c r="DK38" s="210"/>
      <c r="DL38" s="210"/>
      <c r="DM38" s="210"/>
      <c r="DN38" s="210"/>
      <c r="DO38" s="210"/>
      <c r="DP38" s="210"/>
      <c r="DQ38" s="210"/>
      <c r="DR38" s="210"/>
      <c r="DS38" s="210"/>
      <c r="DT38" s="210"/>
      <c r="DU38" s="210"/>
      <c r="DV38" s="210"/>
      <c r="DW38" s="210"/>
      <c r="DX38" s="210"/>
      <c r="DY38" s="210"/>
      <c r="DZ38" s="210"/>
      <c r="EA38" s="210"/>
      <c r="EB38" s="210"/>
      <c r="EC38" s="210"/>
      <c r="ED38" s="210"/>
      <c r="EE38" s="210"/>
      <c r="EF38" s="210"/>
      <c r="EG38" s="210"/>
      <c r="EH38" s="210"/>
      <c r="EI38" s="210"/>
      <c r="EJ38" s="210"/>
      <c r="EK38" s="210"/>
      <c r="EL38" s="210"/>
      <c r="EM38" s="210"/>
      <c r="EN38" s="210"/>
      <c r="EO38" s="210"/>
      <c r="EP38" s="210"/>
      <c r="EQ38" s="210"/>
      <c r="ER38" s="210"/>
      <c r="ES38" s="210"/>
      <c r="ET38" s="210"/>
      <c r="EU38" s="210"/>
      <c r="EV38" s="210"/>
      <c r="EW38" s="210"/>
      <c r="EX38" s="210"/>
      <c r="EY38" s="210"/>
      <c r="EZ38" s="210"/>
      <c r="FA38" s="210"/>
      <c r="FB38" s="210"/>
      <c r="FC38" s="210"/>
      <c r="FD38" s="210"/>
      <c r="FE38" s="210"/>
      <c r="FF38" s="210"/>
      <c r="FG38" s="210"/>
      <c r="FH38" s="210"/>
      <c r="FI38" s="210"/>
      <c r="FJ38" s="210"/>
      <c r="FK38" s="210"/>
      <c r="FL38" s="210"/>
      <c r="FM38" s="210"/>
      <c r="FN38" s="210"/>
      <c r="FO38" s="210"/>
      <c r="FP38" s="210"/>
      <c r="FQ38" s="210"/>
      <c r="FR38" s="210"/>
      <c r="FS38" s="210"/>
      <c r="FT38" s="210"/>
      <c r="FU38" s="210"/>
      <c r="FV38" s="210"/>
      <c r="FW38" s="210"/>
      <c r="FX38" s="210"/>
      <c r="FY38" s="210"/>
      <c r="FZ38" s="210"/>
      <c r="GA38" s="210"/>
      <c r="GB38" s="210"/>
      <c r="GC38" s="210"/>
      <c r="GD38" s="210"/>
      <c r="GE38" s="210"/>
      <c r="GF38" s="210"/>
      <c r="GG38" s="210"/>
      <c r="GH38" s="210"/>
      <c r="GI38" s="210"/>
    </row>
    <row r="39" spans="1:191" ht="15" customHeight="1">
      <c r="A39" s="187"/>
      <c r="B39" s="196">
        <v>23</v>
      </c>
      <c r="C39" s="197" t="s">
        <v>1006</v>
      </c>
      <c r="D39" s="198" t="s">
        <v>1007</v>
      </c>
      <c r="E39" s="198" t="s">
        <v>1008</v>
      </c>
      <c r="F39" s="198" t="s">
        <v>1012</v>
      </c>
      <c r="G39" s="207"/>
      <c r="H39" s="207"/>
      <c r="I39" s="196"/>
      <c r="J39" s="207"/>
      <c r="K39" s="208"/>
      <c r="L39" s="208"/>
      <c r="M39" s="208"/>
      <c r="N39" s="196">
        <v>1</v>
      </c>
      <c r="O39" s="201"/>
      <c r="P39" s="202"/>
      <c r="Q39" s="202"/>
      <c r="R39" s="201"/>
      <c r="S39" s="201"/>
      <c r="T39" s="203">
        <v>1062</v>
      </c>
      <c r="U39" s="204">
        <v>41827.894452197273</v>
      </c>
      <c r="V39" s="209"/>
      <c r="W39" s="186">
        <v>0</v>
      </c>
      <c r="X39" s="186">
        <v>0</v>
      </c>
      <c r="Y39" s="186">
        <v>0</v>
      </c>
      <c r="Z39" s="192">
        <v>41827.894452197273</v>
      </c>
      <c r="AA39" s="192">
        <f t="shared" si="5"/>
        <v>41827.894452197273</v>
      </c>
      <c r="AB39" s="195"/>
      <c r="AC39" s="195"/>
      <c r="AD39" s="195"/>
      <c r="AE39" s="195"/>
      <c r="AF39" s="195"/>
      <c r="AG39" s="195"/>
      <c r="AH39" s="189" t="str">
        <f t="shared" si="3"/>
        <v/>
      </c>
      <c r="AI39" s="189" t="str">
        <f t="shared" si="3"/>
        <v/>
      </c>
      <c r="AJ39" s="189" t="str">
        <f t="shared" si="3"/>
        <v/>
      </c>
      <c r="AK39" s="189" t="str">
        <f t="shared" si="4"/>
        <v/>
      </c>
      <c r="AL39" s="195"/>
      <c r="AM39" s="195"/>
      <c r="AN39" s="195"/>
      <c r="AO39" s="195"/>
      <c r="AP39" s="195"/>
      <c r="AQ39" s="195"/>
      <c r="AR39" s="195"/>
      <c r="AS39" s="195"/>
      <c r="AT39" s="195"/>
      <c r="AU39" s="195"/>
      <c r="AV39" s="195"/>
      <c r="AW39" s="195"/>
      <c r="AX39" s="195"/>
      <c r="AY39" s="195"/>
      <c r="AZ39" s="195"/>
      <c r="BA39" s="195"/>
      <c r="BB39" s="195"/>
      <c r="BC39" s="195"/>
      <c r="BD39" s="195"/>
      <c r="BE39" s="195"/>
      <c r="BF39" s="195"/>
      <c r="BG39" s="195"/>
      <c r="BH39" s="195"/>
      <c r="BI39" s="195"/>
      <c r="BJ39" s="195"/>
      <c r="BK39" s="195"/>
      <c r="BL39" s="195"/>
      <c r="BM39" s="195"/>
      <c r="BN39" s="195"/>
      <c r="BO39" s="195"/>
      <c r="BP39" s="195"/>
      <c r="BQ39" s="195"/>
      <c r="BR39" s="195"/>
      <c r="BS39" s="195"/>
      <c r="BT39" s="195"/>
      <c r="BU39" s="195"/>
      <c r="BV39" s="210"/>
      <c r="BW39" s="210"/>
      <c r="BX39" s="210"/>
      <c r="BY39" s="210"/>
      <c r="BZ39" s="210"/>
      <c r="CA39" s="210"/>
      <c r="CB39" s="210"/>
      <c r="CC39" s="210"/>
      <c r="CD39" s="210"/>
      <c r="CE39" s="210"/>
      <c r="CF39" s="210"/>
      <c r="CG39" s="210"/>
      <c r="CH39" s="210"/>
      <c r="CI39" s="210"/>
      <c r="CJ39" s="210"/>
      <c r="CK39" s="210"/>
      <c r="CL39" s="210"/>
      <c r="CM39" s="210"/>
      <c r="CN39" s="210"/>
      <c r="CO39" s="210"/>
      <c r="CP39" s="210"/>
      <c r="CQ39" s="210"/>
      <c r="CR39" s="210"/>
      <c r="CS39" s="210"/>
      <c r="CT39" s="210"/>
      <c r="CU39" s="210"/>
      <c r="CV39" s="210"/>
      <c r="CW39" s="210"/>
      <c r="CX39" s="210"/>
      <c r="CY39" s="210"/>
      <c r="CZ39" s="210"/>
      <c r="DA39" s="210"/>
      <c r="DB39" s="210"/>
      <c r="DC39" s="210"/>
      <c r="DD39" s="210"/>
      <c r="DE39" s="210"/>
      <c r="DF39" s="210"/>
      <c r="DG39" s="210"/>
      <c r="DH39" s="210"/>
      <c r="DI39" s="210"/>
      <c r="DJ39" s="210"/>
      <c r="DK39" s="210"/>
      <c r="DL39" s="210"/>
      <c r="DM39" s="210"/>
      <c r="DN39" s="210"/>
      <c r="DO39" s="210"/>
      <c r="DP39" s="210"/>
      <c r="DQ39" s="210"/>
      <c r="DR39" s="210"/>
      <c r="DS39" s="210"/>
      <c r="DT39" s="210"/>
      <c r="DU39" s="210"/>
      <c r="DV39" s="210"/>
      <c r="DW39" s="210"/>
      <c r="DX39" s="210"/>
      <c r="DY39" s="210"/>
      <c r="DZ39" s="210"/>
      <c r="EA39" s="210"/>
      <c r="EB39" s="210"/>
      <c r="EC39" s="210"/>
      <c r="ED39" s="210"/>
      <c r="EE39" s="210"/>
      <c r="EF39" s="210"/>
      <c r="EG39" s="210"/>
      <c r="EH39" s="210"/>
      <c r="EI39" s="210"/>
      <c r="EJ39" s="210"/>
      <c r="EK39" s="210"/>
      <c r="EL39" s="210"/>
      <c r="EM39" s="210"/>
      <c r="EN39" s="210"/>
      <c r="EO39" s="210"/>
      <c r="EP39" s="210"/>
      <c r="EQ39" s="210"/>
      <c r="ER39" s="210"/>
      <c r="ES39" s="210"/>
      <c r="ET39" s="210"/>
      <c r="EU39" s="210"/>
      <c r="EV39" s="210"/>
      <c r="EW39" s="210"/>
      <c r="EX39" s="210"/>
      <c r="EY39" s="210"/>
      <c r="EZ39" s="210"/>
      <c r="FA39" s="210"/>
      <c r="FB39" s="210"/>
      <c r="FC39" s="210"/>
      <c r="FD39" s="210"/>
      <c r="FE39" s="210"/>
      <c r="FF39" s="210"/>
      <c r="FG39" s="210"/>
      <c r="FH39" s="210"/>
      <c r="FI39" s="210"/>
      <c r="FJ39" s="210"/>
      <c r="FK39" s="210"/>
      <c r="FL39" s="210"/>
      <c r="FM39" s="210"/>
      <c r="FN39" s="210"/>
      <c r="FO39" s="210"/>
      <c r="FP39" s="210"/>
      <c r="FQ39" s="210"/>
      <c r="FR39" s="210"/>
      <c r="FS39" s="210"/>
      <c r="FT39" s="210"/>
      <c r="FU39" s="210"/>
      <c r="FV39" s="210"/>
      <c r="FW39" s="210"/>
      <c r="FX39" s="210"/>
      <c r="FY39" s="210"/>
      <c r="FZ39" s="210"/>
      <c r="GA39" s="210"/>
      <c r="GB39" s="210"/>
      <c r="GC39" s="210"/>
      <c r="GD39" s="210"/>
      <c r="GE39" s="210"/>
      <c r="GF39" s="210"/>
      <c r="GG39" s="210"/>
      <c r="GH39" s="210"/>
      <c r="GI39" s="210"/>
    </row>
    <row r="40" spans="1:191" ht="15" customHeight="1">
      <c r="A40" s="187"/>
      <c r="B40" s="196">
        <v>23</v>
      </c>
      <c r="C40" s="197" t="s">
        <v>1006</v>
      </c>
      <c r="D40" s="198" t="s">
        <v>1007</v>
      </c>
      <c r="E40" s="198" t="s">
        <v>1008</v>
      </c>
      <c r="F40" s="198" t="s">
        <v>1013</v>
      </c>
      <c r="G40" s="207"/>
      <c r="H40" s="207"/>
      <c r="I40" s="196"/>
      <c r="J40" s="207"/>
      <c r="K40" s="208"/>
      <c r="L40" s="208"/>
      <c r="M40" s="208"/>
      <c r="N40" s="196">
        <v>1</v>
      </c>
      <c r="O40" s="201"/>
      <c r="P40" s="202"/>
      <c r="Q40" s="202"/>
      <c r="R40" s="201"/>
      <c r="S40" s="201"/>
      <c r="T40" s="203">
        <v>1062</v>
      </c>
      <c r="U40" s="204">
        <v>41827.894452197273</v>
      </c>
      <c r="V40" s="209"/>
      <c r="W40" s="186">
        <v>0</v>
      </c>
      <c r="X40" s="186">
        <v>0</v>
      </c>
      <c r="Y40" s="186">
        <v>0</v>
      </c>
      <c r="Z40" s="192">
        <v>41827.894452197273</v>
      </c>
      <c r="AA40" s="192">
        <f t="shared" si="5"/>
        <v>41827.894452197273</v>
      </c>
      <c r="AB40" s="195"/>
      <c r="AC40" s="195"/>
      <c r="AD40" s="195"/>
      <c r="AE40" s="195"/>
      <c r="AF40" s="195"/>
      <c r="AG40" s="195"/>
      <c r="AH40" s="189" t="str">
        <f t="shared" si="3"/>
        <v/>
      </c>
      <c r="AI40" s="189" t="str">
        <f t="shared" si="3"/>
        <v/>
      </c>
      <c r="AJ40" s="189" t="str">
        <f t="shared" si="3"/>
        <v/>
      </c>
      <c r="AK40" s="189" t="str">
        <f t="shared" si="4"/>
        <v/>
      </c>
      <c r="AL40" s="195"/>
      <c r="AM40" s="195"/>
      <c r="AN40" s="195"/>
      <c r="AO40" s="195"/>
      <c r="AP40" s="195"/>
      <c r="AQ40" s="195"/>
      <c r="AR40" s="195"/>
      <c r="AS40" s="195"/>
      <c r="AT40" s="195"/>
      <c r="AU40" s="195"/>
      <c r="AV40" s="195"/>
      <c r="AW40" s="195"/>
      <c r="AX40" s="195"/>
      <c r="AY40" s="195"/>
      <c r="AZ40" s="195"/>
      <c r="BA40" s="195"/>
      <c r="BB40" s="195"/>
      <c r="BC40" s="195"/>
      <c r="BD40" s="195"/>
      <c r="BE40" s="195"/>
      <c r="BF40" s="195"/>
      <c r="BG40" s="195"/>
      <c r="BH40" s="195"/>
      <c r="BI40" s="195"/>
      <c r="BJ40" s="195"/>
      <c r="BK40" s="195"/>
      <c r="BL40" s="195"/>
      <c r="BM40" s="195"/>
      <c r="BN40" s="195"/>
      <c r="BO40" s="195"/>
      <c r="BP40" s="195"/>
      <c r="BQ40" s="195"/>
      <c r="BR40" s="195"/>
      <c r="BS40" s="195"/>
      <c r="BT40" s="195"/>
      <c r="BU40" s="195"/>
      <c r="BV40" s="210"/>
      <c r="BW40" s="210"/>
      <c r="BX40" s="210"/>
      <c r="BY40" s="210"/>
      <c r="BZ40" s="210"/>
      <c r="CA40" s="210"/>
      <c r="CB40" s="210"/>
      <c r="CC40" s="210"/>
      <c r="CD40" s="210"/>
      <c r="CE40" s="210"/>
      <c r="CF40" s="210"/>
      <c r="CG40" s="210"/>
      <c r="CH40" s="210"/>
      <c r="CI40" s="210"/>
      <c r="CJ40" s="210"/>
      <c r="CK40" s="210"/>
      <c r="CL40" s="210"/>
      <c r="CM40" s="210"/>
      <c r="CN40" s="210"/>
      <c r="CO40" s="210"/>
      <c r="CP40" s="210"/>
      <c r="CQ40" s="210"/>
      <c r="CR40" s="210"/>
      <c r="CS40" s="210"/>
      <c r="CT40" s="210"/>
      <c r="CU40" s="210"/>
      <c r="CV40" s="210"/>
      <c r="CW40" s="210"/>
      <c r="CX40" s="210"/>
      <c r="CY40" s="210"/>
      <c r="CZ40" s="210"/>
      <c r="DA40" s="210"/>
      <c r="DB40" s="210"/>
      <c r="DC40" s="210"/>
      <c r="DD40" s="210"/>
      <c r="DE40" s="210"/>
      <c r="DF40" s="210"/>
      <c r="DG40" s="210"/>
      <c r="DH40" s="210"/>
      <c r="DI40" s="210"/>
      <c r="DJ40" s="210"/>
      <c r="DK40" s="210"/>
      <c r="DL40" s="210"/>
      <c r="DM40" s="210"/>
      <c r="DN40" s="210"/>
      <c r="DO40" s="210"/>
      <c r="DP40" s="210"/>
      <c r="DQ40" s="210"/>
      <c r="DR40" s="210"/>
      <c r="DS40" s="210"/>
      <c r="DT40" s="210"/>
      <c r="DU40" s="210"/>
      <c r="DV40" s="210"/>
      <c r="DW40" s="210"/>
      <c r="DX40" s="210"/>
      <c r="DY40" s="210"/>
      <c r="DZ40" s="210"/>
      <c r="EA40" s="210"/>
      <c r="EB40" s="210"/>
      <c r="EC40" s="210"/>
      <c r="ED40" s="210"/>
      <c r="EE40" s="210"/>
      <c r="EF40" s="210"/>
      <c r="EG40" s="210"/>
      <c r="EH40" s="210"/>
      <c r="EI40" s="210"/>
      <c r="EJ40" s="210"/>
      <c r="EK40" s="210"/>
      <c r="EL40" s="210"/>
      <c r="EM40" s="210"/>
      <c r="EN40" s="210"/>
      <c r="EO40" s="210"/>
      <c r="EP40" s="210"/>
      <c r="EQ40" s="210"/>
      <c r="ER40" s="210"/>
      <c r="ES40" s="210"/>
      <c r="ET40" s="210"/>
      <c r="EU40" s="210"/>
      <c r="EV40" s="210"/>
      <c r="EW40" s="210"/>
      <c r="EX40" s="210"/>
      <c r="EY40" s="210"/>
      <c r="EZ40" s="210"/>
      <c r="FA40" s="210"/>
      <c r="FB40" s="210"/>
      <c r="FC40" s="210"/>
      <c r="FD40" s="210"/>
      <c r="FE40" s="210"/>
      <c r="FF40" s="210"/>
      <c r="FG40" s="210"/>
      <c r="FH40" s="210"/>
      <c r="FI40" s="210"/>
      <c r="FJ40" s="210"/>
      <c r="FK40" s="210"/>
      <c r="FL40" s="210"/>
      <c r="FM40" s="210"/>
      <c r="FN40" s="210"/>
      <c r="FO40" s="210"/>
      <c r="FP40" s="210"/>
      <c r="FQ40" s="210"/>
      <c r="FR40" s="210"/>
      <c r="FS40" s="210"/>
      <c r="FT40" s="210"/>
      <c r="FU40" s="210"/>
      <c r="FV40" s="210"/>
      <c r="FW40" s="210"/>
      <c r="FX40" s="210"/>
      <c r="FY40" s="210"/>
      <c r="FZ40" s="210"/>
      <c r="GA40" s="210"/>
      <c r="GB40" s="210"/>
      <c r="GC40" s="210"/>
      <c r="GD40" s="210"/>
      <c r="GE40" s="210"/>
      <c r="GF40" s="210"/>
      <c r="GG40" s="210"/>
      <c r="GH40" s="210"/>
      <c r="GI40" s="210"/>
    </row>
    <row r="41" spans="1:191" ht="15" customHeight="1">
      <c r="A41" s="187"/>
      <c r="B41" s="196">
        <v>23</v>
      </c>
      <c r="C41" s="197" t="s">
        <v>1006</v>
      </c>
      <c r="D41" s="198" t="s">
        <v>1007</v>
      </c>
      <c r="E41" s="198" t="s">
        <v>1008</v>
      </c>
      <c r="F41" s="198" t="s">
        <v>1014</v>
      </c>
      <c r="G41" s="207"/>
      <c r="H41" s="207"/>
      <c r="I41" s="196"/>
      <c r="J41" s="207"/>
      <c r="K41" s="208"/>
      <c r="L41" s="208"/>
      <c r="M41" s="208"/>
      <c r="N41" s="196">
        <v>1</v>
      </c>
      <c r="O41" s="201"/>
      <c r="P41" s="202"/>
      <c r="Q41" s="202"/>
      <c r="R41" s="201"/>
      <c r="S41" s="201"/>
      <c r="T41" s="203">
        <v>1062</v>
      </c>
      <c r="U41" s="204">
        <v>41827.894452197273</v>
      </c>
      <c r="V41" s="209"/>
      <c r="W41" s="186">
        <v>0</v>
      </c>
      <c r="X41" s="186">
        <v>0</v>
      </c>
      <c r="Y41" s="186">
        <v>0</v>
      </c>
      <c r="Z41" s="192">
        <v>41827.894452197273</v>
      </c>
      <c r="AA41" s="192">
        <f t="shared" si="5"/>
        <v>41827.894452197273</v>
      </c>
      <c r="AB41" s="195"/>
      <c r="AC41" s="195"/>
      <c r="AD41" s="195"/>
      <c r="AE41" s="195"/>
      <c r="AF41" s="195"/>
      <c r="AG41" s="195"/>
      <c r="AH41" s="189" t="str">
        <f t="shared" si="3"/>
        <v/>
      </c>
      <c r="AI41" s="189" t="str">
        <f t="shared" si="3"/>
        <v/>
      </c>
      <c r="AJ41" s="189" t="str">
        <f t="shared" si="3"/>
        <v/>
      </c>
      <c r="AK41" s="189" t="str">
        <f t="shared" si="4"/>
        <v/>
      </c>
      <c r="AL41" s="195"/>
      <c r="AM41" s="195"/>
      <c r="AN41" s="195"/>
      <c r="AO41" s="195"/>
      <c r="AP41" s="195"/>
      <c r="AQ41" s="195"/>
      <c r="AR41" s="195"/>
      <c r="AS41" s="195"/>
      <c r="AT41" s="195"/>
      <c r="AU41" s="195"/>
      <c r="AV41" s="195"/>
      <c r="AW41" s="195"/>
      <c r="AX41" s="195"/>
      <c r="AY41" s="195"/>
      <c r="AZ41" s="195"/>
      <c r="BA41" s="195"/>
      <c r="BB41" s="195"/>
      <c r="BC41" s="195"/>
      <c r="BD41" s="195"/>
      <c r="BE41" s="195"/>
      <c r="BF41" s="195"/>
      <c r="BG41" s="195"/>
      <c r="BH41" s="195"/>
      <c r="BI41" s="195"/>
      <c r="BJ41" s="195"/>
      <c r="BK41" s="195"/>
      <c r="BL41" s="195"/>
      <c r="BM41" s="195"/>
      <c r="BN41" s="195"/>
      <c r="BO41" s="195"/>
      <c r="BP41" s="195"/>
      <c r="BQ41" s="195"/>
      <c r="BR41" s="195"/>
      <c r="BS41" s="195"/>
      <c r="BT41" s="195"/>
      <c r="BU41" s="195"/>
      <c r="BV41" s="210"/>
      <c r="BW41" s="210"/>
      <c r="BX41" s="210"/>
      <c r="BY41" s="210"/>
      <c r="BZ41" s="210"/>
      <c r="CA41" s="210"/>
      <c r="CB41" s="210"/>
      <c r="CC41" s="210"/>
      <c r="CD41" s="210"/>
      <c r="CE41" s="210"/>
      <c r="CF41" s="210"/>
      <c r="CG41" s="210"/>
      <c r="CH41" s="210"/>
      <c r="CI41" s="210"/>
      <c r="CJ41" s="210"/>
      <c r="CK41" s="210"/>
      <c r="CL41" s="210"/>
      <c r="CM41" s="210"/>
      <c r="CN41" s="210"/>
      <c r="CO41" s="210"/>
      <c r="CP41" s="210"/>
      <c r="CQ41" s="210"/>
      <c r="CR41" s="210"/>
      <c r="CS41" s="210"/>
      <c r="CT41" s="210"/>
      <c r="CU41" s="210"/>
      <c r="CV41" s="210"/>
      <c r="CW41" s="210"/>
      <c r="CX41" s="210"/>
      <c r="CY41" s="210"/>
      <c r="CZ41" s="210"/>
      <c r="DA41" s="210"/>
      <c r="DB41" s="210"/>
      <c r="DC41" s="210"/>
      <c r="DD41" s="210"/>
      <c r="DE41" s="210"/>
      <c r="DF41" s="210"/>
      <c r="DG41" s="210"/>
      <c r="DH41" s="210"/>
      <c r="DI41" s="210"/>
      <c r="DJ41" s="210"/>
      <c r="DK41" s="210"/>
      <c r="DL41" s="210"/>
      <c r="DM41" s="210"/>
      <c r="DN41" s="210"/>
      <c r="DO41" s="210"/>
      <c r="DP41" s="210"/>
      <c r="DQ41" s="210"/>
      <c r="DR41" s="210"/>
      <c r="DS41" s="210"/>
      <c r="DT41" s="210"/>
      <c r="DU41" s="210"/>
      <c r="DV41" s="210"/>
      <c r="DW41" s="210"/>
      <c r="DX41" s="210"/>
      <c r="DY41" s="210"/>
      <c r="DZ41" s="210"/>
      <c r="EA41" s="210"/>
      <c r="EB41" s="210"/>
      <c r="EC41" s="210"/>
      <c r="ED41" s="210"/>
      <c r="EE41" s="210"/>
      <c r="EF41" s="210"/>
      <c r="EG41" s="210"/>
      <c r="EH41" s="210"/>
      <c r="EI41" s="210"/>
      <c r="EJ41" s="210"/>
      <c r="EK41" s="210"/>
      <c r="EL41" s="210"/>
      <c r="EM41" s="210"/>
      <c r="EN41" s="210"/>
      <c r="EO41" s="210"/>
      <c r="EP41" s="210"/>
      <c r="EQ41" s="210"/>
      <c r="ER41" s="210"/>
      <c r="ES41" s="210"/>
      <c r="ET41" s="210"/>
      <c r="EU41" s="210"/>
      <c r="EV41" s="210"/>
      <c r="EW41" s="210"/>
      <c r="EX41" s="210"/>
      <c r="EY41" s="210"/>
      <c r="EZ41" s="210"/>
      <c r="FA41" s="210"/>
      <c r="FB41" s="210"/>
      <c r="FC41" s="210"/>
      <c r="FD41" s="210"/>
      <c r="FE41" s="210"/>
      <c r="FF41" s="210"/>
      <c r="FG41" s="210"/>
      <c r="FH41" s="210"/>
      <c r="FI41" s="210"/>
      <c r="FJ41" s="210"/>
      <c r="FK41" s="210"/>
      <c r="FL41" s="210"/>
      <c r="FM41" s="210"/>
      <c r="FN41" s="210"/>
      <c r="FO41" s="210"/>
      <c r="FP41" s="210"/>
      <c r="FQ41" s="210"/>
      <c r="FR41" s="210"/>
      <c r="FS41" s="210"/>
      <c r="FT41" s="210"/>
      <c r="FU41" s="210"/>
      <c r="FV41" s="210"/>
      <c r="FW41" s="210"/>
      <c r="FX41" s="210"/>
      <c r="FY41" s="210"/>
      <c r="FZ41" s="210"/>
      <c r="GA41" s="210"/>
      <c r="GB41" s="210"/>
      <c r="GC41" s="210"/>
      <c r="GD41" s="210"/>
      <c r="GE41" s="210"/>
      <c r="GF41" s="210"/>
      <c r="GG41" s="210"/>
      <c r="GH41" s="210"/>
      <c r="GI41" s="210"/>
    </row>
    <row r="42" spans="1:191" ht="15" customHeight="1">
      <c r="A42" s="187"/>
      <c r="B42" s="196">
        <v>23</v>
      </c>
      <c r="C42" s="197" t="s">
        <v>1006</v>
      </c>
      <c r="D42" s="198" t="s">
        <v>1007</v>
      </c>
      <c r="E42" s="198" t="s">
        <v>1008</v>
      </c>
      <c r="F42" s="198" t="s">
        <v>1015</v>
      </c>
      <c r="G42" s="207"/>
      <c r="H42" s="207"/>
      <c r="I42" s="196"/>
      <c r="J42" s="207"/>
      <c r="K42" s="208"/>
      <c r="L42" s="208"/>
      <c r="M42" s="208"/>
      <c r="N42" s="196">
        <v>1</v>
      </c>
      <c r="O42" s="201"/>
      <c r="P42" s="202"/>
      <c r="Q42" s="202"/>
      <c r="R42" s="201"/>
      <c r="S42" s="201"/>
      <c r="T42" s="203">
        <v>1062</v>
      </c>
      <c r="U42" s="204">
        <v>41827.894452197273</v>
      </c>
      <c r="V42" s="209"/>
      <c r="W42" s="186">
        <v>0</v>
      </c>
      <c r="X42" s="186">
        <v>0</v>
      </c>
      <c r="Y42" s="186">
        <v>0</v>
      </c>
      <c r="Z42" s="192">
        <v>41827.894452197273</v>
      </c>
      <c r="AA42" s="192">
        <f t="shared" si="5"/>
        <v>41827.894452197273</v>
      </c>
      <c r="AB42" s="195"/>
      <c r="AC42" s="195"/>
      <c r="AD42" s="195"/>
      <c r="AE42" s="195"/>
      <c r="AF42" s="195"/>
      <c r="AG42" s="195"/>
      <c r="AH42" s="189" t="str">
        <f t="shared" si="3"/>
        <v/>
      </c>
      <c r="AI42" s="189" t="str">
        <f t="shared" si="3"/>
        <v/>
      </c>
      <c r="AJ42" s="189" t="str">
        <f t="shared" si="3"/>
        <v/>
      </c>
      <c r="AK42" s="189" t="str">
        <f t="shared" si="4"/>
        <v/>
      </c>
      <c r="AL42" s="195"/>
      <c r="AM42" s="195"/>
      <c r="AN42" s="195"/>
      <c r="AO42" s="195"/>
      <c r="AP42" s="195"/>
      <c r="AQ42" s="195"/>
      <c r="AR42" s="195"/>
      <c r="AS42" s="195"/>
      <c r="AT42" s="195"/>
      <c r="AU42" s="195"/>
      <c r="AV42" s="195"/>
      <c r="AW42" s="195"/>
      <c r="AX42" s="195"/>
      <c r="AY42" s="195"/>
      <c r="AZ42" s="195"/>
      <c r="BA42" s="195"/>
      <c r="BB42" s="195"/>
      <c r="BC42" s="195"/>
      <c r="BD42" s="195"/>
      <c r="BE42" s="195"/>
      <c r="BF42" s="195"/>
      <c r="BG42" s="195"/>
      <c r="BH42" s="195"/>
      <c r="BI42" s="195"/>
      <c r="BJ42" s="195"/>
      <c r="BK42" s="195"/>
      <c r="BL42" s="195"/>
      <c r="BM42" s="195"/>
      <c r="BN42" s="195"/>
      <c r="BO42" s="195"/>
      <c r="BP42" s="195"/>
      <c r="BQ42" s="195"/>
      <c r="BR42" s="195"/>
      <c r="BS42" s="195"/>
      <c r="BT42" s="195"/>
      <c r="BU42" s="195"/>
      <c r="BV42" s="210"/>
      <c r="BW42" s="210"/>
      <c r="BX42" s="210"/>
      <c r="BY42" s="210"/>
      <c r="BZ42" s="210"/>
      <c r="CA42" s="210"/>
      <c r="CB42" s="210"/>
      <c r="CC42" s="210"/>
      <c r="CD42" s="210"/>
      <c r="CE42" s="210"/>
      <c r="CF42" s="210"/>
      <c r="CG42" s="210"/>
      <c r="CH42" s="210"/>
      <c r="CI42" s="210"/>
      <c r="CJ42" s="210"/>
      <c r="CK42" s="210"/>
      <c r="CL42" s="210"/>
      <c r="CM42" s="210"/>
      <c r="CN42" s="210"/>
      <c r="CO42" s="210"/>
      <c r="CP42" s="210"/>
      <c r="CQ42" s="210"/>
      <c r="CR42" s="210"/>
      <c r="CS42" s="210"/>
      <c r="CT42" s="210"/>
      <c r="CU42" s="210"/>
      <c r="CV42" s="210"/>
      <c r="CW42" s="210"/>
      <c r="CX42" s="210"/>
      <c r="CY42" s="210"/>
      <c r="CZ42" s="210"/>
      <c r="DA42" s="210"/>
      <c r="DB42" s="210"/>
      <c r="DC42" s="210"/>
      <c r="DD42" s="210"/>
      <c r="DE42" s="210"/>
      <c r="DF42" s="210"/>
      <c r="DG42" s="210"/>
      <c r="DH42" s="210"/>
      <c r="DI42" s="210"/>
      <c r="DJ42" s="210"/>
      <c r="DK42" s="210"/>
      <c r="DL42" s="210"/>
      <c r="DM42" s="210"/>
      <c r="DN42" s="210"/>
      <c r="DO42" s="210"/>
      <c r="DP42" s="210"/>
      <c r="DQ42" s="210"/>
      <c r="DR42" s="210"/>
      <c r="DS42" s="210"/>
      <c r="DT42" s="210"/>
      <c r="DU42" s="210"/>
      <c r="DV42" s="210"/>
      <c r="DW42" s="210"/>
      <c r="DX42" s="210"/>
      <c r="DY42" s="210"/>
      <c r="DZ42" s="210"/>
      <c r="EA42" s="210"/>
      <c r="EB42" s="210"/>
      <c r="EC42" s="210"/>
      <c r="ED42" s="210"/>
      <c r="EE42" s="210"/>
      <c r="EF42" s="210"/>
      <c r="EG42" s="210"/>
      <c r="EH42" s="210"/>
      <c r="EI42" s="210"/>
      <c r="EJ42" s="210"/>
      <c r="EK42" s="210"/>
      <c r="EL42" s="210"/>
      <c r="EM42" s="210"/>
      <c r="EN42" s="210"/>
      <c r="EO42" s="210"/>
      <c r="EP42" s="210"/>
      <c r="EQ42" s="210"/>
      <c r="ER42" s="210"/>
      <c r="ES42" s="210"/>
      <c r="ET42" s="210"/>
      <c r="EU42" s="210"/>
      <c r="EV42" s="210"/>
      <c r="EW42" s="210"/>
      <c r="EX42" s="210"/>
      <c r="EY42" s="210"/>
      <c r="EZ42" s="210"/>
      <c r="FA42" s="210"/>
      <c r="FB42" s="210"/>
      <c r="FC42" s="210"/>
      <c r="FD42" s="210"/>
      <c r="FE42" s="210"/>
      <c r="FF42" s="210"/>
      <c r="FG42" s="210"/>
      <c r="FH42" s="210"/>
      <c r="FI42" s="210"/>
      <c r="FJ42" s="210"/>
      <c r="FK42" s="210"/>
      <c r="FL42" s="210"/>
      <c r="FM42" s="210"/>
      <c r="FN42" s="210"/>
      <c r="FO42" s="210"/>
      <c r="FP42" s="210"/>
      <c r="FQ42" s="210"/>
      <c r="FR42" s="210"/>
      <c r="FS42" s="210"/>
      <c r="FT42" s="210"/>
      <c r="FU42" s="210"/>
      <c r="FV42" s="210"/>
      <c r="FW42" s="210"/>
      <c r="FX42" s="210"/>
      <c r="FY42" s="210"/>
      <c r="FZ42" s="210"/>
      <c r="GA42" s="210"/>
      <c r="GB42" s="210"/>
      <c r="GC42" s="210"/>
      <c r="GD42" s="210"/>
      <c r="GE42" s="210"/>
      <c r="GF42" s="210"/>
      <c r="GG42" s="210"/>
      <c r="GH42" s="210"/>
      <c r="GI42" s="210"/>
    </row>
    <row r="43" spans="1:191" ht="15" customHeight="1">
      <c r="A43" s="187"/>
      <c r="B43" s="196">
        <v>23</v>
      </c>
      <c r="C43" s="197" t="s">
        <v>1006</v>
      </c>
      <c r="D43" s="198" t="s">
        <v>1007</v>
      </c>
      <c r="E43" s="198" t="s">
        <v>1008</v>
      </c>
      <c r="F43" s="198" t="s">
        <v>1016</v>
      </c>
      <c r="G43" s="207"/>
      <c r="H43" s="207"/>
      <c r="I43" s="196"/>
      <c r="J43" s="207"/>
      <c r="K43" s="208"/>
      <c r="L43" s="208"/>
      <c r="M43" s="208"/>
      <c r="N43" s="196">
        <v>1</v>
      </c>
      <c r="O43" s="201"/>
      <c r="P43" s="202"/>
      <c r="Q43" s="202"/>
      <c r="R43" s="201"/>
      <c r="S43" s="201"/>
      <c r="T43" s="203">
        <v>1062</v>
      </c>
      <c r="U43" s="204">
        <v>41827.894452197273</v>
      </c>
      <c r="V43" s="209"/>
      <c r="W43" s="186">
        <v>0</v>
      </c>
      <c r="X43" s="186">
        <v>0</v>
      </c>
      <c r="Y43" s="186">
        <v>0</v>
      </c>
      <c r="Z43" s="192">
        <v>41827.894452197273</v>
      </c>
      <c r="AA43" s="192">
        <f t="shared" si="5"/>
        <v>41827.894452197273</v>
      </c>
      <c r="AB43" s="195"/>
      <c r="AC43" s="195"/>
      <c r="AD43" s="195"/>
      <c r="AE43" s="195"/>
      <c r="AF43" s="195"/>
      <c r="AG43" s="195"/>
      <c r="AH43" s="189" t="str">
        <f t="shared" si="3"/>
        <v/>
      </c>
      <c r="AI43" s="189" t="str">
        <f t="shared" si="3"/>
        <v/>
      </c>
      <c r="AJ43" s="189" t="str">
        <f t="shared" si="3"/>
        <v/>
      </c>
      <c r="AK43" s="189" t="str">
        <f t="shared" si="4"/>
        <v/>
      </c>
      <c r="AL43" s="195"/>
      <c r="AM43" s="195"/>
      <c r="AN43" s="195"/>
      <c r="AO43" s="195"/>
      <c r="AP43" s="195"/>
      <c r="AQ43" s="195"/>
      <c r="AR43" s="195"/>
      <c r="AS43" s="195"/>
      <c r="AT43" s="195"/>
      <c r="AU43" s="195"/>
      <c r="AV43" s="195"/>
      <c r="AW43" s="195"/>
      <c r="AX43" s="195"/>
      <c r="AY43" s="195"/>
      <c r="AZ43" s="195"/>
      <c r="BA43" s="195"/>
      <c r="BB43" s="195"/>
      <c r="BC43" s="195"/>
      <c r="BD43" s="195"/>
      <c r="BE43" s="195"/>
      <c r="BF43" s="195"/>
      <c r="BG43" s="195"/>
      <c r="BH43" s="195"/>
      <c r="BI43" s="195"/>
      <c r="BJ43" s="195"/>
      <c r="BK43" s="195"/>
      <c r="BL43" s="195"/>
      <c r="BM43" s="195"/>
      <c r="BN43" s="195"/>
      <c r="BO43" s="195"/>
      <c r="BP43" s="195"/>
      <c r="BQ43" s="195"/>
      <c r="BR43" s="195"/>
      <c r="BS43" s="195"/>
      <c r="BT43" s="195"/>
      <c r="BU43" s="195"/>
      <c r="BV43" s="210"/>
      <c r="BW43" s="210"/>
      <c r="BX43" s="210"/>
      <c r="BY43" s="210"/>
      <c r="BZ43" s="210"/>
      <c r="CA43" s="210"/>
      <c r="CB43" s="210"/>
      <c r="CC43" s="210"/>
      <c r="CD43" s="210"/>
      <c r="CE43" s="210"/>
      <c r="CF43" s="210"/>
      <c r="CG43" s="210"/>
      <c r="CH43" s="210"/>
      <c r="CI43" s="210"/>
      <c r="CJ43" s="210"/>
      <c r="CK43" s="210"/>
      <c r="CL43" s="210"/>
      <c r="CM43" s="210"/>
      <c r="CN43" s="210"/>
      <c r="CO43" s="210"/>
      <c r="CP43" s="210"/>
      <c r="CQ43" s="210"/>
      <c r="CR43" s="210"/>
      <c r="CS43" s="210"/>
      <c r="CT43" s="210"/>
      <c r="CU43" s="210"/>
      <c r="CV43" s="210"/>
      <c r="CW43" s="210"/>
      <c r="CX43" s="210"/>
      <c r="CY43" s="210"/>
      <c r="CZ43" s="210"/>
      <c r="DA43" s="210"/>
      <c r="DB43" s="210"/>
      <c r="DC43" s="210"/>
      <c r="DD43" s="210"/>
      <c r="DE43" s="210"/>
      <c r="DF43" s="210"/>
      <c r="DG43" s="210"/>
      <c r="DH43" s="210"/>
      <c r="DI43" s="210"/>
      <c r="DJ43" s="210"/>
      <c r="DK43" s="210"/>
      <c r="DL43" s="210"/>
      <c r="DM43" s="210"/>
      <c r="DN43" s="210"/>
      <c r="DO43" s="210"/>
      <c r="DP43" s="210"/>
      <c r="DQ43" s="210"/>
      <c r="DR43" s="210"/>
      <c r="DS43" s="210"/>
      <c r="DT43" s="210"/>
      <c r="DU43" s="210"/>
      <c r="DV43" s="210"/>
      <c r="DW43" s="210"/>
      <c r="DX43" s="210"/>
      <c r="DY43" s="210"/>
      <c r="DZ43" s="210"/>
      <c r="EA43" s="210"/>
      <c r="EB43" s="210"/>
      <c r="EC43" s="210"/>
      <c r="ED43" s="210"/>
      <c r="EE43" s="210"/>
      <c r="EF43" s="210"/>
      <c r="EG43" s="210"/>
      <c r="EH43" s="210"/>
      <c r="EI43" s="210"/>
      <c r="EJ43" s="210"/>
      <c r="EK43" s="210"/>
      <c r="EL43" s="210"/>
      <c r="EM43" s="210"/>
      <c r="EN43" s="210"/>
      <c r="EO43" s="210"/>
      <c r="EP43" s="210"/>
      <c r="EQ43" s="210"/>
      <c r="ER43" s="210"/>
      <c r="ES43" s="210"/>
      <c r="ET43" s="210"/>
      <c r="EU43" s="210"/>
      <c r="EV43" s="210"/>
      <c r="EW43" s="210"/>
      <c r="EX43" s="210"/>
      <c r="EY43" s="210"/>
      <c r="EZ43" s="210"/>
      <c r="FA43" s="210"/>
      <c r="FB43" s="210"/>
      <c r="FC43" s="210"/>
      <c r="FD43" s="210"/>
      <c r="FE43" s="210"/>
      <c r="FF43" s="210"/>
      <c r="FG43" s="210"/>
      <c r="FH43" s="210"/>
      <c r="FI43" s="210"/>
      <c r="FJ43" s="210"/>
      <c r="FK43" s="210"/>
      <c r="FL43" s="210"/>
      <c r="FM43" s="210"/>
      <c r="FN43" s="210"/>
      <c r="FO43" s="210"/>
      <c r="FP43" s="210"/>
      <c r="FQ43" s="210"/>
      <c r="FR43" s="210"/>
      <c r="FS43" s="210"/>
      <c r="FT43" s="210"/>
      <c r="FU43" s="210"/>
      <c r="FV43" s="210"/>
      <c r="FW43" s="210"/>
      <c r="FX43" s="210"/>
      <c r="FY43" s="210"/>
      <c r="FZ43" s="210"/>
      <c r="GA43" s="210"/>
      <c r="GB43" s="210"/>
      <c r="GC43" s="210"/>
      <c r="GD43" s="210"/>
      <c r="GE43" s="210"/>
      <c r="GF43" s="210"/>
      <c r="GG43" s="210"/>
      <c r="GH43" s="210"/>
      <c r="GI43" s="210"/>
    </row>
    <row r="44" spans="1:191" ht="15" customHeight="1">
      <c r="A44" s="187"/>
      <c r="B44" s="196">
        <v>23</v>
      </c>
      <c r="C44" s="197" t="s">
        <v>1006</v>
      </c>
      <c r="D44" s="198" t="s">
        <v>1007</v>
      </c>
      <c r="E44" s="198" t="s">
        <v>1008</v>
      </c>
      <c r="F44" s="198" t="s">
        <v>1017</v>
      </c>
      <c r="G44" s="207"/>
      <c r="H44" s="207"/>
      <c r="I44" s="196"/>
      <c r="J44" s="207"/>
      <c r="K44" s="208"/>
      <c r="L44" s="208"/>
      <c r="M44" s="208"/>
      <c r="N44" s="196">
        <v>1</v>
      </c>
      <c r="O44" s="201"/>
      <c r="P44" s="202"/>
      <c r="Q44" s="202"/>
      <c r="R44" s="201"/>
      <c r="S44" s="201"/>
      <c r="T44" s="203">
        <v>1062</v>
      </c>
      <c r="U44" s="204">
        <v>41827.894452197273</v>
      </c>
      <c r="V44" s="209"/>
      <c r="W44" s="186">
        <v>0</v>
      </c>
      <c r="X44" s="186">
        <v>0</v>
      </c>
      <c r="Y44" s="186">
        <v>0</v>
      </c>
      <c r="Z44" s="192">
        <v>41827.894452197273</v>
      </c>
      <c r="AA44" s="192">
        <f t="shared" si="5"/>
        <v>41827.894452197273</v>
      </c>
      <c r="AB44" s="195"/>
      <c r="AC44" s="195"/>
      <c r="AD44" s="195"/>
      <c r="AE44" s="195"/>
      <c r="AF44" s="195"/>
      <c r="AG44" s="195"/>
      <c r="AH44" s="189" t="str">
        <f t="shared" si="3"/>
        <v/>
      </c>
      <c r="AI44" s="189" t="str">
        <f t="shared" si="3"/>
        <v/>
      </c>
      <c r="AJ44" s="189" t="str">
        <f t="shared" si="3"/>
        <v/>
      </c>
      <c r="AK44" s="189" t="str">
        <f t="shared" si="4"/>
        <v/>
      </c>
      <c r="AL44" s="195"/>
      <c r="AM44" s="195"/>
      <c r="AN44" s="195"/>
      <c r="AO44" s="195"/>
      <c r="AP44" s="195"/>
      <c r="AQ44" s="195"/>
      <c r="AR44" s="195"/>
      <c r="AS44" s="195"/>
      <c r="AT44" s="195"/>
      <c r="AU44" s="195"/>
      <c r="AV44" s="195"/>
      <c r="AW44" s="195"/>
      <c r="AX44" s="195"/>
      <c r="AY44" s="195"/>
      <c r="AZ44" s="195"/>
      <c r="BA44" s="195"/>
      <c r="BB44" s="195"/>
      <c r="BC44" s="195"/>
      <c r="BD44" s="195"/>
      <c r="BE44" s="195"/>
      <c r="BF44" s="195"/>
      <c r="BG44" s="195"/>
      <c r="BH44" s="195"/>
      <c r="BI44" s="195"/>
      <c r="BJ44" s="195"/>
      <c r="BK44" s="195"/>
      <c r="BL44" s="195"/>
      <c r="BM44" s="195"/>
      <c r="BN44" s="195"/>
      <c r="BO44" s="195"/>
      <c r="BP44" s="195"/>
      <c r="BQ44" s="195"/>
      <c r="BR44" s="195"/>
      <c r="BS44" s="195"/>
      <c r="BT44" s="195"/>
      <c r="BU44" s="195"/>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0"/>
      <c r="DJ44" s="210"/>
      <c r="DK44" s="210"/>
      <c r="DL44" s="210"/>
      <c r="DM44" s="210"/>
      <c r="DN44" s="210"/>
      <c r="DO44" s="210"/>
      <c r="DP44" s="210"/>
      <c r="DQ44" s="210"/>
      <c r="DR44" s="210"/>
      <c r="DS44" s="210"/>
      <c r="DT44" s="210"/>
      <c r="DU44" s="210"/>
      <c r="DV44" s="210"/>
      <c r="DW44" s="210"/>
      <c r="DX44" s="210"/>
      <c r="DY44" s="210"/>
      <c r="DZ44" s="210"/>
      <c r="EA44" s="210"/>
      <c r="EB44" s="210"/>
      <c r="EC44" s="210"/>
      <c r="ED44" s="210"/>
      <c r="EE44" s="210"/>
      <c r="EF44" s="210"/>
      <c r="EG44" s="210"/>
      <c r="EH44" s="210"/>
      <c r="EI44" s="210"/>
      <c r="EJ44" s="210"/>
      <c r="EK44" s="210"/>
      <c r="EL44" s="210"/>
      <c r="EM44" s="210"/>
      <c r="EN44" s="210"/>
      <c r="EO44" s="210"/>
      <c r="EP44" s="210"/>
      <c r="EQ44" s="210"/>
      <c r="ER44" s="210"/>
      <c r="ES44" s="210"/>
      <c r="ET44" s="210"/>
      <c r="EU44" s="210"/>
      <c r="EV44" s="210"/>
      <c r="EW44" s="210"/>
      <c r="EX44" s="210"/>
      <c r="EY44" s="210"/>
      <c r="EZ44" s="210"/>
      <c r="FA44" s="210"/>
      <c r="FB44" s="210"/>
      <c r="FC44" s="210"/>
      <c r="FD44" s="210"/>
      <c r="FE44" s="210"/>
      <c r="FF44" s="210"/>
      <c r="FG44" s="210"/>
      <c r="FH44" s="210"/>
      <c r="FI44" s="210"/>
      <c r="FJ44" s="210"/>
      <c r="FK44" s="210"/>
      <c r="FL44" s="210"/>
      <c r="FM44" s="210"/>
      <c r="FN44" s="210"/>
      <c r="FO44" s="210"/>
      <c r="FP44" s="210"/>
      <c r="FQ44" s="210"/>
      <c r="FR44" s="210"/>
      <c r="FS44" s="210"/>
      <c r="FT44" s="210"/>
      <c r="FU44" s="210"/>
      <c r="FV44" s="210"/>
      <c r="FW44" s="210"/>
      <c r="FX44" s="210"/>
      <c r="FY44" s="210"/>
      <c r="FZ44" s="210"/>
      <c r="GA44" s="210"/>
      <c r="GB44" s="210"/>
      <c r="GC44" s="210"/>
      <c r="GD44" s="210"/>
      <c r="GE44" s="210"/>
      <c r="GF44" s="210"/>
      <c r="GG44" s="210"/>
      <c r="GH44" s="210"/>
      <c r="GI44" s="210"/>
    </row>
    <row r="45" spans="1:191" ht="15" customHeight="1">
      <c r="A45" s="187"/>
      <c r="B45" s="196">
        <v>23</v>
      </c>
      <c r="C45" s="197" t="s">
        <v>1006</v>
      </c>
      <c r="D45" s="198" t="s">
        <v>1007</v>
      </c>
      <c r="E45" s="198" t="s">
        <v>1008</v>
      </c>
      <c r="F45" s="198" t="s">
        <v>1018</v>
      </c>
      <c r="G45" s="207"/>
      <c r="H45" s="207"/>
      <c r="I45" s="196"/>
      <c r="J45" s="207"/>
      <c r="K45" s="208"/>
      <c r="L45" s="208"/>
      <c r="M45" s="208"/>
      <c r="N45" s="196">
        <v>1</v>
      </c>
      <c r="O45" s="201"/>
      <c r="P45" s="202"/>
      <c r="Q45" s="202"/>
      <c r="R45" s="201"/>
      <c r="S45" s="201"/>
      <c r="T45" s="203">
        <v>1062</v>
      </c>
      <c r="U45" s="204">
        <v>41827.894452197273</v>
      </c>
      <c r="V45" s="209"/>
      <c r="W45" s="186">
        <v>0</v>
      </c>
      <c r="X45" s="186">
        <v>0</v>
      </c>
      <c r="Y45" s="186">
        <v>0</v>
      </c>
      <c r="Z45" s="192">
        <v>41827.894452197273</v>
      </c>
      <c r="AA45" s="192">
        <f t="shared" si="5"/>
        <v>41827.894452197273</v>
      </c>
      <c r="AB45" s="195"/>
      <c r="AC45" s="195"/>
      <c r="AD45" s="195"/>
      <c r="AE45" s="195"/>
      <c r="AF45" s="195"/>
      <c r="AG45" s="195"/>
      <c r="AH45" s="189" t="str">
        <f t="shared" si="3"/>
        <v/>
      </c>
      <c r="AI45" s="189" t="str">
        <f t="shared" si="3"/>
        <v/>
      </c>
      <c r="AJ45" s="189" t="str">
        <f t="shared" si="3"/>
        <v/>
      </c>
      <c r="AK45" s="189" t="str">
        <f t="shared" si="4"/>
        <v/>
      </c>
      <c r="AL45" s="195"/>
      <c r="AM45" s="195"/>
      <c r="AN45" s="195"/>
      <c r="AO45" s="195"/>
      <c r="AP45" s="195"/>
      <c r="AQ45" s="195"/>
      <c r="AR45" s="195"/>
      <c r="AS45" s="195"/>
      <c r="AT45" s="195"/>
      <c r="AU45" s="195"/>
      <c r="AV45" s="195"/>
      <c r="AW45" s="195"/>
      <c r="AX45" s="195"/>
      <c r="AY45" s="195"/>
      <c r="AZ45" s="195"/>
      <c r="BA45" s="195"/>
      <c r="BB45" s="195"/>
      <c r="BC45" s="195"/>
      <c r="BD45" s="195"/>
      <c r="BE45" s="195"/>
      <c r="BF45" s="195"/>
      <c r="BG45" s="195"/>
      <c r="BH45" s="195"/>
      <c r="BI45" s="195"/>
      <c r="BJ45" s="195"/>
      <c r="BK45" s="195"/>
      <c r="BL45" s="195"/>
      <c r="BM45" s="195"/>
      <c r="BN45" s="195"/>
      <c r="BO45" s="195"/>
      <c r="BP45" s="195"/>
      <c r="BQ45" s="195"/>
      <c r="BR45" s="195"/>
      <c r="BS45" s="195"/>
      <c r="BT45" s="195"/>
      <c r="BU45" s="195"/>
      <c r="BV45" s="210"/>
      <c r="BW45" s="210"/>
      <c r="BX45" s="210"/>
      <c r="BY45" s="210"/>
      <c r="BZ45" s="210"/>
      <c r="CA45" s="210"/>
      <c r="CB45" s="210"/>
      <c r="CC45" s="210"/>
      <c r="CD45" s="210"/>
      <c r="CE45" s="210"/>
      <c r="CF45" s="210"/>
      <c r="CG45" s="210"/>
      <c r="CH45" s="210"/>
      <c r="CI45" s="210"/>
      <c r="CJ45" s="210"/>
      <c r="CK45" s="210"/>
      <c r="CL45" s="210"/>
      <c r="CM45" s="210"/>
      <c r="CN45" s="210"/>
      <c r="CO45" s="210"/>
      <c r="CP45" s="210"/>
      <c r="CQ45" s="210"/>
      <c r="CR45" s="210"/>
      <c r="CS45" s="210"/>
      <c r="CT45" s="210"/>
      <c r="CU45" s="210"/>
      <c r="CV45" s="210"/>
      <c r="CW45" s="210"/>
      <c r="CX45" s="210"/>
      <c r="CY45" s="210"/>
      <c r="CZ45" s="210"/>
      <c r="DA45" s="210"/>
      <c r="DB45" s="210"/>
      <c r="DC45" s="210"/>
      <c r="DD45" s="210"/>
      <c r="DE45" s="210"/>
      <c r="DF45" s="210"/>
      <c r="DG45" s="210"/>
      <c r="DH45" s="210"/>
      <c r="DI45" s="210"/>
      <c r="DJ45" s="210"/>
      <c r="DK45" s="210"/>
      <c r="DL45" s="210"/>
      <c r="DM45" s="210"/>
      <c r="DN45" s="210"/>
      <c r="DO45" s="210"/>
      <c r="DP45" s="210"/>
      <c r="DQ45" s="210"/>
      <c r="DR45" s="210"/>
      <c r="DS45" s="210"/>
      <c r="DT45" s="210"/>
      <c r="DU45" s="210"/>
      <c r="DV45" s="210"/>
      <c r="DW45" s="210"/>
      <c r="DX45" s="210"/>
      <c r="DY45" s="210"/>
      <c r="DZ45" s="210"/>
      <c r="EA45" s="210"/>
      <c r="EB45" s="210"/>
      <c r="EC45" s="210"/>
      <c r="ED45" s="210"/>
      <c r="EE45" s="210"/>
      <c r="EF45" s="210"/>
      <c r="EG45" s="210"/>
      <c r="EH45" s="210"/>
      <c r="EI45" s="210"/>
      <c r="EJ45" s="210"/>
      <c r="EK45" s="210"/>
      <c r="EL45" s="210"/>
      <c r="EM45" s="210"/>
      <c r="EN45" s="210"/>
      <c r="EO45" s="210"/>
      <c r="EP45" s="210"/>
      <c r="EQ45" s="210"/>
      <c r="ER45" s="210"/>
      <c r="ES45" s="210"/>
      <c r="ET45" s="210"/>
      <c r="EU45" s="210"/>
      <c r="EV45" s="210"/>
      <c r="EW45" s="210"/>
      <c r="EX45" s="210"/>
      <c r="EY45" s="210"/>
      <c r="EZ45" s="210"/>
      <c r="FA45" s="210"/>
      <c r="FB45" s="210"/>
      <c r="FC45" s="210"/>
      <c r="FD45" s="210"/>
      <c r="FE45" s="210"/>
      <c r="FF45" s="210"/>
      <c r="FG45" s="210"/>
      <c r="FH45" s="210"/>
      <c r="FI45" s="210"/>
      <c r="FJ45" s="210"/>
      <c r="FK45" s="210"/>
      <c r="FL45" s="210"/>
      <c r="FM45" s="210"/>
      <c r="FN45" s="210"/>
      <c r="FO45" s="210"/>
      <c r="FP45" s="210"/>
      <c r="FQ45" s="210"/>
      <c r="FR45" s="210"/>
      <c r="FS45" s="210"/>
      <c r="FT45" s="210"/>
      <c r="FU45" s="210"/>
      <c r="FV45" s="210"/>
      <c r="FW45" s="210"/>
      <c r="FX45" s="210"/>
      <c r="FY45" s="210"/>
      <c r="FZ45" s="210"/>
      <c r="GA45" s="210"/>
      <c r="GB45" s="210"/>
      <c r="GC45" s="210"/>
      <c r="GD45" s="210"/>
      <c r="GE45" s="210"/>
      <c r="GF45" s="210"/>
      <c r="GG45" s="210"/>
      <c r="GH45" s="210"/>
      <c r="GI45" s="210"/>
    </row>
    <row r="46" spans="1:191" ht="15" customHeight="1">
      <c r="A46" s="187"/>
      <c r="B46" s="196">
        <v>23</v>
      </c>
      <c r="C46" s="197" t="s">
        <v>1006</v>
      </c>
      <c r="D46" s="198" t="s">
        <v>1007</v>
      </c>
      <c r="E46" s="198" t="s">
        <v>1008</v>
      </c>
      <c r="F46" s="198" t="s">
        <v>1019</v>
      </c>
      <c r="G46" s="207" t="s">
        <v>1010</v>
      </c>
      <c r="H46" s="207"/>
      <c r="I46" s="196" t="s">
        <v>950</v>
      </c>
      <c r="J46" s="207"/>
      <c r="K46" s="208"/>
      <c r="L46" s="208"/>
      <c r="M46" s="208"/>
      <c r="N46" s="196">
        <v>1</v>
      </c>
      <c r="O46" s="201"/>
      <c r="P46" s="202"/>
      <c r="Q46" s="202" t="s">
        <v>976</v>
      </c>
      <c r="R46" s="201"/>
      <c r="S46" s="201"/>
      <c r="T46" s="203">
        <v>1062</v>
      </c>
      <c r="U46" s="204">
        <v>41827.894452197273</v>
      </c>
      <c r="V46" s="209" t="s">
        <v>1010</v>
      </c>
      <c r="W46" s="186">
        <v>0</v>
      </c>
      <c r="X46" s="186">
        <v>0</v>
      </c>
      <c r="Y46" s="186">
        <v>0</v>
      </c>
      <c r="Z46" s="192">
        <v>41827.894452197273</v>
      </c>
      <c r="AA46" s="192">
        <f t="shared" si="5"/>
        <v>41827.894452197273</v>
      </c>
      <c r="AB46" s="195"/>
      <c r="AC46" s="195"/>
      <c r="AD46" s="195"/>
      <c r="AE46" s="195"/>
      <c r="AF46" s="195"/>
      <c r="AG46" s="195"/>
      <c r="AH46" s="189" t="str">
        <f t="shared" si="3"/>
        <v/>
      </c>
      <c r="AI46" s="189" t="str">
        <f t="shared" si="3"/>
        <v/>
      </c>
      <c r="AJ46" s="189" t="str">
        <f t="shared" si="3"/>
        <v/>
      </c>
      <c r="AK46" s="189" t="str">
        <f t="shared" si="4"/>
        <v/>
      </c>
      <c r="AL46" s="195"/>
      <c r="AM46" s="195"/>
      <c r="AN46" s="195"/>
      <c r="AO46" s="195"/>
      <c r="AP46" s="195"/>
      <c r="AQ46" s="195"/>
      <c r="AR46" s="195"/>
      <c r="AS46" s="195"/>
      <c r="AT46" s="195"/>
      <c r="AU46" s="195"/>
      <c r="AV46" s="195"/>
      <c r="AW46" s="195"/>
      <c r="AX46" s="195"/>
      <c r="AY46" s="195"/>
      <c r="AZ46" s="195"/>
      <c r="BA46" s="195"/>
      <c r="BB46" s="195"/>
      <c r="BC46" s="195"/>
      <c r="BD46" s="195"/>
      <c r="BE46" s="195"/>
      <c r="BF46" s="195"/>
      <c r="BG46" s="195"/>
      <c r="BH46" s="195"/>
      <c r="BI46" s="195"/>
      <c r="BJ46" s="195"/>
      <c r="BK46" s="195"/>
      <c r="BL46" s="195"/>
      <c r="BM46" s="195"/>
      <c r="BN46" s="195"/>
      <c r="BO46" s="195"/>
      <c r="BP46" s="195"/>
      <c r="BQ46" s="195"/>
      <c r="BR46" s="195"/>
      <c r="BS46" s="195"/>
      <c r="BT46" s="195"/>
      <c r="BU46" s="195"/>
      <c r="BV46" s="210"/>
      <c r="BW46" s="210"/>
      <c r="BX46" s="210"/>
      <c r="BY46" s="210"/>
      <c r="BZ46" s="210"/>
      <c r="CA46" s="210"/>
      <c r="CB46" s="210"/>
      <c r="CC46" s="210"/>
      <c r="CD46" s="210"/>
      <c r="CE46" s="210"/>
      <c r="CF46" s="210"/>
      <c r="CG46" s="210"/>
      <c r="CH46" s="210"/>
      <c r="CI46" s="210"/>
      <c r="CJ46" s="210"/>
      <c r="CK46" s="210"/>
      <c r="CL46" s="210"/>
      <c r="CM46" s="210"/>
      <c r="CN46" s="210"/>
      <c r="CO46" s="210"/>
      <c r="CP46" s="210"/>
      <c r="CQ46" s="210"/>
      <c r="CR46" s="210"/>
      <c r="CS46" s="210"/>
      <c r="CT46" s="210"/>
      <c r="CU46" s="210"/>
      <c r="CV46" s="210"/>
      <c r="CW46" s="210"/>
      <c r="CX46" s="210"/>
      <c r="CY46" s="210"/>
      <c r="CZ46" s="210"/>
      <c r="DA46" s="210"/>
      <c r="DB46" s="210"/>
      <c r="DC46" s="210"/>
      <c r="DD46" s="210"/>
      <c r="DE46" s="210"/>
      <c r="DF46" s="210"/>
      <c r="DG46" s="210"/>
      <c r="DH46" s="210"/>
      <c r="DI46" s="210"/>
      <c r="DJ46" s="210"/>
      <c r="DK46" s="210"/>
      <c r="DL46" s="210"/>
      <c r="DM46" s="210"/>
      <c r="DN46" s="210"/>
      <c r="DO46" s="210"/>
      <c r="DP46" s="210"/>
      <c r="DQ46" s="210"/>
      <c r="DR46" s="210"/>
      <c r="DS46" s="210"/>
      <c r="DT46" s="210"/>
      <c r="DU46" s="210"/>
      <c r="DV46" s="210"/>
      <c r="DW46" s="210"/>
      <c r="DX46" s="210"/>
      <c r="DY46" s="210"/>
      <c r="DZ46" s="210"/>
      <c r="EA46" s="210"/>
      <c r="EB46" s="210"/>
      <c r="EC46" s="210"/>
      <c r="ED46" s="210"/>
      <c r="EE46" s="210"/>
      <c r="EF46" s="210"/>
      <c r="EG46" s="210"/>
      <c r="EH46" s="210"/>
      <c r="EI46" s="210"/>
      <c r="EJ46" s="210"/>
      <c r="EK46" s="210"/>
      <c r="EL46" s="210"/>
      <c r="EM46" s="210"/>
      <c r="EN46" s="210"/>
      <c r="EO46" s="210"/>
      <c r="EP46" s="210"/>
      <c r="EQ46" s="210"/>
      <c r="ER46" s="210"/>
      <c r="ES46" s="210"/>
      <c r="ET46" s="210"/>
      <c r="EU46" s="210"/>
      <c r="EV46" s="210"/>
      <c r="EW46" s="210"/>
      <c r="EX46" s="210"/>
      <c r="EY46" s="210"/>
      <c r="EZ46" s="210"/>
      <c r="FA46" s="210"/>
      <c r="FB46" s="210"/>
      <c r="FC46" s="210"/>
      <c r="FD46" s="210"/>
      <c r="FE46" s="210"/>
      <c r="FF46" s="210"/>
      <c r="FG46" s="210"/>
      <c r="FH46" s="210"/>
      <c r="FI46" s="210"/>
      <c r="FJ46" s="210"/>
      <c r="FK46" s="210"/>
      <c r="FL46" s="210"/>
      <c r="FM46" s="210"/>
      <c r="FN46" s="210"/>
      <c r="FO46" s="210"/>
      <c r="FP46" s="210"/>
      <c r="FQ46" s="210"/>
      <c r="FR46" s="210"/>
      <c r="FS46" s="210"/>
      <c r="FT46" s="210"/>
      <c r="FU46" s="210"/>
      <c r="FV46" s="210"/>
      <c r="FW46" s="210"/>
      <c r="FX46" s="210"/>
      <c r="FY46" s="210"/>
      <c r="FZ46" s="210"/>
      <c r="GA46" s="210"/>
      <c r="GB46" s="210"/>
      <c r="GC46" s="210"/>
      <c r="GD46" s="210"/>
      <c r="GE46" s="210"/>
      <c r="GF46" s="210"/>
      <c r="GG46" s="210"/>
      <c r="GH46" s="210"/>
      <c r="GI46" s="210"/>
    </row>
    <row r="47" spans="1:191" ht="15" customHeight="1">
      <c r="A47" s="187"/>
      <c r="B47" s="196">
        <v>23</v>
      </c>
      <c r="C47" s="197" t="s">
        <v>1006</v>
      </c>
      <c r="D47" s="198" t="s">
        <v>1007</v>
      </c>
      <c r="E47" s="198" t="s">
        <v>1008</v>
      </c>
      <c r="F47" s="198" t="s">
        <v>1020</v>
      </c>
      <c r="G47" s="207" t="s">
        <v>1010</v>
      </c>
      <c r="H47" s="207"/>
      <c r="I47" s="196" t="s">
        <v>950</v>
      </c>
      <c r="J47" s="207"/>
      <c r="K47" s="208"/>
      <c r="L47" s="208"/>
      <c r="M47" s="208"/>
      <c r="N47" s="196">
        <v>1</v>
      </c>
      <c r="O47" s="201"/>
      <c r="P47" s="202"/>
      <c r="Q47" s="202" t="s">
        <v>976</v>
      </c>
      <c r="R47" s="201"/>
      <c r="S47" s="201"/>
      <c r="T47" s="203">
        <v>1062</v>
      </c>
      <c r="U47" s="204">
        <v>41827.894452197273</v>
      </c>
      <c r="V47" s="209" t="s">
        <v>1010</v>
      </c>
      <c r="W47" s="186">
        <v>0</v>
      </c>
      <c r="X47" s="186">
        <v>0</v>
      </c>
      <c r="Y47" s="186">
        <v>0</v>
      </c>
      <c r="Z47" s="192">
        <v>41827.894452197273</v>
      </c>
      <c r="AA47" s="192">
        <f t="shared" si="5"/>
        <v>41827.894452197273</v>
      </c>
      <c r="AB47" s="195"/>
      <c r="AC47" s="195"/>
      <c r="AD47" s="195"/>
      <c r="AE47" s="195"/>
      <c r="AF47" s="195"/>
      <c r="AG47" s="195"/>
      <c r="AH47" s="189" t="str">
        <f t="shared" si="3"/>
        <v/>
      </c>
      <c r="AI47" s="189" t="str">
        <f t="shared" si="3"/>
        <v/>
      </c>
      <c r="AJ47" s="189" t="str">
        <f t="shared" si="3"/>
        <v/>
      </c>
      <c r="AK47" s="189" t="str">
        <f t="shared" si="4"/>
        <v/>
      </c>
      <c r="AL47" s="195"/>
      <c r="AM47" s="195"/>
      <c r="AN47" s="195"/>
      <c r="AO47" s="195"/>
      <c r="AP47" s="195"/>
      <c r="AQ47" s="195"/>
      <c r="AR47" s="195"/>
      <c r="AS47" s="195"/>
      <c r="AT47" s="195"/>
      <c r="AU47" s="195"/>
      <c r="AV47" s="195"/>
      <c r="AW47" s="195"/>
      <c r="AX47" s="195"/>
      <c r="AY47" s="195"/>
      <c r="AZ47" s="195"/>
      <c r="BA47" s="195"/>
      <c r="BB47" s="195"/>
      <c r="BC47" s="195"/>
      <c r="BD47" s="195"/>
      <c r="BE47" s="195"/>
      <c r="BF47" s="195"/>
      <c r="BG47" s="195"/>
      <c r="BH47" s="195"/>
      <c r="BI47" s="195"/>
      <c r="BJ47" s="195"/>
      <c r="BK47" s="195"/>
      <c r="BL47" s="195"/>
      <c r="BM47" s="195"/>
      <c r="BN47" s="195"/>
      <c r="BO47" s="195"/>
      <c r="BP47" s="195"/>
      <c r="BQ47" s="195"/>
      <c r="BR47" s="195"/>
      <c r="BS47" s="195"/>
      <c r="BT47" s="195"/>
      <c r="BU47" s="195"/>
      <c r="BV47" s="210"/>
      <c r="BW47" s="210"/>
      <c r="BX47" s="210"/>
      <c r="BY47" s="210"/>
      <c r="BZ47" s="210"/>
      <c r="CA47" s="210"/>
      <c r="CB47" s="210"/>
      <c r="CC47" s="210"/>
      <c r="CD47" s="210"/>
      <c r="CE47" s="210"/>
      <c r="CF47" s="210"/>
      <c r="CG47" s="210"/>
      <c r="CH47" s="210"/>
      <c r="CI47" s="210"/>
      <c r="CJ47" s="210"/>
      <c r="CK47" s="210"/>
      <c r="CL47" s="210"/>
      <c r="CM47" s="210"/>
      <c r="CN47" s="210"/>
      <c r="CO47" s="210"/>
      <c r="CP47" s="210"/>
      <c r="CQ47" s="210"/>
      <c r="CR47" s="210"/>
      <c r="CS47" s="210"/>
      <c r="CT47" s="210"/>
      <c r="CU47" s="210"/>
      <c r="CV47" s="210"/>
      <c r="CW47" s="210"/>
      <c r="CX47" s="210"/>
      <c r="CY47" s="210"/>
      <c r="CZ47" s="210"/>
      <c r="DA47" s="210"/>
      <c r="DB47" s="210"/>
      <c r="DC47" s="210"/>
      <c r="DD47" s="210"/>
      <c r="DE47" s="210"/>
      <c r="DF47" s="210"/>
      <c r="DG47" s="210"/>
      <c r="DH47" s="210"/>
      <c r="DI47" s="210"/>
      <c r="DJ47" s="210"/>
      <c r="DK47" s="210"/>
      <c r="DL47" s="210"/>
      <c r="DM47" s="210"/>
      <c r="DN47" s="210"/>
      <c r="DO47" s="210"/>
      <c r="DP47" s="210"/>
      <c r="DQ47" s="210"/>
      <c r="DR47" s="210"/>
      <c r="DS47" s="210"/>
      <c r="DT47" s="210"/>
      <c r="DU47" s="210"/>
      <c r="DV47" s="210"/>
      <c r="DW47" s="210"/>
      <c r="DX47" s="210"/>
      <c r="DY47" s="210"/>
      <c r="DZ47" s="210"/>
      <c r="EA47" s="210"/>
      <c r="EB47" s="210"/>
      <c r="EC47" s="210"/>
      <c r="ED47" s="210"/>
      <c r="EE47" s="210"/>
      <c r="EF47" s="210"/>
      <c r="EG47" s="210"/>
      <c r="EH47" s="210"/>
      <c r="EI47" s="210"/>
      <c r="EJ47" s="210"/>
      <c r="EK47" s="210"/>
      <c r="EL47" s="210"/>
      <c r="EM47" s="210"/>
      <c r="EN47" s="210"/>
      <c r="EO47" s="210"/>
      <c r="EP47" s="210"/>
      <c r="EQ47" s="210"/>
      <c r="ER47" s="210"/>
      <c r="ES47" s="210"/>
      <c r="ET47" s="210"/>
      <c r="EU47" s="210"/>
      <c r="EV47" s="210"/>
      <c r="EW47" s="210"/>
      <c r="EX47" s="210"/>
      <c r="EY47" s="210"/>
      <c r="EZ47" s="210"/>
      <c r="FA47" s="210"/>
      <c r="FB47" s="210"/>
      <c r="FC47" s="210"/>
      <c r="FD47" s="210"/>
      <c r="FE47" s="210"/>
      <c r="FF47" s="210"/>
      <c r="FG47" s="210"/>
      <c r="FH47" s="210"/>
      <c r="FI47" s="210"/>
      <c r="FJ47" s="210"/>
      <c r="FK47" s="210"/>
      <c r="FL47" s="210"/>
      <c r="FM47" s="210"/>
      <c r="FN47" s="210"/>
      <c r="FO47" s="210"/>
      <c r="FP47" s="210"/>
      <c r="FQ47" s="210"/>
      <c r="FR47" s="210"/>
      <c r="FS47" s="210"/>
      <c r="FT47" s="210"/>
      <c r="FU47" s="210"/>
      <c r="FV47" s="210"/>
      <c r="FW47" s="210"/>
      <c r="FX47" s="210"/>
      <c r="FY47" s="210"/>
      <c r="FZ47" s="210"/>
      <c r="GA47" s="210"/>
      <c r="GB47" s="210"/>
      <c r="GC47" s="210"/>
      <c r="GD47" s="210"/>
      <c r="GE47" s="210"/>
      <c r="GF47" s="210"/>
      <c r="GG47" s="210"/>
      <c r="GH47" s="210"/>
      <c r="GI47" s="210"/>
    </row>
    <row r="48" spans="1:191" ht="15" customHeight="1">
      <c r="A48" s="187"/>
      <c r="B48" s="196">
        <v>23</v>
      </c>
      <c r="C48" s="197" t="s">
        <v>1006</v>
      </c>
      <c r="D48" s="198" t="s">
        <v>1007</v>
      </c>
      <c r="E48" s="198" t="s">
        <v>1008</v>
      </c>
      <c r="F48" s="198" t="s">
        <v>1021</v>
      </c>
      <c r="G48" s="207" t="s">
        <v>1010</v>
      </c>
      <c r="H48" s="207"/>
      <c r="I48" s="196" t="s">
        <v>950</v>
      </c>
      <c r="J48" s="207"/>
      <c r="K48" s="208"/>
      <c r="L48" s="208"/>
      <c r="M48" s="208"/>
      <c r="N48" s="196">
        <v>1</v>
      </c>
      <c r="O48" s="201"/>
      <c r="P48" s="202"/>
      <c r="Q48" s="202" t="s">
        <v>976</v>
      </c>
      <c r="R48" s="201"/>
      <c r="S48" s="201"/>
      <c r="T48" s="203">
        <v>1062</v>
      </c>
      <c r="U48" s="204">
        <v>41827.894452197273</v>
      </c>
      <c r="V48" s="209" t="s">
        <v>1010</v>
      </c>
      <c r="W48" s="186">
        <v>0</v>
      </c>
      <c r="X48" s="186">
        <v>0</v>
      </c>
      <c r="Y48" s="186">
        <v>0</v>
      </c>
      <c r="Z48" s="192">
        <v>41827.894452197273</v>
      </c>
      <c r="AA48" s="192">
        <f t="shared" si="5"/>
        <v>41827.894452197273</v>
      </c>
      <c r="AB48" s="195"/>
      <c r="AC48" s="195"/>
      <c r="AD48" s="195"/>
      <c r="AE48" s="195"/>
      <c r="AF48" s="195"/>
      <c r="AG48" s="195"/>
      <c r="AH48" s="189" t="str">
        <f t="shared" si="3"/>
        <v/>
      </c>
      <c r="AI48" s="189" t="str">
        <f t="shared" si="3"/>
        <v/>
      </c>
      <c r="AJ48" s="189" t="str">
        <f t="shared" si="3"/>
        <v/>
      </c>
      <c r="AK48" s="189" t="str">
        <f t="shared" si="4"/>
        <v/>
      </c>
      <c r="AL48" s="195"/>
      <c r="AM48" s="195"/>
      <c r="AN48" s="195"/>
      <c r="AO48" s="195"/>
      <c r="AP48" s="195"/>
      <c r="AQ48" s="195"/>
      <c r="AR48" s="195"/>
      <c r="AS48" s="195"/>
      <c r="AT48" s="195"/>
      <c r="AU48" s="195"/>
      <c r="AV48" s="195"/>
      <c r="AW48" s="195"/>
      <c r="AX48" s="195"/>
      <c r="AY48" s="195"/>
      <c r="AZ48" s="195"/>
      <c r="BA48" s="195"/>
      <c r="BB48" s="195"/>
      <c r="BC48" s="195"/>
      <c r="BD48" s="195"/>
      <c r="BE48" s="195"/>
      <c r="BF48" s="195"/>
      <c r="BG48" s="195"/>
      <c r="BH48" s="195"/>
      <c r="BI48" s="195"/>
      <c r="BJ48" s="195"/>
      <c r="BK48" s="195"/>
      <c r="BL48" s="195"/>
      <c r="BM48" s="195"/>
      <c r="BN48" s="195"/>
      <c r="BO48" s="195"/>
      <c r="BP48" s="195"/>
      <c r="BQ48" s="195"/>
      <c r="BR48" s="195"/>
      <c r="BS48" s="195"/>
      <c r="BT48" s="195"/>
      <c r="BU48" s="195"/>
      <c r="BV48" s="210"/>
      <c r="BW48" s="210"/>
      <c r="BX48" s="210"/>
      <c r="BY48" s="210"/>
      <c r="BZ48" s="210"/>
      <c r="CA48" s="210"/>
      <c r="CB48" s="210"/>
      <c r="CC48" s="210"/>
      <c r="CD48" s="210"/>
      <c r="CE48" s="210"/>
      <c r="CF48" s="210"/>
      <c r="CG48" s="210"/>
      <c r="CH48" s="210"/>
      <c r="CI48" s="210"/>
      <c r="CJ48" s="210"/>
      <c r="CK48" s="210"/>
      <c r="CL48" s="210"/>
      <c r="CM48" s="210"/>
      <c r="CN48" s="210"/>
      <c r="CO48" s="210"/>
      <c r="CP48" s="210"/>
      <c r="CQ48" s="210"/>
      <c r="CR48" s="210"/>
      <c r="CS48" s="210"/>
      <c r="CT48" s="210"/>
      <c r="CU48" s="210"/>
      <c r="CV48" s="210"/>
      <c r="CW48" s="210"/>
      <c r="CX48" s="210"/>
      <c r="CY48" s="210"/>
      <c r="CZ48" s="210"/>
      <c r="DA48" s="210"/>
      <c r="DB48" s="210"/>
      <c r="DC48" s="210"/>
      <c r="DD48" s="210"/>
      <c r="DE48" s="210"/>
      <c r="DF48" s="210"/>
      <c r="DG48" s="210"/>
      <c r="DH48" s="210"/>
      <c r="DI48" s="210"/>
      <c r="DJ48" s="210"/>
      <c r="DK48" s="210"/>
      <c r="DL48" s="210"/>
      <c r="DM48" s="210"/>
      <c r="DN48" s="210"/>
      <c r="DO48" s="210"/>
      <c r="DP48" s="210"/>
      <c r="DQ48" s="210"/>
      <c r="DR48" s="210"/>
      <c r="DS48" s="210"/>
      <c r="DT48" s="210"/>
      <c r="DU48" s="210"/>
      <c r="DV48" s="210"/>
      <c r="DW48" s="210"/>
      <c r="DX48" s="210"/>
      <c r="DY48" s="210"/>
      <c r="DZ48" s="210"/>
      <c r="EA48" s="210"/>
      <c r="EB48" s="210"/>
      <c r="EC48" s="210"/>
      <c r="ED48" s="210"/>
      <c r="EE48" s="210"/>
      <c r="EF48" s="210"/>
      <c r="EG48" s="210"/>
      <c r="EH48" s="210"/>
      <c r="EI48" s="210"/>
      <c r="EJ48" s="210"/>
      <c r="EK48" s="210"/>
      <c r="EL48" s="210"/>
      <c r="EM48" s="210"/>
      <c r="EN48" s="210"/>
      <c r="EO48" s="210"/>
      <c r="EP48" s="210"/>
      <c r="EQ48" s="210"/>
      <c r="ER48" s="210"/>
      <c r="ES48" s="210"/>
      <c r="ET48" s="210"/>
      <c r="EU48" s="210"/>
      <c r="EV48" s="210"/>
      <c r="EW48" s="210"/>
      <c r="EX48" s="210"/>
      <c r="EY48" s="210"/>
      <c r="EZ48" s="210"/>
      <c r="FA48" s="210"/>
      <c r="FB48" s="210"/>
      <c r="FC48" s="210"/>
      <c r="FD48" s="210"/>
      <c r="FE48" s="210"/>
      <c r="FF48" s="210"/>
      <c r="FG48" s="210"/>
      <c r="FH48" s="210"/>
      <c r="FI48" s="210"/>
      <c r="FJ48" s="210"/>
      <c r="FK48" s="210"/>
      <c r="FL48" s="210"/>
      <c r="FM48" s="210"/>
      <c r="FN48" s="210"/>
      <c r="FO48" s="210"/>
      <c r="FP48" s="210"/>
      <c r="FQ48" s="210"/>
      <c r="FR48" s="210"/>
      <c r="FS48" s="210"/>
      <c r="FT48" s="210"/>
      <c r="FU48" s="210"/>
      <c r="FV48" s="210"/>
      <c r="FW48" s="210"/>
      <c r="FX48" s="210"/>
      <c r="FY48" s="210"/>
      <c r="FZ48" s="210"/>
      <c r="GA48" s="210"/>
      <c r="GB48" s="210"/>
      <c r="GC48" s="210"/>
      <c r="GD48" s="210"/>
      <c r="GE48" s="210"/>
      <c r="GF48" s="210"/>
      <c r="GG48" s="210"/>
      <c r="GH48" s="210"/>
      <c r="GI48" s="210"/>
    </row>
    <row r="49" spans="1:191" ht="15" customHeight="1">
      <c r="A49" s="187"/>
      <c r="B49" s="196">
        <v>23</v>
      </c>
      <c r="C49" s="197" t="s">
        <v>1006</v>
      </c>
      <c r="D49" s="198" t="s">
        <v>1007</v>
      </c>
      <c r="E49" s="198" t="s">
        <v>1008</v>
      </c>
      <c r="F49" s="198" t="s">
        <v>1022</v>
      </c>
      <c r="G49" s="207" t="s">
        <v>1010</v>
      </c>
      <c r="H49" s="207"/>
      <c r="I49" s="196" t="s">
        <v>950</v>
      </c>
      <c r="J49" s="207"/>
      <c r="K49" s="208"/>
      <c r="L49" s="208"/>
      <c r="M49" s="208"/>
      <c r="N49" s="196">
        <v>1</v>
      </c>
      <c r="O49" s="201"/>
      <c r="P49" s="202"/>
      <c r="Q49" s="202" t="s">
        <v>976</v>
      </c>
      <c r="R49" s="201"/>
      <c r="S49" s="201"/>
      <c r="T49" s="203">
        <v>1062</v>
      </c>
      <c r="U49" s="204">
        <v>41827.894452197273</v>
      </c>
      <c r="V49" s="209" t="s">
        <v>1010</v>
      </c>
      <c r="W49" s="186">
        <v>0</v>
      </c>
      <c r="X49" s="186">
        <v>0</v>
      </c>
      <c r="Y49" s="186">
        <v>0</v>
      </c>
      <c r="Z49" s="192">
        <v>41827.894452197273</v>
      </c>
      <c r="AA49" s="192">
        <f t="shared" si="5"/>
        <v>41827.894452197273</v>
      </c>
      <c r="AB49" s="195"/>
      <c r="AC49" s="195"/>
      <c r="AD49" s="195"/>
      <c r="AE49" s="195"/>
      <c r="AF49" s="195"/>
      <c r="AG49" s="195"/>
      <c r="AH49" s="189" t="str">
        <f t="shared" si="3"/>
        <v/>
      </c>
      <c r="AI49" s="189" t="str">
        <f t="shared" si="3"/>
        <v/>
      </c>
      <c r="AJ49" s="189" t="str">
        <f t="shared" si="3"/>
        <v/>
      </c>
      <c r="AK49" s="189" t="str">
        <f t="shared" si="4"/>
        <v/>
      </c>
      <c r="AL49" s="195"/>
      <c r="AM49" s="195"/>
      <c r="AN49" s="195"/>
      <c r="AO49" s="195"/>
      <c r="AP49" s="195"/>
      <c r="AQ49" s="195"/>
      <c r="AR49" s="195"/>
      <c r="AS49" s="195"/>
      <c r="AT49" s="195"/>
      <c r="AU49" s="195"/>
      <c r="AV49" s="195"/>
      <c r="AW49" s="195"/>
      <c r="AX49" s="195"/>
      <c r="AY49" s="195"/>
      <c r="AZ49" s="195"/>
      <c r="BA49" s="195"/>
      <c r="BB49" s="195"/>
      <c r="BC49" s="195"/>
      <c r="BD49" s="195"/>
      <c r="BE49" s="195"/>
      <c r="BF49" s="195"/>
      <c r="BG49" s="195"/>
      <c r="BH49" s="195"/>
      <c r="BI49" s="195"/>
      <c r="BJ49" s="195"/>
      <c r="BK49" s="195"/>
      <c r="BL49" s="195"/>
      <c r="BM49" s="195"/>
      <c r="BN49" s="195"/>
      <c r="BO49" s="195"/>
      <c r="BP49" s="195"/>
      <c r="BQ49" s="195"/>
      <c r="BR49" s="195"/>
      <c r="BS49" s="195"/>
      <c r="BT49" s="195"/>
      <c r="BU49" s="195"/>
      <c r="BV49" s="210"/>
      <c r="BW49" s="210"/>
      <c r="BX49" s="210"/>
      <c r="BY49" s="210"/>
      <c r="BZ49" s="210"/>
      <c r="CA49" s="210"/>
      <c r="CB49" s="210"/>
      <c r="CC49" s="210"/>
      <c r="CD49" s="210"/>
      <c r="CE49" s="210"/>
      <c r="CF49" s="210"/>
      <c r="CG49" s="210"/>
      <c r="CH49" s="210"/>
      <c r="CI49" s="210"/>
      <c r="CJ49" s="210"/>
      <c r="CK49" s="210"/>
      <c r="CL49" s="210"/>
      <c r="CM49" s="210"/>
      <c r="CN49" s="210"/>
      <c r="CO49" s="210"/>
      <c r="CP49" s="210"/>
      <c r="CQ49" s="210"/>
      <c r="CR49" s="210"/>
      <c r="CS49" s="210"/>
      <c r="CT49" s="210"/>
      <c r="CU49" s="210"/>
      <c r="CV49" s="210"/>
      <c r="CW49" s="210"/>
      <c r="CX49" s="210"/>
      <c r="CY49" s="210"/>
      <c r="CZ49" s="210"/>
      <c r="DA49" s="210"/>
      <c r="DB49" s="210"/>
      <c r="DC49" s="210"/>
      <c r="DD49" s="210"/>
      <c r="DE49" s="210"/>
      <c r="DF49" s="210"/>
      <c r="DG49" s="210"/>
      <c r="DH49" s="210"/>
      <c r="DI49" s="210"/>
      <c r="DJ49" s="210"/>
      <c r="DK49" s="210"/>
      <c r="DL49" s="210"/>
      <c r="DM49" s="210"/>
      <c r="DN49" s="210"/>
      <c r="DO49" s="210"/>
      <c r="DP49" s="210"/>
      <c r="DQ49" s="210"/>
      <c r="DR49" s="210"/>
      <c r="DS49" s="210"/>
      <c r="DT49" s="210"/>
      <c r="DU49" s="210"/>
      <c r="DV49" s="210"/>
      <c r="DW49" s="210"/>
      <c r="DX49" s="210"/>
      <c r="DY49" s="210"/>
      <c r="DZ49" s="210"/>
      <c r="EA49" s="210"/>
      <c r="EB49" s="210"/>
      <c r="EC49" s="210"/>
      <c r="ED49" s="210"/>
      <c r="EE49" s="210"/>
      <c r="EF49" s="210"/>
      <c r="EG49" s="210"/>
      <c r="EH49" s="210"/>
      <c r="EI49" s="210"/>
      <c r="EJ49" s="210"/>
      <c r="EK49" s="210"/>
      <c r="EL49" s="210"/>
      <c r="EM49" s="210"/>
      <c r="EN49" s="210"/>
      <c r="EO49" s="210"/>
      <c r="EP49" s="210"/>
      <c r="EQ49" s="210"/>
      <c r="ER49" s="210"/>
      <c r="ES49" s="210"/>
      <c r="ET49" s="210"/>
      <c r="EU49" s="210"/>
      <c r="EV49" s="210"/>
      <c r="EW49" s="210"/>
      <c r="EX49" s="210"/>
      <c r="EY49" s="210"/>
      <c r="EZ49" s="210"/>
      <c r="FA49" s="210"/>
      <c r="FB49" s="210"/>
      <c r="FC49" s="210"/>
      <c r="FD49" s="210"/>
      <c r="FE49" s="210"/>
      <c r="FF49" s="210"/>
      <c r="FG49" s="210"/>
      <c r="FH49" s="210"/>
      <c r="FI49" s="210"/>
      <c r="FJ49" s="210"/>
      <c r="FK49" s="210"/>
      <c r="FL49" s="210"/>
      <c r="FM49" s="210"/>
      <c r="FN49" s="210"/>
      <c r="FO49" s="210"/>
      <c r="FP49" s="210"/>
      <c r="FQ49" s="210"/>
      <c r="FR49" s="210"/>
      <c r="FS49" s="210"/>
      <c r="FT49" s="210"/>
      <c r="FU49" s="210"/>
      <c r="FV49" s="210"/>
      <c r="FW49" s="210"/>
      <c r="FX49" s="210"/>
      <c r="FY49" s="210"/>
      <c r="FZ49" s="210"/>
      <c r="GA49" s="210"/>
      <c r="GB49" s="210"/>
      <c r="GC49" s="210"/>
      <c r="GD49" s="210"/>
      <c r="GE49" s="210"/>
      <c r="GF49" s="210"/>
      <c r="GG49" s="210"/>
      <c r="GH49" s="210"/>
      <c r="GI49" s="210"/>
    </row>
    <row r="50" spans="1:191" ht="15" customHeight="1">
      <c r="A50" s="187"/>
      <c r="B50" s="196">
        <v>23</v>
      </c>
      <c r="C50" s="197" t="s">
        <v>1006</v>
      </c>
      <c r="D50" s="198" t="s">
        <v>1007</v>
      </c>
      <c r="E50" s="198" t="s">
        <v>1008</v>
      </c>
      <c r="F50" s="198" t="s">
        <v>1023</v>
      </c>
      <c r="G50" s="207" t="s">
        <v>1010</v>
      </c>
      <c r="H50" s="207"/>
      <c r="I50" s="196" t="s">
        <v>950</v>
      </c>
      <c r="J50" s="207"/>
      <c r="K50" s="208"/>
      <c r="L50" s="208"/>
      <c r="M50" s="208"/>
      <c r="N50" s="196">
        <v>1</v>
      </c>
      <c r="O50" s="201"/>
      <c r="P50" s="202"/>
      <c r="Q50" s="202" t="s">
        <v>976</v>
      </c>
      <c r="R50" s="201"/>
      <c r="S50" s="201"/>
      <c r="T50" s="203">
        <v>1062</v>
      </c>
      <c r="U50" s="204">
        <v>41827.894452197273</v>
      </c>
      <c r="V50" s="209" t="s">
        <v>1010</v>
      </c>
      <c r="W50" s="186">
        <v>0</v>
      </c>
      <c r="X50" s="186">
        <v>0</v>
      </c>
      <c r="Y50" s="186">
        <v>0</v>
      </c>
      <c r="Z50" s="192">
        <v>41827.894452197273</v>
      </c>
      <c r="AA50" s="192">
        <f t="shared" si="5"/>
        <v>41827.894452197273</v>
      </c>
      <c r="AB50" s="195"/>
      <c r="AC50" s="195"/>
      <c r="AD50" s="195"/>
      <c r="AE50" s="195"/>
      <c r="AF50" s="195"/>
      <c r="AG50" s="195"/>
      <c r="AH50" s="189" t="str">
        <f t="shared" si="3"/>
        <v/>
      </c>
      <c r="AI50" s="189" t="str">
        <f t="shared" si="3"/>
        <v/>
      </c>
      <c r="AJ50" s="189" t="str">
        <f t="shared" si="3"/>
        <v/>
      </c>
      <c r="AK50" s="189" t="str">
        <f t="shared" si="4"/>
        <v/>
      </c>
      <c r="AL50" s="195"/>
      <c r="AM50" s="195"/>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5"/>
      <c r="BQ50" s="195"/>
      <c r="BR50" s="195"/>
      <c r="BS50" s="195"/>
      <c r="BT50" s="195"/>
      <c r="BU50" s="195"/>
      <c r="BV50" s="210"/>
      <c r="BW50" s="210"/>
      <c r="BX50" s="210"/>
      <c r="BY50" s="210"/>
      <c r="BZ50" s="210"/>
      <c r="CA50" s="210"/>
      <c r="CB50" s="210"/>
      <c r="CC50" s="210"/>
      <c r="CD50" s="210"/>
      <c r="CE50" s="210"/>
      <c r="CF50" s="210"/>
      <c r="CG50" s="210"/>
      <c r="CH50" s="210"/>
      <c r="CI50" s="210"/>
      <c r="CJ50" s="210"/>
      <c r="CK50" s="210"/>
      <c r="CL50" s="210"/>
      <c r="CM50" s="210"/>
      <c r="CN50" s="210"/>
      <c r="CO50" s="210"/>
      <c r="CP50" s="210"/>
      <c r="CQ50" s="210"/>
      <c r="CR50" s="210"/>
      <c r="CS50" s="210"/>
      <c r="CT50" s="210"/>
      <c r="CU50" s="210"/>
      <c r="CV50" s="210"/>
      <c r="CW50" s="210"/>
      <c r="CX50" s="210"/>
      <c r="CY50" s="210"/>
      <c r="CZ50" s="210"/>
      <c r="DA50" s="210"/>
      <c r="DB50" s="210"/>
      <c r="DC50" s="210"/>
      <c r="DD50" s="210"/>
      <c r="DE50" s="210"/>
      <c r="DF50" s="210"/>
      <c r="DG50" s="210"/>
      <c r="DH50" s="210"/>
      <c r="DI50" s="210"/>
      <c r="DJ50" s="210"/>
      <c r="DK50" s="210"/>
      <c r="DL50" s="210"/>
      <c r="DM50" s="210"/>
      <c r="DN50" s="210"/>
      <c r="DO50" s="210"/>
      <c r="DP50" s="210"/>
      <c r="DQ50" s="210"/>
      <c r="DR50" s="210"/>
      <c r="DS50" s="210"/>
      <c r="DT50" s="210"/>
      <c r="DU50" s="210"/>
      <c r="DV50" s="210"/>
      <c r="DW50" s="210"/>
      <c r="DX50" s="210"/>
      <c r="DY50" s="210"/>
      <c r="DZ50" s="210"/>
      <c r="EA50" s="210"/>
      <c r="EB50" s="210"/>
      <c r="EC50" s="210"/>
      <c r="ED50" s="210"/>
      <c r="EE50" s="210"/>
      <c r="EF50" s="210"/>
      <c r="EG50" s="210"/>
      <c r="EH50" s="210"/>
      <c r="EI50" s="210"/>
      <c r="EJ50" s="210"/>
      <c r="EK50" s="210"/>
      <c r="EL50" s="210"/>
      <c r="EM50" s="210"/>
      <c r="EN50" s="210"/>
      <c r="EO50" s="210"/>
      <c r="EP50" s="210"/>
      <c r="EQ50" s="210"/>
      <c r="ER50" s="210"/>
      <c r="ES50" s="210"/>
      <c r="ET50" s="210"/>
      <c r="EU50" s="210"/>
      <c r="EV50" s="210"/>
      <c r="EW50" s="210"/>
      <c r="EX50" s="210"/>
      <c r="EY50" s="210"/>
      <c r="EZ50" s="210"/>
      <c r="FA50" s="210"/>
      <c r="FB50" s="210"/>
      <c r="FC50" s="210"/>
      <c r="FD50" s="210"/>
      <c r="FE50" s="210"/>
      <c r="FF50" s="210"/>
      <c r="FG50" s="210"/>
      <c r="FH50" s="210"/>
      <c r="FI50" s="210"/>
      <c r="FJ50" s="210"/>
      <c r="FK50" s="210"/>
      <c r="FL50" s="210"/>
      <c r="FM50" s="210"/>
      <c r="FN50" s="210"/>
      <c r="FO50" s="210"/>
      <c r="FP50" s="210"/>
      <c r="FQ50" s="210"/>
      <c r="FR50" s="210"/>
      <c r="FS50" s="210"/>
      <c r="FT50" s="210"/>
      <c r="FU50" s="210"/>
      <c r="FV50" s="210"/>
      <c r="FW50" s="210"/>
      <c r="FX50" s="210"/>
      <c r="FY50" s="210"/>
      <c r="FZ50" s="210"/>
      <c r="GA50" s="210"/>
      <c r="GB50" s="210"/>
      <c r="GC50" s="210"/>
      <c r="GD50" s="210"/>
      <c r="GE50" s="210"/>
      <c r="GF50" s="210"/>
      <c r="GG50" s="210"/>
      <c r="GH50" s="210"/>
      <c r="GI50" s="210"/>
    </row>
    <row r="51" spans="1:191" ht="15" customHeight="1">
      <c r="A51" s="187"/>
      <c r="B51" s="196">
        <v>23</v>
      </c>
      <c r="C51" s="197" t="s">
        <v>1006</v>
      </c>
      <c r="D51" s="198" t="s">
        <v>1007</v>
      </c>
      <c r="E51" s="198" t="s">
        <v>1008</v>
      </c>
      <c r="F51" s="198" t="s">
        <v>1024</v>
      </c>
      <c r="G51" s="207" t="s">
        <v>1010</v>
      </c>
      <c r="H51" s="207"/>
      <c r="I51" s="196" t="s">
        <v>950</v>
      </c>
      <c r="J51" s="207"/>
      <c r="K51" s="208"/>
      <c r="L51" s="208"/>
      <c r="M51" s="208"/>
      <c r="N51" s="196">
        <v>1</v>
      </c>
      <c r="O51" s="201"/>
      <c r="P51" s="202"/>
      <c r="Q51" s="202" t="s">
        <v>976</v>
      </c>
      <c r="R51" s="201"/>
      <c r="S51" s="201"/>
      <c r="T51" s="203">
        <v>1062</v>
      </c>
      <c r="U51" s="204">
        <v>41827.894452197273</v>
      </c>
      <c r="V51" s="209" t="s">
        <v>1010</v>
      </c>
      <c r="W51" s="186">
        <v>0</v>
      </c>
      <c r="X51" s="186">
        <v>0</v>
      </c>
      <c r="Y51" s="186">
        <v>0</v>
      </c>
      <c r="Z51" s="192">
        <v>41827.894452197273</v>
      </c>
      <c r="AA51" s="192">
        <f t="shared" si="5"/>
        <v>41827.894452197273</v>
      </c>
      <c r="AB51" s="195"/>
      <c r="AC51" s="195"/>
      <c r="AD51" s="195"/>
      <c r="AE51" s="195"/>
      <c r="AF51" s="195"/>
      <c r="AG51" s="195"/>
      <c r="AH51" s="189" t="str">
        <f t="shared" si="3"/>
        <v/>
      </c>
      <c r="AI51" s="189" t="str">
        <f t="shared" si="3"/>
        <v/>
      </c>
      <c r="AJ51" s="189" t="str">
        <f t="shared" si="3"/>
        <v/>
      </c>
      <c r="AK51" s="189" t="str">
        <f t="shared" si="4"/>
        <v/>
      </c>
      <c r="AL51" s="195"/>
      <c r="AM51" s="195"/>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5"/>
      <c r="BQ51" s="195"/>
      <c r="BR51" s="195"/>
      <c r="BS51" s="195"/>
      <c r="BT51" s="195"/>
      <c r="BU51" s="195"/>
      <c r="BV51" s="210"/>
      <c r="BW51" s="210"/>
      <c r="BX51" s="210"/>
      <c r="BY51" s="210"/>
      <c r="BZ51" s="210"/>
      <c r="CA51" s="210"/>
      <c r="CB51" s="210"/>
      <c r="CC51" s="210"/>
      <c r="CD51" s="210"/>
      <c r="CE51" s="210"/>
      <c r="CF51" s="210"/>
      <c r="CG51" s="210"/>
      <c r="CH51" s="210"/>
      <c r="CI51" s="210"/>
      <c r="CJ51" s="210"/>
      <c r="CK51" s="210"/>
      <c r="CL51" s="210"/>
      <c r="CM51" s="210"/>
      <c r="CN51" s="210"/>
      <c r="CO51" s="210"/>
      <c r="CP51" s="210"/>
      <c r="CQ51" s="210"/>
      <c r="CR51" s="210"/>
      <c r="CS51" s="210"/>
      <c r="CT51" s="210"/>
      <c r="CU51" s="210"/>
      <c r="CV51" s="210"/>
      <c r="CW51" s="210"/>
      <c r="CX51" s="210"/>
      <c r="CY51" s="210"/>
      <c r="CZ51" s="210"/>
      <c r="DA51" s="210"/>
      <c r="DB51" s="210"/>
      <c r="DC51" s="210"/>
      <c r="DD51" s="210"/>
      <c r="DE51" s="210"/>
      <c r="DF51" s="210"/>
      <c r="DG51" s="210"/>
      <c r="DH51" s="210"/>
      <c r="DI51" s="210"/>
      <c r="DJ51" s="210"/>
      <c r="DK51" s="210"/>
      <c r="DL51" s="210"/>
      <c r="DM51" s="210"/>
      <c r="DN51" s="210"/>
      <c r="DO51" s="210"/>
      <c r="DP51" s="210"/>
      <c r="DQ51" s="210"/>
      <c r="DR51" s="210"/>
      <c r="DS51" s="210"/>
      <c r="DT51" s="210"/>
      <c r="DU51" s="210"/>
      <c r="DV51" s="210"/>
      <c r="DW51" s="210"/>
      <c r="DX51" s="210"/>
      <c r="DY51" s="210"/>
      <c r="DZ51" s="210"/>
      <c r="EA51" s="210"/>
      <c r="EB51" s="210"/>
      <c r="EC51" s="210"/>
      <c r="ED51" s="210"/>
      <c r="EE51" s="210"/>
      <c r="EF51" s="210"/>
      <c r="EG51" s="210"/>
      <c r="EH51" s="210"/>
      <c r="EI51" s="210"/>
      <c r="EJ51" s="210"/>
      <c r="EK51" s="210"/>
      <c r="EL51" s="210"/>
      <c r="EM51" s="210"/>
      <c r="EN51" s="210"/>
      <c r="EO51" s="210"/>
      <c r="EP51" s="210"/>
      <c r="EQ51" s="210"/>
      <c r="ER51" s="210"/>
      <c r="ES51" s="210"/>
      <c r="ET51" s="210"/>
      <c r="EU51" s="210"/>
      <c r="EV51" s="210"/>
      <c r="EW51" s="210"/>
      <c r="EX51" s="210"/>
      <c r="EY51" s="210"/>
      <c r="EZ51" s="210"/>
      <c r="FA51" s="210"/>
      <c r="FB51" s="210"/>
      <c r="FC51" s="210"/>
      <c r="FD51" s="210"/>
      <c r="FE51" s="210"/>
      <c r="FF51" s="210"/>
      <c r="FG51" s="210"/>
      <c r="FH51" s="210"/>
      <c r="FI51" s="210"/>
      <c r="FJ51" s="210"/>
      <c r="FK51" s="210"/>
      <c r="FL51" s="210"/>
      <c r="FM51" s="210"/>
      <c r="FN51" s="210"/>
      <c r="FO51" s="210"/>
      <c r="FP51" s="210"/>
      <c r="FQ51" s="210"/>
      <c r="FR51" s="210"/>
      <c r="FS51" s="210"/>
      <c r="FT51" s="210"/>
      <c r="FU51" s="210"/>
      <c r="FV51" s="210"/>
      <c r="FW51" s="210"/>
      <c r="FX51" s="210"/>
      <c r="FY51" s="210"/>
      <c r="FZ51" s="210"/>
      <c r="GA51" s="210"/>
      <c r="GB51" s="210"/>
      <c r="GC51" s="210"/>
      <c r="GD51" s="210"/>
      <c r="GE51" s="210"/>
      <c r="GF51" s="210"/>
      <c r="GG51" s="210"/>
      <c r="GH51" s="210"/>
      <c r="GI51" s="210"/>
    </row>
    <row r="52" spans="1:191" ht="15" customHeight="1">
      <c r="A52" s="187"/>
      <c r="B52" s="196">
        <v>23</v>
      </c>
      <c r="C52" s="197" t="s">
        <v>1006</v>
      </c>
      <c r="D52" s="198" t="s">
        <v>1007</v>
      </c>
      <c r="E52" s="198" t="s">
        <v>1008</v>
      </c>
      <c r="F52" s="198" t="s">
        <v>1025</v>
      </c>
      <c r="G52" s="207" t="s">
        <v>1010</v>
      </c>
      <c r="H52" s="207"/>
      <c r="I52" s="196" t="s">
        <v>950</v>
      </c>
      <c r="J52" s="207"/>
      <c r="K52" s="208"/>
      <c r="L52" s="208"/>
      <c r="M52" s="208"/>
      <c r="N52" s="196">
        <v>1</v>
      </c>
      <c r="O52" s="201"/>
      <c r="P52" s="202"/>
      <c r="Q52" s="202" t="s">
        <v>976</v>
      </c>
      <c r="R52" s="201"/>
      <c r="S52" s="201"/>
      <c r="T52" s="203">
        <v>1062</v>
      </c>
      <c r="U52" s="204">
        <v>41827.894452197273</v>
      </c>
      <c r="V52" s="209" t="s">
        <v>1010</v>
      </c>
      <c r="W52" s="186">
        <v>0</v>
      </c>
      <c r="X52" s="186">
        <v>0</v>
      </c>
      <c r="Y52" s="186">
        <v>0</v>
      </c>
      <c r="Z52" s="192">
        <v>41827.894452197273</v>
      </c>
      <c r="AA52" s="192">
        <f t="shared" si="5"/>
        <v>41827.894452197273</v>
      </c>
      <c r="AB52" s="195"/>
      <c r="AC52" s="195"/>
      <c r="AD52" s="195"/>
      <c r="AE52" s="195"/>
      <c r="AF52" s="195"/>
      <c r="AG52" s="195"/>
      <c r="AH52" s="189" t="str">
        <f t="shared" si="3"/>
        <v/>
      </c>
      <c r="AI52" s="189" t="str">
        <f t="shared" si="3"/>
        <v/>
      </c>
      <c r="AJ52" s="189" t="str">
        <f t="shared" si="3"/>
        <v/>
      </c>
      <c r="AK52" s="189" t="str">
        <f t="shared" si="4"/>
        <v/>
      </c>
      <c r="AL52" s="195"/>
      <c r="AM52" s="195"/>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5"/>
      <c r="BQ52" s="195"/>
      <c r="BR52" s="195"/>
      <c r="BS52" s="195"/>
      <c r="BT52" s="195"/>
      <c r="BU52" s="195"/>
      <c r="BV52" s="210"/>
      <c r="BW52" s="210"/>
      <c r="BX52" s="210"/>
      <c r="BY52" s="210"/>
      <c r="BZ52" s="210"/>
      <c r="CA52" s="210"/>
      <c r="CB52" s="210"/>
      <c r="CC52" s="210"/>
      <c r="CD52" s="210"/>
      <c r="CE52" s="210"/>
      <c r="CF52" s="210"/>
      <c r="CG52" s="210"/>
      <c r="CH52" s="210"/>
      <c r="CI52" s="210"/>
      <c r="CJ52" s="210"/>
      <c r="CK52" s="210"/>
      <c r="CL52" s="210"/>
      <c r="CM52" s="210"/>
      <c r="CN52" s="210"/>
      <c r="CO52" s="210"/>
      <c r="CP52" s="210"/>
      <c r="CQ52" s="210"/>
      <c r="CR52" s="210"/>
      <c r="CS52" s="210"/>
      <c r="CT52" s="210"/>
      <c r="CU52" s="210"/>
      <c r="CV52" s="210"/>
      <c r="CW52" s="210"/>
      <c r="CX52" s="210"/>
      <c r="CY52" s="210"/>
      <c r="CZ52" s="210"/>
      <c r="DA52" s="210"/>
      <c r="DB52" s="210"/>
      <c r="DC52" s="210"/>
      <c r="DD52" s="210"/>
      <c r="DE52" s="210"/>
      <c r="DF52" s="210"/>
      <c r="DG52" s="210"/>
      <c r="DH52" s="210"/>
      <c r="DI52" s="210"/>
      <c r="DJ52" s="210"/>
      <c r="DK52" s="210"/>
      <c r="DL52" s="210"/>
      <c r="DM52" s="210"/>
      <c r="DN52" s="210"/>
      <c r="DO52" s="210"/>
      <c r="DP52" s="210"/>
      <c r="DQ52" s="210"/>
      <c r="DR52" s="210"/>
      <c r="DS52" s="210"/>
      <c r="DT52" s="210"/>
      <c r="DU52" s="210"/>
      <c r="DV52" s="210"/>
      <c r="DW52" s="210"/>
      <c r="DX52" s="210"/>
      <c r="DY52" s="210"/>
      <c r="DZ52" s="210"/>
      <c r="EA52" s="210"/>
      <c r="EB52" s="210"/>
      <c r="EC52" s="210"/>
      <c r="ED52" s="210"/>
      <c r="EE52" s="210"/>
      <c r="EF52" s="210"/>
      <c r="EG52" s="210"/>
      <c r="EH52" s="210"/>
      <c r="EI52" s="210"/>
      <c r="EJ52" s="210"/>
      <c r="EK52" s="210"/>
      <c r="EL52" s="210"/>
      <c r="EM52" s="210"/>
      <c r="EN52" s="210"/>
      <c r="EO52" s="210"/>
      <c r="EP52" s="210"/>
      <c r="EQ52" s="210"/>
      <c r="ER52" s="210"/>
      <c r="ES52" s="210"/>
      <c r="ET52" s="210"/>
      <c r="EU52" s="210"/>
      <c r="EV52" s="210"/>
      <c r="EW52" s="210"/>
      <c r="EX52" s="210"/>
      <c r="EY52" s="210"/>
      <c r="EZ52" s="210"/>
      <c r="FA52" s="210"/>
      <c r="FB52" s="210"/>
      <c r="FC52" s="210"/>
      <c r="FD52" s="210"/>
      <c r="FE52" s="210"/>
      <c r="FF52" s="210"/>
      <c r="FG52" s="210"/>
      <c r="FH52" s="210"/>
      <c r="FI52" s="210"/>
      <c r="FJ52" s="210"/>
      <c r="FK52" s="210"/>
      <c r="FL52" s="210"/>
      <c r="FM52" s="210"/>
      <c r="FN52" s="210"/>
      <c r="FO52" s="210"/>
      <c r="FP52" s="210"/>
      <c r="FQ52" s="210"/>
      <c r="FR52" s="210"/>
      <c r="FS52" s="210"/>
      <c r="FT52" s="210"/>
      <c r="FU52" s="210"/>
      <c r="FV52" s="210"/>
      <c r="FW52" s="210"/>
      <c r="FX52" s="210"/>
      <c r="FY52" s="210"/>
      <c r="FZ52" s="210"/>
      <c r="GA52" s="210"/>
      <c r="GB52" s="210"/>
      <c r="GC52" s="210"/>
      <c r="GD52" s="210"/>
      <c r="GE52" s="210"/>
      <c r="GF52" s="210"/>
      <c r="GG52" s="210"/>
      <c r="GH52" s="210"/>
      <c r="GI52" s="210"/>
    </row>
    <row r="53" spans="1:191" ht="15" customHeight="1">
      <c r="A53" s="187"/>
      <c r="B53" s="196">
        <v>23</v>
      </c>
      <c r="C53" s="197" t="s">
        <v>1006</v>
      </c>
      <c r="D53" s="198" t="s">
        <v>1007</v>
      </c>
      <c r="E53" s="198" t="s">
        <v>1008</v>
      </c>
      <c r="F53" s="198" t="s">
        <v>1026</v>
      </c>
      <c r="G53" s="207" t="s">
        <v>1010</v>
      </c>
      <c r="H53" s="207"/>
      <c r="I53" s="196" t="s">
        <v>950</v>
      </c>
      <c r="J53" s="207"/>
      <c r="K53" s="208"/>
      <c r="L53" s="208"/>
      <c r="M53" s="208"/>
      <c r="N53" s="196">
        <v>1</v>
      </c>
      <c r="O53" s="201"/>
      <c r="P53" s="202"/>
      <c r="Q53" s="202" t="s">
        <v>976</v>
      </c>
      <c r="R53" s="201"/>
      <c r="S53" s="201"/>
      <c r="T53" s="203">
        <v>1062</v>
      </c>
      <c r="U53" s="204">
        <v>41827.894452197273</v>
      </c>
      <c r="V53" s="209" t="s">
        <v>1010</v>
      </c>
      <c r="W53" s="186">
        <v>0</v>
      </c>
      <c r="X53" s="186">
        <v>0</v>
      </c>
      <c r="Y53" s="186">
        <v>0</v>
      </c>
      <c r="Z53" s="192">
        <v>41827.894452197273</v>
      </c>
      <c r="AA53" s="192">
        <f t="shared" si="5"/>
        <v>41827.894452197273</v>
      </c>
      <c r="AB53" s="195"/>
      <c r="AC53" s="195"/>
      <c r="AD53" s="195"/>
      <c r="AE53" s="195"/>
      <c r="AF53" s="195"/>
      <c r="AG53" s="195"/>
      <c r="AH53" s="189" t="str">
        <f t="shared" si="3"/>
        <v/>
      </c>
      <c r="AI53" s="189" t="str">
        <f t="shared" si="3"/>
        <v/>
      </c>
      <c r="AJ53" s="189" t="str">
        <f t="shared" si="3"/>
        <v/>
      </c>
      <c r="AK53" s="189" t="str">
        <f t="shared" si="4"/>
        <v/>
      </c>
      <c r="AL53" s="195"/>
      <c r="AM53" s="195"/>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95"/>
      <c r="BO53" s="195"/>
      <c r="BP53" s="195"/>
      <c r="BQ53" s="195"/>
      <c r="BR53" s="195"/>
      <c r="BS53" s="195"/>
      <c r="BT53" s="195"/>
      <c r="BU53" s="195"/>
      <c r="BV53" s="210"/>
      <c r="BW53" s="210"/>
      <c r="BX53" s="210"/>
      <c r="BY53" s="210"/>
      <c r="BZ53" s="210"/>
      <c r="CA53" s="210"/>
      <c r="CB53" s="210"/>
      <c r="CC53" s="210"/>
      <c r="CD53" s="210"/>
      <c r="CE53" s="210"/>
      <c r="CF53" s="210"/>
      <c r="CG53" s="210"/>
      <c r="CH53" s="210"/>
      <c r="CI53" s="210"/>
      <c r="CJ53" s="210"/>
      <c r="CK53" s="210"/>
      <c r="CL53" s="210"/>
      <c r="CM53" s="210"/>
      <c r="CN53" s="210"/>
      <c r="CO53" s="210"/>
      <c r="CP53" s="210"/>
      <c r="CQ53" s="210"/>
      <c r="CR53" s="210"/>
      <c r="CS53" s="210"/>
      <c r="CT53" s="210"/>
      <c r="CU53" s="210"/>
      <c r="CV53" s="210"/>
      <c r="CW53" s="210"/>
      <c r="CX53" s="210"/>
      <c r="CY53" s="210"/>
      <c r="CZ53" s="210"/>
      <c r="DA53" s="210"/>
      <c r="DB53" s="210"/>
      <c r="DC53" s="210"/>
      <c r="DD53" s="210"/>
      <c r="DE53" s="210"/>
      <c r="DF53" s="210"/>
      <c r="DG53" s="210"/>
      <c r="DH53" s="210"/>
      <c r="DI53" s="210"/>
      <c r="DJ53" s="210"/>
      <c r="DK53" s="210"/>
      <c r="DL53" s="210"/>
      <c r="DM53" s="210"/>
      <c r="DN53" s="210"/>
      <c r="DO53" s="210"/>
      <c r="DP53" s="210"/>
      <c r="DQ53" s="210"/>
      <c r="DR53" s="210"/>
      <c r="DS53" s="210"/>
      <c r="DT53" s="210"/>
      <c r="DU53" s="210"/>
      <c r="DV53" s="210"/>
      <c r="DW53" s="210"/>
      <c r="DX53" s="210"/>
      <c r="DY53" s="210"/>
      <c r="DZ53" s="210"/>
      <c r="EA53" s="210"/>
      <c r="EB53" s="210"/>
      <c r="EC53" s="210"/>
      <c r="ED53" s="210"/>
      <c r="EE53" s="210"/>
      <c r="EF53" s="210"/>
      <c r="EG53" s="210"/>
      <c r="EH53" s="210"/>
      <c r="EI53" s="210"/>
      <c r="EJ53" s="210"/>
      <c r="EK53" s="210"/>
      <c r="EL53" s="210"/>
      <c r="EM53" s="210"/>
      <c r="EN53" s="210"/>
      <c r="EO53" s="210"/>
      <c r="EP53" s="210"/>
      <c r="EQ53" s="210"/>
      <c r="ER53" s="210"/>
      <c r="ES53" s="210"/>
      <c r="ET53" s="210"/>
      <c r="EU53" s="210"/>
      <c r="EV53" s="210"/>
      <c r="EW53" s="210"/>
      <c r="EX53" s="210"/>
      <c r="EY53" s="210"/>
      <c r="EZ53" s="210"/>
      <c r="FA53" s="210"/>
      <c r="FB53" s="210"/>
      <c r="FC53" s="210"/>
      <c r="FD53" s="210"/>
      <c r="FE53" s="210"/>
      <c r="FF53" s="210"/>
      <c r="FG53" s="210"/>
      <c r="FH53" s="210"/>
      <c r="FI53" s="210"/>
      <c r="FJ53" s="210"/>
      <c r="FK53" s="210"/>
      <c r="FL53" s="210"/>
      <c r="FM53" s="210"/>
      <c r="FN53" s="210"/>
      <c r="FO53" s="210"/>
      <c r="FP53" s="210"/>
      <c r="FQ53" s="210"/>
      <c r="FR53" s="210"/>
      <c r="FS53" s="210"/>
      <c r="FT53" s="210"/>
      <c r="FU53" s="210"/>
      <c r="FV53" s="210"/>
      <c r="FW53" s="210"/>
      <c r="FX53" s="210"/>
      <c r="FY53" s="210"/>
      <c r="FZ53" s="210"/>
      <c r="GA53" s="210"/>
      <c r="GB53" s="210"/>
      <c r="GC53" s="210"/>
      <c r="GD53" s="210"/>
      <c r="GE53" s="210"/>
      <c r="GF53" s="210"/>
      <c r="GG53" s="210"/>
      <c r="GH53" s="210"/>
      <c r="GI53" s="210"/>
    </row>
    <row r="54" spans="1:191" ht="15" customHeight="1">
      <c r="A54" s="187"/>
      <c r="B54" s="196">
        <v>23</v>
      </c>
      <c r="C54" s="197" t="s">
        <v>1006</v>
      </c>
      <c r="D54" s="198" t="s">
        <v>1007</v>
      </c>
      <c r="E54" s="198" t="s">
        <v>1008</v>
      </c>
      <c r="F54" s="198" t="s">
        <v>1027</v>
      </c>
      <c r="G54" s="207"/>
      <c r="H54" s="207"/>
      <c r="I54" s="196"/>
      <c r="J54" s="207"/>
      <c r="K54" s="208"/>
      <c r="L54" s="208"/>
      <c r="M54" s="208"/>
      <c r="N54" s="196">
        <v>1</v>
      </c>
      <c r="O54" s="201"/>
      <c r="P54" s="202"/>
      <c r="Q54" s="202"/>
      <c r="R54" s="201"/>
      <c r="S54" s="201"/>
      <c r="T54" s="203">
        <v>1062</v>
      </c>
      <c r="U54" s="204">
        <v>41827.894452197273</v>
      </c>
      <c r="V54" s="209"/>
      <c r="W54" s="186">
        <v>0</v>
      </c>
      <c r="X54" s="186">
        <v>0</v>
      </c>
      <c r="Y54" s="186">
        <v>0</v>
      </c>
      <c r="Z54" s="192">
        <v>41827.894452197273</v>
      </c>
      <c r="AA54" s="192">
        <f t="shared" si="5"/>
        <v>41827.894452197273</v>
      </c>
      <c r="AB54" s="195"/>
      <c r="AC54" s="195"/>
      <c r="AD54" s="195"/>
      <c r="AE54" s="195"/>
      <c r="AF54" s="195"/>
      <c r="AG54" s="195"/>
      <c r="AH54" s="206">
        <f>SUM(U37:U54)</f>
        <v>752902.10013955063</v>
      </c>
      <c r="AI54" s="189" t="str">
        <f t="shared" si="3"/>
        <v/>
      </c>
      <c r="AJ54" s="189" t="str">
        <f t="shared" si="3"/>
        <v/>
      </c>
      <c r="AK54" s="189" t="str">
        <f t="shared" si="4"/>
        <v/>
      </c>
      <c r="AL54" s="195"/>
      <c r="AM54" s="195"/>
      <c r="AN54" s="195"/>
      <c r="AO54" s="195"/>
      <c r="AP54" s="195"/>
      <c r="AQ54" s="195"/>
      <c r="AR54" s="195"/>
      <c r="AS54" s="195"/>
      <c r="AT54" s="195"/>
      <c r="AU54" s="195"/>
      <c r="AV54" s="195"/>
      <c r="AW54" s="195"/>
      <c r="AX54" s="195"/>
      <c r="AY54" s="195"/>
      <c r="AZ54" s="195"/>
      <c r="BA54" s="195"/>
      <c r="BB54" s="195"/>
      <c r="BC54" s="195"/>
      <c r="BD54" s="195"/>
      <c r="BE54" s="195"/>
      <c r="BF54" s="195"/>
      <c r="BG54" s="195"/>
      <c r="BH54" s="195"/>
      <c r="BI54" s="195"/>
      <c r="BJ54" s="195"/>
      <c r="BK54" s="195"/>
      <c r="BL54" s="195"/>
      <c r="BM54" s="195"/>
      <c r="BN54" s="195"/>
      <c r="BO54" s="195"/>
      <c r="BP54" s="195"/>
      <c r="BQ54" s="195"/>
      <c r="BR54" s="195"/>
      <c r="BS54" s="195"/>
      <c r="BT54" s="195"/>
      <c r="BU54" s="195"/>
      <c r="BV54" s="210"/>
      <c r="BW54" s="210"/>
      <c r="BX54" s="210"/>
      <c r="BY54" s="210"/>
      <c r="BZ54" s="210"/>
      <c r="CA54" s="210"/>
      <c r="CB54" s="210"/>
      <c r="CC54" s="210"/>
      <c r="CD54" s="210"/>
      <c r="CE54" s="210"/>
      <c r="CF54" s="210"/>
      <c r="CG54" s="210"/>
      <c r="CH54" s="210"/>
      <c r="CI54" s="210"/>
      <c r="CJ54" s="210"/>
      <c r="CK54" s="210"/>
      <c r="CL54" s="210"/>
      <c r="CM54" s="210"/>
      <c r="CN54" s="210"/>
      <c r="CO54" s="210"/>
      <c r="CP54" s="210"/>
      <c r="CQ54" s="210"/>
      <c r="CR54" s="210"/>
      <c r="CS54" s="210"/>
      <c r="CT54" s="210"/>
      <c r="CU54" s="210"/>
      <c r="CV54" s="210"/>
      <c r="CW54" s="210"/>
      <c r="CX54" s="210"/>
      <c r="CY54" s="210"/>
      <c r="CZ54" s="210"/>
      <c r="DA54" s="210"/>
      <c r="DB54" s="210"/>
      <c r="DC54" s="210"/>
      <c r="DD54" s="210"/>
      <c r="DE54" s="210"/>
      <c r="DF54" s="210"/>
      <c r="DG54" s="210"/>
      <c r="DH54" s="210"/>
      <c r="DI54" s="210"/>
      <c r="DJ54" s="210"/>
      <c r="DK54" s="210"/>
      <c r="DL54" s="210"/>
      <c r="DM54" s="210"/>
      <c r="DN54" s="210"/>
      <c r="DO54" s="210"/>
      <c r="DP54" s="210"/>
      <c r="DQ54" s="210"/>
      <c r="DR54" s="210"/>
      <c r="DS54" s="210"/>
      <c r="DT54" s="210"/>
      <c r="DU54" s="210"/>
      <c r="DV54" s="210"/>
      <c r="DW54" s="210"/>
      <c r="DX54" s="210"/>
      <c r="DY54" s="210"/>
      <c r="DZ54" s="210"/>
      <c r="EA54" s="210"/>
      <c r="EB54" s="210"/>
      <c r="EC54" s="210"/>
      <c r="ED54" s="210"/>
      <c r="EE54" s="210"/>
      <c r="EF54" s="210"/>
      <c r="EG54" s="210"/>
      <c r="EH54" s="210"/>
      <c r="EI54" s="210"/>
      <c r="EJ54" s="210"/>
      <c r="EK54" s="210"/>
      <c r="EL54" s="210"/>
      <c r="EM54" s="210"/>
      <c r="EN54" s="210"/>
      <c r="EO54" s="210"/>
      <c r="EP54" s="210"/>
      <c r="EQ54" s="210"/>
      <c r="ER54" s="210"/>
      <c r="ES54" s="210"/>
      <c r="ET54" s="210"/>
      <c r="EU54" s="210"/>
      <c r="EV54" s="210"/>
      <c r="EW54" s="210"/>
      <c r="EX54" s="210"/>
      <c r="EY54" s="210"/>
      <c r="EZ54" s="210"/>
      <c r="FA54" s="210"/>
      <c r="FB54" s="210"/>
      <c r="FC54" s="210"/>
      <c r="FD54" s="210"/>
      <c r="FE54" s="210"/>
      <c r="FF54" s="210"/>
      <c r="FG54" s="210"/>
      <c r="FH54" s="210"/>
      <c r="FI54" s="210"/>
      <c r="FJ54" s="210"/>
      <c r="FK54" s="210"/>
      <c r="FL54" s="210"/>
      <c r="FM54" s="210"/>
      <c r="FN54" s="210"/>
      <c r="FO54" s="210"/>
      <c r="FP54" s="210"/>
      <c r="FQ54" s="210"/>
      <c r="FR54" s="210"/>
      <c r="FS54" s="210"/>
      <c r="FT54" s="210"/>
      <c r="FU54" s="210"/>
      <c r="FV54" s="210"/>
      <c r="FW54" s="210"/>
      <c r="FX54" s="210"/>
      <c r="FY54" s="210"/>
      <c r="FZ54" s="210"/>
      <c r="GA54" s="210"/>
      <c r="GB54" s="210"/>
      <c r="GC54" s="210"/>
      <c r="GD54" s="210"/>
      <c r="GE54" s="210"/>
      <c r="GF54" s="210"/>
      <c r="GG54" s="210"/>
      <c r="GH54" s="210"/>
      <c r="GI54" s="210"/>
    </row>
    <row r="55" spans="1:191" s="186" customFormat="1" ht="15" customHeight="1">
      <c r="A55" s="184"/>
      <c r="B55" s="190"/>
      <c r="C55" s="211"/>
      <c r="D55" s="193"/>
      <c r="E55" s="193"/>
      <c r="F55" s="188"/>
      <c r="G55" s="188"/>
      <c r="H55" s="190"/>
      <c r="I55" s="188"/>
      <c r="J55" s="184"/>
      <c r="K55" s="190"/>
      <c r="L55" s="190"/>
      <c r="M55" s="190"/>
      <c r="N55" s="184"/>
      <c r="O55" s="191"/>
      <c r="P55" s="191"/>
      <c r="Q55" s="183"/>
      <c r="R55" s="183"/>
      <c r="S55" s="183"/>
      <c r="T55" s="184"/>
      <c r="U55" s="186">
        <f>SUM(U2:U54)</f>
        <v>10829632.907170802</v>
      </c>
      <c r="V55" s="188"/>
      <c r="AB55" s="184"/>
      <c r="AC55" s="184"/>
      <c r="AD55" s="184"/>
      <c r="AE55" s="184"/>
      <c r="AF55" s="184"/>
      <c r="AG55" s="184"/>
      <c r="AH55" s="264"/>
      <c r="AI55" s="184"/>
      <c r="AJ55" s="184"/>
      <c r="AK55" s="184"/>
      <c r="AL55" s="184"/>
      <c r="AM55" s="184"/>
      <c r="AN55" s="184"/>
      <c r="AO55" s="184"/>
      <c r="AP55" s="184"/>
      <c r="AQ55" s="184"/>
      <c r="AR55" s="184"/>
      <c r="AS55" s="184"/>
      <c r="AT55" s="184"/>
      <c r="AU55" s="184"/>
      <c r="AV55" s="184"/>
      <c r="AW55" s="184"/>
      <c r="AX55" s="184"/>
      <c r="AY55" s="184"/>
      <c r="AZ55" s="184"/>
      <c r="BA55" s="184"/>
      <c r="BB55" s="184"/>
      <c r="BC55" s="184"/>
      <c r="BD55" s="184"/>
      <c r="BE55" s="184"/>
      <c r="BF55" s="184"/>
      <c r="BG55" s="184"/>
      <c r="BH55" s="184"/>
      <c r="BI55" s="184"/>
      <c r="BJ55" s="184"/>
      <c r="BK55" s="184"/>
      <c r="BL55" s="184"/>
      <c r="BM55" s="184"/>
      <c r="BN55" s="184"/>
      <c r="BO55" s="184"/>
      <c r="BP55" s="184"/>
      <c r="BQ55" s="184"/>
      <c r="BR55" s="184"/>
      <c r="BS55" s="184"/>
      <c r="BT55" s="184"/>
      <c r="BU55" s="184"/>
      <c r="BV55" s="184"/>
      <c r="BW55" s="184"/>
      <c r="BX55" s="184"/>
      <c r="BY55" s="184"/>
      <c r="BZ55" s="184"/>
      <c r="CA55" s="184"/>
      <c r="CB55" s="184"/>
      <c r="CC55" s="184"/>
      <c r="CD55" s="184"/>
      <c r="CE55" s="184"/>
      <c r="CF55" s="184"/>
      <c r="CG55" s="184"/>
      <c r="CH55" s="184"/>
      <c r="CI55" s="184"/>
      <c r="CJ55" s="184"/>
      <c r="CK55" s="184"/>
      <c r="CL55" s="184"/>
      <c r="CM55" s="184"/>
      <c r="CN55" s="184"/>
      <c r="CO55" s="184"/>
      <c r="CP55" s="184"/>
      <c r="CQ55" s="184"/>
      <c r="CR55" s="184"/>
      <c r="CS55" s="184"/>
      <c r="CT55" s="184"/>
      <c r="CU55" s="184"/>
      <c r="CV55" s="184"/>
      <c r="CW55" s="184"/>
      <c r="CX55" s="184"/>
      <c r="CY55" s="184"/>
      <c r="CZ55" s="184"/>
      <c r="DA55" s="184"/>
      <c r="DB55" s="184"/>
      <c r="DC55" s="184"/>
      <c r="DD55" s="184"/>
      <c r="DE55" s="184"/>
      <c r="DF55" s="184"/>
      <c r="DG55" s="184"/>
      <c r="DH55" s="184"/>
      <c r="DI55" s="184"/>
      <c r="DJ55" s="184"/>
      <c r="DK55" s="184"/>
      <c r="DL55" s="184"/>
      <c r="DM55" s="184"/>
      <c r="DN55" s="184"/>
      <c r="DO55" s="184"/>
      <c r="DP55" s="184"/>
      <c r="DQ55" s="184"/>
      <c r="DR55" s="184"/>
      <c r="DS55" s="184"/>
      <c r="DT55" s="184"/>
      <c r="DU55" s="184"/>
      <c r="DV55" s="184"/>
      <c r="DW55" s="184"/>
      <c r="DX55" s="184"/>
      <c r="DY55" s="184"/>
      <c r="DZ55" s="184"/>
      <c r="EA55" s="184"/>
      <c r="EB55" s="184"/>
      <c r="EC55" s="184"/>
      <c r="ED55" s="184"/>
      <c r="EE55" s="184"/>
      <c r="EF55" s="184"/>
      <c r="EG55" s="184"/>
      <c r="EH55" s="184"/>
      <c r="EI55" s="184"/>
      <c r="EJ55" s="184"/>
      <c r="EK55" s="184"/>
      <c r="EL55" s="184"/>
      <c r="EM55" s="184"/>
      <c r="EN55" s="184"/>
      <c r="EO55" s="184"/>
      <c r="EP55" s="184"/>
      <c r="EQ55" s="184"/>
      <c r="ER55" s="184"/>
      <c r="ES55" s="184"/>
      <c r="ET55" s="184"/>
      <c r="EU55" s="184"/>
      <c r="EV55" s="184"/>
      <c r="EW55" s="184"/>
      <c r="EX55" s="184"/>
      <c r="EY55" s="184"/>
      <c r="EZ55" s="184"/>
      <c r="FA55" s="184"/>
      <c r="FB55" s="184"/>
      <c r="FC55" s="184"/>
      <c r="FD55" s="184"/>
      <c r="FE55" s="184"/>
      <c r="FF55" s="184"/>
      <c r="FG55" s="184"/>
      <c r="FH55" s="184"/>
      <c r="FI55" s="184"/>
      <c r="FJ55" s="184"/>
      <c r="FK55" s="184"/>
      <c r="FL55" s="184"/>
      <c r="FM55" s="184"/>
      <c r="FN55" s="184"/>
      <c r="FO55" s="184"/>
      <c r="FP55" s="184"/>
      <c r="FQ55" s="184"/>
      <c r="FR55" s="184"/>
      <c r="FS55" s="184"/>
      <c r="FT55" s="184"/>
      <c r="FU55" s="184"/>
      <c r="FV55" s="184"/>
      <c r="FW55" s="184"/>
      <c r="FX55" s="184"/>
      <c r="FY55" s="184"/>
      <c r="FZ55" s="184"/>
      <c r="GA55" s="184"/>
      <c r="GB55" s="184"/>
      <c r="GC55" s="184"/>
      <c r="GD55" s="184"/>
      <c r="GE55" s="184"/>
      <c r="GF55" s="184"/>
      <c r="GG55" s="184"/>
      <c r="GH55" s="184"/>
      <c r="GI55" s="184"/>
    </row>
    <row r="56" spans="1:191" s="186" customFormat="1" ht="15" customHeight="1">
      <c r="A56" s="184"/>
      <c r="B56" s="190"/>
      <c r="C56" s="211"/>
      <c r="D56" s="193"/>
      <c r="E56" s="193"/>
      <c r="F56" s="188"/>
      <c r="G56" s="188"/>
      <c r="H56" s="190"/>
      <c r="I56" s="188"/>
      <c r="J56" s="184"/>
      <c r="K56" s="190"/>
      <c r="L56" s="190"/>
      <c r="M56" s="190"/>
      <c r="N56" s="184"/>
      <c r="O56" s="191"/>
      <c r="P56" s="191"/>
      <c r="Q56" s="183"/>
      <c r="R56" s="183"/>
      <c r="S56" s="183"/>
      <c r="T56" s="184"/>
      <c r="V56" s="188"/>
      <c r="AB56" s="184"/>
      <c r="AC56" s="184"/>
      <c r="AD56" s="184"/>
      <c r="AE56" s="184"/>
      <c r="AF56" s="184"/>
      <c r="AG56" s="184"/>
      <c r="AH56" s="184"/>
      <c r="AI56" s="184"/>
      <c r="AJ56" s="184"/>
      <c r="AK56" s="184"/>
      <c r="AL56" s="184"/>
      <c r="AM56" s="184"/>
      <c r="AN56" s="184"/>
      <c r="AO56" s="184"/>
      <c r="AP56" s="184"/>
      <c r="AQ56" s="184"/>
      <c r="AR56" s="184"/>
      <c r="AS56" s="184"/>
      <c r="AT56" s="184"/>
      <c r="AU56" s="184"/>
      <c r="AV56" s="184"/>
      <c r="AW56" s="184"/>
      <c r="AX56" s="184"/>
      <c r="AY56" s="184"/>
      <c r="AZ56" s="184"/>
      <c r="BA56" s="184"/>
      <c r="BB56" s="184"/>
      <c r="BC56" s="184"/>
      <c r="BD56" s="184"/>
      <c r="BE56" s="184"/>
      <c r="BF56" s="184"/>
      <c r="BG56" s="184"/>
      <c r="BH56" s="184"/>
      <c r="BI56" s="184"/>
      <c r="BJ56" s="184"/>
      <c r="BK56" s="184"/>
      <c r="BL56" s="184"/>
      <c r="BM56" s="184"/>
      <c r="BN56" s="184"/>
      <c r="BO56" s="184"/>
      <c r="BP56" s="184"/>
      <c r="BQ56" s="184"/>
      <c r="BR56" s="184"/>
      <c r="BS56" s="184"/>
      <c r="BT56" s="184"/>
      <c r="BU56" s="184"/>
      <c r="BV56" s="184"/>
      <c r="BW56" s="184"/>
      <c r="BX56" s="184"/>
      <c r="BY56" s="184"/>
      <c r="BZ56" s="184"/>
      <c r="CA56" s="184"/>
      <c r="CB56" s="184"/>
      <c r="CC56" s="184"/>
      <c r="CD56" s="184"/>
      <c r="CE56" s="184"/>
      <c r="CF56" s="184"/>
      <c r="CG56" s="184"/>
      <c r="CH56" s="184"/>
      <c r="CI56" s="184"/>
      <c r="CJ56" s="184"/>
      <c r="CK56" s="184"/>
      <c r="CL56" s="184"/>
      <c r="CM56" s="184"/>
      <c r="CN56" s="184"/>
      <c r="CO56" s="184"/>
      <c r="CP56" s="184"/>
      <c r="CQ56" s="184"/>
      <c r="CR56" s="184"/>
      <c r="CS56" s="184"/>
      <c r="CT56" s="184"/>
      <c r="CU56" s="184"/>
      <c r="CV56" s="184"/>
      <c r="CW56" s="184"/>
      <c r="CX56" s="184"/>
      <c r="CY56" s="184"/>
      <c r="CZ56" s="184"/>
      <c r="DA56" s="184"/>
      <c r="DB56" s="184"/>
      <c r="DC56" s="184"/>
      <c r="DD56" s="184"/>
      <c r="DE56" s="184"/>
      <c r="DF56" s="184"/>
      <c r="DG56" s="184"/>
      <c r="DH56" s="184"/>
      <c r="DI56" s="184"/>
      <c r="DJ56" s="184"/>
      <c r="DK56" s="184"/>
      <c r="DL56" s="184"/>
      <c r="DM56" s="184"/>
      <c r="DN56" s="184"/>
      <c r="DO56" s="184"/>
      <c r="DP56" s="184"/>
      <c r="DQ56" s="184"/>
      <c r="DR56" s="184"/>
      <c r="DS56" s="184"/>
      <c r="DT56" s="184"/>
      <c r="DU56" s="184"/>
      <c r="DV56" s="184"/>
      <c r="DW56" s="184"/>
      <c r="DX56" s="184"/>
      <c r="DY56" s="184"/>
      <c r="DZ56" s="184"/>
      <c r="EA56" s="184"/>
      <c r="EB56" s="184"/>
      <c r="EC56" s="184"/>
      <c r="ED56" s="184"/>
      <c r="EE56" s="184"/>
      <c r="EF56" s="184"/>
      <c r="EG56" s="184"/>
      <c r="EH56" s="184"/>
      <c r="EI56" s="184"/>
      <c r="EJ56" s="184"/>
      <c r="EK56" s="184"/>
      <c r="EL56" s="184"/>
      <c r="EM56" s="184"/>
      <c r="EN56" s="184"/>
      <c r="EO56" s="184"/>
      <c r="EP56" s="184"/>
      <c r="EQ56" s="184"/>
      <c r="ER56" s="184"/>
      <c r="ES56" s="184"/>
      <c r="ET56" s="184"/>
      <c r="EU56" s="184"/>
      <c r="EV56" s="184"/>
      <c r="EW56" s="184"/>
      <c r="EX56" s="184"/>
      <c r="EY56" s="184"/>
      <c r="EZ56" s="184"/>
      <c r="FA56" s="184"/>
      <c r="FB56" s="184"/>
      <c r="FC56" s="184"/>
      <c r="FD56" s="184"/>
      <c r="FE56" s="184"/>
      <c r="FF56" s="184"/>
      <c r="FG56" s="184"/>
      <c r="FH56" s="184"/>
      <c r="FI56" s="184"/>
      <c r="FJ56" s="184"/>
      <c r="FK56" s="184"/>
      <c r="FL56" s="184"/>
      <c r="FM56" s="184"/>
      <c r="FN56" s="184"/>
      <c r="FO56" s="184"/>
      <c r="FP56" s="184"/>
      <c r="FQ56" s="184"/>
      <c r="FR56" s="184"/>
      <c r="FS56" s="184"/>
      <c r="FT56" s="184"/>
      <c r="FU56" s="184"/>
      <c r="FV56" s="184"/>
      <c r="FW56" s="184"/>
      <c r="FX56" s="184"/>
      <c r="FY56" s="184"/>
      <c r="FZ56" s="184"/>
      <c r="GA56" s="184"/>
      <c r="GB56" s="184"/>
      <c r="GC56" s="184"/>
      <c r="GD56" s="184"/>
      <c r="GE56" s="184"/>
      <c r="GF56" s="184"/>
      <c r="GG56" s="184"/>
      <c r="GH56" s="184"/>
      <c r="GI56" s="184"/>
    </row>
    <row r="57" spans="1:191" s="186" customFormat="1" ht="15" customHeight="1">
      <c r="A57" s="184"/>
      <c r="B57" s="21">
        <v>23</v>
      </c>
      <c r="C57" s="120" t="s">
        <v>1028</v>
      </c>
      <c r="D57" s="212" t="s">
        <v>1029</v>
      </c>
      <c r="E57" s="212" t="s">
        <v>1030</v>
      </c>
      <c r="F57" s="213"/>
      <c r="G57" s="214"/>
      <c r="H57" s="214"/>
      <c r="I57" s="119"/>
      <c r="J57" s="214"/>
      <c r="K57" s="215"/>
      <c r="L57" s="215"/>
      <c r="M57" s="215"/>
      <c r="N57" s="119">
        <v>1</v>
      </c>
      <c r="O57" s="216"/>
      <c r="P57" s="217" t="s">
        <v>1031</v>
      </c>
      <c r="Q57" s="217"/>
      <c r="R57" s="216"/>
      <c r="S57" s="216"/>
      <c r="T57" s="218">
        <v>1062</v>
      </c>
      <c r="U57" s="219">
        <v>65356.085081558238</v>
      </c>
      <c r="V57" s="214"/>
      <c r="AB57" s="184"/>
      <c r="AC57" s="184"/>
      <c r="AD57" s="184"/>
      <c r="AE57" s="184"/>
      <c r="AF57" s="184"/>
      <c r="AG57" s="184"/>
      <c r="AH57" s="184"/>
      <c r="AI57" s="184"/>
      <c r="AJ57" s="184"/>
      <c r="AK57" s="184"/>
      <c r="AL57" s="184"/>
      <c r="AM57" s="184"/>
      <c r="AN57" s="184"/>
      <c r="AO57" s="184"/>
      <c r="AP57" s="184"/>
      <c r="AQ57" s="184"/>
      <c r="AR57" s="184"/>
      <c r="AS57" s="184"/>
      <c r="AT57" s="184"/>
      <c r="AU57" s="184"/>
      <c r="AV57" s="184"/>
      <c r="AW57" s="184"/>
      <c r="AX57" s="184"/>
      <c r="AY57" s="184"/>
      <c r="AZ57" s="184"/>
      <c r="BA57" s="184"/>
      <c r="BB57" s="184"/>
      <c r="BC57" s="184"/>
      <c r="BD57" s="184"/>
      <c r="BE57" s="184"/>
      <c r="BF57" s="184"/>
      <c r="BG57" s="184"/>
      <c r="BH57" s="184"/>
      <c r="BI57" s="184"/>
      <c r="BJ57" s="184"/>
      <c r="BK57" s="184"/>
      <c r="BL57" s="184"/>
      <c r="BM57" s="184"/>
      <c r="BN57" s="184"/>
      <c r="BO57" s="184"/>
      <c r="BP57" s="184"/>
      <c r="BQ57" s="184"/>
      <c r="BR57" s="184"/>
      <c r="BS57" s="184"/>
      <c r="BT57" s="184"/>
      <c r="BU57" s="184"/>
      <c r="BV57" s="184"/>
      <c r="BW57" s="184"/>
      <c r="BX57" s="184"/>
      <c r="BY57" s="184"/>
      <c r="BZ57" s="184"/>
      <c r="CA57" s="184"/>
      <c r="CB57" s="184"/>
      <c r="CC57" s="184"/>
      <c r="CD57" s="184"/>
      <c r="CE57" s="184"/>
      <c r="CF57" s="184"/>
      <c r="CG57" s="184"/>
      <c r="CH57" s="184"/>
      <c r="CI57" s="184"/>
      <c r="CJ57" s="184"/>
      <c r="CK57" s="184"/>
      <c r="CL57" s="184"/>
      <c r="CM57" s="184"/>
      <c r="CN57" s="184"/>
      <c r="CO57" s="184"/>
      <c r="CP57" s="184"/>
      <c r="CQ57" s="184"/>
      <c r="CR57" s="184"/>
      <c r="CS57" s="184"/>
      <c r="CT57" s="184"/>
      <c r="CU57" s="184"/>
      <c r="CV57" s="184"/>
      <c r="CW57" s="184"/>
      <c r="CX57" s="184"/>
      <c r="CY57" s="184"/>
      <c r="CZ57" s="184"/>
      <c r="DA57" s="184"/>
      <c r="DB57" s="184"/>
      <c r="DC57" s="184"/>
      <c r="DD57" s="184"/>
      <c r="DE57" s="184"/>
      <c r="DF57" s="184"/>
      <c r="DG57" s="184"/>
      <c r="DH57" s="184"/>
      <c r="DI57" s="184"/>
      <c r="DJ57" s="184"/>
      <c r="DK57" s="184"/>
      <c r="DL57" s="184"/>
      <c r="DM57" s="184"/>
      <c r="DN57" s="184"/>
      <c r="DO57" s="184"/>
      <c r="DP57" s="184"/>
      <c r="DQ57" s="184"/>
      <c r="DR57" s="184"/>
      <c r="DS57" s="184"/>
      <c r="DT57" s="184"/>
      <c r="DU57" s="184"/>
      <c r="DV57" s="184"/>
      <c r="DW57" s="184"/>
      <c r="DX57" s="184"/>
      <c r="DY57" s="184"/>
      <c r="DZ57" s="184"/>
      <c r="EA57" s="184"/>
      <c r="EB57" s="184"/>
      <c r="EC57" s="184"/>
      <c r="ED57" s="184"/>
      <c r="EE57" s="184"/>
      <c r="EF57" s="184"/>
      <c r="EG57" s="184"/>
      <c r="EH57" s="184"/>
      <c r="EI57" s="184"/>
      <c r="EJ57" s="184"/>
      <c r="EK57" s="184"/>
      <c r="EL57" s="184"/>
      <c r="EM57" s="184"/>
      <c r="EN57" s="184"/>
      <c r="EO57" s="184"/>
      <c r="EP57" s="184"/>
      <c r="EQ57" s="184"/>
      <c r="ER57" s="184"/>
      <c r="ES57" s="184"/>
      <c r="ET57" s="184"/>
      <c r="EU57" s="184"/>
      <c r="EV57" s="184"/>
      <c r="EW57" s="184"/>
      <c r="EX57" s="184"/>
      <c r="EY57" s="184"/>
      <c r="EZ57" s="184"/>
      <c r="FA57" s="184"/>
      <c r="FB57" s="184"/>
      <c r="FC57" s="184"/>
      <c r="FD57" s="184"/>
      <c r="FE57" s="184"/>
      <c r="FF57" s="184"/>
      <c r="FG57" s="184"/>
      <c r="FH57" s="184"/>
      <c r="FI57" s="184"/>
      <c r="FJ57" s="184"/>
      <c r="FK57" s="184"/>
      <c r="FL57" s="184"/>
      <c r="FM57" s="184"/>
      <c r="FN57" s="184"/>
      <c r="FO57" s="184"/>
      <c r="FP57" s="184"/>
      <c r="FQ57" s="184"/>
      <c r="FR57" s="184"/>
      <c r="FS57" s="184"/>
      <c r="FT57" s="184"/>
      <c r="FU57" s="184"/>
      <c r="FV57" s="184"/>
      <c r="FW57" s="184"/>
      <c r="FX57" s="184"/>
      <c r="FY57" s="184"/>
      <c r="FZ57" s="184"/>
      <c r="GA57" s="184"/>
      <c r="GB57" s="184"/>
      <c r="GC57" s="184"/>
      <c r="GD57" s="184"/>
      <c r="GE57" s="184"/>
      <c r="GF57" s="184"/>
      <c r="GG57" s="184"/>
      <c r="GH57" s="184"/>
      <c r="GI57" s="184"/>
    </row>
    <row r="58" spans="1:191" s="186" customFormat="1" ht="15" customHeight="1">
      <c r="A58" s="184"/>
      <c r="B58" s="21">
        <v>23</v>
      </c>
      <c r="C58" s="120" t="s">
        <v>1028</v>
      </c>
      <c r="D58" s="212" t="s">
        <v>1029</v>
      </c>
      <c r="E58" s="212" t="s">
        <v>1030</v>
      </c>
      <c r="F58" s="213"/>
      <c r="G58" s="214"/>
      <c r="H58" s="214"/>
      <c r="I58" s="119"/>
      <c r="J58" s="214"/>
      <c r="K58" s="215"/>
      <c r="L58" s="215"/>
      <c r="M58" s="215"/>
      <c r="N58" s="119">
        <v>1</v>
      </c>
      <c r="O58" s="216"/>
      <c r="P58" s="217" t="s">
        <v>1031</v>
      </c>
      <c r="Q58" s="217"/>
      <c r="R58" s="216"/>
      <c r="S58" s="216"/>
      <c r="T58" s="218">
        <v>1062</v>
      </c>
      <c r="U58" s="219">
        <v>65356.085081558238</v>
      </c>
      <c r="V58" s="214"/>
      <c r="AB58" s="184"/>
      <c r="AC58" s="184"/>
      <c r="AD58" s="184"/>
      <c r="AE58" s="184"/>
      <c r="AF58" s="184"/>
      <c r="AG58" s="184"/>
      <c r="AH58" s="184"/>
      <c r="AI58" s="184"/>
      <c r="AJ58" s="184"/>
      <c r="AK58" s="184"/>
      <c r="AL58" s="184"/>
      <c r="AM58" s="184"/>
      <c r="AN58" s="184"/>
      <c r="AO58" s="184"/>
      <c r="AP58" s="184"/>
      <c r="AQ58" s="184"/>
      <c r="AR58" s="184"/>
      <c r="AS58" s="184"/>
      <c r="AT58" s="184"/>
      <c r="AU58" s="184"/>
      <c r="AV58" s="184"/>
      <c r="AW58" s="184"/>
      <c r="AX58" s="184"/>
      <c r="AY58" s="184"/>
      <c r="AZ58" s="184"/>
      <c r="BA58" s="184"/>
      <c r="BB58" s="184"/>
      <c r="BC58" s="184"/>
      <c r="BD58" s="184"/>
      <c r="BE58" s="184"/>
      <c r="BF58" s="184"/>
      <c r="BG58" s="184"/>
      <c r="BH58" s="184"/>
      <c r="BI58" s="184"/>
      <c r="BJ58" s="184"/>
      <c r="BK58" s="184"/>
      <c r="BL58" s="184"/>
      <c r="BM58" s="184"/>
      <c r="BN58" s="184"/>
      <c r="BO58" s="184"/>
      <c r="BP58" s="184"/>
      <c r="BQ58" s="184"/>
      <c r="BR58" s="184"/>
      <c r="BS58" s="184"/>
      <c r="BT58" s="184"/>
      <c r="BU58" s="184"/>
      <c r="BV58" s="184"/>
      <c r="BW58" s="184"/>
      <c r="BX58" s="184"/>
      <c r="BY58" s="184"/>
      <c r="BZ58" s="184"/>
      <c r="CA58" s="184"/>
      <c r="CB58" s="184"/>
      <c r="CC58" s="184"/>
      <c r="CD58" s="184"/>
      <c r="CE58" s="184"/>
      <c r="CF58" s="184"/>
      <c r="CG58" s="184"/>
      <c r="CH58" s="184"/>
      <c r="CI58" s="184"/>
      <c r="CJ58" s="184"/>
      <c r="CK58" s="184"/>
      <c r="CL58" s="184"/>
      <c r="CM58" s="184"/>
      <c r="CN58" s="184"/>
      <c r="CO58" s="184"/>
      <c r="CP58" s="184"/>
      <c r="CQ58" s="184"/>
      <c r="CR58" s="184"/>
      <c r="CS58" s="184"/>
      <c r="CT58" s="184"/>
      <c r="CU58" s="184"/>
      <c r="CV58" s="184"/>
      <c r="CW58" s="184"/>
      <c r="CX58" s="184"/>
      <c r="CY58" s="184"/>
      <c r="CZ58" s="184"/>
      <c r="DA58" s="184"/>
      <c r="DB58" s="184"/>
      <c r="DC58" s="184"/>
      <c r="DD58" s="184"/>
      <c r="DE58" s="184"/>
      <c r="DF58" s="184"/>
      <c r="DG58" s="184"/>
      <c r="DH58" s="184"/>
      <c r="DI58" s="184"/>
      <c r="DJ58" s="184"/>
      <c r="DK58" s="184"/>
      <c r="DL58" s="184"/>
      <c r="DM58" s="184"/>
      <c r="DN58" s="184"/>
      <c r="DO58" s="184"/>
      <c r="DP58" s="184"/>
      <c r="DQ58" s="184"/>
      <c r="DR58" s="184"/>
      <c r="DS58" s="184"/>
      <c r="DT58" s="184"/>
      <c r="DU58" s="184"/>
      <c r="DV58" s="184"/>
      <c r="DW58" s="184"/>
      <c r="DX58" s="184"/>
      <c r="DY58" s="184"/>
      <c r="DZ58" s="184"/>
      <c r="EA58" s="184"/>
      <c r="EB58" s="184"/>
      <c r="EC58" s="184"/>
      <c r="ED58" s="184"/>
      <c r="EE58" s="184"/>
      <c r="EF58" s="184"/>
      <c r="EG58" s="184"/>
      <c r="EH58" s="184"/>
      <c r="EI58" s="184"/>
      <c r="EJ58" s="184"/>
      <c r="EK58" s="184"/>
      <c r="EL58" s="184"/>
      <c r="EM58" s="184"/>
      <c r="EN58" s="184"/>
      <c r="EO58" s="184"/>
      <c r="EP58" s="184"/>
      <c r="EQ58" s="184"/>
      <c r="ER58" s="184"/>
      <c r="ES58" s="184"/>
      <c r="ET58" s="184"/>
      <c r="EU58" s="184"/>
      <c r="EV58" s="184"/>
      <c r="EW58" s="184"/>
      <c r="EX58" s="184"/>
      <c r="EY58" s="184"/>
      <c r="EZ58" s="184"/>
      <c r="FA58" s="184"/>
      <c r="FB58" s="184"/>
      <c r="FC58" s="184"/>
      <c r="FD58" s="184"/>
      <c r="FE58" s="184"/>
      <c r="FF58" s="184"/>
      <c r="FG58" s="184"/>
      <c r="FH58" s="184"/>
      <c r="FI58" s="184"/>
      <c r="FJ58" s="184"/>
      <c r="FK58" s="184"/>
      <c r="FL58" s="184"/>
      <c r="FM58" s="184"/>
      <c r="FN58" s="184"/>
      <c r="FO58" s="184"/>
      <c r="FP58" s="184"/>
      <c r="FQ58" s="184"/>
      <c r="FR58" s="184"/>
      <c r="FS58" s="184"/>
      <c r="FT58" s="184"/>
      <c r="FU58" s="184"/>
      <c r="FV58" s="184"/>
      <c r="FW58" s="184"/>
      <c r="FX58" s="184"/>
      <c r="FY58" s="184"/>
      <c r="FZ58" s="184"/>
      <c r="GA58" s="184"/>
      <c r="GB58" s="184"/>
      <c r="GC58" s="184"/>
      <c r="GD58" s="184"/>
      <c r="GE58" s="184"/>
      <c r="GF58" s="184"/>
      <c r="GG58" s="184"/>
      <c r="GH58" s="184"/>
      <c r="GI58" s="184"/>
    </row>
    <row r="59" spans="1:191" s="186" customFormat="1" ht="15" customHeight="1">
      <c r="A59" s="184"/>
      <c r="B59" s="21">
        <v>23</v>
      </c>
      <c r="C59" s="120" t="s">
        <v>1028</v>
      </c>
      <c r="D59" s="212" t="s">
        <v>1029</v>
      </c>
      <c r="E59" s="212" t="s">
        <v>1032</v>
      </c>
      <c r="F59" s="213"/>
      <c r="G59" s="214"/>
      <c r="H59" s="214"/>
      <c r="I59" s="119"/>
      <c r="J59" s="214"/>
      <c r="K59" s="215"/>
      <c r="L59" s="215"/>
      <c r="M59" s="215"/>
      <c r="N59" s="119">
        <v>1</v>
      </c>
      <c r="O59" s="216"/>
      <c r="P59" s="217" t="s">
        <v>1031</v>
      </c>
      <c r="Q59" s="217"/>
      <c r="R59" s="216"/>
      <c r="S59" s="216"/>
      <c r="T59" s="218">
        <v>1062</v>
      </c>
      <c r="U59" s="219">
        <v>94112.762517443873</v>
      </c>
      <c r="V59" s="214"/>
      <c r="AB59" s="184"/>
      <c r="AC59" s="184"/>
      <c r="AD59" s="184"/>
      <c r="AE59" s="184"/>
      <c r="AF59" s="184"/>
      <c r="AG59" s="184"/>
      <c r="AH59" s="184"/>
      <c r="AI59" s="184"/>
      <c r="AJ59" s="184"/>
      <c r="AK59" s="184"/>
      <c r="AL59" s="184"/>
      <c r="AM59" s="184"/>
      <c r="AN59" s="184"/>
      <c r="AO59" s="184"/>
      <c r="AP59" s="184"/>
      <c r="AQ59" s="184"/>
      <c r="AR59" s="184"/>
      <c r="AS59" s="184"/>
      <c r="AT59" s="184"/>
      <c r="AU59" s="184"/>
      <c r="AV59" s="184"/>
      <c r="AW59" s="184"/>
      <c r="AX59" s="184"/>
      <c r="AY59" s="184"/>
      <c r="AZ59" s="184"/>
      <c r="BA59" s="184"/>
      <c r="BB59" s="184"/>
      <c r="BC59" s="184"/>
      <c r="BD59" s="184"/>
      <c r="BE59" s="184"/>
      <c r="BF59" s="184"/>
      <c r="BG59" s="184"/>
      <c r="BH59" s="184"/>
      <c r="BI59" s="184"/>
      <c r="BJ59" s="184"/>
      <c r="BK59" s="184"/>
      <c r="BL59" s="184"/>
      <c r="BM59" s="184"/>
      <c r="BN59" s="184"/>
      <c r="BO59" s="184"/>
      <c r="BP59" s="184"/>
      <c r="BQ59" s="184"/>
      <c r="BR59" s="184"/>
      <c r="BS59" s="184"/>
      <c r="BT59" s="184"/>
      <c r="BU59" s="184"/>
      <c r="BV59" s="184"/>
      <c r="BW59" s="184"/>
      <c r="BX59" s="184"/>
      <c r="BY59" s="184"/>
      <c r="BZ59" s="184"/>
      <c r="CA59" s="184"/>
      <c r="CB59" s="184"/>
      <c r="CC59" s="184"/>
      <c r="CD59" s="184"/>
      <c r="CE59" s="184"/>
      <c r="CF59" s="184"/>
      <c r="CG59" s="184"/>
      <c r="CH59" s="184"/>
      <c r="CI59" s="184"/>
      <c r="CJ59" s="184"/>
      <c r="CK59" s="184"/>
      <c r="CL59" s="184"/>
      <c r="CM59" s="184"/>
      <c r="CN59" s="184"/>
      <c r="CO59" s="184"/>
      <c r="CP59" s="184"/>
      <c r="CQ59" s="184"/>
      <c r="CR59" s="184"/>
      <c r="CS59" s="184"/>
      <c r="CT59" s="184"/>
      <c r="CU59" s="184"/>
      <c r="CV59" s="184"/>
      <c r="CW59" s="184"/>
      <c r="CX59" s="184"/>
      <c r="CY59" s="184"/>
      <c r="CZ59" s="184"/>
      <c r="DA59" s="184"/>
      <c r="DB59" s="184"/>
      <c r="DC59" s="184"/>
      <c r="DD59" s="184"/>
      <c r="DE59" s="184"/>
      <c r="DF59" s="184"/>
      <c r="DG59" s="184"/>
      <c r="DH59" s="184"/>
      <c r="DI59" s="184"/>
      <c r="DJ59" s="184"/>
      <c r="DK59" s="184"/>
      <c r="DL59" s="184"/>
      <c r="DM59" s="184"/>
      <c r="DN59" s="184"/>
      <c r="DO59" s="184"/>
      <c r="DP59" s="184"/>
      <c r="DQ59" s="184"/>
      <c r="DR59" s="184"/>
      <c r="DS59" s="184"/>
      <c r="DT59" s="184"/>
      <c r="DU59" s="184"/>
      <c r="DV59" s="184"/>
      <c r="DW59" s="184"/>
      <c r="DX59" s="184"/>
      <c r="DY59" s="184"/>
      <c r="DZ59" s="184"/>
      <c r="EA59" s="184"/>
      <c r="EB59" s="184"/>
      <c r="EC59" s="184"/>
      <c r="ED59" s="184"/>
      <c r="EE59" s="184"/>
      <c r="EF59" s="184"/>
      <c r="EG59" s="184"/>
      <c r="EH59" s="184"/>
      <c r="EI59" s="184"/>
      <c r="EJ59" s="184"/>
      <c r="EK59" s="184"/>
      <c r="EL59" s="184"/>
      <c r="EM59" s="184"/>
      <c r="EN59" s="184"/>
      <c r="EO59" s="184"/>
      <c r="EP59" s="184"/>
      <c r="EQ59" s="184"/>
      <c r="ER59" s="184"/>
      <c r="ES59" s="184"/>
      <c r="ET59" s="184"/>
      <c r="EU59" s="184"/>
      <c r="EV59" s="184"/>
      <c r="EW59" s="184"/>
      <c r="EX59" s="184"/>
      <c r="EY59" s="184"/>
      <c r="EZ59" s="184"/>
      <c r="FA59" s="184"/>
      <c r="FB59" s="184"/>
      <c r="FC59" s="184"/>
      <c r="FD59" s="184"/>
      <c r="FE59" s="184"/>
      <c r="FF59" s="184"/>
      <c r="FG59" s="184"/>
      <c r="FH59" s="184"/>
      <c r="FI59" s="184"/>
      <c r="FJ59" s="184"/>
      <c r="FK59" s="184"/>
      <c r="FL59" s="184"/>
      <c r="FM59" s="184"/>
      <c r="FN59" s="184"/>
      <c r="FO59" s="184"/>
      <c r="FP59" s="184"/>
      <c r="FQ59" s="184"/>
      <c r="FR59" s="184"/>
      <c r="FS59" s="184"/>
      <c r="FT59" s="184"/>
      <c r="FU59" s="184"/>
      <c r="FV59" s="184"/>
      <c r="FW59" s="184"/>
      <c r="FX59" s="184"/>
      <c r="FY59" s="184"/>
      <c r="FZ59" s="184"/>
      <c r="GA59" s="184"/>
      <c r="GB59" s="184"/>
      <c r="GC59" s="184"/>
      <c r="GD59" s="184"/>
      <c r="GE59" s="184"/>
      <c r="GF59" s="184"/>
      <c r="GG59" s="184"/>
      <c r="GH59" s="184"/>
      <c r="GI59" s="184"/>
    </row>
    <row r="60" spans="1:191" s="186" customFormat="1" ht="15" customHeight="1">
      <c r="A60" s="184"/>
      <c r="B60" s="190"/>
      <c r="C60" s="211"/>
      <c r="D60" s="193"/>
      <c r="E60" s="193"/>
      <c r="F60" s="188"/>
      <c r="G60" s="188"/>
      <c r="H60" s="190"/>
      <c r="I60" s="188"/>
      <c r="J60" s="184"/>
      <c r="K60" s="190"/>
      <c r="L60" s="190"/>
      <c r="M60" s="190"/>
      <c r="N60" s="184"/>
      <c r="O60" s="191"/>
      <c r="P60" s="191"/>
      <c r="Q60" s="183"/>
      <c r="R60" s="183"/>
      <c r="S60" s="183"/>
      <c r="T60" s="184"/>
      <c r="U60" s="186">
        <f>SUM(U57:U59)</f>
        <v>224824.93268056033</v>
      </c>
      <c r="V60" s="188"/>
      <c r="AB60" s="184"/>
      <c r="AC60" s="184"/>
      <c r="AD60" s="184"/>
      <c r="AE60" s="184"/>
      <c r="AF60" s="184"/>
      <c r="AG60" s="184"/>
      <c r="AH60" s="184"/>
      <c r="AI60" s="184"/>
      <c r="AJ60" s="184"/>
      <c r="AK60" s="184"/>
      <c r="AL60" s="184"/>
      <c r="AM60" s="184"/>
      <c r="AN60" s="184"/>
      <c r="AO60" s="184"/>
      <c r="AP60" s="184"/>
      <c r="AQ60" s="184"/>
      <c r="AR60" s="184"/>
      <c r="AS60" s="184"/>
      <c r="AT60" s="184"/>
      <c r="AU60" s="184"/>
      <c r="AV60" s="184"/>
      <c r="AW60" s="184"/>
      <c r="AX60" s="184"/>
      <c r="AY60" s="184"/>
      <c r="AZ60" s="184"/>
      <c r="BA60" s="184"/>
      <c r="BB60" s="184"/>
      <c r="BC60" s="184"/>
      <c r="BD60" s="184"/>
      <c r="BE60" s="184"/>
      <c r="BF60" s="184"/>
      <c r="BG60" s="184"/>
      <c r="BH60" s="184"/>
      <c r="BI60" s="184"/>
      <c r="BJ60" s="184"/>
      <c r="BK60" s="184"/>
      <c r="BL60" s="184"/>
      <c r="BM60" s="184"/>
      <c r="BN60" s="184"/>
      <c r="BO60" s="184"/>
      <c r="BP60" s="184"/>
      <c r="BQ60" s="184"/>
      <c r="BR60" s="184"/>
      <c r="BS60" s="184"/>
      <c r="BT60" s="184"/>
      <c r="BU60" s="184"/>
      <c r="BV60" s="184"/>
      <c r="BW60" s="184"/>
      <c r="BX60" s="184"/>
      <c r="BY60" s="184"/>
      <c r="BZ60" s="184"/>
      <c r="CA60" s="184"/>
      <c r="CB60" s="184"/>
      <c r="CC60" s="184"/>
      <c r="CD60" s="184"/>
      <c r="CE60" s="184"/>
      <c r="CF60" s="184"/>
      <c r="CG60" s="184"/>
      <c r="CH60" s="184"/>
      <c r="CI60" s="184"/>
      <c r="CJ60" s="184"/>
      <c r="CK60" s="184"/>
      <c r="CL60" s="184"/>
      <c r="CM60" s="184"/>
      <c r="CN60" s="184"/>
      <c r="CO60" s="184"/>
      <c r="CP60" s="184"/>
      <c r="CQ60" s="184"/>
      <c r="CR60" s="184"/>
      <c r="CS60" s="184"/>
      <c r="CT60" s="184"/>
      <c r="CU60" s="184"/>
      <c r="CV60" s="184"/>
      <c r="CW60" s="184"/>
      <c r="CX60" s="184"/>
      <c r="CY60" s="184"/>
      <c r="CZ60" s="184"/>
      <c r="DA60" s="184"/>
      <c r="DB60" s="184"/>
      <c r="DC60" s="184"/>
      <c r="DD60" s="184"/>
      <c r="DE60" s="184"/>
      <c r="DF60" s="184"/>
      <c r="DG60" s="184"/>
      <c r="DH60" s="184"/>
      <c r="DI60" s="184"/>
      <c r="DJ60" s="184"/>
      <c r="DK60" s="184"/>
      <c r="DL60" s="184"/>
      <c r="DM60" s="184"/>
      <c r="DN60" s="184"/>
      <c r="DO60" s="184"/>
      <c r="DP60" s="184"/>
      <c r="DQ60" s="184"/>
      <c r="DR60" s="184"/>
      <c r="DS60" s="184"/>
      <c r="DT60" s="184"/>
      <c r="DU60" s="184"/>
      <c r="DV60" s="184"/>
      <c r="DW60" s="184"/>
      <c r="DX60" s="184"/>
      <c r="DY60" s="184"/>
      <c r="DZ60" s="184"/>
      <c r="EA60" s="184"/>
      <c r="EB60" s="184"/>
      <c r="EC60" s="184"/>
      <c r="ED60" s="184"/>
      <c r="EE60" s="184"/>
      <c r="EF60" s="184"/>
      <c r="EG60" s="184"/>
      <c r="EH60" s="184"/>
      <c r="EI60" s="184"/>
      <c r="EJ60" s="184"/>
      <c r="EK60" s="184"/>
      <c r="EL60" s="184"/>
      <c r="EM60" s="184"/>
      <c r="EN60" s="184"/>
      <c r="EO60" s="184"/>
      <c r="EP60" s="184"/>
      <c r="EQ60" s="184"/>
      <c r="ER60" s="184"/>
      <c r="ES60" s="184"/>
      <c r="ET60" s="184"/>
      <c r="EU60" s="184"/>
      <c r="EV60" s="184"/>
      <c r="EW60" s="184"/>
      <c r="EX60" s="184"/>
      <c r="EY60" s="184"/>
      <c r="EZ60" s="184"/>
      <c r="FA60" s="184"/>
      <c r="FB60" s="184"/>
      <c r="FC60" s="184"/>
      <c r="FD60" s="184"/>
      <c r="FE60" s="184"/>
      <c r="FF60" s="184"/>
      <c r="FG60" s="184"/>
      <c r="FH60" s="184"/>
      <c r="FI60" s="184"/>
      <c r="FJ60" s="184"/>
      <c r="FK60" s="184"/>
      <c r="FL60" s="184"/>
      <c r="FM60" s="184"/>
      <c r="FN60" s="184"/>
      <c r="FO60" s="184"/>
      <c r="FP60" s="184"/>
      <c r="FQ60" s="184"/>
      <c r="FR60" s="184"/>
      <c r="FS60" s="184"/>
      <c r="FT60" s="184"/>
      <c r="FU60" s="184"/>
      <c r="FV60" s="184"/>
      <c r="FW60" s="184"/>
      <c r="FX60" s="184"/>
      <c r="FY60" s="184"/>
      <c r="FZ60" s="184"/>
      <c r="GA60" s="184"/>
      <c r="GB60" s="184"/>
      <c r="GC60" s="184"/>
      <c r="GD60" s="184"/>
      <c r="GE60" s="184"/>
      <c r="GF60" s="184"/>
      <c r="GG60" s="184"/>
      <c r="GH60" s="184"/>
      <c r="GI60" s="184"/>
    </row>
    <row r="61" spans="1:191" s="186" customFormat="1" ht="15" customHeight="1">
      <c r="A61" s="184"/>
      <c r="B61" s="190"/>
      <c r="C61" s="211"/>
      <c r="D61" s="193"/>
      <c r="E61" s="193"/>
      <c r="F61" s="188"/>
      <c r="G61" s="188"/>
      <c r="H61" s="190"/>
      <c r="I61" s="188"/>
      <c r="J61" s="184"/>
      <c r="K61" s="190"/>
      <c r="L61" s="190"/>
      <c r="M61" s="190"/>
      <c r="N61" s="184"/>
      <c r="O61" s="191"/>
      <c r="P61" s="191"/>
      <c r="Q61" s="183"/>
      <c r="R61" s="183"/>
      <c r="S61" s="183"/>
      <c r="T61" s="184"/>
      <c r="V61" s="188"/>
      <c r="AB61" s="184"/>
      <c r="AC61" s="184"/>
      <c r="AD61" s="184"/>
      <c r="AE61" s="184"/>
      <c r="AF61" s="184"/>
      <c r="AG61" s="184"/>
      <c r="AH61" s="184"/>
      <c r="AI61" s="184"/>
      <c r="AJ61" s="184"/>
      <c r="AK61" s="184"/>
      <c r="AL61" s="184"/>
      <c r="AM61" s="184"/>
      <c r="AN61" s="184"/>
      <c r="AO61" s="184"/>
      <c r="AP61" s="184"/>
      <c r="AQ61" s="184"/>
      <c r="AR61" s="184"/>
      <c r="AS61" s="184"/>
      <c r="AT61" s="184"/>
      <c r="AU61" s="184"/>
      <c r="AV61" s="184"/>
      <c r="AW61" s="184"/>
      <c r="AX61" s="184"/>
      <c r="AY61" s="184"/>
      <c r="AZ61" s="184"/>
      <c r="BA61" s="184"/>
      <c r="BB61" s="184"/>
      <c r="BC61" s="184"/>
      <c r="BD61" s="184"/>
      <c r="BE61" s="184"/>
      <c r="BF61" s="184"/>
      <c r="BG61" s="184"/>
      <c r="BH61" s="184"/>
      <c r="BI61" s="184"/>
      <c r="BJ61" s="184"/>
      <c r="BK61" s="184"/>
      <c r="BL61" s="184"/>
      <c r="BM61" s="184"/>
      <c r="BN61" s="184"/>
      <c r="BO61" s="184"/>
      <c r="BP61" s="184"/>
      <c r="BQ61" s="184"/>
      <c r="BR61" s="184"/>
      <c r="BS61" s="184"/>
      <c r="BT61" s="184"/>
      <c r="BU61" s="184"/>
      <c r="BV61" s="184"/>
      <c r="BW61" s="184"/>
      <c r="BX61" s="184"/>
      <c r="BY61" s="184"/>
      <c r="BZ61" s="184"/>
      <c r="CA61" s="184"/>
      <c r="CB61" s="184"/>
      <c r="CC61" s="184"/>
      <c r="CD61" s="184"/>
      <c r="CE61" s="184"/>
      <c r="CF61" s="184"/>
      <c r="CG61" s="184"/>
      <c r="CH61" s="184"/>
      <c r="CI61" s="184"/>
      <c r="CJ61" s="184"/>
      <c r="CK61" s="184"/>
      <c r="CL61" s="184"/>
      <c r="CM61" s="184"/>
      <c r="CN61" s="184"/>
      <c r="CO61" s="184"/>
      <c r="CP61" s="184"/>
      <c r="CQ61" s="184"/>
      <c r="CR61" s="184"/>
      <c r="CS61" s="184"/>
      <c r="CT61" s="184"/>
      <c r="CU61" s="184"/>
      <c r="CV61" s="184"/>
      <c r="CW61" s="184"/>
      <c r="CX61" s="184"/>
      <c r="CY61" s="184"/>
      <c r="CZ61" s="184"/>
      <c r="DA61" s="184"/>
      <c r="DB61" s="184"/>
      <c r="DC61" s="184"/>
      <c r="DD61" s="184"/>
      <c r="DE61" s="184"/>
      <c r="DF61" s="184"/>
      <c r="DG61" s="184"/>
      <c r="DH61" s="184"/>
      <c r="DI61" s="184"/>
      <c r="DJ61" s="184"/>
      <c r="DK61" s="184"/>
      <c r="DL61" s="184"/>
      <c r="DM61" s="184"/>
      <c r="DN61" s="184"/>
      <c r="DO61" s="184"/>
      <c r="DP61" s="184"/>
      <c r="DQ61" s="184"/>
      <c r="DR61" s="184"/>
      <c r="DS61" s="184"/>
      <c r="DT61" s="184"/>
      <c r="DU61" s="184"/>
      <c r="DV61" s="184"/>
      <c r="DW61" s="184"/>
      <c r="DX61" s="184"/>
      <c r="DY61" s="184"/>
      <c r="DZ61" s="184"/>
      <c r="EA61" s="184"/>
      <c r="EB61" s="184"/>
      <c r="EC61" s="184"/>
      <c r="ED61" s="184"/>
      <c r="EE61" s="184"/>
      <c r="EF61" s="184"/>
      <c r="EG61" s="184"/>
      <c r="EH61" s="184"/>
      <c r="EI61" s="184"/>
      <c r="EJ61" s="184"/>
      <c r="EK61" s="184"/>
      <c r="EL61" s="184"/>
      <c r="EM61" s="184"/>
      <c r="EN61" s="184"/>
      <c r="EO61" s="184"/>
      <c r="EP61" s="184"/>
      <c r="EQ61" s="184"/>
      <c r="ER61" s="184"/>
      <c r="ES61" s="184"/>
      <c r="ET61" s="184"/>
      <c r="EU61" s="184"/>
      <c r="EV61" s="184"/>
      <c r="EW61" s="184"/>
      <c r="EX61" s="184"/>
      <c r="EY61" s="184"/>
      <c r="EZ61" s="184"/>
      <c r="FA61" s="184"/>
      <c r="FB61" s="184"/>
      <c r="FC61" s="184"/>
      <c r="FD61" s="184"/>
      <c r="FE61" s="184"/>
      <c r="FF61" s="184"/>
      <c r="FG61" s="184"/>
      <c r="FH61" s="184"/>
      <c r="FI61" s="184"/>
      <c r="FJ61" s="184"/>
      <c r="FK61" s="184"/>
      <c r="FL61" s="184"/>
      <c r="FM61" s="184"/>
      <c r="FN61" s="184"/>
      <c r="FO61" s="184"/>
      <c r="FP61" s="184"/>
      <c r="FQ61" s="184"/>
      <c r="FR61" s="184"/>
      <c r="FS61" s="184"/>
      <c r="FT61" s="184"/>
      <c r="FU61" s="184"/>
      <c r="FV61" s="184"/>
      <c r="FW61" s="184"/>
      <c r="FX61" s="184"/>
      <c r="FY61" s="184"/>
      <c r="FZ61" s="184"/>
      <c r="GA61" s="184"/>
      <c r="GB61" s="184"/>
      <c r="GC61" s="184"/>
      <c r="GD61" s="184"/>
      <c r="GE61" s="184"/>
      <c r="GF61" s="184"/>
      <c r="GG61" s="184"/>
      <c r="GH61" s="184"/>
      <c r="GI61" s="184"/>
    </row>
    <row r="62" spans="1:191" s="186" customFormat="1" ht="15" customHeight="1">
      <c r="A62" s="184"/>
      <c r="B62" s="190"/>
      <c r="C62" s="211"/>
      <c r="D62" s="193"/>
      <c r="E62" s="193"/>
      <c r="F62" s="188"/>
      <c r="G62" s="188"/>
      <c r="H62" s="190"/>
      <c r="I62" s="188"/>
      <c r="J62" s="184"/>
      <c r="K62" s="190"/>
      <c r="L62" s="190"/>
      <c r="M62" s="190"/>
      <c r="N62" s="184"/>
      <c r="O62" s="191"/>
      <c r="P62" s="191"/>
      <c r="Q62" s="183"/>
      <c r="R62" s="183"/>
      <c r="S62" s="183"/>
      <c r="T62" s="184"/>
      <c r="U62" s="186">
        <f>+U55+U60</f>
        <v>11054457.839851363</v>
      </c>
      <c r="V62" s="188"/>
      <c r="AB62" s="184"/>
      <c r="AC62" s="184"/>
      <c r="AD62" s="184"/>
      <c r="AE62" s="184"/>
      <c r="AF62" s="184"/>
      <c r="AG62" s="184"/>
      <c r="AH62" s="184"/>
      <c r="AI62" s="184"/>
      <c r="AJ62" s="184"/>
      <c r="AK62" s="184"/>
      <c r="AL62" s="184"/>
      <c r="AM62" s="184"/>
      <c r="AN62" s="184"/>
      <c r="AO62" s="184"/>
      <c r="AP62" s="184"/>
      <c r="AQ62" s="184"/>
      <c r="AR62" s="184"/>
      <c r="AS62" s="184"/>
      <c r="AT62" s="184"/>
      <c r="AU62" s="184"/>
      <c r="AV62" s="184"/>
      <c r="AW62" s="184"/>
      <c r="AX62" s="184"/>
      <c r="AY62" s="184"/>
      <c r="AZ62" s="184"/>
      <c r="BA62" s="184"/>
      <c r="BB62" s="184"/>
      <c r="BC62" s="184"/>
      <c r="BD62" s="184"/>
      <c r="BE62" s="184"/>
      <c r="BF62" s="184"/>
      <c r="BG62" s="184"/>
      <c r="BH62" s="184"/>
      <c r="BI62" s="184"/>
      <c r="BJ62" s="184"/>
      <c r="BK62" s="184"/>
      <c r="BL62" s="184"/>
      <c r="BM62" s="184"/>
      <c r="BN62" s="184"/>
      <c r="BO62" s="184"/>
      <c r="BP62" s="184"/>
      <c r="BQ62" s="184"/>
      <c r="BR62" s="184"/>
      <c r="BS62" s="184"/>
      <c r="BT62" s="184"/>
      <c r="BU62" s="184"/>
      <c r="BV62" s="184"/>
      <c r="BW62" s="184"/>
      <c r="BX62" s="184"/>
      <c r="BY62" s="184"/>
      <c r="BZ62" s="184"/>
      <c r="CA62" s="184"/>
      <c r="CB62" s="184"/>
      <c r="CC62" s="184"/>
      <c r="CD62" s="184"/>
      <c r="CE62" s="184"/>
      <c r="CF62" s="184"/>
      <c r="CG62" s="184"/>
      <c r="CH62" s="184"/>
      <c r="CI62" s="184"/>
      <c r="CJ62" s="184"/>
      <c r="CK62" s="184"/>
      <c r="CL62" s="184"/>
      <c r="CM62" s="184"/>
      <c r="CN62" s="184"/>
      <c r="CO62" s="184"/>
      <c r="CP62" s="184"/>
      <c r="CQ62" s="184"/>
      <c r="CR62" s="184"/>
      <c r="CS62" s="184"/>
      <c r="CT62" s="184"/>
      <c r="CU62" s="184"/>
      <c r="CV62" s="184"/>
      <c r="CW62" s="184"/>
      <c r="CX62" s="184"/>
      <c r="CY62" s="184"/>
      <c r="CZ62" s="184"/>
      <c r="DA62" s="184"/>
      <c r="DB62" s="184"/>
      <c r="DC62" s="184"/>
      <c r="DD62" s="184"/>
      <c r="DE62" s="184"/>
      <c r="DF62" s="184"/>
      <c r="DG62" s="184"/>
      <c r="DH62" s="184"/>
      <c r="DI62" s="184"/>
      <c r="DJ62" s="184"/>
      <c r="DK62" s="184"/>
      <c r="DL62" s="184"/>
      <c r="DM62" s="184"/>
      <c r="DN62" s="184"/>
      <c r="DO62" s="184"/>
      <c r="DP62" s="184"/>
      <c r="DQ62" s="184"/>
      <c r="DR62" s="184"/>
      <c r="DS62" s="184"/>
      <c r="DT62" s="184"/>
      <c r="DU62" s="184"/>
      <c r="DV62" s="184"/>
      <c r="DW62" s="184"/>
      <c r="DX62" s="184"/>
      <c r="DY62" s="184"/>
      <c r="DZ62" s="184"/>
      <c r="EA62" s="184"/>
      <c r="EB62" s="184"/>
      <c r="EC62" s="184"/>
      <c r="ED62" s="184"/>
      <c r="EE62" s="184"/>
      <c r="EF62" s="184"/>
      <c r="EG62" s="184"/>
      <c r="EH62" s="184"/>
      <c r="EI62" s="184"/>
      <c r="EJ62" s="184"/>
      <c r="EK62" s="184"/>
      <c r="EL62" s="184"/>
      <c r="EM62" s="184"/>
      <c r="EN62" s="184"/>
      <c r="EO62" s="184"/>
      <c r="EP62" s="184"/>
      <c r="EQ62" s="184"/>
      <c r="ER62" s="184"/>
      <c r="ES62" s="184"/>
      <c r="ET62" s="184"/>
      <c r="EU62" s="184"/>
      <c r="EV62" s="184"/>
      <c r="EW62" s="184"/>
      <c r="EX62" s="184"/>
      <c r="EY62" s="184"/>
      <c r="EZ62" s="184"/>
      <c r="FA62" s="184"/>
      <c r="FB62" s="184"/>
      <c r="FC62" s="184"/>
      <c r="FD62" s="184"/>
      <c r="FE62" s="184"/>
      <c r="FF62" s="184"/>
      <c r="FG62" s="184"/>
      <c r="FH62" s="184"/>
      <c r="FI62" s="184"/>
      <c r="FJ62" s="184"/>
      <c r="FK62" s="184"/>
      <c r="FL62" s="184"/>
      <c r="FM62" s="184"/>
      <c r="FN62" s="184"/>
      <c r="FO62" s="184"/>
      <c r="FP62" s="184"/>
      <c r="FQ62" s="184"/>
      <c r="FR62" s="184"/>
      <c r="FS62" s="184"/>
      <c r="FT62" s="184"/>
      <c r="FU62" s="184"/>
      <c r="FV62" s="184"/>
      <c r="FW62" s="184"/>
      <c r="FX62" s="184"/>
      <c r="FY62" s="184"/>
      <c r="FZ62" s="184"/>
      <c r="GA62" s="184"/>
      <c r="GB62" s="184"/>
      <c r="GC62" s="184"/>
      <c r="GD62" s="184"/>
      <c r="GE62" s="184"/>
      <c r="GF62" s="184"/>
      <c r="GG62" s="184"/>
      <c r="GH62" s="184"/>
      <c r="GI62" s="184"/>
    </row>
    <row r="63" spans="1:191" s="186" customFormat="1" ht="15" customHeight="1">
      <c r="A63" s="184"/>
      <c r="B63" s="190"/>
      <c r="C63" s="211"/>
      <c r="D63" s="193"/>
      <c r="E63" s="193"/>
      <c r="F63" s="188"/>
      <c r="G63" s="188"/>
      <c r="H63" s="190"/>
      <c r="I63" s="188"/>
      <c r="J63" s="184"/>
      <c r="K63" s="190"/>
      <c r="L63" s="190"/>
      <c r="M63" s="190"/>
      <c r="N63" s="184"/>
      <c r="O63" s="191"/>
      <c r="P63" s="191"/>
      <c r="Q63" s="183"/>
      <c r="R63" s="183"/>
      <c r="S63" s="183"/>
      <c r="T63" s="184"/>
      <c r="V63" s="188"/>
      <c r="AB63" s="184"/>
      <c r="AC63" s="184"/>
      <c r="AD63" s="184"/>
      <c r="AE63" s="184"/>
      <c r="AF63" s="184"/>
      <c r="AG63" s="184"/>
      <c r="AH63" s="184"/>
      <c r="AI63" s="184"/>
      <c r="AJ63" s="184"/>
      <c r="AK63" s="184"/>
      <c r="AL63" s="184"/>
      <c r="AM63" s="184"/>
      <c r="AN63" s="184"/>
      <c r="AO63" s="184"/>
      <c r="AP63" s="184"/>
      <c r="AQ63" s="184"/>
      <c r="AR63" s="184"/>
      <c r="AS63" s="184"/>
      <c r="AT63" s="184"/>
      <c r="AU63" s="184"/>
      <c r="AV63" s="184"/>
      <c r="AW63" s="184"/>
      <c r="AX63" s="184"/>
      <c r="AY63" s="184"/>
      <c r="AZ63" s="184"/>
      <c r="BA63" s="184"/>
      <c r="BB63" s="184"/>
      <c r="BC63" s="184"/>
      <c r="BD63" s="184"/>
      <c r="BE63" s="184"/>
      <c r="BF63" s="184"/>
      <c r="BG63" s="184"/>
      <c r="BH63" s="184"/>
      <c r="BI63" s="184"/>
      <c r="BJ63" s="184"/>
      <c r="BK63" s="184"/>
      <c r="BL63" s="184"/>
      <c r="BM63" s="184"/>
      <c r="BN63" s="184"/>
      <c r="BO63" s="184"/>
      <c r="BP63" s="184"/>
      <c r="BQ63" s="184"/>
      <c r="BR63" s="184"/>
      <c r="BS63" s="184"/>
      <c r="BT63" s="184"/>
      <c r="BU63" s="184"/>
      <c r="BV63" s="184"/>
      <c r="BW63" s="184"/>
      <c r="BX63" s="184"/>
      <c r="BY63" s="184"/>
      <c r="BZ63" s="184"/>
      <c r="CA63" s="184"/>
      <c r="CB63" s="184"/>
      <c r="CC63" s="184"/>
      <c r="CD63" s="184"/>
      <c r="CE63" s="184"/>
      <c r="CF63" s="184"/>
      <c r="CG63" s="184"/>
      <c r="CH63" s="184"/>
      <c r="CI63" s="184"/>
      <c r="CJ63" s="184"/>
      <c r="CK63" s="184"/>
      <c r="CL63" s="184"/>
      <c r="CM63" s="184"/>
      <c r="CN63" s="184"/>
      <c r="CO63" s="184"/>
      <c r="CP63" s="184"/>
      <c r="CQ63" s="184"/>
      <c r="CR63" s="184"/>
      <c r="CS63" s="184"/>
      <c r="CT63" s="184"/>
      <c r="CU63" s="184"/>
      <c r="CV63" s="184"/>
      <c r="CW63" s="184"/>
      <c r="CX63" s="184"/>
      <c r="CY63" s="184"/>
      <c r="CZ63" s="184"/>
      <c r="DA63" s="184"/>
      <c r="DB63" s="184"/>
      <c r="DC63" s="184"/>
      <c r="DD63" s="184"/>
      <c r="DE63" s="184"/>
      <c r="DF63" s="184"/>
      <c r="DG63" s="184"/>
      <c r="DH63" s="184"/>
      <c r="DI63" s="184"/>
      <c r="DJ63" s="184"/>
      <c r="DK63" s="184"/>
      <c r="DL63" s="184"/>
      <c r="DM63" s="184"/>
      <c r="DN63" s="184"/>
      <c r="DO63" s="184"/>
      <c r="DP63" s="184"/>
      <c r="DQ63" s="184"/>
      <c r="DR63" s="184"/>
      <c r="DS63" s="184"/>
      <c r="DT63" s="184"/>
      <c r="DU63" s="184"/>
      <c r="DV63" s="184"/>
      <c r="DW63" s="184"/>
      <c r="DX63" s="184"/>
      <c r="DY63" s="184"/>
      <c r="DZ63" s="184"/>
      <c r="EA63" s="184"/>
      <c r="EB63" s="184"/>
      <c r="EC63" s="184"/>
      <c r="ED63" s="184"/>
      <c r="EE63" s="184"/>
      <c r="EF63" s="184"/>
      <c r="EG63" s="184"/>
      <c r="EH63" s="184"/>
      <c r="EI63" s="184"/>
      <c r="EJ63" s="184"/>
      <c r="EK63" s="184"/>
      <c r="EL63" s="184"/>
      <c r="EM63" s="184"/>
      <c r="EN63" s="184"/>
      <c r="EO63" s="184"/>
      <c r="EP63" s="184"/>
      <c r="EQ63" s="184"/>
      <c r="ER63" s="184"/>
      <c r="ES63" s="184"/>
      <c r="ET63" s="184"/>
      <c r="EU63" s="184"/>
      <c r="EV63" s="184"/>
      <c r="EW63" s="184"/>
      <c r="EX63" s="184"/>
      <c r="EY63" s="184"/>
      <c r="EZ63" s="184"/>
      <c r="FA63" s="184"/>
      <c r="FB63" s="184"/>
      <c r="FC63" s="184"/>
      <c r="FD63" s="184"/>
      <c r="FE63" s="184"/>
      <c r="FF63" s="184"/>
      <c r="FG63" s="184"/>
      <c r="FH63" s="184"/>
      <c r="FI63" s="184"/>
      <c r="FJ63" s="184"/>
      <c r="FK63" s="184"/>
      <c r="FL63" s="184"/>
      <c r="FM63" s="184"/>
      <c r="FN63" s="184"/>
      <c r="FO63" s="184"/>
      <c r="FP63" s="184"/>
      <c r="FQ63" s="184"/>
      <c r="FR63" s="184"/>
      <c r="FS63" s="184"/>
      <c r="FT63" s="184"/>
      <c r="FU63" s="184"/>
      <c r="FV63" s="184"/>
      <c r="FW63" s="184"/>
      <c r="FX63" s="184"/>
      <c r="FY63" s="184"/>
      <c r="FZ63" s="184"/>
      <c r="GA63" s="184"/>
      <c r="GB63" s="184"/>
      <c r="GC63" s="184"/>
      <c r="GD63" s="184"/>
      <c r="GE63" s="184"/>
      <c r="GF63" s="184"/>
      <c r="GG63" s="184"/>
      <c r="GH63" s="184"/>
      <c r="GI63" s="184"/>
    </row>
    <row r="64" spans="1:191" s="186" customFormat="1" ht="15" customHeight="1">
      <c r="A64" s="184"/>
      <c r="B64" s="190"/>
      <c r="C64" s="211"/>
      <c r="D64" s="193"/>
      <c r="E64" s="193"/>
      <c r="F64" s="188"/>
      <c r="G64" s="188"/>
      <c r="H64" s="190"/>
      <c r="I64" s="188"/>
      <c r="J64" s="184"/>
      <c r="K64" s="190"/>
      <c r="L64" s="190"/>
      <c r="M64" s="190"/>
      <c r="N64" s="184"/>
      <c r="O64" s="191"/>
      <c r="P64" s="191"/>
      <c r="Q64" s="183"/>
      <c r="R64" s="183"/>
      <c r="S64" s="183"/>
      <c r="T64" s="184"/>
      <c r="U64" s="271" t="s">
        <v>1134</v>
      </c>
      <c r="V64" s="188"/>
      <c r="AB64" s="184"/>
      <c r="AC64" s="184"/>
      <c r="AD64" s="184"/>
      <c r="AE64" s="184"/>
      <c r="AF64" s="184"/>
      <c r="AG64" s="184"/>
      <c r="AH64" s="184"/>
      <c r="AI64" s="184"/>
      <c r="AJ64" s="184"/>
      <c r="AK64" s="184"/>
      <c r="AL64" s="184"/>
      <c r="AM64" s="184"/>
      <c r="AN64" s="184"/>
      <c r="AO64" s="184"/>
      <c r="AP64" s="184"/>
      <c r="AQ64" s="184"/>
      <c r="AR64" s="184"/>
      <c r="AS64" s="184"/>
      <c r="AT64" s="184"/>
      <c r="AU64" s="184"/>
      <c r="AV64" s="184"/>
      <c r="AW64" s="184"/>
      <c r="AX64" s="184"/>
      <c r="AY64" s="184"/>
      <c r="AZ64" s="184"/>
      <c r="BA64" s="184"/>
      <c r="BB64" s="184"/>
      <c r="BC64" s="184"/>
      <c r="BD64" s="184"/>
      <c r="BE64" s="184"/>
      <c r="BF64" s="184"/>
      <c r="BG64" s="184"/>
      <c r="BH64" s="184"/>
      <c r="BI64" s="184"/>
      <c r="BJ64" s="184"/>
      <c r="BK64" s="184"/>
      <c r="BL64" s="184"/>
      <c r="BM64" s="184"/>
      <c r="BN64" s="184"/>
      <c r="BO64" s="184"/>
      <c r="BP64" s="184"/>
      <c r="BQ64" s="184"/>
      <c r="BR64" s="184"/>
      <c r="BS64" s="184"/>
      <c r="BT64" s="184"/>
      <c r="BU64" s="184"/>
      <c r="BV64" s="184"/>
      <c r="BW64" s="184"/>
      <c r="BX64" s="184"/>
      <c r="BY64" s="184"/>
      <c r="BZ64" s="184"/>
      <c r="CA64" s="184"/>
      <c r="CB64" s="184"/>
      <c r="CC64" s="184"/>
      <c r="CD64" s="184"/>
      <c r="CE64" s="184"/>
      <c r="CF64" s="184"/>
      <c r="CG64" s="184"/>
      <c r="CH64" s="184"/>
      <c r="CI64" s="184"/>
      <c r="CJ64" s="184"/>
      <c r="CK64" s="184"/>
      <c r="CL64" s="184"/>
      <c r="CM64" s="184"/>
      <c r="CN64" s="184"/>
      <c r="CO64" s="184"/>
      <c r="CP64" s="184"/>
      <c r="CQ64" s="184"/>
      <c r="CR64" s="184"/>
      <c r="CS64" s="184"/>
      <c r="CT64" s="184"/>
      <c r="CU64" s="184"/>
      <c r="CV64" s="184"/>
      <c r="CW64" s="184"/>
      <c r="CX64" s="184"/>
      <c r="CY64" s="184"/>
      <c r="CZ64" s="184"/>
      <c r="DA64" s="184"/>
      <c r="DB64" s="184"/>
      <c r="DC64" s="184"/>
      <c r="DD64" s="184"/>
      <c r="DE64" s="184"/>
      <c r="DF64" s="184"/>
      <c r="DG64" s="184"/>
      <c r="DH64" s="184"/>
      <c r="DI64" s="184"/>
      <c r="DJ64" s="184"/>
      <c r="DK64" s="184"/>
      <c r="DL64" s="184"/>
      <c r="DM64" s="184"/>
      <c r="DN64" s="184"/>
      <c r="DO64" s="184"/>
      <c r="DP64" s="184"/>
      <c r="DQ64" s="184"/>
      <c r="DR64" s="184"/>
      <c r="DS64" s="184"/>
      <c r="DT64" s="184"/>
      <c r="DU64" s="184"/>
      <c r="DV64" s="184"/>
      <c r="DW64" s="184"/>
      <c r="DX64" s="184"/>
      <c r="DY64" s="184"/>
      <c r="DZ64" s="184"/>
      <c r="EA64" s="184"/>
      <c r="EB64" s="184"/>
      <c r="EC64" s="184"/>
      <c r="ED64" s="184"/>
      <c r="EE64" s="184"/>
      <c r="EF64" s="184"/>
      <c r="EG64" s="184"/>
      <c r="EH64" s="184"/>
      <c r="EI64" s="184"/>
      <c r="EJ64" s="184"/>
      <c r="EK64" s="184"/>
      <c r="EL64" s="184"/>
      <c r="EM64" s="184"/>
      <c r="EN64" s="184"/>
      <c r="EO64" s="184"/>
      <c r="EP64" s="184"/>
      <c r="EQ64" s="184"/>
      <c r="ER64" s="184"/>
      <c r="ES64" s="184"/>
      <c r="ET64" s="184"/>
      <c r="EU64" s="184"/>
      <c r="EV64" s="184"/>
      <c r="EW64" s="184"/>
      <c r="EX64" s="184"/>
      <c r="EY64" s="184"/>
      <c r="EZ64" s="184"/>
      <c r="FA64" s="184"/>
      <c r="FB64" s="184"/>
      <c r="FC64" s="184"/>
      <c r="FD64" s="184"/>
      <c r="FE64" s="184"/>
      <c r="FF64" s="184"/>
      <c r="FG64" s="184"/>
      <c r="FH64" s="184"/>
      <c r="FI64" s="184"/>
      <c r="FJ64" s="184"/>
      <c r="FK64" s="184"/>
      <c r="FL64" s="184"/>
      <c r="FM64" s="184"/>
      <c r="FN64" s="184"/>
      <c r="FO64" s="184"/>
      <c r="FP64" s="184"/>
      <c r="FQ64" s="184"/>
      <c r="FR64" s="184"/>
      <c r="FS64" s="184"/>
      <c r="FT64" s="184"/>
      <c r="FU64" s="184"/>
      <c r="FV64" s="184"/>
      <c r="FW64" s="184"/>
      <c r="FX64" s="184"/>
      <c r="FY64" s="184"/>
      <c r="FZ64" s="184"/>
      <c r="GA64" s="184"/>
      <c r="GB64" s="184"/>
      <c r="GC64" s="184"/>
      <c r="GD64" s="184"/>
      <c r="GE64" s="184"/>
      <c r="GF64" s="184"/>
      <c r="GG64" s="184"/>
      <c r="GH64" s="184"/>
      <c r="GI64" s="184"/>
    </row>
    <row r="65" spans="1:191" s="186" customFormat="1" ht="15" customHeight="1">
      <c r="A65" s="184"/>
      <c r="B65" s="190"/>
      <c r="C65" s="211"/>
      <c r="D65" s="193"/>
      <c r="E65" s="193"/>
      <c r="F65" s="282" t="s">
        <v>1131</v>
      </c>
      <c r="G65" s="188"/>
      <c r="H65" s="190"/>
      <c r="I65" s="188"/>
      <c r="J65" s="184"/>
      <c r="K65" s="190"/>
      <c r="L65" s="190"/>
      <c r="M65" s="190"/>
      <c r="N65" s="184"/>
      <c r="O65" s="191"/>
      <c r="P65" s="191"/>
      <c r="Q65" s="183"/>
      <c r="R65" s="183"/>
      <c r="S65" s="183"/>
      <c r="T65" s="184"/>
      <c r="U65" s="272" t="s">
        <v>1135</v>
      </c>
      <c r="V65" s="188"/>
      <c r="AB65" s="184"/>
      <c r="AC65" s="184"/>
      <c r="AD65" s="184"/>
      <c r="AE65" s="184"/>
      <c r="AF65" s="184"/>
      <c r="AG65" s="184"/>
      <c r="AH65" s="184"/>
      <c r="AI65" s="184"/>
      <c r="AJ65" s="184"/>
      <c r="AK65" s="184"/>
      <c r="AL65" s="184"/>
      <c r="AM65" s="184"/>
      <c r="AN65" s="184"/>
      <c r="AO65" s="184"/>
      <c r="AP65" s="184"/>
      <c r="AQ65" s="184"/>
      <c r="AR65" s="184"/>
      <c r="AS65" s="184"/>
      <c r="AT65" s="184"/>
      <c r="AU65" s="184"/>
      <c r="AV65" s="184"/>
      <c r="AW65" s="184"/>
      <c r="AX65" s="184"/>
      <c r="AY65" s="184"/>
      <c r="AZ65" s="184"/>
      <c r="BA65" s="184"/>
      <c r="BB65" s="184"/>
      <c r="BC65" s="184"/>
      <c r="BD65" s="184"/>
      <c r="BE65" s="184"/>
      <c r="BF65" s="184"/>
      <c r="BG65" s="184"/>
      <c r="BH65" s="184"/>
      <c r="BI65" s="184"/>
      <c r="BJ65" s="184"/>
      <c r="BK65" s="184"/>
      <c r="BL65" s="184"/>
      <c r="BM65" s="184"/>
      <c r="BN65" s="184"/>
      <c r="BO65" s="184"/>
      <c r="BP65" s="184"/>
      <c r="BQ65" s="184"/>
      <c r="BR65" s="184"/>
      <c r="BS65" s="184"/>
      <c r="BT65" s="184"/>
      <c r="BU65" s="184"/>
      <c r="BV65" s="184"/>
      <c r="BW65" s="184"/>
      <c r="BX65" s="184"/>
      <c r="BY65" s="184"/>
      <c r="BZ65" s="184"/>
      <c r="CA65" s="184"/>
      <c r="CB65" s="184"/>
      <c r="CC65" s="184"/>
      <c r="CD65" s="184"/>
      <c r="CE65" s="184"/>
      <c r="CF65" s="184"/>
      <c r="CG65" s="184"/>
      <c r="CH65" s="184"/>
      <c r="CI65" s="184"/>
      <c r="CJ65" s="184"/>
      <c r="CK65" s="184"/>
      <c r="CL65" s="184"/>
      <c r="CM65" s="184"/>
      <c r="CN65" s="184"/>
      <c r="CO65" s="184"/>
      <c r="CP65" s="184"/>
      <c r="CQ65" s="184"/>
      <c r="CR65" s="184"/>
      <c r="CS65" s="184"/>
      <c r="CT65" s="184"/>
      <c r="CU65" s="184"/>
      <c r="CV65" s="184"/>
      <c r="CW65" s="184"/>
      <c r="CX65" s="184"/>
      <c r="CY65" s="184"/>
      <c r="CZ65" s="184"/>
      <c r="DA65" s="184"/>
      <c r="DB65" s="184"/>
      <c r="DC65" s="184"/>
      <c r="DD65" s="184"/>
      <c r="DE65" s="184"/>
      <c r="DF65" s="184"/>
      <c r="DG65" s="184"/>
      <c r="DH65" s="184"/>
      <c r="DI65" s="184"/>
      <c r="DJ65" s="184"/>
      <c r="DK65" s="184"/>
      <c r="DL65" s="184"/>
      <c r="DM65" s="184"/>
      <c r="DN65" s="184"/>
      <c r="DO65" s="184"/>
      <c r="DP65" s="184"/>
      <c r="DQ65" s="184"/>
      <c r="DR65" s="184"/>
      <c r="DS65" s="184"/>
      <c r="DT65" s="184"/>
      <c r="DU65" s="184"/>
      <c r="DV65" s="184"/>
      <c r="DW65" s="184"/>
      <c r="DX65" s="184"/>
      <c r="DY65" s="184"/>
      <c r="DZ65" s="184"/>
      <c r="EA65" s="184"/>
      <c r="EB65" s="184"/>
      <c r="EC65" s="184"/>
      <c r="ED65" s="184"/>
      <c r="EE65" s="184"/>
      <c r="EF65" s="184"/>
      <c r="EG65" s="184"/>
      <c r="EH65" s="184"/>
      <c r="EI65" s="184"/>
      <c r="EJ65" s="184"/>
      <c r="EK65" s="184"/>
      <c r="EL65" s="184"/>
      <c r="EM65" s="184"/>
      <c r="EN65" s="184"/>
      <c r="EO65" s="184"/>
      <c r="EP65" s="184"/>
      <c r="EQ65" s="184"/>
      <c r="ER65" s="184"/>
      <c r="ES65" s="184"/>
      <c r="ET65" s="184"/>
      <c r="EU65" s="184"/>
      <c r="EV65" s="184"/>
      <c r="EW65" s="184"/>
      <c r="EX65" s="184"/>
      <c r="EY65" s="184"/>
      <c r="EZ65" s="184"/>
      <c r="FA65" s="184"/>
      <c r="FB65" s="184"/>
      <c r="FC65" s="184"/>
      <c r="FD65" s="184"/>
      <c r="FE65" s="184"/>
      <c r="FF65" s="184"/>
      <c r="FG65" s="184"/>
      <c r="FH65" s="184"/>
      <c r="FI65" s="184"/>
      <c r="FJ65" s="184"/>
      <c r="FK65" s="184"/>
      <c r="FL65" s="184"/>
      <c r="FM65" s="184"/>
      <c r="FN65" s="184"/>
      <c r="FO65" s="184"/>
      <c r="FP65" s="184"/>
      <c r="FQ65" s="184"/>
      <c r="FR65" s="184"/>
      <c r="FS65" s="184"/>
      <c r="FT65" s="184"/>
      <c r="FU65" s="184"/>
      <c r="FV65" s="184"/>
      <c r="FW65" s="184"/>
      <c r="FX65" s="184"/>
      <c r="FY65" s="184"/>
      <c r="FZ65" s="184"/>
      <c r="GA65" s="184"/>
      <c r="GB65" s="184"/>
      <c r="GC65" s="184"/>
      <c r="GD65" s="184"/>
      <c r="GE65" s="184"/>
      <c r="GF65" s="184"/>
      <c r="GG65" s="184"/>
      <c r="GH65" s="184"/>
      <c r="GI65" s="184"/>
    </row>
    <row r="66" spans="1:191" s="186" customFormat="1" ht="15" customHeight="1">
      <c r="A66" s="184"/>
      <c r="B66" s="190"/>
      <c r="C66" s="211"/>
      <c r="D66" s="193"/>
      <c r="E66" s="198" t="s">
        <v>1130</v>
      </c>
      <c r="F66" s="282" t="s">
        <v>1132</v>
      </c>
      <c r="G66" s="188"/>
      <c r="H66" s="190"/>
      <c r="I66" s="188"/>
      <c r="J66" s="184"/>
      <c r="K66" s="190"/>
      <c r="L66" s="190"/>
      <c r="M66" s="190"/>
      <c r="N66" s="184"/>
      <c r="O66" s="191"/>
      <c r="P66" s="191"/>
      <c r="Q66" s="183"/>
      <c r="R66" s="183"/>
      <c r="S66" s="183"/>
      <c r="T66" s="184"/>
      <c r="U66" s="273" t="s">
        <v>1136</v>
      </c>
      <c r="V66" s="188"/>
      <c r="AB66" s="184"/>
      <c r="AC66" s="184"/>
      <c r="AD66" s="184"/>
      <c r="AE66" s="184"/>
      <c r="AF66" s="184"/>
      <c r="AG66" s="184"/>
      <c r="AH66" s="184"/>
      <c r="AI66" s="184"/>
      <c r="AJ66" s="184"/>
      <c r="AK66" s="184"/>
      <c r="AL66" s="184"/>
      <c r="AM66" s="184"/>
      <c r="AN66" s="184"/>
      <c r="AO66" s="184"/>
      <c r="AP66" s="184"/>
      <c r="AQ66" s="184"/>
      <c r="AR66" s="184"/>
      <c r="AS66" s="184"/>
      <c r="AT66" s="184"/>
      <c r="AU66" s="184"/>
      <c r="AV66" s="184"/>
      <c r="AW66" s="184"/>
      <c r="AX66" s="184"/>
      <c r="AY66" s="184"/>
      <c r="AZ66" s="184"/>
      <c r="BA66" s="184"/>
      <c r="BB66" s="184"/>
      <c r="BC66" s="184"/>
      <c r="BD66" s="184"/>
      <c r="BE66" s="184"/>
      <c r="BF66" s="184"/>
      <c r="BG66" s="184"/>
      <c r="BH66" s="184"/>
      <c r="BI66" s="184"/>
      <c r="BJ66" s="184"/>
      <c r="BK66" s="184"/>
      <c r="BL66" s="184"/>
      <c r="BM66" s="184"/>
      <c r="BN66" s="184"/>
      <c r="BO66" s="184"/>
      <c r="BP66" s="184"/>
      <c r="BQ66" s="184"/>
      <c r="BR66" s="184"/>
      <c r="BS66" s="184"/>
      <c r="BT66" s="184"/>
      <c r="BU66" s="184"/>
      <c r="BV66" s="184"/>
      <c r="BW66" s="184"/>
      <c r="BX66" s="184"/>
      <c r="BY66" s="184"/>
      <c r="BZ66" s="184"/>
      <c r="CA66" s="184"/>
      <c r="CB66" s="184"/>
      <c r="CC66" s="184"/>
      <c r="CD66" s="184"/>
      <c r="CE66" s="184"/>
      <c r="CF66" s="184"/>
      <c r="CG66" s="184"/>
      <c r="CH66" s="184"/>
      <c r="CI66" s="184"/>
      <c r="CJ66" s="184"/>
      <c r="CK66" s="184"/>
      <c r="CL66" s="184"/>
      <c r="CM66" s="184"/>
      <c r="CN66" s="184"/>
      <c r="CO66" s="184"/>
      <c r="CP66" s="184"/>
      <c r="CQ66" s="184"/>
      <c r="CR66" s="184"/>
      <c r="CS66" s="184"/>
      <c r="CT66" s="184"/>
      <c r="CU66" s="184"/>
      <c r="CV66" s="184"/>
      <c r="CW66" s="184"/>
      <c r="CX66" s="184"/>
      <c r="CY66" s="184"/>
      <c r="CZ66" s="184"/>
      <c r="DA66" s="184"/>
      <c r="DB66" s="184"/>
      <c r="DC66" s="184"/>
      <c r="DD66" s="184"/>
      <c r="DE66" s="184"/>
      <c r="DF66" s="184"/>
      <c r="DG66" s="184"/>
      <c r="DH66" s="184"/>
      <c r="DI66" s="184"/>
      <c r="DJ66" s="184"/>
      <c r="DK66" s="184"/>
      <c r="DL66" s="184"/>
      <c r="DM66" s="184"/>
      <c r="DN66" s="184"/>
      <c r="DO66" s="184"/>
      <c r="DP66" s="184"/>
      <c r="DQ66" s="184"/>
      <c r="DR66" s="184"/>
      <c r="DS66" s="184"/>
      <c r="DT66" s="184"/>
      <c r="DU66" s="184"/>
      <c r="DV66" s="184"/>
      <c r="DW66" s="184"/>
      <c r="DX66" s="184"/>
      <c r="DY66" s="184"/>
      <c r="DZ66" s="184"/>
      <c r="EA66" s="184"/>
      <c r="EB66" s="184"/>
      <c r="EC66" s="184"/>
      <c r="ED66" s="184"/>
      <c r="EE66" s="184"/>
      <c r="EF66" s="184"/>
      <c r="EG66" s="184"/>
      <c r="EH66" s="184"/>
      <c r="EI66" s="184"/>
      <c r="EJ66" s="184"/>
      <c r="EK66" s="184"/>
      <c r="EL66" s="184"/>
      <c r="EM66" s="184"/>
      <c r="EN66" s="184"/>
      <c r="EO66" s="184"/>
      <c r="EP66" s="184"/>
      <c r="EQ66" s="184"/>
      <c r="ER66" s="184"/>
      <c r="ES66" s="184"/>
      <c r="ET66" s="184"/>
      <c r="EU66" s="184"/>
      <c r="EV66" s="184"/>
      <c r="EW66" s="184"/>
      <c r="EX66" s="184"/>
      <c r="EY66" s="184"/>
      <c r="EZ66" s="184"/>
      <c r="FA66" s="184"/>
      <c r="FB66" s="184"/>
      <c r="FC66" s="184"/>
      <c r="FD66" s="184"/>
      <c r="FE66" s="184"/>
      <c r="FF66" s="184"/>
      <c r="FG66" s="184"/>
      <c r="FH66" s="184"/>
      <c r="FI66" s="184"/>
      <c r="FJ66" s="184"/>
      <c r="FK66" s="184"/>
      <c r="FL66" s="184"/>
      <c r="FM66" s="184"/>
      <c r="FN66" s="184"/>
      <c r="FO66" s="184"/>
      <c r="FP66" s="184"/>
      <c r="FQ66" s="184"/>
      <c r="FR66" s="184"/>
      <c r="FS66" s="184"/>
      <c r="FT66" s="184"/>
      <c r="FU66" s="184"/>
      <c r="FV66" s="184"/>
      <c r="FW66" s="184"/>
      <c r="FX66" s="184"/>
      <c r="FY66" s="184"/>
      <c r="FZ66" s="184"/>
      <c r="GA66" s="184"/>
      <c r="GB66" s="184"/>
      <c r="GC66" s="184"/>
      <c r="GD66" s="184"/>
      <c r="GE66" s="184"/>
      <c r="GF66" s="184"/>
      <c r="GG66" s="184"/>
      <c r="GH66" s="184"/>
      <c r="GI66" s="184"/>
    </row>
    <row r="67" spans="1:191" s="186" customFormat="1" ht="15" customHeight="1">
      <c r="D67" s="184" t="s">
        <v>1033</v>
      </c>
      <c r="E67" s="265">
        <v>19025713.809999999</v>
      </c>
      <c r="F67" s="283" t="s">
        <v>1133</v>
      </c>
      <c r="G67" s="222">
        <v>19025713.809999999</v>
      </c>
      <c r="H67" s="222"/>
      <c r="I67" s="223"/>
      <c r="J67" s="224"/>
      <c r="K67" s="221"/>
      <c r="L67" s="221"/>
      <c r="M67" s="221"/>
      <c r="N67" s="224"/>
      <c r="O67" s="225"/>
      <c r="P67" s="225"/>
      <c r="Q67" s="226"/>
      <c r="R67" s="226"/>
      <c r="S67" s="226"/>
      <c r="T67" s="224"/>
      <c r="U67" s="204">
        <f>+E67-E93</f>
        <v>4728356.3501486368</v>
      </c>
      <c r="V67" s="188"/>
      <c r="AB67" s="184"/>
      <c r="AC67" s="184"/>
      <c r="AD67" s="184"/>
      <c r="AE67" s="184"/>
      <c r="AF67" s="184"/>
      <c r="AG67" s="184"/>
      <c r="AH67" s="184"/>
      <c r="AI67" s="184"/>
      <c r="AJ67" s="184"/>
      <c r="AK67" s="184"/>
      <c r="AL67" s="184"/>
      <c r="AM67" s="184"/>
      <c r="AN67" s="184"/>
      <c r="AO67" s="184"/>
      <c r="AP67" s="184"/>
      <c r="AQ67" s="184"/>
      <c r="AR67" s="184"/>
      <c r="AS67" s="184"/>
      <c r="AT67" s="184"/>
      <c r="AU67" s="184"/>
      <c r="AV67" s="184"/>
      <c r="AW67" s="184"/>
      <c r="AX67" s="184"/>
      <c r="AY67" s="184"/>
      <c r="AZ67" s="184"/>
      <c r="BA67" s="184"/>
      <c r="BB67" s="184"/>
      <c r="BC67" s="184"/>
      <c r="BD67" s="184"/>
      <c r="BE67" s="184"/>
      <c r="BF67" s="184"/>
      <c r="BG67" s="184"/>
      <c r="BH67" s="184"/>
      <c r="BI67" s="184"/>
      <c r="BJ67" s="184"/>
      <c r="BK67" s="184"/>
      <c r="BL67" s="184"/>
      <c r="BM67" s="184"/>
      <c r="BN67" s="184"/>
      <c r="BO67" s="184"/>
      <c r="BP67" s="184"/>
      <c r="BQ67" s="184"/>
      <c r="BR67" s="184"/>
      <c r="BS67" s="184"/>
      <c r="BT67" s="184"/>
      <c r="BU67" s="184"/>
      <c r="BV67" s="184"/>
      <c r="BW67" s="184"/>
      <c r="BX67" s="184"/>
      <c r="BY67" s="184"/>
      <c r="BZ67" s="184"/>
      <c r="CA67" s="184"/>
      <c r="CB67" s="184"/>
      <c r="CC67" s="184"/>
      <c r="CD67" s="184"/>
      <c r="CE67" s="184"/>
      <c r="CF67" s="184"/>
      <c r="CG67" s="184"/>
      <c r="CH67" s="184"/>
      <c r="CI67" s="184"/>
      <c r="CJ67" s="184"/>
      <c r="CK67" s="184"/>
      <c r="CL67" s="184"/>
      <c r="CM67" s="184"/>
      <c r="CN67" s="184"/>
      <c r="CO67" s="184"/>
      <c r="CP67" s="184"/>
      <c r="CQ67" s="184"/>
      <c r="CR67" s="184"/>
      <c r="CS67" s="184"/>
      <c r="CT67" s="184"/>
      <c r="CU67" s="184"/>
      <c r="CV67" s="184"/>
      <c r="CW67" s="184"/>
      <c r="CX67" s="184"/>
      <c r="CY67" s="184"/>
      <c r="CZ67" s="184"/>
      <c r="DA67" s="184"/>
      <c r="DB67" s="184"/>
      <c r="DC67" s="184"/>
      <c r="DD67" s="184"/>
      <c r="DE67" s="184"/>
      <c r="DF67" s="184"/>
      <c r="DG67" s="184"/>
      <c r="DH67" s="184"/>
      <c r="DI67" s="184"/>
      <c r="DJ67" s="184"/>
      <c r="DK67" s="184"/>
      <c r="DL67" s="184"/>
      <c r="DM67" s="184"/>
      <c r="DN67" s="184"/>
      <c r="DO67" s="184"/>
      <c r="DP67" s="184"/>
      <c r="DQ67" s="184"/>
      <c r="DR67" s="184"/>
      <c r="DS67" s="184"/>
      <c r="DT67" s="184"/>
      <c r="DU67" s="184"/>
      <c r="DV67" s="184"/>
      <c r="DW67" s="184"/>
      <c r="DX67" s="184"/>
      <c r="DY67" s="184"/>
      <c r="DZ67" s="184"/>
      <c r="EA67" s="184"/>
      <c r="EB67" s="184"/>
      <c r="EC67" s="184"/>
      <c r="ED67" s="184"/>
      <c r="EE67" s="184"/>
      <c r="EF67" s="184"/>
      <c r="EG67" s="184"/>
      <c r="EH67" s="184"/>
      <c r="EI67" s="184"/>
      <c r="EJ67" s="184"/>
      <c r="EK67" s="184"/>
      <c r="EL67" s="184"/>
      <c r="EM67" s="184"/>
      <c r="EN67" s="184"/>
      <c r="EO67" s="184"/>
      <c r="EP67" s="184"/>
      <c r="EQ67" s="184"/>
      <c r="ER67" s="184"/>
      <c r="ES67" s="184"/>
      <c r="ET67" s="184"/>
      <c r="EU67" s="184"/>
      <c r="EV67" s="184"/>
      <c r="EW67" s="184"/>
      <c r="EX67" s="184"/>
      <c r="EY67" s="184"/>
      <c r="EZ67" s="184"/>
      <c r="FA67" s="184"/>
      <c r="FB67" s="184"/>
      <c r="FC67" s="184"/>
      <c r="FD67" s="184"/>
      <c r="FE67" s="184"/>
      <c r="FF67" s="184"/>
      <c r="FG67" s="184"/>
      <c r="FH67" s="184"/>
      <c r="FI67" s="184"/>
      <c r="FJ67" s="184"/>
      <c r="FK67" s="184"/>
      <c r="FL67" s="184"/>
      <c r="FM67" s="184"/>
      <c r="FN67" s="184"/>
      <c r="FO67" s="184"/>
      <c r="FP67" s="184"/>
      <c r="FQ67" s="184"/>
      <c r="FR67" s="184"/>
      <c r="FS67" s="184"/>
      <c r="FT67" s="184"/>
      <c r="FU67" s="184"/>
      <c r="FV67" s="184"/>
      <c r="FW67" s="184"/>
      <c r="FX67" s="184"/>
      <c r="FY67" s="184"/>
      <c r="FZ67" s="184"/>
      <c r="GA67" s="184"/>
      <c r="GB67" s="184"/>
      <c r="GC67" s="184"/>
      <c r="GD67" s="184"/>
      <c r="GE67" s="184"/>
      <c r="GF67" s="184"/>
      <c r="GG67" s="184"/>
      <c r="GH67" s="184"/>
      <c r="GI67" s="184"/>
    </row>
    <row r="68" spans="1:191" s="186" customFormat="1" ht="15" customHeight="1">
      <c r="D68" s="184" t="s">
        <v>1034</v>
      </c>
      <c r="E68" s="221">
        <f>SUM(U37:U54)-0.08</f>
        <v>752902.02013955067</v>
      </c>
      <c r="F68" s="228">
        <f>+E68/$E$93</f>
        <v>5.2660222160198965E-2</v>
      </c>
      <c r="G68" s="222"/>
      <c r="H68" s="222">
        <v>1001898.3150940898</v>
      </c>
      <c r="I68" s="223"/>
      <c r="J68" s="224"/>
      <c r="K68" s="221"/>
      <c r="L68" s="221"/>
      <c r="M68" s="221"/>
      <c r="N68" s="224"/>
      <c r="O68" s="225"/>
      <c r="P68" s="225"/>
      <c r="Q68" s="226"/>
      <c r="R68" s="226"/>
      <c r="S68" s="226"/>
      <c r="T68" s="224"/>
      <c r="U68" s="224">
        <f>+$E$67*F68</f>
        <v>1001898.3159909655</v>
      </c>
      <c r="V68" s="188"/>
      <c r="AB68" s="184"/>
      <c r="AC68" s="184"/>
      <c r="AD68" s="184"/>
      <c r="AE68" s="184"/>
      <c r="AF68" s="184"/>
      <c r="AG68" s="184"/>
      <c r="AH68" s="280"/>
      <c r="AI68" s="184"/>
      <c r="AJ68" s="221"/>
      <c r="AK68" s="227"/>
      <c r="AL68" s="184"/>
      <c r="AM68" s="184"/>
      <c r="AN68" s="184"/>
      <c r="AO68" s="184"/>
      <c r="AP68" s="184"/>
      <c r="AQ68" s="184"/>
      <c r="AR68" s="184"/>
      <c r="AS68" s="184"/>
      <c r="AT68" s="184"/>
      <c r="AU68" s="184"/>
      <c r="AV68" s="184"/>
      <c r="AW68" s="184"/>
      <c r="AX68" s="184"/>
      <c r="AY68" s="184"/>
      <c r="AZ68" s="184"/>
      <c r="BA68" s="184"/>
      <c r="BB68" s="184"/>
      <c r="BC68" s="184"/>
      <c r="BD68" s="184"/>
      <c r="BE68" s="184"/>
      <c r="BF68" s="184"/>
      <c r="BG68" s="184"/>
      <c r="BH68" s="184"/>
      <c r="BI68" s="184"/>
      <c r="BJ68" s="184"/>
      <c r="BK68" s="184"/>
      <c r="BL68" s="184"/>
      <c r="BM68" s="184"/>
      <c r="BN68" s="184"/>
      <c r="BO68" s="184"/>
      <c r="BP68" s="184"/>
      <c r="BQ68" s="184"/>
      <c r="BR68" s="184"/>
      <c r="BS68" s="184"/>
      <c r="BT68" s="184"/>
      <c r="BU68" s="184"/>
      <c r="BV68" s="184"/>
      <c r="BW68" s="184"/>
      <c r="BX68" s="184"/>
      <c r="BY68" s="184"/>
      <c r="BZ68" s="184"/>
      <c r="CA68" s="184"/>
      <c r="CB68" s="184"/>
      <c r="CC68" s="184"/>
      <c r="CD68" s="184"/>
      <c r="CE68" s="184"/>
      <c r="CF68" s="184"/>
      <c r="CG68" s="184"/>
      <c r="CH68" s="184"/>
      <c r="CI68" s="184"/>
      <c r="CJ68" s="184"/>
      <c r="CK68" s="184"/>
      <c r="CL68" s="184"/>
      <c r="CM68" s="184"/>
      <c r="CN68" s="184"/>
      <c r="CO68" s="184"/>
      <c r="CP68" s="184"/>
      <c r="CQ68" s="184"/>
      <c r="CR68" s="184"/>
      <c r="CS68" s="184"/>
      <c r="CT68" s="184"/>
      <c r="CU68" s="184"/>
      <c r="CV68" s="184"/>
      <c r="CW68" s="184"/>
      <c r="CX68" s="184"/>
      <c r="CY68" s="184"/>
      <c r="CZ68" s="184"/>
      <c r="DA68" s="184"/>
      <c r="DB68" s="184"/>
      <c r="DC68" s="184"/>
      <c r="DD68" s="184"/>
      <c r="DE68" s="184"/>
      <c r="DF68" s="184"/>
      <c r="DG68" s="184"/>
      <c r="DH68" s="184"/>
      <c r="DI68" s="184"/>
      <c r="DJ68" s="184"/>
      <c r="DK68" s="184"/>
      <c r="DL68" s="184"/>
      <c r="DM68" s="184"/>
      <c r="DN68" s="184"/>
      <c r="DO68" s="184"/>
      <c r="DP68" s="184"/>
      <c r="DQ68" s="184"/>
      <c r="DR68" s="184"/>
      <c r="DS68" s="184"/>
      <c r="DT68" s="184"/>
      <c r="DU68" s="184"/>
      <c r="DV68" s="184"/>
      <c r="DW68" s="184"/>
      <c r="DX68" s="184"/>
      <c r="DY68" s="184"/>
      <c r="DZ68" s="184"/>
      <c r="EA68" s="184"/>
      <c r="EB68" s="184"/>
      <c r="EC68" s="184"/>
      <c r="ED68" s="184"/>
      <c r="EE68" s="184"/>
      <c r="EF68" s="184"/>
      <c r="EG68" s="184"/>
      <c r="EH68" s="184"/>
      <c r="EI68" s="184"/>
      <c r="EJ68" s="184"/>
      <c r="EK68" s="184"/>
      <c r="EL68" s="184"/>
      <c r="EM68" s="184"/>
      <c r="EN68" s="184"/>
      <c r="EO68" s="184"/>
      <c r="EP68" s="184"/>
      <c r="EQ68" s="184"/>
      <c r="ER68" s="184"/>
      <c r="ES68" s="184"/>
      <c r="ET68" s="184"/>
      <c r="EU68" s="184"/>
      <c r="EV68" s="184"/>
      <c r="EW68" s="184"/>
      <c r="EX68" s="184"/>
      <c r="EY68" s="184"/>
      <c r="EZ68" s="184"/>
      <c r="FA68" s="184"/>
      <c r="FB68" s="184"/>
      <c r="FC68" s="184"/>
      <c r="FD68" s="184"/>
      <c r="FE68" s="184"/>
      <c r="FF68" s="184"/>
      <c r="FG68" s="184"/>
      <c r="FH68" s="184"/>
      <c r="FI68" s="184"/>
      <c r="FJ68" s="184"/>
      <c r="FK68" s="184"/>
      <c r="FL68" s="184"/>
      <c r="FM68" s="184"/>
      <c r="FN68" s="184"/>
      <c r="FO68" s="184"/>
      <c r="FP68" s="184"/>
      <c r="FQ68" s="184"/>
      <c r="FR68" s="184"/>
      <c r="FS68" s="184"/>
      <c r="FT68" s="184"/>
      <c r="FU68" s="184"/>
      <c r="FV68" s="184"/>
      <c r="FW68" s="184"/>
      <c r="FX68" s="184"/>
      <c r="FY68" s="184"/>
      <c r="FZ68" s="184"/>
      <c r="GA68" s="184"/>
      <c r="GB68" s="184"/>
      <c r="GC68" s="184"/>
      <c r="GD68" s="184"/>
      <c r="GE68" s="184"/>
      <c r="GF68" s="184"/>
      <c r="GG68" s="184"/>
      <c r="GH68" s="184"/>
      <c r="GI68" s="184"/>
    </row>
    <row r="69" spans="1:191" s="186" customFormat="1" ht="15" customHeight="1">
      <c r="D69" s="184" t="s">
        <v>1035</v>
      </c>
      <c r="E69" s="221">
        <f>SUM(U31:U32)-0.01</f>
        <v>52284.858065246597</v>
      </c>
      <c r="F69" s="228">
        <f t="shared" ref="F69:F91" si="6">+E69/$E$93</f>
        <v>3.6569595613782859E-3</v>
      </c>
      <c r="G69" s="222"/>
      <c r="H69" s="222">
        <v>69576.268554745504</v>
      </c>
      <c r="I69" s="223"/>
      <c r="J69" s="224"/>
      <c r="K69" s="221"/>
      <c r="L69" s="221"/>
      <c r="M69" s="221"/>
      <c r="N69" s="224"/>
      <c r="O69" s="225"/>
      <c r="P69" s="225"/>
      <c r="Q69" s="226"/>
      <c r="R69" s="226"/>
      <c r="S69" s="226"/>
      <c r="T69" s="224"/>
      <c r="U69" s="224">
        <f t="shared" ref="U69:U84" si="7">+$E$67*F69</f>
        <v>69576.266029526392</v>
      </c>
      <c r="V69" s="188"/>
      <c r="AB69" s="184"/>
      <c r="AC69" s="184"/>
      <c r="AD69" s="184"/>
      <c r="AE69" s="184"/>
      <c r="AF69" s="184"/>
      <c r="AG69" s="184"/>
      <c r="AH69" s="280"/>
      <c r="AI69" s="184"/>
      <c r="AJ69" s="221"/>
      <c r="AK69" s="227"/>
      <c r="AL69" s="184"/>
      <c r="AM69" s="184"/>
      <c r="AN69" s="184"/>
      <c r="AO69" s="184"/>
      <c r="AP69" s="184"/>
      <c r="AQ69" s="184"/>
      <c r="AR69" s="184"/>
      <c r="AS69" s="184"/>
      <c r="AT69" s="184"/>
      <c r="AU69" s="184"/>
      <c r="AV69" s="184"/>
      <c r="AW69" s="184"/>
      <c r="AX69" s="184"/>
      <c r="AY69" s="184"/>
      <c r="AZ69" s="184"/>
      <c r="BA69" s="184"/>
      <c r="BB69" s="184"/>
      <c r="BC69" s="184"/>
      <c r="BD69" s="184"/>
      <c r="BE69" s="184"/>
      <c r="BF69" s="184"/>
      <c r="BG69" s="184"/>
      <c r="BH69" s="184"/>
      <c r="BI69" s="184"/>
      <c r="BJ69" s="184"/>
      <c r="BK69" s="184"/>
      <c r="BL69" s="184"/>
      <c r="BM69" s="184"/>
      <c r="BN69" s="184"/>
      <c r="BO69" s="184"/>
      <c r="BP69" s="184"/>
      <c r="BQ69" s="184"/>
      <c r="BR69" s="184"/>
      <c r="BS69" s="184"/>
      <c r="BT69" s="184"/>
      <c r="BU69" s="184"/>
      <c r="BV69" s="184"/>
      <c r="BW69" s="184"/>
      <c r="BX69" s="184"/>
      <c r="BY69" s="184"/>
      <c r="BZ69" s="184"/>
      <c r="CA69" s="184"/>
      <c r="CB69" s="184"/>
      <c r="CC69" s="184"/>
      <c r="CD69" s="184"/>
      <c r="CE69" s="184"/>
      <c r="CF69" s="184"/>
      <c r="CG69" s="184"/>
      <c r="CH69" s="184"/>
      <c r="CI69" s="184"/>
      <c r="CJ69" s="184"/>
      <c r="CK69" s="184"/>
      <c r="CL69" s="184"/>
      <c r="CM69" s="184"/>
      <c r="CN69" s="184"/>
      <c r="CO69" s="184"/>
      <c r="CP69" s="184"/>
      <c r="CQ69" s="184"/>
      <c r="CR69" s="184"/>
      <c r="CS69" s="184"/>
      <c r="CT69" s="184"/>
      <c r="CU69" s="184"/>
      <c r="CV69" s="184"/>
      <c r="CW69" s="184"/>
      <c r="CX69" s="184"/>
      <c r="CY69" s="184"/>
      <c r="CZ69" s="184"/>
      <c r="DA69" s="184"/>
      <c r="DB69" s="184"/>
      <c r="DC69" s="184"/>
      <c r="DD69" s="184"/>
      <c r="DE69" s="184"/>
      <c r="DF69" s="184"/>
      <c r="DG69" s="184"/>
      <c r="DH69" s="184"/>
      <c r="DI69" s="184"/>
      <c r="DJ69" s="184"/>
      <c r="DK69" s="184"/>
      <c r="DL69" s="184"/>
      <c r="DM69" s="184"/>
      <c r="DN69" s="184"/>
      <c r="DO69" s="184"/>
      <c r="DP69" s="184"/>
      <c r="DQ69" s="184"/>
      <c r="DR69" s="184"/>
      <c r="DS69" s="184"/>
      <c r="DT69" s="184"/>
      <c r="DU69" s="184"/>
      <c r="DV69" s="184"/>
      <c r="DW69" s="184"/>
      <c r="DX69" s="184"/>
      <c r="DY69" s="184"/>
      <c r="DZ69" s="184"/>
      <c r="EA69" s="184"/>
      <c r="EB69" s="184"/>
      <c r="EC69" s="184"/>
      <c r="ED69" s="184"/>
      <c r="EE69" s="184"/>
      <c r="EF69" s="184"/>
      <c r="EG69" s="184"/>
      <c r="EH69" s="184"/>
      <c r="EI69" s="184"/>
      <c r="EJ69" s="184"/>
      <c r="EK69" s="184"/>
      <c r="EL69" s="184"/>
      <c r="EM69" s="184"/>
      <c r="EN69" s="184"/>
      <c r="EO69" s="184"/>
      <c r="EP69" s="184"/>
      <c r="EQ69" s="184"/>
      <c r="ER69" s="184"/>
      <c r="ES69" s="184"/>
      <c r="ET69" s="184"/>
      <c r="EU69" s="184"/>
      <c r="EV69" s="184"/>
      <c r="EW69" s="184"/>
      <c r="EX69" s="184"/>
      <c r="EY69" s="184"/>
      <c r="EZ69" s="184"/>
      <c r="FA69" s="184"/>
      <c r="FB69" s="184"/>
      <c r="FC69" s="184"/>
      <c r="FD69" s="184"/>
      <c r="FE69" s="184"/>
      <c r="FF69" s="184"/>
      <c r="FG69" s="184"/>
      <c r="FH69" s="184"/>
      <c r="FI69" s="184"/>
      <c r="FJ69" s="184"/>
      <c r="FK69" s="184"/>
      <c r="FL69" s="184"/>
      <c r="FM69" s="184"/>
      <c r="FN69" s="184"/>
      <c r="FO69" s="184"/>
      <c r="FP69" s="184"/>
      <c r="FQ69" s="184"/>
      <c r="FR69" s="184"/>
      <c r="FS69" s="184"/>
      <c r="FT69" s="184"/>
      <c r="FU69" s="184"/>
      <c r="FV69" s="184"/>
      <c r="FW69" s="184"/>
      <c r="FX69" s="184"/>
      <c r="FY69" s="184"/>
      <c r="FZ69" s="184"/>
      <c r="GA69" s="184"/>
      <c r="GB69" s="184"/>
      <c r="GC69" s="184"/>
      <c r="GD69" s="184"/>
      <c r="GE69" s="184"/>
      <c r="GF69" s="184"/>
      <c r="GG69" s="184"/>
      <c r="GH69" s="184"/>
      <c r="GI69" s="184"/>
    </row>
    <row r="70" spans="1:191" s="186" customFormat="1" ht="15" customHeight="1">
      <c r="D70" s="184" t="s">
        <v>1036</v>
      </c>
      <c r="E70" s="221">
        <f>SUM(U23)</f>
        <v>538790.51120845322</v>
      </c>
      <c r="F70" s="228">
        <f t="shared" si="6"/>
        <v>3.7684621981470316E-2</v>
      </c>
      <c r="G70" s="222"/>
      <c r="H70" s="222">
        <v>716976.83074045321</v>
      </c>
      <c r="I70" s="223"/>
      <c r="J70" s="224"/>
      <c r="K70" s="221"/>
      <c r="L70" s="221"/>
      <c r="M70" s="221"/>
      <c r="N70" s="224"/>
      <c r="O70" s="225"/>
      <c r="P70" s="225"/>
      <c r="Q70" s="226"/>
      <c r="R70" s="226"/>
      <c r="S70" s="226"/>
      <c r="T70" s="224"/>
      <c r="U70" s="224">
        <f t="shared" si="7"/>
        <v>716976.83285748935</v>
      </c>
      <c r="V70" s="188"/>
      <c r="AB70" s="184"/>
      <c r="AC70" s="184"/>
      <c r="AD70" s="184"/>
      <c r="AE70" s="184"/>
      <c r="AF70" s="184"/>
      <c r="AG70" s="184"/>
      <c r="AH70" s="280"/>
      <c r="AI70" s="184"/>
      <c r="AJ70" s="221"/>
      <c r="AK70" s="227"/>
      <c r="AL70" s="184"/>
      <c r="AM70" s="184"/>
      <c r="AN70" s="184"/>
      <c r="AO70" s="184"/>
      <c r="AP70" s="184"/>
      <c r="AQ70" s="184"/>
      <c r="AR70" s="184"/>
      <c r="AS70" s="184"/>
      <c r="AT70" s="184"/>
      <c r="AU70" s="184"/>
      <c r="AV70" s="184"/>
      <c r="AW70" s="184"/>
      <c r="AX70" s="184"/>
      <c r="AY70" s="184"/>
      <c r="AZ70" s="184"/>
      <c r="BA70" s="184"/>
      <c r="BB70" s="184"/>
      <c r="BC70" s="184"/>
      <c r="BD70" s="184"/>
      <c r="BE70" s="184"/>
      <c r="BF70" s="184"/>
      <c r="BG70" s="184"/>
      <c r="BH70" s="184"/>
      <c r="BI70" s="184"/>
      <c r="BJ70" s="184"/>
      <c r="BK70" s="184"/>
      <c r="BL70" s="184"/>
      <c r="BM70" s="184"/>
      <c r="BN70" s="184"/>
      <c r="BO70" s="184"/>
      <c r="BP70" s="184"/>
      <c r="BQ70" s="184"/>
      <c r="BR70" s="184"/>
      <c r="BS70" s="184"/>
      <c r="BT70" s="184"/>
      <c r="BU70" s="184"/>
      <c r="BV70" s="184"/>
      <c r="BW70" s="184"/>
      <c r="BX70" s="184"/>
      <c r="BY70" s="184"/>
      <c r="BZ70" s="184"/>
      <c r="CA70" s="184"/>
      <c r="CB70" s="184"/>
      <c r="CC70" s="184"/>
      <c r="CD70" s="184"/>
      <c r="CE70" s="184"/>
      <c r="CF70" s="184"/>
      <c r="CG70" s="184"/>
      <c r="CH70" s="184"/>
      <c r="CI70" s="184"/>
      <c r="CJ70" s="184"/>
      <c r="CK70" s="184"/>
      <c r="CL70" s="184"/>
      <c r="CM70" s="184"/>
      <c r="CN70" s="184"/>
      <c r="CO70" s="184"/>
      <c r="CP70" s="184"/>
      <c r="CQ70" s="184"/>
      <c r="CR70" s="184"/>
      <c r="CS70" s="184"/>
      <c r="CT70" s="184"/>
      <c r="CU70" s="184"/>
      <c r="CV70" s="184"/>
      <c r="CW70" s="184"/>
      <c r="CX70" s="184"/>
      <c r="CY70" s="184"/>
      <c r="CZ70" s="184"/>
      <c r="DA70" s="184"/>
      <c r="DB70" s="184"/>
      <c r="DC70" s="184"/>
      <c r="DD70" s="184"/>
      <c r="DE70" s="184"/>
      <c r="DF70" s="184"/>
      <c r="DG70" s="184"/>
      <c r="DH70" s="184"/>
      <c r="DI70" s="184"/>
      <c r="DJ70" s="184"/>
      <c r="DK70" s="184"/>
      <c r="DL70" s="184"/>
      <c r="DM70" s="184"/>
      <c r="DN70" s="184"/>
      <c r="DO70" s="184"/>
      <c r="DP70" s="184"/>
      <c r="DQ70" s="184"/>
      <c r="DR70" s="184"/>
      <c r="DS70" s="184"/>
      <c r="DT70" s="184"/>
      <c r="DU70" s="184"/>
      <c r="DV70" s="184"/>
      <c r="DW70" s="184"/>
      <c r="DX70" s="184"/>
      <c r="DY70" s="184"/>
      <c r="DZ70" s="184"/>
      <c r="EA70" s="184"/>
      <c r="EB70" s="184"/>
      <c r="EC70" s="184"/>
      <c r="ED70" s="184"/>
      <c r="EE70" s="184"/>
      <c r="EF70" s="184"/>
      <c r="EG70" s="184"/>
      <c r="EH70" s="184"/>
      <c r="EI70" s="184"/>
      <c r="EJ70" s="184"/>
      <c r="EK70" s="184"/>
      <c r="EL70" s="184"/>
      <c r="EM70" s="184"/>
      <c r="EN70" s="184"/>
      <c r="EO70" s="184"/>
      <c r="EP70" s="184"/>
      <c r="EQ70" s="184"/>
      <c r="ER70" s="184"/>
      <c r="ES70" s="184"/>
      <c r="ET70" s="184"/>
      <c r="EU70" s="184"/>
      <c r="EV70" s="184"/>
      <c r="EW70" s="184"/>
      <c r="EX70" s="184"/>
      <c r="EY70" s="184"/>
      <c r="EZ70" s="184"/>
      <c r="FA70" s="184"/>
      <c r="FB70" s="184"/>
      <c r="FC70" s="184"/>
      <c r="FD70" s="184"/>
      <c r="FE70" s="184"/>
      <c r="FF70" s="184"/>
      <c r="FG70" s="184"/>
      <c r="FH70" s="184"/>
      <c r="FI70" s="184"/>
      <c r="FJ70" s="184"/>
      <c r="FK70" s="184"/>
      <c r="FL70" s="184"/>
      <c r="FM70" s="184"/>
      <c r="FN70" s="184"/>
      <c r="FO70" s="184"/>
      <c r="FP70" s="184"/>
      <c r="FQ70" s="184"/>
      <c r="FR70" s="184"/>
      <c r="FS70" s="184"/>
      <c r="FT70" s="184"/>
      <c r="FU70" s="184"/>
      <c r="FV70" s="184"/>
      <c r="FW70" s="184"/>
      <c r="FX70" s="184"/>
      <c r="FY70" s="184"/>
      <c r="FZ70" s="184"/>
      <c r="GA70" s="184"/>
      <c r="GB70" s="184"/>
      <c r="GC70" s="184"/>
      <c r="GD70" s="184"/>
      <c r="GE70" s="184"/>
      <c r="GF70" s="184"/>
      <c r="GG70" s="184"/>
      <c r="GH70" s="184"/>
      <c r="GI70" s="184"/>
    </row>
    <row r="71" spans="1:191" s="186" customFormat="1" ht="15" customHeight="1">
      <c r="D71" s="184" t="s">
        <v>1037</v>
      </c>
      <c r="E71" s="221">
        <f>SUM(U10:U22)+0.02</f>
        <v>262942.04750029388</v>
      </c>
      <c r="F71" s="228">
        <f t="shared" si="6"/>
        <v>1.839095428918705E-2</v>
      </c>
      <c r="G71" s="222"/>
      <c r="H71" s="222">
        <v>349901.03607689339</v>
      </c>
      <c r="I71" s="223"/>
      <c r="J71" s="224"/>
      <c r="K71" s="221"/>
      <c r="L71" s="221"/>
      <c r="M71" s="221"/>
      <c r="N71" s="224"/>
      <c r="O71" s="225"/>
      <c r="P71" s="225"/>
      <c r="Q71" s="226"/>
      <c r="R71" s="226"/>
      <c r="S71" s="226"/>
      <c r="T71" s="224"/>
      <c r="U71" s="224">
        <f t="shared" si="7"/>
        <v>349901.03299886477</v>
      </c>
      <c r="V71" s="208" t="s">
        <v>202</v>
      </c>
      <c r="AB71" s="184"/>
      <c r="AC71" s="184"/>
      <c r="AD71" s="184"/>
      <c r="AE71" s="184"/>
      <c r="AF71" s="184"/>
      <c r="AG71" s="184"/>
      <c r="AH71" s="280"/>
      <c r="AI71" s="184"/>
      <c r="AJ71" s="221"/>
      <c r="AK71" s="227"/>
      <c r="AL71" s="184"/>
      <c r="AM71" s="184"/>
      <c r="AN71" s="184"/>
      <c r="AO71" s="184"/>
      <c r="AP71" s="184"/>
      <c r="AQ71" s="184"/>
      <c r="AR71" s="184"/>
      <c r="AS71" s="184"/>
      <c r="AT71" s="184"/>
      <c r="AU71" s="184"/>
      <c r="AV71" s="184"/>
      <c r="AW71" s="184"/>
      <c r="AX71" s="184"/>
      <c r="AY71" s="184"/>
      <c r="AZ71" s="184"/>
      <c r="BA71" s="184"/>
      <c r="BB71" s="184"/>
      <c r="BC71" s="184"/>
      <c r="BD71" s="184"/>
      <c r="BE71" s="184"/>
      <c r="BF71" s="184"/>
      <c r="BG71" s="184"/>
      <c r="BH71" s="184"/>
      <c r="BI71" s="184"/>
      <c r="BJ71" s="184"/>
      <c r="BK71" s="184"/>
      <c r="BL71" s="184"/>
      <c r="BM71" s="184"/>
      <c r="BN71" s="184"/>
      <c r="BO71" s="184"/>
      <c r="BP71" s="184"/>
      <c r="BQ71" s="184"/>
      <c r="BR71" s="184"/>
      <c r="BS71" s="184"/>
      <c r="BT71" s="184"/>
      <c r="BU71" s="184"/>
      <c r="BV71" s="184"/>
      <c r="BW71" s="184"/>
      <c r="BX71" s="184"/>
      <c r="BY71" s="184"/>
      <c r="BZ71" s="184"/>
      <c r="CA71" s="184"/>
      <c r="CB71" s="184"/>
      <c r="CC71" s="184"/>
      <c r="CD71" s="184"/>
      <c r="CE71" s="184"/>
      <c r="CF71" s="184"/>
      <c r="CG71" s="184"/>
      <c r="CH71" s="184"/>
      <c r="CI71" s="184"/>
      <c r="CJ71" s="184"/>
      <c r="CK71" s="184"/>
      <c r="CL71" s="184"/>
      <c r="CM71" s="184"/>
      <c r="CN71" s="184"/>
      <c r="CO71" s="184"/>
      <c r="CP71" s="184"/>
      <c r="CQ71" s="184"/>
      <c r="CR71" s="184"/>
      <c r="CS71" s="184"/>
      <c r="CT71" s="184"/>
      <c r="CU71" s="184"/>
      <c r="CV71" s="184"/>
      <c r="CW71" s="184"/>
      <c r="CX71" s="184"/>
      <c r="CY71" s="184"/>
      <c r="CZ71" s="184"/>
      <c r="DA71" s="184"/>
      <c r="DB71" s="184"/>
      <c r="DC71" s="184"/>
      <c r="DD71" s="184"/>
      <c r="DE71" s="184"/>
      <c r="DF71" s="184"/>
      <c r="DG71" s="184"/>
      <c r="DH71" s="184"/>
      <c r="DI71" s="184"/>
      <c r="DJ71" s="184"/>
      <c r="DK71" s="184"/>
      <c r="DL71" s="184"/>
      <c r="DM71" s="184"/>
      <c r="DN71" s="184"/>
      <c r="DO71" s="184"/>
      <c r="DP71" s="184"/>
      <c r="DQ71" s="184"/>
      <c r="DR71" s="184"/>
      <c r="DS71" s="184"/>
      <c r="DT71" s="184"/>
      <c r="DU71" s="184"/>
      <c r="DV71" s="184"/>
      <c r="DW71" s="184"/>
      <c r="DX71" s="184"/>
      <c r="DY71" s="184"/>
      <c r="DZ71" s="184"/>
      <c r="EA71" s="184"/>
      <c r="EB71" s="184"/>
      <c r="EC71" s="184"/>
      <c r="ED71" s="184"/>
      <c r="EE71" s="184"/>
      <c r="EF71" s="184"/>
      <c r="EG71" s="184"/>
      <c r="EH71" s="184"/>
      <c r="EI71" s="184"/>
      <c r="EJ71" s="184"/>
      <c r="EK71" s="184"/>
      <c r="EL71" s="184"/>
      <c r="EM71" s="184"/>
      <c r="EN71" s="184"/>
      <c r="EO71" s="184"/>
      <c r="EP71" s="184"/>
      <c r="EQ71" s="184"/>
      <c r="ER71" s="184"/>
      <c r="ES71" s="184"/>
      <c r="ET71" s="184"/>
      <c r="EU71" s="184"/>
      <c r="EV71" s="184"/>
      <c r="EW71" s="184"/>
      <c r="EX71" s="184"/>
      <c r="EY71" s="184"/>
      <c r="EZ71" s="184"/>
      <c r="FA71" s="184"/>
      <c r="FB71" s="184"/>
      <c r="FC71" s="184"/>
      <c r="FD71" s="184"/>
      <c r="FE71" s="184"/>
      <c r="FF71" s="184"/>
      <c r="FG71" s="184"/>
      <c r="FH71" s="184"/>
      <c r="FI71" s="184"/>
      <c r="FJ71" s="184"/>
      <c r="FK71" s="184"/>
      <c r="FL71" s="184"/>
      <c r="FM71" s="184"/>
      <c r="FN71" s="184"/>
      <c r="FO71" s="184"/>
      <c r="FP71" s="184"/>
      <c r="FQ71" s="184"/>
      <c r="FR71" s="184"/>
      <c r="FS71" s="184"/>
      <c r="FT71" s="184"/>
      <c r="FU71" s="184"/>
      <c r="FV71" s="184"/>
      <c r="FW71" s="184"/>
      <c r="FX71" s="184"/>
      <c r="FY71" s="184"/>
      <c r="FZ71" s="184"/>
      <c r="GA71" s="184"/>
      <c r="GB71" s="184"/>
      <c r="GC71" s="184"/>
      <c r="GD71" s="184"/>
      <c r="GE71" s="184"/>
      <c r="GF71" s="184"/>
      <c r="GG71" s="184"/>
      <c r="GH71" s="184"/>
      <c r="GI71" s="184"/>
    </row>
    <row r="72" spans="1:191" s="186" customFormat="1" ht="15" customHeight="1">
      <c r="D72" s="184" t="s">
        <v>1038</v>
      </c>
      <c r="E72" s="269">
        <v>167311.57999999999</v>
      </c>
      <c r="F72" s="228">
        <f t="shared" si="6"/>
        <v>1.1702272987846202E-2</v>
      </c>
      <c r="G72" s="222"/>
      <c r="H72" s="222">
        <v>222644.09663521691</v>
      </c>
      <c r="I72" s="223"/>
      <c r="J72" s="224"/>
      <c r="K72" s="221"/>
      <c r="L72" s="221"/>
      <c r="M72" s="221"/>
      <c r="N72" s="224"/>
      <c r="O72" s="225"/>
      <c r="P72" s="225"/>
      <c r="Q72" s="226"/>
      <c r="R72" s="226"/>
      <c r="S72" s="226"/>
      <c r="T72" s="224"/>
      <c r="U72" s="257">
        <f t="shared" si="7"/>
        <v>222644.09679325542</v>
      </c>
      <c r="V72" s="262">
        <f>+U72</f>
        <v>222644.09679325542</v>
      </c>
      <c r="AB72" s="184"/>
      <c r="AC72" s="184"/>
      <c r="AD72" s="184"/>
      <c r="AE72" s="184"/>
      <c r="AF72" s="184"/>
      <c r="AG72" s="184"/>
      <c r="AH72" s="280"/>
      <c r="AI72" s="184"/>
      <c r="AJ72" s="221"/>
      <c r="AK72" s="227"/>
      <c r="AL72" s="184"/>
      <c r="AM72" s="184"/>
      <c r="AN72" s="184"/>
      <c r="AO72" s="184"/>
      <c r="AP72" s="184"/>
      <c r="AQ72" s="184"/>
      <c r="AR72" s="184"/>
      <c r="AS72" s="184"/>
      <c r="AT72" s="184"/>
      <c r="AU72" s="184"/>
      <c r="AV72" s="184"/>
      <c r="AW72" s="184"/>
      <c r="AX72" s="184"/>
      <c r="AY72" s="184"/>
      <c r="AZ72" s="184"/>
      <c r="BA72" s="184"/>
      <c r="BB72" s="184"/>
      <c r="BC72" s="184"/>
      <c r="BD72" s="184"/>
      <c r="BE72" s="184"/>
      <c r="BF72" s="184"/>
      <c r="BG72" s="184"/>
      <c r="BH72" s="184"/>
      <c r="BI72" s="184"/>
      <c r="BJ72" s="184"/>
      <c r="BK72" s="184"/>
      <c r="BL72" s="184"/>
      <c r="BM72" s="184"/>
      <c r="BN72" s="184"/>
      <c r="BO72" s="184"/>
      <c r="BP72" s="184"/>
      <c r="BQ72" s="184"/>
      <c r="BR72" s="184"/>
      <c r="BS72" s="184"/>
      <c r="BT72" s="184"/>
      <c r="BU72" s="184"/>
      <c r="BV72" s="184"/>
      <c r="BW72" s="184"/>
      <c r="BX72" s="184"/>
      <c r="BY72" s="184"/>
      <c r="BZ72" s="184"/>
      <c r="CA72" s="184"/>
      <c r="CB72" s="184"/>
      <c r="CC72" s="184"/>
      <c r="CD72" s="184"/>
      <c r="CE72" s="184"/>
      <c r="CF72" s="184"/>
      <c r="CG72" s="184"/>
      <c r="CH72" s="184"/>
      <c r="CI72" s="184"/>
      <c r="CJ72" s="184"/>
      <c r="CK72" s="184"/>
      <c r="CL72" s="184"/>
      <c r="CM72" s="184"/>
      <c r="CN72" s="184"/>
      <c r="CO72" s="184"/>
      <c r="CP72" s="184"/>
      <c r="CQ72" s="184"/>
      <c r="CR72" s="184"/>
      <c r="CS72" s="184"/>
      <c r="CT72" s="184"/>
      <c r="CU72" s="184"/>
      <c r="CV72" s="184"/>
      <c r="CW72" s="184"/>
      <c r="CX72" s="184"/>
      <c r="CY72" s="184"/>
      <c r="CZ72" s="184"/>
      <c r="DA72" s="184"/>
      <c r="DB72" s="184"/>
      <c r="DC72" s="184"/>
      <c r="DD72" s="184"/>
      <c r="DE72" s="184"/>
      <c r="DF72" s="184"/>
      <c r="DG72" s="184"/>
      <c r="DH72" s="184"/>
      <c r="DI72" s="184"/>
      <c r="DJ72" s="184"/>
      <c r="DK72" s="184"/>
      <c r="DL72" s="184"/>
      <c r="DM72" s="184"/>
      <c r="DN72" s="184"/>
      <c r="DO72" s="184"/>
      <c r="DP72" s="184"/>
      <c r="DQ72" s="184"/>
      <c r="DR72" s="184"/>
      <c r="DS72" s="184"/>
      <c r="DT72" s="184"/>
      <c r="DU72" s="184"/>
      <c r="DV72" s="184"/>
      <c r="DW72" s="184"/>
      <c r="DX72" s="184"/>
      <c r="DY72" s="184"/>
      <c r="DZ72" s="184"/>
      <c r="EA72" s="184"/>
      <c r="EB72" s="184"/>
      <c r="EC72" s="184"/>
      <c r="ED72" s="184"/>
      <c r="EE72" s="184"/>
      <c r="EF72" s="184"/>
      <c r="EG72" s="184"/>
      <c r="EH72" s="184"/>
      <c r="EI72" s="184"/>
      <c r="EJ72" s="184"/>
      <c r="EK72" s="184"/>
      <c r="EL72" s="184"/>
      <c r="EM72" s="184"/>
      <c r="EN72" s="184"/>
      <c r="EO72" s="184"/>
      <c r="EP72" s="184"/>
      <c r="EQ72" s="184"/>
      <c r="ER72" s="184"/>
      <c r="ES72" s="184"/>
      <c r="ET72" s="184"/>
      <c r="EU72" s="184"/>
      <c r="EV72" s="184"/>
      <c r="EW72" s="184"/>
      <c r="EX72" s="184"/>
      <c r="EY72" s="184"/>
      <c r="EZ72" s="184"/>
      <c r="FA72" s="184"/>
      <c r="FB72" s="184"/>
      <c r="FC72" s="184"/>
      <c r="FD72" s="184"/>
      <c r="FE72" s="184"/>
      <c r="FF72" s="184"/>
      <c r="FG72" s="184"/>
      <c r="FH72" s="184"/>
      <c r="FI72" s="184"/>
      <c r="FJ72" s="184"/>
      <c r="FK72" s="184"/>
      <c r="FL72" s="184"/>
      <c r="FM72" s="184"/>
      <c r="FN72" s="184"/>
      <c r="FO72" s="184"/>
      <c r="FP72" s="184"/>
      <c r="FQ72" s="184"/>
      <c r="FR72" s="184"/>
      <c r="FS72" s="184"/>
      <c r="FT72" s="184"/>
      <c r="FU72" s="184"/>
      <c r="FV72" s="184"/>
      <c r="FW72" s="184"/>
      <c r="FX72" s="184"/>
      <c r="FY72" s="184"/>
      <c r="FZ72" s="184"/>
      <c r="GA72" s="184"/>
      <c r="GB72" s="184"/>
      <c r="GC72" s="184"/>
      <c r="GD72" s="184"/>
      <c r="GE72" s="184"/>
      <c r="GF72" s="184"/>
      <c r="GG72" s="184"/>
      <c r="GH72" s="184"/>
      <c r="GI72" s="184"/>
    </row>
    <row r="73" spans="1:191" s="186" customFormat="1" ht="15" customHeight="1">
      <c r="D73" s="184" t="s">
        <v>1039</v>
      </c>
      <c r="E73" s="269">
        <f>SUM(U33:U36)+0.02</f>
        <v>2027685.9620098588</v>
      </c>
      <c r="F73" s="228">
        <f t="shared" si="6"/>
        <v>0.14182242891414279</v>
      </c>
      <c r="G73" s="222"/>
      <c r="H73" s="222">
        <v>2698272.939769695</v>
      </c>
      <c r="I73" s="223"/>
      <c r="J73" s="224"/>
      <c r="K73" s="221"/>
      <c r="L73" s="221"/>
      <c r="M73" s="221"/>
      <c r="N73" s="224"/>
      <c r="O73" s="225"/>
      <c r="P73" s="225"/>
      <c r="Q73" s="226"/>
      <c r="R73" s="226"/>
      <c r="S73" s="226"/>
      <c r="T73" s="224"/>
      <c r="U73" s="257">
        <f t="shared" si="7"/>
        <v>2698272.9443595498</v>
      </c>
      <c r="V73" s="263">
        <f>+U73*0.25</f>
        <v>674568.23608988745</v>
      </c>
      <c r="AB73" s="184"/>
      <c r="AC73" s="184"/>
      <c r="AD73" s="184"/>
      <c r="AE73" s="184"/>
      <c r="AF73" s="184"/>
      <c r="AG73" s="184"/>
      <c r="AH73" s="280"/>
      <c r="AI73" s="184"/>
      <c r="AJ73" s="221"/>
      <c r="AK73" s="227"/>
      <c r="AL73" s="184"/>
      <c r="AM73" s="184"/>
      <c r="AN73" s="184"/>
      <c r="AO73" s="184"/>
      <c r="AP73" s="184"/>
      <c r="AQ73" s="184"/>
      <c r="AR73" s="184"/>
      <c r="AS73" s="184"/>
      <c r="AT73" s="184"/>
      <c r="AU73" s="184"/>
      <c r="AV73" s="184"/>
      <c r="AW73" s="184"/>
      <c r="AX73" s="184"/>
      <c r="AY73" s="184"/>
      <c r="AZ73" s="184"/>
      <c r="BA73" s="184"/>
      <c r="BB73" s="184"/>
      <c r="BC73" s="184"/>
      <c r="BD73" s="184"/>
      <c r="BE73" s="184"/>
      <c r="BF73" s="184"/>
      <c r="BG73" s="184"/>
      <c r="BH73" s="184"/>
      <c r="BI73" s="184"/>
      <c r="BJ73" s="184"/>
      <c r="BK73" s="184"/>
      <c r="BL73" s="184"/>
      <c r="BM73" s="184"/>
      <c r="BN73" s="184"/>
      <c r="BO73" s="184"/>
      <c r="BP73" s="184"/>
      <c r="BQ73" s="184"/>
      <c r="BR73" s="184"/>
      <c r="BS73" s="184"/>
      <c r="BT73" s="184"/>
      <c r="BU73" s="184"/>
      <c r="BV73" s="184"/>
      <c r="BW73" s="184"/>
      <c r="BX73" s="184"/>
      <c r="BY73" s="184"/>
      <c r="BZ73" s="184"/>
      <c r="CA73" s="184"/>
      <c r="CB73" s="184"/>
      <c r="CC73" s="184"/>
      <c r="CD73" s="184"/>
      <c r="CE73" s="184"/>
      <c r="CF73" s="184"/>
      <c r="CG73" s="184"/>
      <c r="CH73" s="184"/>
      <c r="CI73" s="184"/>
      <c r="CJ73" s="184"/>
      <c r="CK73" s="184"/>
      <c r="CL73" s="184"/>
      <c r="CM73" s="184"/>
      <c r="CN73" s="184"/>
      <c r="CO73" s="184"/>
      <c r="CP73" s="184"/>
      <c r="CQ73" s="184"/>
      <c r="CR73" s="184"/>
      <c r="CS73" s="184"/>
      <c r="CT73" s="184"/>
      <c r="CU73" s="184"/>
      <c r="CV73" s="184"/>
      <c r="CW73" s="184"/>
      <c r="CX73" s="184"/>
      <c r="CY73" s="184"/>
      <c r="CZ73" s="184"/>
      <c r="DA73" s="184"/>
      <c r="DB73" s="184"/>
      <c r="DC73" s="184"/>
      <c r="DD73" s="184"/>
      <c r="DE73" s="184"/>
      <c r="DF73" s="184"/>
      <c r="DG73" s="184"/>
      <c r="DH73" s="184"/>
      <c r="DI73" s="184"/>
      <c r="DJ73" s="184"/>
      <c r="DK73" s="184"/>
      <c r="DL73" s="184"/>
      <c r="DM73" s="184"/>
      <c r="DN73" s="184"/>
      <c r="DO73" s="184"/>
      <c r="DP73" s="184"/>
      <c r="DQ73" s="184"/>
      <c r="DR73" s="184"/>
      <c r="DS73" s="184"/>
      <c r="DT73" s="184"/>
      <c r="DU73" s="184"/>
      <c r="DV73" s="184"/>
      <c r="DW73" s="184"/>
      <c r="DX73" s="184"/>
      <c r="DY73" s="184"/>
      <c r="DZ73" s="184"/>
      <c r="EA73" s="184"/>
      <c r="EB73" s="184"/>
      <c r="EC73" s="184"/>
      <c r="ED73" s="184"/>
      <c r="EE73" s="184"/>
      <c r="EF73" s="184"/>
      <c r="EG73" s="184"/>
      <c r="EH73" s="184"/>
      <c r="EI73" s="184"/>
      <c r="EJ73" s="184"/>
      <c r="EK73" s="184"/>
      <c r="EL73" s="184"/>
      <c r="EM73" s="184"/>
      <c r="EN73" s="184"/>
      <c r="EO73" s="184"/>
      <c r="EP73" s="184"/>
      <c r="EQ73" s="184"/>
      <c r="ER73" s="184"/>
      <c r="ES73" s="184"/>
      <c r="ET73" s="184"/>
      <c r="EU73" s="184"/>
      <c r="EV73" s="184"/>
      <c r="EW73" s="184"/>
      <c r="EX73" s="184"/>
      <c r="EY73" s="184"/>
      <c r="EZ73" s="184"/>
      <c r="FA73" s="184"/>
      <c r="FB73" s="184"/>
      <c r="FC73" s="184"/>
      <c r="FD73" s="184"/>
      <c r="FE73" s="184"/>
      <c r="FF73" s="184"/>
      <c r="FG73" s="184"/>
      <c r="FH73" s="184"/>
      <c r="FI73" s="184"/>
      <c r="FJ73" s="184"/>
      <c r="FK73" s="184"/>
      <c r="FL73" s="184"/>
      <c r="FM73" s="184"/>
      <c r="FN73" s="184"/>
      <c r="FO73" s="184"/>
      <c r="FP73" s="184"/>
      <c r="FQ73" s="184"/>
      <c r="FR73" s="184"/>
      <c r="FS73" s="184"/>
      <c r="FT73" s="184"/>
      <c r="FU73" s="184"/>
      <c r="FV73" s="184"/>
      <c r="FW73" s="184"/>
      <c r="FX73" s="184"/>
      <c r="FY73" s="184"/>
      <c r="FZ73" s="184"/>
      <c r="GA73" s="184"/>
      <c r="GB73" s="184"/>
      <c r="GC73" s="184"/>
      <c r="GD73" s="184"/>
      <c r="GE73" s="184"/>
      <c r="GF73" s="184"/>
      <c r="GG73" s="184"/>
      <c r="GH73" s="184"/>
      <c r="GI73" s="184"/>
    </row>
    <row r="74" spans="1:191" s="186" customFormat="1" ht="15" customHeight="1">
      <c r="D74" s="184" t="s">
        <v>1040</v>
      </c>
      <c r="E74" s="270">
        <f>1159538.72</f>
        <v>1159538.72</v>
      </c>
      <c r="F74" s="228">
        <f t="shared" si="6"/>
        <v>8.1101610787596187E-2</v>
      </c>
      <c r="G74" s="222"/>
      <c r="H74" s="222">
        <v>1543016.0352795408</v>
      </c>
      <c r="I74" s="223"/>
      <c r="J74" s="224"/>
      <c r="K74" s="221"/>
      <c r="L74" s="221"/>
      <c r="M74" s="221"/>
      <c r="N74" s="224"/>
      <c r="O74" s="225"/>
      <c r="P74" s="225"/>
      <c r="Q74" s="226"/>
      <c r="R74" s="226"/>
      <c r="S74" s="226"/>
      <c r="T74" s="224"/>
      <c r="U74" s="224">
        <f t="shared" si="7"/>
        <v>1543016.0363748136</v>
      </c>
      <c r="V74" s="199"/>
      <c r="AB74" s="184"/>
      <c r="AC74" s="184"/>
      <c r="AD74" s="184"/>
      <c r="AE74" s="184"/>
      <c r="AF74" s="184"/>
      <c r="AG74" s="184"/>
      <c r="AH74" s="280"/>
      <c r="AI74" s="184"/>
      <c r="AJ74" s="221"/>
      <c r="AK74" s="227"/>
      <c r="AL74" s="184"/>
      <c r="AM74" s="184"/>
      <c r="AN74" s="184"/>
      <c r="AO74" s="184"/>
      <c r="AP74" s="184"/>
      <c r="AQ74" s="184"/>
      <c r="AR74" s="184"/>
      <c r="AS74" s="184"/>
      <c r="AT74" s="184"/>
      <c r="AU74" s="184"/>
      <c r="AV74" s="184"/>
      <c r="AW74" s="184"/>
      <c r="AX74" s="184"/>
      <c r="AY74" s="184"/>
      <c r="AZ74" s="184"/>
      <c r="BA74" s="184"/>
      <c r="BB74" s="184"/>
      <c r="BC74" s="184"/>
      <c r="BD74" s="184"/>
      <c r="BE74" s="184"/>
      <c r="BF74" s="184"/>
      <c r="BG74" s="184"/>
      <c r="BH74" s="184"/>
      <c r="BI74" s="184"/>
      <c r="BJ74" s="184"/>
      <c r="BK74" s="184"/>
      <c r="BL74" s="184"/>
      <c r="BM74" s="184"/>
      <c r="BN74" s="184"/>
      <c r="BO74" s="184"/>
      <c r="BP74" s="184"/>
      <c r="BQ74" s="184"/>
      <c r="BR74" s="184"/>
      <c r="BS74" s="184"/>
      <c r="BT74" s="184"/>
      <c r="BU74" s="184"/>
      <c r="BV74" s="184"/>
      <c r="BW74" s="184"/>
      <c r="BX74" s="184"/>
      <c r="BY74" s="184"/>
      <c r="BZ74" s="184"/>
      <c r="CA74" s="184"/>
      <c r="CB74" s="184"/>
      <c r="CC74" s="184"/>
      <c r="CD74" s="184"/>
      <c r="CE74" s="184"/>
      <c r="CF74" s="184"/>
      <c r="CG74" s="184"/>
      <c r="CH74" s="184"/>
      <c r="CI74" s="184"/>
      <c r="CJ74" s="184"/>
      <c r="CK74" s="184"/>
      <c r="CL74" s="184"/>
      <c r="CM74" s="184"/>
      <c r="CN74" s="184"/>
      <c r="CO74" s="184"/>
      <c r="CP74" s="184"/>
      <c r="CQ74" s="184"/>
      <c r="CR74" s="184"/>
      <c r="CS74" s="184"/>
      <c r="CT74" s="184"/>
      <c r="CU74" s="184"/>
      <c r="CV74" s="184"/>
      <c r="CW74" s="184"/>
      <c r="CX74" s="184"/>
      <c r="CY74" s="184"/>
      <c r="CZ74" s="184"/>
      <c r="DA74" s="184"/>
      <c r="DB74" s="184"/>
      <c r="DC74" s="184"/>
      <c r="DD74" s="184"/>
      <c r="DE74" s="184"/>
      <c r="DF74" s="184"/>
      <c r="DG74" s="184"/>
      <c r="DH74" s="184"/>
      <c r="DI74" s="184"/>
      <c r="DJ74" s="184"/>
      <c r="DK74" s="184"/>
      <c r="DL74" s="184"/>
      <c r="DM74" s="184"/>
      <c r="DN74" s="184"/>
      <c r="DO74" s="184"/>
      <c r="DP74" s="184"/>
      <c r="DQ74" s="184"/>
      <c r="DR74" s="184"/>
      <c r="DS74" s="184"/>
      <c r="DT74" s="184"/>
      <c r="DU74" s="184"/>
      <c r="DV74" s="184"/>
      <c r="DW74" s="184"/>
      <c r="DX74" s="184"/>
      <c r="DY74" s="184"/>
      <c r="DZ74" s="184"/>
      <c r="EA74" s="184"/>
      <c r="EB74" s="184"/>
      <c r="EC74" s="184"/>
      <c r="ED74" s="184"/>
      <c r="EE74" s="184"/>
      <c r="EF74" s="184"/>
      <c r="EG74" s="184"/>
      <c r="EH74" s="184"/>
      <c r="EI74" s="184"/>
      <c r="EJ74" s="184"/>
      <c r="EK74" s="184"/>
      <c r="EL74" s="184"/>
      <c r="EM74" s="184"/>
      <c r="EN74" s="184"/>
      <c r="EO74" s="184"/>
      <c r="EP74" s="184"/>
      <c r="EQ74" s="184"/>
      <c r="ER74" s="184"/>
      <c r="ES74" s="184"/>
      <c r="ET74" s="184"/>
      <c r="EU74" s="184"/>
      <c r="EV74" s="184"/>
      <c r="EW74" s="184"/>
      <c r="EX74" s="184"/>
      <c r="EY74" s="184"/>
      <c r="EZ74" s="184"/>
      <c r="FA74" s="184"/>
      <c r="FB74" s="184"/>
      <c r="FC74" s="184"/>
      <c r="FD74" s="184"/>
      <c r="FE74" s="184"/>
      <c r="FF74" s="184"/>
      <c r="FG74" s="184"/>
      <c r="FH74" s="184"/>
      <c r="FI74" s="184"/>
      <c r="FJ74" s="184"/>
      <c r="FK74" s="184"/>
      <c r="FL74" s="184"/>
      <c r="FM74" s="184"/>
      <c r="FN74" s="184"/>
      <c r="FO74" s="184"/>
      <c r="FP74" s="184"/>
      <c r="FQ74" s="184"/>
      <c r="FR74" s="184"/>
      <c r="FS74" s="184"/>
      <c r="FT74" s="184"/>
      <c r="FU74" s="184"/>
      <c r="FV74" s="184"/>
      <c r="FW74" s="184"/>
      <c r="FX74" s="184"/>
      <c r="FY74" s="184"/>
      <c r="FZ74" s="184"/>
      <c r="GA74" s="184"/>
      <c r="GB74" s="184"/>
      <c r="GC74" s="184"/>
      <c r="GD74" s="184"/>
      <c r="GE74" s="184"/>
      <c r="GF74" s="184"/>
      <c r="GG74" s="184"/>
      <c r="GH74" s="184"/>
      <c r="GI74" s="184"/>
    </row>
    <row r="75" spans="1:191" s="186" customFormat="1" ht="15" customHeight="1">
      <c r="D75" s="184" t="s">
        <v>1041</v>
      </c>
      <c r="E75" s="269">
        <f>SUM(U2:U4)-0.01</f>
        <v>1579451.8963119199</v>
      </c>
      <c r="F75" s="228">
        <f t="shared" si="6"/>
        <v>0.11047159593982343</v>
      </c>
      <c r="G75" s="222"/>
      <c r="H75" s="222">
        <v>2101800.9719009106</v>
      </c>
      <c r="I75" s="223"/>
      <c r="J75" s="224"/>
      <c r="K75" s="221"/>
      <c r="L75" s="221"/>
      <c r="M75" s="221"/>
      <c r="N75" s="224"/>
      <c r="O75" s="225"/>
      <c r="P75" s="225"/>
      <c r="Q75" s="226"/>
      <c r="R75" s="226"/>
      <c r="S75" s="226"/>
      <c r="T75" s="224"/>
      <c r="U75" s="257">
        <f t="shared" si="7"/>
        <v>2101800.9684850383</v>
      </c>
      <c r="V75" s="262">
        <f>+U75:U75</f>
        <v>2101800.9684850383</v>
      </c>
      <c r="AB75" s="184"/>
      <c r="AC75" s="184"/>
      <c r="AD75" s="184"/>
      <c r="AE75" s="184"/>
      <c r="AF75" s="184"/>
      <c r="AG75" s="184"/>
      <c r="AH75" s="280"/>
      <c r="AI75" s="184"/>
      <c r="AJ75" s="221"/>
      <c r="AK75" s="227"/>
      <c r="AL75" s="184"/>
      <c r="AM75" s="184"/>
      <c r="AN75" s="184"/>
      <c r="AO75" s="184"/>
      <c r="AP75" s="184"/>
      <c r="AQ75" s="184"/>
      <c r="AR75" s="184"/>
      <c r="AS75" s="184"/>
      <c r="AT75" s="184"/>
      <c r="AU75" s="184"/>
      <c r="AV75" s="184"/>
      <c r="AW75" s="184"/>
      <c r="AX75" s="184"/>
      <c r="AY75" s="184"/>
      <c r="AZ75" s="184"/>
      <c r="BA75" s="184"/>
      <c r="BB75" s="184"/>
      <c r="BC75" s="184"/>
      <c r="BD75" s="184"/>
      <c r="BE75" s="184"/>
      <c r="BF75" s="184"/>
      <c r="BG75" s="184"/>
      <c r="BH75" s="184"/>
      <c r="BI75" s="184"/>
      <c r="BJ75" s="184"/>
      <c r="BK75" s="184"/>
      <c r="BL75" s="184"/>
      <c r="BM75" s="184"/>
      <c r="BN75" s="184"/>
      <c r="BO75" s="184"/>
      <c r="BP75" s="184"/>
      <c r="BQ75" s="184"/>
      <c r="BR75" s="184"/>
      <c r="BS75" s="184"/>
      <c r="BT75" s="184"/>
      <c r="BU75" s="184"/>
      <c r="BV75" s="184"/>
      <c r="BW75" s="184"/>
      <c r="BX75" s="184"/>
      <c r="BY75" s="184"/>
      <c r="BZ75" s="184"/>
      <c r="CA75" s="184"/>
      <c r="CB75" s="184"/>
      <c r="CC75" s="184"/>
      <c r="CD75" s="184"/>
      <c r="CE75" s="184"/>
      <c r="CF75" s="184"/>
      <c r="CG75" s="184"/>
      <c r="CH75" s="184"/>
      <c r="CI75" s="184"/>
      <c r="CJ75" s="184"/>
      <c r="CK75" s="184"/>
      <c r="CL75" s="184"/>
      <c r="CM75" s="184"/>
      <c r="CN75" s="184"/>
      <c r="CO75" s="184"/>
      <c r="CP75" s="184"/>
      <c r="CQ75" s="184"/>
      <c r="CR75" s="184"/>
      <c r="CS75" s="184"/>
      <c r="CT75" s="184"/>
      <c r="CU75" s="184"/>
      <c r="CV75" s="184"/>
      <c r="CW75" s="184"/>
      <c r="CX75" s="184"/>
      <c r="CY75" s="184"/>
      <c r="CZ75" s="184"/>
      <c r="DA75" s="184"/>
      <c r="DB75" s="184"/>
      <c r="DC75" s="184"/>
      <c r="DD75" s="184"/>
      <c r="DE75" s="184"/>
      <c r="DF75" s="184"/>
      <c r="DG75" s="184"/>
      <c r="DH75" s="184"/>
      <c r="DI75" s="184"/>
      <c r="DJ75" s="184"/>
      <c r="DK75" s="184"/>
      <c r="DL75" s="184"/>
      <c r="DM75" s="184"/>
      <c r="DN75" s="184"/>
      <c r="DO75" s="184"/>
      <c r="DP75" s="184"/>
      <c r="DQ75" s="184"/>
      <c r="DR75" s="184"/>
      <c r="DS75" s="184"/>
      <c r="DT75" s="184"/>
      <c r="DU75" s="184"/>
      <c r="DV75" s="184"/>
      <c r="DW75" s="184"/>
      <c r="DX75" s="184"/>
      <c r="DY75" s="184"/>
      <c r="DZ75" s="184"/>
      <c r="EA75" s="184"/>
      <c r="EB75" s="184"/>
      <c r="EC75" s="184"/>
      <c r="ED75" s="184"/>
      <c r="EE75" s="184"/>
      <c r="EF75" s="184"/>
      <c r="EG75" s="184"/>
      <c r="EH75" s="184"/>
      <c r="EI75" s="184"/>
      <c r="EJ75" s="184"/>
      <c r="EK75" s="184"/>
      <c r="EL75" s="184"/>
      <c r="EM75" s="184"/>
      <c r="EN75" s="184"/>
      <c r="EO75" s="184"/>
      <c r="EP75" s="184"/>
      <c r="EQ75" s="184"/>
      <c r="ER75" s="184"/>
      <c r="ES75" s="184"/>
      <c r="ET75" s="184"/>
      <c r="EU75" s="184"/>
      <c r="EV75" s="184"/>
      <c r="EW75" s="184"/>
      <c r="EX75" s="184"/>
      <c r="EY75" s="184"/>
      <c r="EZ75" s="184"/>
      <c r="FA75" s="184"/>
      <c r="FB75" s="184"/>
      <c r="FC75" s="184"/>
      <c r="FD75" s="184"/>
      <c r="FE75" s="184"/>
      <c r="FF75" s="184"/>
      <c r="FG75" s="184"/>
      <c r="FH75" s="184"/>
      <c r="FI75" s="184"/>
      <c r="FJ75" s="184"/>
      <c r="FK75" s="184"/>
      <c r="FL75" s="184"/>
      <c r="FM75" s="184"/>
      <c r="FN75" s="184"/>
      <c r="FO75" s="184"/>
      <c r="FP75" s="184"/>
      <c r="FQ75" s="184"/>
      <c r="FR75" s="184"/>
      <c r="FS75" s="184"/>
      <c r="FT75" s="184"/>
      <c r="FU75" s="184"/>
      <c r="FV75" s="184"/>
      <c r="FW75" s="184"/>
      <c r="FX75" s="184"/>
      <c r="FY75" s="184"/>
      <c r="FZ75" s="184"/>
      <c r="GA75" s="184"/>
      <c r="GB75" s="184"/>
      <c r="GC75" s="184"/>
      <c r="GD75" s="184"/>
      <c r="GE75" s="184"/>
      <c r="GF75" s="184"/>
      <c r="GG75" s="184"/>
      <c r="GH75" s="184"/>
      <c r="GI75" s="184"/>
    </row>
    <row r="76" spans="1:191" s="186" customFormat="1" ht="15" customHeight="1">
      <c r="D76" s="184" t="s">
        <v>1042</v>
      </c>
      <c r="E76" s="269">
        <f>SUM(U5:U7)</f>
        <v>3176071.76812723</v>
      </c>
      <c r="F76" s="228">
        <f t="shared" si="6"/>
        <v>0.22214397150284645</v>
      </c>
      <c r="G76" s="222"/>
      <c r="H76" s="222">
        <v>4226447.6259220336</v>
      </c>
      <c r="I76" s="223"/>
      <c r="J76" s="224"/>
      <c r="K76" s="221"/>
      <c r="L76" s="221"/>
      <c r="M76" s="221"/>
      <c r="N76" s="224"/>
      <c r="O76" s="225"/>
      <c r="P76" s="225"/>
      <c r="Q76" s="226"/>
      <c r="R76" s="226"/>
      <c r="S76" s="226"/>
      <c r="T76" s="224"/>
      <c r="U76" s="257">
        <f t="shared" si="7"/>
        <v>4226447.6264299517</v>
      </c>
      <c r="V76" s="262">
        <f>+U76</f>
        <v>4226447.6264299517</v>
      </c>
      <c r="AB76" s="184"/>
      <c r="AC76" s="184"/>
      <c r="AD76" s="184"/>
      <c r="AE76" s="184"/>
      <c r="AF76" s="184"/>
      <c r="AG76" s="184"/>
      <c r="AH76" s="280"/>
      <c r="AI76" s="184"/>
      <c r="AJ76" s="221"/>
      <c r="AK76" s="227"/>
      <c r="AL76" s="184"/>
      <c r="AM76" s="184"/>
      <c r="AN76" s="184"/>
      <c r="AO76" s="184"/>
      <c r="AP76" s="184"/>
      <c r="AQ76" s="184"/>
      <c r="AR76" s="184"/>
      <c r="AS76" s="184"/>
      <c r="AT76" s="184"/>
      <c r="AU76" s="184"/>
      <c r="AV76" s="184"/>
      <c r="AW76" s="184"/>
      <c r="AX76" s="184"/>
      <c r="AY76" s="184"/>
      <c r="AZ76" s="184"/>
      <c r="BA76" s="184"/>
      <c r="BB76" s="184"/>
      <c r="BC76" s="184"/>
      <c r="BD76" s="184"/>
      <c r="BE76" s="184"/>
      <c r="BF76" s="184"/>
      <c r="BG76" s="184"/>
      <c r="BH76" s="184"/>
      <c r="BI76" s="184"/>
      <c r="BJ76" s="184"/>
      <c r="BK76" s="184"/>
      <c r="BL76" s="184"/>
      <c r="BM76" s="184"/>
      <c r="BN76" s="184"/>
      <c r="BO76" s="184"/>
      <c r="BP76" s="184"/>
      <c r="BQ76" s="184"/>
      <c r="BR76" s="184"/>
      <c r="BS76" s="184"/>
      <c r="BT76" s="184"/>
      <c r="BU76" s="184"/>
      <c r="BV76" s="184"/>
      <c r="BW76" s="184"/>
      <c r="BX76" s="184"/>
      <c r="BY76" s="184"/>
      <c r="BZ76" s="184"/>
      <c r="CA76" s="184"/>
      <c r="CB76" s="184"/>
      <c r="CC76" s="184"/>
      <c r="CD76" s="184"/>
      <c r="CE76" s="184"/>
      <c r="CF76" s="184"/>
      <c r="CG76" s="184"/>
      <c r="CH76" s="184"/>
      <c r="CI76" s="184"/>
      <c r="CJ76" s="184"/>
      <c r="CK76" s="184"/>
      <c r="CL76" s="184"/>
      <c r="CM76" s="184"/>
      <c r="CN76" s="184"/>
      <c r="CO76" s="184"/>
      <c r="CP76" s="184"/>
      <c r="CQ76" s="184"/>
      <c r="CR76" s="184"/>
      <c r="CS76" s="184"/>
      <c r="CT76" s="184"/>
      <c r="CU76" s="184"/>
      <c r="CV76" s="184"/>
      <c r="CW76" s="184"/>
      <c r="CX76" s="184"/>
      <c r="CY76" s="184"/>
      <c r="CZ76" s="184"/>
      <c r="DA76" s="184"/>
      <c r="DB76" s="184"/>
      <c r="DC76" s="184"/>
      <c r="DD76" s="184"/>
      <c r="DE76" s="184"/>
      <c r="DF76" s="184"/>
      <c r="DG76" s="184"/>
      <c r="DH76" s="184"/>
      <c r="DI76" s="184"/>
      <c r="DJ76" s="184"/>
      <c r="DK76" s="184"/>
      <c r="DL76" s="184"/>
      <c r="DM76" s="184"/>
      <c r="DN76" s="184"/>
      <c r="DO76" s="184"/>
      <c r="DP76" s="184"/>
      <c r="DQ76" s="184"/>
      <c r="DR76" s="184"/>
      <c r="DS76" s="184"/>
      <c r="DT76" s="184"/>
      <c r="DU76" s="184"/>
      <c r="DV76" s="184"/>
      <c r="DW76" s="184"/>
      <c r="DX76" s="184"/>
      <c r="DY76" s="184"/>
      <c r="DZ76" s="184"/>
      <c r="EA76" s="184"/>
      <c r="EB76" s="184"/>
      <c r="EC76" s="184"/>
      <c r="ED76" s="184"/>
      <c r="EE76" s="184"/>
      <c r="EF76" s="184"/>
      <c r="EG76" s="184"/>
      <c r="EH76" s="184"/>
      <c r="EI76" s="184"/>
      <c r="EJ76" s="184"/>
      <c r="EK76" s="184"/>
      <c r="EL76" s="184"/>
      <c r="EM76" s="184"/>
      <c r="EN76" s="184"/>
      <c r="EO76" s="184"/>
      <c r="EP76" s="184"/>
      <c r="EQ76" s="184"/>
      <c r="ER76" s="184"/>
      <c r="ES76" s="184"/>
      <c r="ET76" s="184"/>
      <c r="EU76" s="184"/>
      <c r="EV76" s="184"/>
      <c r="EW76" s="184"/>
      <c r="EX76" s="184"/>
      <c r="EY76" s="184"/>
      <c r="EZ76" s="184"/>
      <c r="FA76" s="184"/>
      <c r="FB76" s="184"/>
      <c r="FC76" s="184"/>
      <c r="FD76" s="184"/>
      <c r="FE76" s="184"/>
      <c r="FF76" s="184"/>
      <c r="FG76" s="184"/>
      <c r="FH76" s="184"/>
      <c r="FI76" s="184"/>
      <c r="FJ76" s="184"/>
      <c r="FK76" s="184"/>
      <c r="FL76" s="184"/>
      <c r="FM76" s="184"/>
      <c r="FN76" s="184"/>
      <c r="FO76" s="184"/>
      <c r="FP76" s="184"/>
      <c r="FQ76" s="184"/>
      <c r="FR76" s="184"/>
      <c r="FS76" s="184"/>
      <c r="FT76" s="184"/>
      <c r="FU76" s="184"/>
      <c r="FV76" s="184"/>
      <c r="FW76" s="184"/>
      <c r="FX76" s="184"/>
      <c r="FY76" s="184"/>
      <c r="FZ76" s="184"/>
      <c r="GA76" s="184"/>
      <c r="GB76" s="184"/>
      <c r="GC76" s="184"/>
      <c r="GD76" s="184"/>
      <c r="GE76" s="184"/>
      <c r="GF76" s="184"/>
      <c r="GG76" s="184"/>
      <c r="GH76" s="184"/>
      <c r="GI76" s="184"/>
    </row>
    <row r="77" spans="1:191" s="186" customFormat="1" ht="15" customHeight="1">
      <c r="D77" s="184" t="s">
        <v>1043</v>
      </c>
      <c r="E77" s="269">
        <f>SUM(U8:U9)</f>
        <v>423248.35980723408</v>
      </c>
      <c r="F77" s="228">
        <f t="shared" si="6"/>
        <v>2.9603257874454392E-2</v>
      </c>
      <c r="G77" s="222"/>
      <c r="H77" s="222">
        <v>563223.11201972433</v>
      </c>
      <c r="I77" s="223"/>
      <c r="J77" s="224"/>
      <c r="K77" s="221"/>
      <c r="L77" s="221"/>
      <c r="M77" s="221"/>
      <c r="N77" s="224"/>
      <c r="O77" s="225"/>
      <c r="P77" s="225"/>
      <c r="Q77" s="226"/>
      <c r="R77" s="226"/>
      <c r="S77" s="226"/>
      <c r="T77" s="224"/>
      <c r="U77" s="257">
        <f t="shared" si="7"/>
        <v>563223.11216299818</v>
      </c>
      <c r="V77" s="262">
        <f>+U77</f>
        <v>563223.11216299818</v>
      </c>
      <c r="AB77" s="184"/>
      <c r="AC77" s="184"/>
      <c r="AD77" s="184"/>
      <c r="AE77" s="184"/>
      <c r="AF77" s="184"/>
      <c r="AG77" s="184"/>
      <c r="AH77" s="280"/>
      <c r="AI77" s="184"/>
      <c r="AJ77" s="221"/>
      <c r="AK77" s="227"/>
      <c r="AL77" s="184"/>
      <c r="AM77" s="184"/>
      <c r="AN77" s="184"/>
      <c r="AO77" s="184"/>
      <c r="AP77" s="184"/>
      <c r="AQ77" s="184"/>
      <c r="AR77" s="184"/>
      <c r="AS77" s="184"/>
      <c r="AT77" s="184"/>
      <c r="AU77" s="184"/>
      <c r="AV77" s="184"/>
      <c r="AW77" s="184"/>
      <c r="AX77" s="184"/>
      <c r="AY77" s="184"/>
      <c r="AZ77" s="184"/>
      <c r="BA77" s="184"/>
      <c r="BB77" s="184"/>
      <c r="BC77" s="184"/>
      <c r="BD77" s="184"/>
      <c r="BE77" s="184"/>
      <c r="BF77" s="184"/>
      <c r="BG77" s="184"/>
      <c r="BH77" s="184"/>
      <c r="BI77" s="184"/>
      <c r="BJ77" s="184"/>
      <c r="BK77" s="184"/>
      <c r="BL77" s="184"/>
      <c r="BM77" s="184"/>
      <c r="BN77" s="184"/>
      <c r="BO77" s="184"/>
      <c r="BP77" s="184"/>
      <c r="BQ77" s="184"/>
      <c r="BR77" s="184"/>
      <c r="BS77" s="184"/>
      <c r="BT77" s="184"/>
      <c r="BU77" s="184"/>
      <c r="BV77" s="184"/>
      <c r="BW77" s="184"/>
      <c r="BX77" s="184"/>
      <c r="BY77" s="184"/>
      <c r="BZ77" s="184"/>
      <c r="CA77" s="184"/>
      <c r="CB77" s="184"/>
      <c r="CC77" s="184"/>
      <c r="CD77" s="184"/>
      <c r="CE77" s="184"/>
      <c r="CF77" s="184"/>
      <c r="CG77" s="184"/>
      <c r="CH77" s="184"/>
      <c r="CI77" s="184"/>
      <c r="CJ77" s="184"/>
      <c r="CK77" s="184"/>
      <c r="CL77" s="184"/>
      <c r="CM77" s="184"/>
      <c r="CN77" s="184"/>
      <c r="CO77" s="184"/>
      <c r="CP77" s="184"/>
      <c r="CQ77" s="184"/>
      <c r="CR77" s="184"/>
      <c r="CS77" s="184"/>
      <c r="CT77" s="184"/>
      <c r="CU77" s="184"/>
      <c r="CV77" s="184"/>
      <c r="CW77" s="184"/>
      <c r="CX77" s="184"/>
      <c r="CY77" s="184"/>
      <c r="CZ77" s="184"/>
      <c r="DA77" s="184"/>
      <c r="DB77" s="184"/>
      <c r="DC77" s="184"/>
      <c r="DD77" s="184"/>
      <c r="DE77" s="184"/>
      <c r="DF77" s="184"/>
      <c r="DG77" s="184"/>
      <c r="DH77" s="184"/>
      <c r="DI77" s="184"/>
      <c r="DJ77" s="184"/>
      <c r="DK77" s="184"/>
      <c r="DL77" s="184"/>
      <c r="DM77" s="184"/>
      <c r="DN77" s="184"/>
      <c r="DO77" s="184"/>
      <c r="DP77" s="184"/>
      <c r="DQ77" s="184"/>
      <c r="DR77" s="184"/>
      <c r="DS77" s="184"/>
      <c r="DT77" s="184"/>
      <c r="DU77" s="184"/>
      <c r="DV77" s="184"/>
      <c r="DW77" s="184"/>
      <c r="DX77" s="184"/>
      <c r="DY77" s="184"/>
      <c r="DZ77" s="184"/>
      <c r="EA77" s="184"/>
      <c r="EB77" s="184"/>
      <c r="EC77" s="184"/>
      <c r="ED77" s="184"/>
      <c r="EE77" s="184"/>
      <c r="EF77" s="184"/>
      <c r="EG77" s="184"/>
      <c r="EH77" s="184"/>
      <c r="EI77" s="184"/>
      <c r="EJ77" s="184"/>
      <c r="EK77" s="184"/>
      <c r="EL77" s="184"/>
      <c r="EM77" s="184"/>
      <c r="EN77" s="184"/>
      <c r="EO77" s="184"/>
      <c r="EP77" s="184"/>
      <c r="EQ77" s="184"/>
      <c r="ER77" s="184"/>
      <c r="ES77" s="184"/>
      <c r="ET77" s="184"/>
      <c r="EU77" s="184"/>
      <c r="EV77" s="184"/>
      <c r="EW77" s="184"/>
      <c r="EX77" s="184"/>
      <c r="EY77" s="184"/>
      <c r="EZ77" s="184"/>
      <c r="FA77" s="184"/>
      <c r="FB77" s="184"/>
      <c r="FC77" s="184"/>
      <c r="FD77" s="184"/>
      <c r="FE77" s="184"/>
      <c r="FF77" s="184"/>
      <c r="FG77" s="184"/>
      <c r="FH77" s="184"/>
      <c r="FI77" s="184"/>
      <c r="FJ77" s="184"/>
      <c r="FK77" s="184"/>
      <c r="FL77" s="184"/>
      <c r="FM77" s="184"/>
      <c r="FN77" s="184"/>
      <c r="FO77" s="184"/>
      <c r="FP77" s="184"/>
      <c r="FQ77" s="184"/>
      <c r="FR77" s="184"/>
      <c r="FS77" s="184"/>
      <c r="FT77" s="184"/>
      <c r="FU77" s="184"/>
      <c r="FV77" s="184"/>
      <c r="FW77" s="184"/>
      <c r="FX77" s="184"/>
      <c r="FY77" s="184"/>
      <c r="FZ77" s="184"/>
      <c r="GA77" s="184"/>
      <c r="GB77" s="184"/>
      <c r="GC77" s="184"/>
      <c r="GD77" s="184"/>
      <c r="GE77" s="184"/>
      <c r="GF77" s="184"/>
      <c r="GG77" s="184"/>
      <c r="GH77" s="184"/>
      <c r="GI77" s="184"/>
    </row>
    <row r="78" spans="1:191" s="186" customFormat="1" ht="15" customHeight="1">
      <c r="D78" s="184" t="s">
        <v>1044</v>
      </c>
      <c r="E78" s="269">
        <f>SUM(U25:U30)</f>
        <v>190657.42190363354</v>
      </c>
      <c r="F78" s="228">
        <f t="shared" si="6"/>
        <v>1.3335151089215031E-2</v>
      </c>
      <c r="G78" s="222"/>
      <c r="H78" s="222">
        <v>253710.76552322996</v>
      </c>
      <c r="I78" s="223"/>
      <c r="J78" s="224"/>
      <c r="K78" s="221"/>
      <c r="L78" s="221"/>
      <c r="M78" s="221"/>
      <c r="N78" s="224"/>
      <c r="O78" s="225"/>
      <c r="P78" s="225"/>
      <c r="Q78" s="226"/>
      <c r="R78" s="226"/>
      <c r="S78" s="226"/>
      <c r="T78" s="224"/>
      <c r="U78" s="257">
        <f t="shared" si="7"/>
        <v>253710.76823651494</v>
      </c>
      <c r="V78" s="262">
        <f>+U78</f>
        <v>253710.76823651494</v>
      </c>
      <c r="AB78" s="184"/>
      <c r="AC78" s="184"/>
      <c r="AD78" s="184"/>
      <c r="AE78" s="184"/>
      <c r="AF78" s="184"/>
      <c r="AG78" s="184"/>
      <c r="AH78" s="280"/>
      <c r="AI78" s="184"/>
      <c r="AJ78" s="221"/>
      <c r="AK78" s="227"/>
      <c r="AL78" s="184"/>
      <c r="AM78" s="184"/>
      <c r="AN78" s="184"/>
      <c r="AO78" s="184"/>
      <c r="AP78" s="184"/>
      <c r="AQ78" s="184"/>
      <c r="AR78" s="184"/>
      <c r="AS78" s="184"/>
      <c r="AT78" s="184"/>
      <c r="AU78" s="184"/>
      <c r="AV78" s="184"/>
      <c r="AW78" s="184"/>
      <c r="AX78" s="184"/>
      <c r="AY78" s="184"/>
      <c r="AZ78" s="184"/>
      <c r="BA78" s="184"/>
      <c r="BB78" s="184"/>
      <c r="BC78" s="184"/>
      <c r="BD78" s="184"/>
      <c r="BE78" s="184"/>
      <c r="BF78" s="184"/>
      <c r="BG78" s="184"/>
      <c r="BH78" s="184"/>
      <c r="BI78" s="184"/>
      <c r="BJ78" s="184"/>
      <c r="BK78" s="184"/>
      <c r="BL78" s="184"/>
      <c r="BM78" s="184"/>
      <c r="BN78" s="184"/>
      <c r="BO78" s="184"/>
      <c r="BP78" s="184"/>
      <c r="BQ78" s="184"/>
      <c r="BR78" s="184"/>
      <c r="BS78" s="184"/>
      <c r="BT78" s="184"/>
      <c r="BU78" s="184"/>
      <c r="BV78" s="184"/>
      <c r="BW78" s="184"/>
      <c r="BX78" s="184"/>
      <c r="BY78" s="184"/>
      <c r="BZ78" s="184"/>
      <c r="CA78" s="184"/>
      <c r="CB78" s="184"/>
      <c r="CC78" s="184"/>
      <c r="CD78" s="184"/>
      <c r="CE78" s="184"/>
      <c r="CF78" s="184"/>
      <c r="CG78" s="184"/>
      <c r="CH78" s="184"/>
      <c r="CI78" s="184"/>
      <c r="CJ78" s="184"/>
      <c r="CK78" s="184"/>
      <c r="CL78" s="184"/>
      <c r="CM78" s="184"/>
      <c r="CN78" s="184"/>
      <c r="CO78" s="184"/>
      <c r="CP78" s="184"/>
      <c r="CQ78" s="184"/>
      <c r="CR78" s="184"/>
      <c r="CS78" s="184"/>
      <c r="CT78" s="184"/>
      <c r="CU78" s="184"/>
      <c r="CV78" s="184"/>
      <c r="CW78" s="184"/>
      <c r="CX78" s="184"/>
      <c r="CY78" s="184"/>
      <c r="CZ78" s="184"/>
      <c r="DA78" s="184"/>
      <c r="DB78" s="184"/>
      <c r="DC78" s="184"/>
      <c r="DD78" s="184"/>
      <c r="DE78" s="184"/>
      <c r="DF78" s="184"/>
      <c r="DG78" s="184"/>
      <c r="DH78" s="184"/>
      <c r="DI78" s="184"/>
      <c r="DJ78" s="184"/>
      <c r="DK78" s="184"/>
      <c r="DL78" s="184"/>
      <c r="DM78" s="184"/>
      <c r="DN78" s="184"/>
      <c r="DO78" s="184"/>
      <c r="DP78" s="184"/>
      <c r="DQ78" s="184"/>
      <c r="DR78" s="184"/>
      <c r="DS78" s="184"/>
      <c r="DT78" s="184"/>
      <c r="DU78" s="184"/>
      <c r="DV78" s="184"/>
      <c r="DW78" s="184"/>
      <c r="DX78" s="184"/>
      <c r="DY78" s="184"/>
      <c r="DZ78" s="184"/>
      <c r="EA78" s="184"/>
      <c r="EB78" s="184"/>
      <c r="EC78" s="184"/>
      <c r="ED78" s="184"/>
      <c r="EE78" s="184"/>
      <c r="EF78" s="184"/>
      <c r="EG78" s="184"/>
      <c r="EH78" s="184"/>
      <c r="EI78" s="184"/>
      <c r="EJ78" s="184"/>
      <c r="EK78" s="184"/>
      <c r="EL78" s="184"/>
      <c r="EM78" s="184"/>
      <c r="EN78" s="184"/>
      <c r="EO78" s="184"/>
      <c r="EP78" s="184"/>
      <c r="EQ78" s="184"/>
      <c r="ER78" s="184"/>
      <c r="ES78" s="184"/>
      <c r="ET78" s="184"/>
      <c r="EU78" s="184"/>
      <c r="EV78" s="184"/>
      <c r="EW78" s="184"/>
      <c r="EX78" s="184"/>
      <c r="EY78" s="184"/>
      <c r="EZ78" s="184"/>
      <c r="FA78" s="184"/>
      <c r="FB78" s="184"/>
      <c r="FC78" s="184"/>
      <c r="FD78" s="184"/>
      <c r="FE78" s="184"/>
      <c r="FF78" s="184"/>
      <c r="FG78" s="184"/>
      <c r="FH78" s="184"/>
      <c r="FI78" s="184"/>
      <c r="FJ78" s="184"/>
      <c r="FK78" s="184"/>
      <c r="FL78" s="184"/>
      <c r="FM78" s="184"/>
      <c r="FN78" s="184"/>
      <c r="FO78" s="184"/>
      <c r="FP78" s="184"/>
      <c r="FQ78" s="184"/>
      <c r="FR78" s="184"/>
      <c r="FS78" s="184"/>
      <c r="FT78" s="184"/>
      <c r="FU78" s="184"/>
      <c r="FV78" s="184"/>
      <c r="FW78" s="184"/>
      <c r="FX78" s="184"/>
      <c r="FY78" s="184"/>
      <c r="FZ78" s="184"/>
      <c r="GA78" s="184"/>
      <c r="GB78" s="184"/>
      <c r="GC78" s="184"/>
      <c r="GD78" s="184"/>
      <c r="GE78" s="184"/>
      <c r="GF78" s="184"/>
      <c r="GG78" s="184"/>
      <c r="GH78" s="184"/>
      <c r="GI78" s="184"/>
    </row>
    <row r="79" spans="1:191" s="186" customFormat="1" ht="15" customHeight="1">
      <c r="D79" s="184" t="s">
        <v>1045</v>
      </c>
      <c r="E79" s="269">
        <v>77846.36</v>
      </c>
      <c r="F79" s="228">
        <f t="shared" si="6"/>
        <v>5.4448075610196928E-3</v>
      </c>
      <c r="G79" s="222"/>
      <c r="H79" s="222">
        <v>103591.35033295295</v>
      </c>
      <c r="I79" s="223"/>
      <c r="J79" s="224"/>
      <c r="K79" s="221"/>
      <c r="L79" s="221"/>
      <c r="M79" s="221"/>
      <c r="N79" s="224"/>
      <c r="O79" s="225"/>
      <c r="P79" s="225"/>
      <c r="Q79" s="226"/>
      <c r="R79" s="226"/>
      <c r="S79" s="226"/>
      <c r="T79" s="224"/>
      <c r="U79" s="257">
        <f t="shared" si="7"/>
        <v>103591.35040648478</v>
      </c>
      <c r="V79" s="262">
        <f>+U79</f>
        <v>103591.35040648478</v>
      </c>
      <c r="AB79" s="184"/>
      <c r="AC79" s="184"/>
      <c r="AD79" s="184"/>
      <c r="AE79" s="184"/>
      <c r="AF79" s="184"/>
      <c r="AG79" s="184"/>
      <c r="AH79" s="280"/>
      <c r="AI79" s="184"/>
      <c r="AJ79" s="221"/>
      <c r="AK79" s="227"/>
      <c r="AL79" s="184"/>
      <c r="AM79" s="184"/>
      <c r="AN79" s="184"/>
      <c r="AO79" s="184"/>
      <c r="AP79" s="184"/>
      <c r="AQ79" s="184"/>
      <c r="AR79" s="184"/>
      <c r="AS79" s="184"/>
      <c r="AT79" s="184"/>
      <c r="AU79" s="184"/>
      <c r="AV79" s="184"/>
      <c r="AW79" s="184"/>
      <c r="AX79" s="184"/>
      <c r="AY79" s="184"/>
      <c r="AZ79" s="184"/>
      <c r="BA79" s="184"/>
      <c r="BB79" s="184"/>
      <c r="BC79" s="184"/>
      <c r="BD79" s="184"/>
      <c r="BE79" s="184"/>
      <c r="BF79" s="184"/>
      <c r="BG79" s="184"/>
      <c r="BH79" s="184"/>
      <c r="BI79" s="184"/>
      <c r="BJ79" s="184"/>
      <c r="BK79" s="184"/>
      <c r="BL79" s="184"/>
      <c r="BM79" s="184"/>
      <c r="BN79" s="184"/>
      <c r="BO79" s="184"/>
      <c r="BP79" s="184"/>
      <c r="BQ79" s="184"/>
      <c r="BR79" s="184"/>
      <c r="BS79" s="184"/>
      <c r="BT79" s="184"/>
      <c r="BU79" s="184"/>
      <c r="BV79" s="184"/>
      <c r="BW79" s="184"/>
      <c r="BX79" s="184"/>
      <c r="BY79" s="184"/>
      <c r="BZ79" s="184"/>
      <c r="CA79" s="184"/>
      <c r="CB79" s="184"/>
      <c r="CC79" s="184"/>
      <c r="CD79" s="184"/>
      <c r="CE79" s="184"/>
      <c r="CF79" s="184"/>
      <c r="CG79" s="184"/>
      <c r="CH79" s="184"/>
      <c r="CI79" s="184"/>
      <c r="CJ79" s="184"/>
      <c r="CK79" s="184"/>
      <c r="CL79" s="184"/>
      <c r="CM79" s="184"/>
      <c r="CN79" s="184"/>
      <c r="CO79" s="184"/>
      <c r="CP79" s="184"/>
      <c r="CQ79" s="184"/>
      <c r="CR79" s="184"/>
      <c r="CS79" s="184"/>
      <c r="CT79" s="184"/>
      <c r="CU79" s="184"/>
      <c r="CV79" s="184"/>
      <c r="CW79" s="184"/>
      <c r="CX79" s="184"/>
      <c r="CY79" s="184"/>
      <c r="CZ79" s="184"/>
      <c r="DA79" s="184"/>
      <c r="DB79" s="184"/>
      <c r="DC79" s="184"/>
      <c r="DD79" s="184"/>
      <c r="DE79" s="184"/>
      <c r="DF79" s="184"/>
      <c r="DG79" s="184"/>
      <c r="DH79" s="184"/>
      <c r="DI79" s="184"/>
      <c r="DJ79" s="184"/>
      <c r="DK79" s="184"/>
      <c r="DL79" s="184"/>
      <c r="DM79" s="184"/>
      <c r="DN79" s="184"/>
      <c r="DO79" s="184"/>
      <c r="DP79" s="184"/>
      <c r="DQ79" s="184"/>
      <c r="DR79" s="184"/>
      <c r="DS79" s="184"/>
      <c r="DT79" s="184"/>
      <c r="DU79" s="184"/>
      <c r="DV79" s="184"/>
      <c r="DW79" s="184"/>
      <c r="DX79" s="184"/>
      <c r="DY79" s="184"/>
      <c r="DZ79" s="184"/>
      <c r="EA79" s="184"/>
      <c r="EB79" s="184"/>
      <c r="EC79" s="184"/>
      <c r="ED79" s="184"/>
      <c r="EE79" s="184"/>
      <c r="EF79" s="184"/>
      <c r="EG79" s="184"/>
      <c r="EH79" s="184"/>
      <c r="EI79" s="184"/>
      <c r="EJ79" s="184"/>
      <c r="EK79" s="184"/>
      <c r="EL79" s="184"/>
      <c r="EM79" s="184"/>
      <c r="EN79" s="184"/>
      <c r="EO79" s="184"/>
      <c r="EP79" s="184"/>
      <c r="EQ79" s="184"/>
      <c r="ER79" s="184"/>
      <c r="ES79" s="184"/>
      <c r="ET79" s="184"/>
      <c r="EU79" s="184"/>
      <c r="EV79" s="184"/>
      <c r="EW79" s="184"/>
      <c r="EX79" s="184"/>
      <c r="EY79" s="184"/>
      <c r="EZ79" s="184"/>
      <c r="FA79" s="184"/>
      <c r="FB79" s="184"/>
      <c r="FC79" s="184"/>
      <c r="FD79" s="184"/>
      <c r="FE79" s="184"/>
      <c r="FF79" s="184"/>
      <c r="FG79" s="184"/>
      <c r="FH79" s="184"/>
      <c r="FI79" s="184"/>
      <c r="FJ79" s="184"/>
      <c r="FK79" s="184"/>
      <c r="FL79" s="184"/>
      <c r="FM79" s="184"/>
      <c r="FN79" s="184"/>
      <c r="FO79" s="184"/>
      <c r="FP79" s="184"/>
      <c r="FQ79" s="184"/>
      <c r="FR79" s="184"/>
      <c r="FS79" s="184"/>
      <c r="FT79" s="184"/>
      <c r="FU79" s="184"/>
      <c r="FV79" s="184"/>
      <c r="FW79" s="184"/>
      <c r="FX79" s="184"/>
      <c r="FY79" s="184"/>
      <c r="FZ79" s="184"/>
      <c r="GA79" s="184"/>
      <c r="GB79" s="184"/>
      <c r="GC79" s="184"/>
      <c r="GD79" s="184"/>
      <c r="GE79" s="184"/>
      <c r="GF79" s="184"/>
      <c r="GG79" s="184"/>
      <c r="GH79" s="184"/>
      <c r="GI79" s="184"/>
    </row>
    <row r="80" spans="1:191" s="186" customFormat="1" ht="15" customHeight="1">
      <c r="D80" s="184" t="s">
        <v>1046</v>
      </c>
      <c r="E80" s="269">
        <v>43831.23</v>
      </c>
      <c r="F80" s="228">
        <f t="shared" si="6"/>
        <v>3.0656874966638542E-3</v>
      </c>
      <c r="G80" s="222"/>
      <c r="H80" s="222">
        <v>58326.892901019877</v>
      </c>
      <c r="I80" s="223"/>
      <c r="J80" s="224"/>
      <c r="K80" s="221"/>
      <c r="L80" s="221"/>
      <c r="M80" s="221"/>
      <c r="N80" s="224"/>
      <c r="O80" s="225"/>
      <c r="P80" s="225"/>
      <c r="Q80" s="226"/>
      <c r="R80" s="226"/>
      <c r="S80" s="226"/>
      <c r="T80" s="224"/>
      <c r="U80" s="257">
        <f t="shared" si="7"/>
        <v>58326.892942421815</v>
      </c>
      <c r="V80" s="262">
        <f>+U80</f>
        <v>58326.892942421815</v>
      </c>
      <c r="AB80" s="184"/>
      <c r="AC80" s="184"/>
      <c r="AD80" s="184"/>
      <c r="AE80" s="184"/>
      <c r="AF80" s="184"/>
      <c r="AG80" s="184"/>
      <c r="AH80" s="280"/>
      <c r="AI80" s="184"/>
      <c r="AJ80" s="221"/>
      <c r="AK80" s="227"/>
      <c r="AL80" s="184"/>
      <c r="AM80" s="184"/>
      <c r="AN80" s="184"/>
      <c r="AO80" s="184"/>
      <c r="AP80" s="184"/>
      <c r="AQ80" s="184"/>
      <c r="AR80" s="184"/>
      <c r="AS80" s="184"/>
      <c r="AT80" s="184"/>
      <c r="AU80" s="184"/>
      <c r="AV80" s="184"/>
      <c r="AW80" s="184"/>
      <c r="AX80" s="184"/>
      <c r="AY80" s="184"/>
      <c r="AZ80" s="184"/>
      <c r="BA80" s="184"/>
      <c r="BB80" s="184"/>
      <c r="BC80" s="184"/>
      <c r="BD80" s="184"/>
      <c r="BE80" s="184"/>
      <c r="BF80" s="184"/>
      <c r="BG80" s="184"/>
      <c r="BH80" s="184"/>
      <c r="BI80" s="184"/>
      <c r="BJ80" s="184"/>
      <c r="BK80" s="184"/>
      <c r="BL80" s="184"/>
      <c r="BM80" s="184"/>
      <c r="BN80" s="184"/>
      <c r="BO80" s="184"/>
      <c r="BP80" s="184"/>
      <c r="BQ80" s="184"/>
      <c r="BR80" s="184"/>
      <c r="BS80" s="184"/>
      <c r="BT80" s="184"/>
      <c r="BU80" s="184"/>
      <c r="BV80" s="184"/>
      <c r="BW80" s="184"/>
      <c r="BX80" s="184"/>
      <c r="BY80" s="184"/>
      <c r="BZ80" s="184"/>
      <c r="CA80" s="184"/>
      <c r="CB80" s="184"/>
      <c r="CC80" s="184"/>
      <c r="CD80" s="184"/>
      <c r="CE80" s="184"/>
      <c r="CF80" s="184"/>
      <c r="CG80" s="184"/>
      <c r="CH80" s="184"/>
      <c r="CI80" s="184"/>
      <c r="CJ80" s="184"/>
      <c r="CK80" s="184"/>
      <c r="CL80" s="184"/>
      <c r="CM80" s="184"/>
      <c r="CN80" s="184"/>
      <c r="CO80" s="184"/>
      <c r="CP80" s="184"/>
      <c r="CQ80" s="184"/>
      <c r="CR80" s="184"/>
      <c r="CS80" s="184"/>
      <c r="CT80" s="184"/>
      <c r="CU80" s="184"/>
      <c r="CV80" s="184"/>
      <c r="CW80" s="184"/>
      <c r="CX80" s="184"/>
      <c r="CY80" s="184"/>
      <c r="CZ80" s="184"/>
      <c r="DA80" s="184"/>
      <c r="DB80" s="184"/>
      <c r="DC80" s="184"/>
      <c r="DD80" s="184"/>
      <c r="DE80" s="184"/>
      <c r="DF80" s="184"/>
      <c r="DG80" s="184"/>
      <c r="DH80" s="184"/>
      <c r="DI80" s="184"/>
      <c r="DJ80" s="184"/>
      <c r="DK80" s="184"/>
      <c r="DL80" s="184"/>
      <c r="DM80" s="184"/>
      <c r="DN80" s="184"/>
      <c r="DO80" s="184"/>
      <c r="DP80" s="184"/>
      <c r="DQ80" s="184"/>
      <c r="DR80" s="184"/>
      <c r="DS80" s="184"/>
      <c r="DT80" s="184"/>
      <c r="DU80" s="184"/>
      <c r="DV80" s="184"/>
      <c r="DW80" s="184"/>
      <c r="DX80" s="184"/>
      <c r="DY80" s="184"/>
      <c r="DZ80" s="184"/>
      <c r="EA80" s="184"/>
      <c r="EB80" s="184"/>
      <c r="EC80" s="184"/>
      <c r="ED80" s="184"/>
      <c r="EE80" s="184"/>
      <c r="EF80" s="184"/>
      <c r="EG80" s="184"/>
      <c r="EH80" s="184"/>
      <c r="EI80" s="184"/>
      <c r="EJ80" s="184"/>
      <c r="EK80" s="184"/>
      <c r="EL80" s="184"/>
      <c r="EM80" s="184"/>
      <c r="EN80" s="184"/>
      <c r="EO80" s="184"/>
      <c r="EP80" s="184"/>
      <c r="EQ80" s="184"/>
      <c r="ER80" s="184"/>
      <c r="ES80" s="184"/>
      <c r="ET80" s="184"/>
      <c r="EU80" s="184"/>
      <c r="EV80" s="184"/>
      <c r="EW80" s="184"/>
      <c r="EX80" s="184"/>
      <c r="EY80" s="184"/>
      <c r="EZ80" s="184"/>
      <c r="FA80" s="184"/>
      <c r="FB80" s="184"/>
      <c r="FC80" s="184"/>
      <c r="FD80" s="184"/>
      <c r="FE80" s="184"/>
      <c r="FF80" s="184"/>
      <c r="FG80" s="184"/>
      <c r="FH80" s="184"/>
      <c r="FI80" s="184"/>
      <c r="FJ80" s="184"/>
      <c r="FK80" s="184"/>
      <c r="FL80" s="184"/>
      <c r="FM80" s="184"/>
      <c r="FN80" s="184"/>
      <c r="FO80" s="184"/>
      <c r="FP80" s="184"/>
      <c r="FQ80" s="184"/>
      <c r="FR80" s="184"/>
      <c r="FS80" s="184"/>
      <c r="FT80" s="184"/>
      <c r="FU80" s="184"/>
      <c r="FV80" s="184"/>
      <c r="FW80" s="184"/>
      <c r="FX80" s="184"/>
      <c r="FY80" s="184"/>
      <c r="FZ80" s="184"/>
      <c r="GA80" s="184"/>
      <c r="GB80" s="184"/>
      <c r="GC80" s="184"/>
      <c r="GD80" s="184"/>
      <c r="GE80" s="184"/>
      <c r="GF80" s="184"/>
      <c r="GG80" s="184"/>
      <c r="GH80" s="184"/>
      <c r="GI80" s="184"/>
    </row>
    <row r="81" spans="1:191" s="186" customFormat="1" ht="15" customHeight="1">
      <c r="D81" s="184" t="s">
        <v>1047</v>
      </c>
      <c r="E81" s="269">
        <v>12046.43</v>
      </c>
      <c r="F81" s="228">
        <f t="shared" si="6"/>
        <v>8.4256339213926578E-4</v>
      </c>
      <c r="G81" s="222"/>
      <c r="H81" s="222">
        <v>16030.369954245702</v>
      </c>
      <c r="I81" s="223"/>
      <c r="J81" s="224"/>
      <c r="K81" s="221"/>
      <c r="L81" s="221"/>
      <c r="M81" s="221"/>
      <c r="N81" s="224"/>
      <c r="O81" s="225"/>
      <c r="P81" s="225"/>
      <c r="Q81" s="226"/>
      <c r="R81" s="226"/>
      <c r="S81" s="226"/>
      <c r="T81" s="224"/>
      <c r="U81" s="224">
        <f t="shared" si="7"/>
        <v>16030.369965624473</v>
      </c>
      <c r="V81" s="188"/>
      <c r="AB81" s="184"/>
      <c r="AC81" s="184"/>
      <c r="AD81" s="184"/>
      <c r="AE81" s="184"/>
      <c r="AF81" s="184"/>
      <c r="AG81" s="184"/>
      <c r="AH81" s="280"/>
      <c r="AI81" s="184"/>
      <c r="AJ81" s="221"/>
      <c r="AK81" s="227"/>
      <c r="AL81" s="184"/>
      <c r="AM81" s="184"/>
      <c r="AN81" s="184"/>
      <c r="AO81" s="184"/>
      <c r="AP81" s="184"/>
      <c r="AQ81" s="184"/>
      <c r="AR81" s="184"/>
      <c r="AS81" s="184"/>
      <c r="AT81" s="184"/>
      <c r="AU81" s="184"/>
      <c r="AV81" s="184"/>
      <c r="AW81" s="184"/>
      <c r="AX81" s="184"/>
      <c r="AY81" s="184"/>
      <c r="AZ81" s="184"/>
      <c r="BA81" s="184"/>
      <c r="BB81" s="184"/>
      <c r="BC81" s="184"/>
      <c r="BD81" s="184"/>
      <c r="BE81" s="184"/>
      <c r="BF81" s="184"/>
      <c r="BG81" s="184"/>
      <c r="BH81" s="184"/>
      <c r="BI81" s="184"/>
      <c r="BJ81" s="184"/>
      <c r="BK81" s="184"/>
      <c r="BL81" s="184"/>
      <c r="BM81" s="184"/>
      <c r="BN81" s="184"/>
      <c r="BO81" s="184"/>
      <c r="BP81" s="184"/>
      <c r="BQ81" s="184"/>
      <c r="BR81" s="184"/>
      <c r="BS81" s="184"/>
      <c r="BT81" s="184"/>
      <c r="BU81" s="184"/>
      <c r="BV81" s="184"/>
      <c r="BW81" s="184"/>
      <c r="BX81" s="184"/>
      <c r="BY81" s="184"/>
      <c r="BZ81" s="184"/>
      <c r="CA81" s="184"/>
      <c r="CB81" s="184"/>
      <c r="CC81" s="184"/>
      <c r="CD81" s="184"/>
      <c r="CE81" s="184"/>
      <c r="CF81" s="184"/>
      <c r="CG81" s="184"/>
      <c r="CH81" s="184"/>
      <c r="CI81" s="184"/>
      <c r="CJ81" s="184"/>
      <c r="CK81" s="184"/>
      <c r="CL81" s="184"/>
      <c r="CM81" s="184"/>
      <c r="CN81" s="184"/>
      <c r="CO81" s="184"/>
      <c r="CP81" s="184"/>
      <c r="CQ81" s="184"/>
      <c r="CR81" s="184"/>
      <c r="CS81" s="184"/>
      <c r="CT81" s="184"/>
      <c r="CU81" s="184"/>
      <c r="CV81" s="184"/>
      <c r="CW81" s="184"/>
      <c r="CX81" s="184"/>
      <c r="CY81" s="184"/>
      <c r="CZ81" s="184"/>
      <c r="DA81" s="184"/>
      <c r="DB81" s="184"/>
      <c r="DC81" s="184"/>
      <c r="DD81" s="184"/>
      <c r="DE81" s="184"/>
      <c r="DF81" s="184"/>
      <c r="DG81" s="184"/>
      <c r="DH81" s="184"/>
      <c r="DI81" s="184"/>
      <c r="DJ81" s="184"/>
      <c r="DK81" s="184"/>
      <c r="DL81" s="184"/>
      <c r="DM81" s="184"/>
      <c r="DN81" s="184"/>
      <c r="DO81" s="184"/>
      <c r="DP81" s="184"/>
      <c r="DQ81" s="184"/>
      <c r="DR81" s="184"/>
      <c r="DS81" s="184"/>
      <c r="DT81" s="184"/>
      <c r="DU81" s="184"/>
      <c r="DV81" s="184"/>
      <c r="DW81" s="184"/>
      <c r="DX81" s="184"/>
      <c r="DY81" s="184"/>
      <c r="DZ81" s="184"/>
      <c r="EA81" s="184"/>
      <c r="EB81" s="184"/>
      <c r="EC81" s="184"/>
      <c r="ED81" s="184"/>
      <c r="EE81" s="184"/>
      <c r="EF81" s="184"/>
      <c r="EG81" s="184"/>
      <c r="EH81" s="184"/>
      <c r="EI81" s="184"/>
      <c r="EJ81" s="184"/>
      <c r="EK81" s="184"/>
      <c r="EL81" s="184"/>
      <c r="EM81" s="184"/>
      <c r="EN81" s="184"/>
      <c r="EO81" s="184"/>
      <c r="EP81" s="184"/>
      <c r="EQ81" s="184"/>
      <c r="ER81" s="184"/>
      <c r="ES81" s="184"/>
      <c r="ET81" s="184"/>
      <c r="EU81" s="184"/>
      <c r="EV81" s="184"/>
      <c r="EW81" s="184"/>
      <c r="EX81" s="184"/>
      <c r="EY81" s="184"/>
      <c r="EZ81" s="184"/>
      <c r="FA81" s="184"/>
      <c r="FB81" s="184"/>
      <c r="FC81" s="184"/>
      <c r="FD81" s="184"/>
      <c r="FE81" s="184"/>
      <c r="FF81" s="184"/>
      <c r="FG81" s="184"/>
      <c r="FH81" s="184"/>
      <c r="FI81" s="184"/>
      <c r="FJ81" s="184"/>
      <c r="FK81" s="184"/>
      <c r="FL81" s="184"/>
      <c r="FM81" s="184"/>
      <c r="FN81" s="184"/>
      <c r="FO81" s="184"/>
      <c r="FP81" s="184"/>
      <c r="FQ81" s="184"/>
      <c r="FR81" s="184"/>
      <c r="FS81" s="184"/>
      <c r="FT81" s="184"/>
      <c r="FU81" s="184"/>
      <c r="FV81" s="184"/>
      <c r="FW81" s="184"/>
      <c r="FX81" s="184"/>
      <c r="FY81" s="184"/>
      <c r="FZ81" s="184"/>
      <c r="GA81" s="184"/>
      <c r="GB81" s="184"/>
      <c r="GC81" s="184"/>
      <c r="GD81" s="184"/>
      <c r="GE81" s="184"/>
      <c r="GF81" s="184"/>
      <c r="GG81" s="184"/>
      <c r="GH81" s="184"/>
      <c r="GI81" s="184"/>
    </row>
    <row r="82" spans="1:191" s="186" customFormat="1" ht="15" customHeight="1">
      <c r="D82" s="184" t="s">
        <v>1048</v>
      </c>
      <c r="E82" s="221">
        <v>1782325.3599999999</v>
      </c>
      <c r="F82" s="228">
        <f t="shared" si="6"/>
        <v>0.12466117357735346</v>
      </c>
      <c r="G82" s="222"/>
      <c r="H82" s="222">
        <v>2371767.8100179182</v>
      </c>
      <c r="I82" s="223"/>
      <c r="J82" s="224"/>
      <c r="K82" s="221"/>
      <c r="L82" s="221"/>
      <c r="M82" s="221"/>
      <c r="N82" s="224"/>
      <c r="O82" s="225"/>
      <c r="P82" s="225"/>
      <c r="Q82" s="226"/>
      <c r="R82" s="226"/>
      <c r="S82" s="226"/>
      <c r="T82" s="224"/>
      <c r="U82" s="224">
        <f t="shared" si="7"/>
        <v>2371767.8117014607</v>
      </c>
      <c r="V82" s="188"/>
      <c r="AB82" s="184"/>
      <c r="AC82" s="184"/>
      <c r="AD82" s="184"/>
      <c r="AE82" s="184"/>
      <c r="AF82" s="184"/>
      <c r="AG82" s="184"/>
      <c r="AH82" s="280"/>
      <c r="AI82" s="184"/>
      <c r="AJ82" s="221"/>
      <c r="AK82" s="227"/>
      <c r="AL82" s="184"/>
      <c r="AM82" s="184"/>
      <c r="AN82" s="184"/>
      <c r="AO82" s="184"/>
      <c r="AP82" s="184"/>
      <c r="AQ82" s="184"/>
      <c r="AR82" s="184"/>
      <c r="AS82" s="184"/>
      <c r="AT82" s="184"/>
      <c r="AU82" s="184"/>
      <c r="AV82" s="184"/>
      <c r="AW82" s="184"/>
      <c r="AX82" s="184"/>
      <c r="AY82" s="184"/>
      <c r="AZ82" s="184"/>
      <c r="BA82" s="184"/>
      <c r="BB82" s="184"/>
      <c r="BC82" s="184"/>
      <c r="BD82" s="184"/>
      <c r="BE82" s="184"/>
      <c r="BF82" s="184"/>
      <c r="BG82" s="184"/>
      <c r="BH82" s="184"/>
      <c r="BI82" s="184"/>
      <c r="BJ82" s="184"/>
      <c r="BK82" s="184"/>
      <c r="BL82" s="184"/>
      <c r="BM82" s="184"/>
      <c r="BN82" s="184"/>
      <c r="BO82" s="184"/>
      <c r="BP82" s="184"/>
      <c r="BQ82" s="184"/>
      <c r="BR82" s="184"/>
      <c r="BS82" s="184"/>
      <c r="BT82" s="184"/>
      <c r="BU82" s="184"/>
      <c r="BV82" s="184"/>
      <c r="BW82" s="184"/>
      <c r="BX82" s="184"/>
      <c r="BY82" s="184"/>
      <c r="BZ82" s="184"/>
      <c r="CA82" s="184"/>
      <c r="CB82" s="184"/>
      <c r="CC82" s="184"/>
      <c r="CD82" s="184"/>
      <c r="CE82" s="184"/>
      <c r="CF82" s="184"/>
      <c r="CG82" s="184"/>
      <c r="CH82" s="184"/>
      <c r="CI82" s="184"/>
      <c r="CJ82" s="184"/>
      <c r="CK82" s="184"/>
      <c r="CL82" s="184"/>
      <c r="CM82" s="184"/>
      <c r="CN82" s="184"/>
      <c r="CO82" s="184"/>
      <c r="CP82" s="184"/>
      <c r="CQ82" s="184"/>
      <c r="CR82" s="184"/>
      <c r="CS82" s="184"/>
      <c r="CT82" s="184"/>
      <c r="CU82" s="184"/>
      <c r="CV82" s="184"/>
      <c r="CW82" s="184"/>
      <c r="CX82" s="184"/>
      <c r="CY82" s="184"/>
      <c r="CZ82" s="184"/>
      <c r="DA82" s="184"/>
      <c r="DB82" s="184"/>
      <c r="DC82" s="184"/>
      <c r="DD82" s="184"/>
      <c r="DE82" s="184"/>
      <c r="DF82" s="184"/>
      <c r="DG82" s="184"/>
      <c r="DH82" s="184"/>
      <c r="DI82" s="184"/>
      <c r="DJ82" s="184"/>
      <c r="DK82" s="184"/>
      <c r="DL82" s="184"/>
      <c r="DM82" s="184"/>
      <c r="DN82" s="184"/>
      <c r="DO82" s="184"/>
      <c r="DP82" s="184"/>
      <c r="DQ82" s="184"/>
      <c r="DR82" s="184"/>
      <c r="DS82" s="184"/>
      <c r="DT82" s="184"/>
      <c r="DU82" s="184"/>
      <c r="DV82" s="184"/>
      <c r="DW82" s="184"/>
      <c r="DX82" s="184"/>
      <c r="DY82" s="184"/>
      <c r="DZ82" s="184"/>
      <c r="EA82" s="184"/>
      <c r="EB82" s="184"/>
      <c r="EC82" s="184"/>
      <c r="ED82" s="184"/>
      <c r="EE82" s="184"/>
      <c r="EF82" s="184"/>
      <c r="EG82" s="184"/>
      <c r="EH82" s="184"/>
      <c r="EI82" s="184"/>
      <c r="EJ82" s="184"/>
      <c r="EK82" s="184"/>
      <c r="EL82" s="184"/>
      <c r="EM82" s="184"/>
      <c r="EN82" s="184"/>
      <c r="EO82" s="184"/>
      <c r="EP82" s="184"/>
      <c r="EQ82" s="184"/>
      <c r="ER82" s="184"/>
      <c r="ES82" s="184"/>
      <c r="ET82" s="184"/>
      <c r="EU82" s="184"/>
      <c r="EV82" s="184"/>
      <c r="EW82" s="184"/>
      <c r="EX82" s="184"/>
      <c r="EY82" s="184"/>
      <c r="EZ82" s="184"/>
      <c r="FA82" s="184"/>
      <c r="FB82" s="184"/>
      <c r="FC82" s="184"/>
      <c r="FD82" s="184"/>
      <c r="FE82" s="184"/>
      <c r="FF82" s="184"/>
      <c r="FG82" s="184"/>
      <c r="FH82" s="184"/>
      <c r="FI82" s="184"/>
      <c r="FJ82" s="184"/>
      <c r="FK82" s="184"/>
      <c r="FL82" s="184"/>
      <c r="FM82" s="184"/>
      <c r="FN82" s="184"/>
      <c r="FO82" s="184"/>
      <c r="FP82" s="184"/>
      <c r="FQ82" s="184"/>
      <c r="FR82" s="184"/>
      <c r="FS82" s="184"/>
      <c r="FT82" s="184"/>
      <c r="FU82" s="184"/>
      <c r="FV82" s="184"/>
      <c r="FW82" s="184"/>
      <c r="FX82" s="184"/>
      <c r="FY82" s="184"/>
      <c r="FZ82" s="184"/>
      <c r="GA82" s="184"/>
      <c r="GB82" s="184"/>
      <c r="GC82" s="184"/>
      <c r="GD82" s="184"/>
      <c r="GE82" s="184"/>
      <c r="GF82" s="184"/>
      <c r="GG82" s="184"/>
      <c r="GH82" s="184"/>
      <c r="GI82" s="184"/>
    </row>
    <row r="83" spans="1:191" s="186" customFormat="1" ht="15" customHeight="1">
      <c r="D83" s="184"/>
      <c r="E83" s="221"/>
      <c r="F83" s="228"/>
      <c r="G83" s="222"/>
      <c r="H83" s="222"/>
      <c r="I83" s="223"/>
      <c r="J83" s="224"/>
      <c r="K83" s="221"/>
      <c r="L83" s="221"/>
      <c r="M83" s="221"/>
      <c r="N83" s="224"/>
      <c r="O83" s="225"/>
      <c r="P83" s="225"/>
      <c r="Q83" s="226"/>
      <c r="R83" s="226"/>
      <c r="S83" s="226"/>
      <c r="T83" s="224"/>
      <c r="U83" s="224"/>
      <c r="V83" s="188"/>
      <c r="AB83" s="184"/>
      <c r="AC83" s="184"/>
      <c r="AD83" s="184"/>
      <c r="AE83" s="184"/>
      <c r="AF83" s="184"/>
      <c r="AG83" s="184"/>
      <c r="AH83" s="280"/>
      <c r="AI83" s="184"/>
      <c r="AJ83" s="221"/>
      <c r="AK83" s="227"/>
      <c r="AL83" s="184"/>
      <c r="AM83" s="184"/>
      <c r="AN83" s="184"/>
      <c r="AO83" s="184"/>
      <c r="AP83" s="184"/>
      <c r="AQ83" s="184"/>
      <c r="AR83" s="184"/>
      <c r="AS83" s="184"/>
      <c r="AT83" s="184"/>
      <c r="AU83" s="184"/>
      <c r="AV83" s="184"/>
      <c r="AW83" s="184"/>
      <c r="AX83" s="184"/>
      <c r="AY83" s="184"/>
      <c r="AZ83" s="184"/>
      <c r="BA83" s="184"/>
      <c r="BB83" s="184"/>
      <c r="BC83" s="184"/>
      <c r="BD83" s="184"/>
      <c r="BE83" s="184"/>
      <c r="BF83" s="184"/>
      <c r="BG83" s="184"/>
      <c r="BH83" s="184"/>
      <c r="BI83" s="184"/>
      <c r="BJ83" s="184"/>
      <c r="BK83" s="184"/>
      <c r="BL83" s="184"/>
      <c r="BM83" s="184"/>
      <c r="BN83" s="184"/>
      <c r="BO83" s="184"/>
      <c r="BP83" s="184"/>
      <c r="BQ83" s="184"/>
      <c r="BR83" s="184"/>
      <c r="BS83" s="184"/>
      <c r="BT83" s="184"/>
      <c r="BU83" s="184"/>
      <c r="BV83" s="184"/>
      <c r="BW83" s="184"/>
      <c r="BX83" s="184"/>
      <c r="BY83" s="184"/>
      <c r="BZ83" s="184"/>
      <c r="CA83" s="184"/>
      <c r="CB83" s="184"/>
      <c r="CC83" s="184"/>
      <c r="CD83" s="184"/>
      <c r="CE83" s="184"/>
      <c r="CF83" s="184"/>
      <c r="CG83" s="184"/>
      <c r="CH83" s="184"/>
      <c r="CI83" s="184"/>
      <c r="CJ83" s="184"/>
      <c r="CK83" s="184"/>
      <c r="CL83" s="184"/>
      <c r="CM83" s="184"/>
      <c r="CN83" s="184"/>
      <c r="CO83" s="184"/>
      <c r="CP83" s="184"/>
      <c r="CQ83" s="184"/>
      <c r="CR83" s="184"/>
      <c r="CS83" s="184"/>
      <c r="CT83" s="184"/>
      <c r="CU83" s="184"/>
      <c r="CV83" s="184"/>
      <c r="CW83" s="184"/>
      <c r="CX83" s="184"/>
      <c r="CY83" s="184"/>
      <c r="CZ83" s="184"/>
      <c r="DA83" s="184"/>
      <c r="DB83" s="184"/>
      <c r="DC83" s="184"/>
      <c r="DD83" s="184"/>
      <c r="DE83" s="184"/>
      <c r="DF83" s="184"/>
      <c r="DG83" s="184"/>
      <c r="DH83" s="184"/>
      <c r="DI83" s="184"/>
      <c r="DJ83" s="184"/>
      <c r="DK83" s="184"/>
      <c r="DL83" s="184"/>
      <c r="DM83" s="184"/>
      <c r="DN83" s="184"/>
      <c r="DO83" s="184"/>
      <c r="DP83" s="184"/>
      <c r="DQ83" s="184"/>
      <c r="DR83" s="184"/>
      <c r="DS83" s="184"/>
      <c r="DT83" s="184"/>
      <c r="DU83" s="184"/>
      <c r="DV83" s="184"/>
      <c r="DW83" s="184"/>
      <c r="DX83" s="184"/>
      <c r="DY83" s="184"/>
      <c r="DZ83" s="184"/>
      <c r="EA83" s="184"/>
      <c r="EB83" s="184"/>
      <c r="EC83" s="184"/>
      <c r="ED83" s="184"/>
      <c r="EE83" s="184"/>
      <c r="EF83" s="184"/>
      <c r="EG83" s="184"/>
      <c r="EH83" s="184"/>
      <c r="EI83" s="184"/>
      <c r="EJ83" s="184"/>
      <c r="EK83" s="184"/>
      <c r="EL83" s="184"/>
      <c r="EM83" s="184"/>
      <c r="EN83" s="184"/>
      <c r="EO83" s="184"/>
      <c r="EP83" s="184"/>
      <c r="EQ83" s="184"/>
      <c r="ER83" s="184"/>
      <c r="ES83" s="184"/>
      <c r="ET83" s="184"/>
      <c r="EU83" s="184"/>
      <c r="EV83" s="184"/>
      <c r="EW83" s="184"/>
      <c r="EX83" s="184"/>
      <c r="EY83" s="184"/>
      <c r="EZ83" s="184"/>
      <c r="FA83" s="184"/>
      <c r="FB83" s="184"/>
      <c r="FC83" s="184"/>
      <c r="FD83" s="184"/>
      <c r="FE83" s="184"/>
      <c r="FF83" s="184"/>
      <c r="FG83" s="184"/>
      <c r="FH83" s="184"/>
      <c r="FI83" s="184"/>
      <c r="FJ83" s="184"/>
      <c r="FK83" s="184"/>
      <c r="FL83" s="184"/>
      <c r="FM83" s="184"/>
      <c r="FN83" s="184"/>
      <c r="FO83" s="184"/>
      <c r="FP83" s="184"/>
      <c r="FQ83" s="184"/>
      <c r="FR83" s="184"/>
      <c r="FS83" s="184"/>
      <c r="FT83" s="184"/>
      <c r="FU83" s="184"/>
      <c r="FV83" s="184"/>
      <c r="FW83" s="184"/>
      <c r="FX83" s="184"/>
      <c r="FY83" s="184"/>
      <c r="FZ83" s="184"/>
      <c r="GA83" s="184"/>
      <c r="GB83" s="184"/>
      <c r="GC83" s="184"/>
      <c r="GD83" s="184"/>
      <c r="GE83" s="184"/>
      <c r="GF83" s="184"/>
      <c r="GG83" s="184"/>
      <c r="GH83" s="184"/>
      <c r="GI83" s="184"/>
    </row>
    <row r="84" spans="1:191" s="186" customFormat="1" ht="15" customHeight="1">
      <c r="D84" s="184" t="s">
        <v>1049</v>
      </c>
      <c r="E84" s="221">
        <f>+U24</f>
        <v>1825598.0020973769</v>
      </c>
      <c r="F84" s="228">
        <f t="shared" si="6"/>
        <v>0.12768779176318895</v>
      </c>
      <c r="G84" s="222"/>
      <c r="H84" s="222">
        <v>2429351.3786018798</v>
      </c>
      <c r="I84" s="223"/>
      <c r="J84" s="224"/>
      <c r="K84" s="221"/>
      <c r="L84" s="221"/>
      <c r="M84" s="221"/>
      <c r="N84" s="224"/>
      <c r="O84" s="225"/>
      <c r="P84" s="225"/>
      <c r="Q84" s="226"/>
      <c r="R84" s="226"/>
      <c r="S84" s="226"/>
      <c r="T84" s="224"/>
      <c r="U84" s="224">
        <f t="shared" si="7"/>
        <v>2429351.3831173079</v>
      </c>
      <c r="V84" s="188"/>
      <c r="AB84" s="184"/>
      <c r="AC84" s="184"/>
      <c r="AD84" s="184"/>
      <c r="AE84" s="184"/>
      <c r="AF84" s="184"/>
      <c r="AG84" s="184"/>
      <c r="AH84" s="280"/>
      <c r="AI84" s="184"/>
      <c r="AJ84" s="221"/>
      <c r="AK84" s="227"/>
      <c r="AL84" s="184"/>
      <c r="AM84" s="184"/>
      <c r="AN84" s="184"/>
      <c r="AO84" s="184"/>
      <c r="AP84" s="184"/>
      <c r="AQ84" s="184"/>
      <c r="AR84" s="184"/>
      <c r="AS84" s="184"/>
      <c r="AT84" s="184"/>
      <c r="AU84" s="184"/>
      <c r="AV84" s="184"/>
      <c r="AW84" s="184"/>
      <c r="AX84" s="184"/>
      <c r="AY84" s="184"/>
      <c r="AZ84" s="184"/>
      <c r="BA84" s="184"/>
      <c r="BB84" s="184"/>
      <c r="BC84" s="184"/>
      <c r="BD84" s="184"/>
      <c r="BE84" s="184"/>
      <c r="BF84" s="184"/>
      <c r="BG84" s="184"/>
      <c r="BH84" s="184"/>
      <c r="BI84" s="184"/>
      <c r="BJ84" s="184"/>
      <c r="BK84" s="184"/>
      <c r="BL84" s="184"/>
      <c r="BM84" s="184"/>
      <c r="BN84" s="184"/>
      <c r="BO84" s="184"/>
      <c r="BP84" s="184"/>
      <c r="BQ84" s="184"/>
      <c r="BR84" s="184"/>
      <c r="BS84" s="184"/>
      <c r="BT84" s="184"/>
      <c r="BU84" s="184"/>
      <c r="BV84" s="184"/>
      <c r="BW84" s="184"/>
      <c r="BX84" s="184"/>
      <c r="BY84" s="184"/>
      <c r="BZ84" s="184"/>
      <c r="CA84" s="184"/>
      <c r="CB84" s="184"/>
      <c r="CC84" s="184"/>
      <c r="CD84" s="184"/>
      <c r="CE84" s="184"/>
      <c r="CF84" s="184"/>
      <c r="CG84" s="184"/>
      <c r="CH84" s="184"/>
      <c r="CI84" s="184"/>
      <c r="CJ84" s="184"/>
      <c r="CK84" s="184"/>
      <c r="CL84" s="184"/>
      <c r="CM84" s="184"/>
      <c r="CN84" s="184"/>
      <c r="CO84" s="184"/>
      <c r="CP84" s="184"/>
      <c r="CQ84" s="184"/>
      <c r="CR84" s="184"/>
      <c r="CS84" s="184"/>
      <c r="CT84" s="184"/>
      <c r="CU84" s="184"/>
      <c r="CV84" s="184"/>
      <c r="CW84" s="184"/>
      <c r="CX84" s="184"/>
      <c r="CY84" s="184"/>
      <c r="CZ84" s="184"/>
      <c r="DA84" s="184"/>
      <c r="DB84" s="184"/>
      <c r="DC84" s="184"/>
      <c r="DD84" s="184"/>
      <c r="DE84" s="184"/>
      <c r="DF84" s="184"/>
      <c r="DG84" s="184"/>
      <c r="DH84" s="184"/>
      <c r="DI84" s="184"/>
      <c r="DJ84" s="184"/>
      <c r="DK84" s="184"/>
      <c r="DL84" s="184"/>
      <c r="DM84" s="184"/>
      <c r="DN84" s="184"/>
      <c r="DO84" s="184"/>
      <c r="DP84" s="184"/>
      <c r="DQ84" s="184"/>
      <c r="DR84" s="184"/>
      <c r="DS84" s="184"/>
      <c r="DT84" s="184"/>
      <c r="DU84" s="184"/>
      <c r="DV84" s="184"/>
      <c r="DW84" s="184"/>
      <c r="DX84" s="184"/>
      <c r="DY84" s="184"/>
      <c r="DZ84" s="184"/>
      <c r="EA84" s="184"/>
      <c r="EB84" s="184"/>
      <c r="EC84" s="184"/>
      <c r="ED84" s="184"/>
      <c r="EE84" s="184"/>
      <c r="EF84" s="184"/>
      <c r="EG84" s="184"/>
      <c r="EH84" s="184"/>
      <c r="EI84" s="184"/>
      <c r="EJ84" s="184"/>
      <c r="EK84" s="184"/>
      <c r="EL84" s="184"/>
      <c r="EM84" s="184"/>
      <c r="EN84" s="184"/>
      <c r="EO84" s="184"/>
      <c r="EP84" s="184"/>
      <c r="EQ84" s="184"/>
      <c r="ER84" s="184"/>
      <c r="ES84" s="184"/>
      <c r="ET84" s="184"/>
      <c r="EU84" s="184"/>
      <c r="EV84" s="184"/>
      <c r="EW84" s="184"/>
      <c r="EX84" s="184"/>
      <c r="EY84" s="184"/>
      <c r="EZ84" s="184"/>
      <c r="FA84" s="184"/>
      <c r="FB84" s="184"/>
      <c r="FC84" s="184"/>
      <c r="FD84" s="184"/>
      <c r="FE84" s="184"/>
      <c r="FF84" s="184"/>
      <c r="FG84" s="184"/>
      <c r="FH84" s="184"/>
      <c r="FI84" s="184"/>
      <c r="FJ84" s="184"/>
      <c r="FK84" s="184"/>
      <c r="FL84" s="184"/>
      <c r="FM84" s="184"/>
      <c r="FN84" s="184"/>
      <c r="FO84" s="184"/>
      <c r="FP84" s="184"/>
      <c r="FQ84" s="184"/>
      <c r="FR84" s="184"/>
      <c r="FS84" s="184"/>
      <c r="FT84" s="184"/>
      <c r="FU84" s="184"/>
      <c r="FV84" s="184"/>
      <c r="FW84" s="184"/>
      <c r="FX84" s="184"/>
      <c r="FY84" s="184"/>
      <c r="FZ84" s="184"/>
      <c r="GA84" s="184"/>
      <c r="GB84" s="184"/>
      <c r="GC84" s="184"/>
      <c r="GD84" s="184"/>
      <c r="GE84" s="184"/>
      <c r="GF84" s="184"/>
      <c r="GG84" s="184"/>
      <c r="GH84" s="184"/>
      <c r="GI84" s="184"/>
    </row>
    <row r="85" spans="1:191" s="186" customFormat="1" ht="15" customHeight="1">
      <c r="D85" s="184"/>
      <c r="E85" s="221"/>
      <c r="F85" s="228"/>
      <c r="G85" s="222"/>
      <c r="H85" s="222"/>
      <c r="I85" s="223"/>
      <c r="J85" s="224"/>
      <c r="K85" s="221"/>
      <c r="L85" s="221"/>
      <c r="M85" s="221"/>
      <c r="N85" s="224"/>
      <c r="O85" s="225"/>
      <c r="P85" s="225"/>
      <c r="Q85" s="226"/>
      <c r="R85" s="226"/>
      <c r="S85" s="226"/>
      <c r="T85" s="224"/>
      <c r="U85" s="224"/>
      <c r="V85" s="188"/>
      <c r="AB85" s="184"/>
      <c r="AC85" s="184"/>
      <c r="AD85" s="184"/>
      <c r="AE85" s="184"/>
      <c r="AF85" s="184"/>
      <c r="AG85" s="184"/>
      <c r="AH85" s="280"/>
      <c r="AI85" s="184"/>
      <c r="AJ85" s="221"/>
      <c r="AK85" s="227"/>
      <c r="AL85" s="184"/>
      <c r="AM85" s="184"/>
      <c r="AN85" s="184"/>
      <c r="AO85" s="184"/>
      <c r="AP85" s="184"/>
      <c r="AQ85" s="184"/>
      <c r="AR85" s="184"/>
      <c r="AS85" s="184"/>
      <c r="AT85" s="184"/>
      <c r="AU85" s="184"/>
      <c r="AV85" s="184"/>
      <c r="AW85" s="184"/>
      <c r="AX85" s="184"/>
      <c r="AY85" s="184"/>
      <c r="AZ85" s="184"/>
      <c r="BA85" s="184"/>
      <c r="BB85" s="184"/>
      <c r="BC85" s="184"/>
      <c r="BD85" s="184"/>
      <c r="BE85" s="184"/>
      <c r="BF85" s="184"/>
      <c r="BG85" s="184"/>
      <c r="BH85" s="184"/>
      <c r="BI85" s="184"/>
      <c r="BJ85" s="184"/>
      <c r="BK85" s="184"/>
      <c r="BL85" s="184"/>
      <c r="BM85" s="184"/>
      <c r="BN85" s="184"/>
      <c r="BO85" s="184"/>
      <c r="BP85" s="184"/>
      <c r="BQ85" s="184"/>
      <c r="BR85" s="184"/>
      <c r="BS85" s="184"/>
      <c r="BT85" s="184"/>
      <c r="BU85" s="184"/>
      <c r="BV85" s="184"/>
      <c r="BW85" s="184"/>
      <c r="BX85" s="184"/>
      <c r="BY85" s="184"/>
      <c r="BZ85" s="184"/>
      <c r="CA85" s="184"/>
      <c r="CB85" s="184"/>
      <c r="CC85" s="184"/>
      <c r="CD85" s="184"/>
      <c r="CE85" s="184"/>
      <c r="CF85" s="184"/>
      <c r="CG85" s="184"/>
      <c r="CH85" s="184"/>
      <c r="CI85" s="184"/>
      <c r="CJ85" s="184"/>
      <c r="CK85" s="184"/>
      <c r="CL85" s="184"/>
      <c r="CM85" s="184"/>
      <c r="CN85" s="184"/>
      <c r="CO85" s="184"/>
      <c r="CP85" s="184"/>
      <c r="CQ85" s="184"/>
      <c r="CR85" s="184"/>
      <c r="CS85" s="184"/>
      <c r="CT85" s="184"/>
      <c r="CU85" s="184"/>
      <c r="CV85" s="184"/>
      <c r="CW85" s="184"/>
      <c r="CX85" s="184"/>
      <c r="CY85" s="184"/>
      <c r="CZ85" s="184"/>
      <c r="DA85" s="184"/>
      <c r="DB85" s="184"/>
      <c r="DC85" s="184"/>
      <c r="DD85" s="184"/>
      <c r="DE85" s="184"/>
      <c r="DF85" s="184"/>
      <c r="DG85" s="184"/>
      <c r="DH85" s="184"/>
      <c r="DI85" s="184"/>
      <c r="DJ85" s="184"/>
      <c r="DK85" s="184"/>
      <c r="DL85" s="184"/>
      <c r="DM85" s="184"/>
      <c r="DN85" s="184"/>
      <c r="DO85" s="184"/>
      <c r="DP85" s="184"/>
      <c r="DQ85" s="184"/>
      <c r="DR85" s="184"/>
      <c r="DS85" s="184"/>
      <c r="DT85" s="184"/>
      <c r="DU85" s="184"/>
      <c r="DV85" s="184"/>
      <c r="DW85" s="184"/>
      <c r="DX85" s="184"/>
      <c r="DY85" s="184"/>
      <c r="DZ85" s="184"/>
      <c r="EA85" s="184"/>
      <c r="EB85" s="184"/>
      <c r="EC85" s="184"/>
      <c r="ED85" s="184"/>
      <c r="EE85" s="184"/>
      <c r="EF85" s="184"/>
      <c r="EG85" s="184"/>
      <c r="EH85" s="184"/>
      <c r="EI85" s="184"/>
      <c r="EJ85" s="184"/>
      <c r="EK85" s="184"/>
      <c r="EL85" s="184"/>
      <c r="EM85" s="184"/>
      <c r="EN85" s="184"/>
      <c r="EO85" s="184"/>
      <c r="EP85" s="184"/>
      <c r="EQ85" s="184"/>
      <c r="ER85" s="184"/>
      <c r="ES85" s="184"/>
      <c r="ET85" s="184"/>
      <c r="EU85" s="184"/>
      <c r="EV85" s="184"/>
      <c r="EW85" s="184"/>
      <c r="EX85" s="184"/>
      <c r="EY85" s="184"/>
      <c r="EZ85" s="184"/>
      <c r="FA85" s="184"/>
      <c r="FB85" s="184"/>
      <c r="FC85" s="184"/>
      <c r="FD85" s="184"/>
      <c r="FE85" s="184"/>
      <c r="FF85" s="184"/>
      <c r="FG85" s="184"/>
      <c r="FH85" s="184"/>
      <c r="FI85" s="184"/>
      <c r="FJ85" s="184"/>
      <c r="FK85" s="184"/>
      <c r="FL85" s="184"/>
      <c r="FM85" s="184"/>
      <c r="FN85" s="184"/>
      <c r="FO85" s="184"/>
      <c r="FP85" s="184"/>
      <c r="FQ85" s="184"/>
      <c r="FR85" s="184"/>
      <c r="FS85" s="184"/>
      <c r="FT85" s="184"/>
      <c r="FU85" s="184"/>
      <c r="FV85" s="184"/>
      <c r="FW85" s="184"/>
      <c r="FX85" s="184"/>
      <c r="FY85" s="184"/>
      <c r="FZ85" s="184"/>
      <c r="GA85" s="184"/>
      <c r="GB85" s="184"/>
      <c r="GC85" s="184"/>
      <c r="GD85" s="184"/>
      <c r="GE85" s="184"/>
      <c r="GF85" s="184"/>
      <c r="GG85" s="184"/>
      <c r="GH85" s="184"/>
      <c r="GI85" s="184"/>
    </row>
    <row r="86" spans="1:191" s="186" customFormat="1" ht="15" customHeight="1">
      <c r="D86" s="184" t="s">
        <v>1050</v>
      </c>
      <c r="E86" s="221"/>
      <c r="F86" s="228"/>
      <c r="G86" s="222"/>
      <c r="H86" s="222"/>
      <c r="I86" s="223"/>
      <c r="J86" s="224"/>
      <c r="K86" s="221"/>
      <c r="L86" s="221"/>
      <c r="M86" s="221"/>
      <c r="N86" s="224"/>
      <c r="O86" s="225"/>
      <c r="P86" s="225"/>
      <c r="Q86" s="226"/>
      <c r="R86" s="226"/>
      <c r="S86" s="226"/>
      <c r="T86" s="224"/>
      <c r="U86" s="224"/>
      <c r="V86" s="188"/>
      <c r="AB86" s="184"/>
      <c r="AC86" s="184"/>
      <c r="AD86" s="184"/>
      <c r="AE86" s="184"/>
      <c r="AF86" s="184"/>
      <c r="AG86" s="184"/>
      <c r="AH86" s="280"/>
      <c r="AI86" s="184"/>
      <c r="AJ86" s="221"/>
      <c r="AK86" s="227"/>
      <c r="AL86" s="184"/>
      <c r="AM86" s="184"/>
      <c r="AN86" s="184"/>
      <c r="AO86" s="184"/>
      <c r="AP86" s="184"/>
      <c r="AQ86" s="184"/>
      <c r="AR86" s="184"/>
      <c r="AS86" s="184"/>
      <c r="AT86" s="184"/>
      <c r="AU86" s="184"/>
      <c r="AV86" s="184"/>
      <c r="AW86" s="184"/>
      <c r="AX86" s="184"/>
      <c r="AY86" s="184"/>
      <c r="AZ86" s="184"/>
      <c r="BA86" s="184"/>
      <c r="BB86" s="184"/>
      <c r="BC86" s="184"/>
      <c r="BD86" s="184"/>
      <c r="BE86" s="184"/>
      <c r="BF86" s="184"/>
      <c r="BG86" s="184"/>
      <c r="BH86" s="184"/>
      <c r="BI86" s="184"/>
      <c r="BJ86" s="184"/>
      <c r="BK86" s="184"/>
      <c r="BL86" s="184"/>
      <c r="BM86" s="184"/>
      <c r="BN86" s="184"/>
      <c r="BO86" s="184"/>
      <c r="BP86" s="184"/>
      <c r="BQ86" s="184"/>
      <c r="BR86" s="184"/>
      <c r="BS86" s="184"/>
      <c r="BT86" s="184"/>
      <c r="BU86" s="184"/>
      <c r="BV86" s="184"/>
      <c r="BW86" s="184"/>
      <c r="BX86" s="184"/>
      <c r="BY86" s="184"/>
      <c r="BZ86" s="184"/>
      <c r="CA86" s="184"/>
      <c r="CB86" s="184"/>
      <c r="CC86" s="184"/>
      <c r="CD86" s="184"/>
      <c r="CE86" s="184"/>
      <c r="CF86" s="184"/>
      <c r="CG86" s="184"/>
      <c r="CH86" s="184"/>
      <c r="CI86" s="184"/>
      <c r="CJ86" s="184"/>
      <c r="CK86" s="184"/>
      <c r="CL86" s="184"/>
      <c r="CM86" s="184"/>
      <c r="CN86" s="184"/>
      <c r="CO86" s="184"/>
      <c r="CP86" s="184"/>
      <c r="CQ86" s="184"/>
      <c r="CR86" s="184"/>
      <c r="CS86" s="184"/>
      <c r="CT86" s="184"/>
      <c r="CU86" s="184"/>
      <c r="CV86" s="184"/>
      <c r="CW86" s="184"/>
      <c r="CX86" s="184"/>
      <c r="CY86" s="184"/>
      <c r="CZ86" s="184"/>
      <c r="DA86" s="184"/>
      <c r="DB86" s="184"/>
      <c r="DC86" s="184"/>
      <c r="DD86" s="184"/>
      <c r="DE86" s="184"/>
      <c r="DF86" s="184"/>
      <c r="DG86" s="184"/>
      <c r="DH86" s="184"/>
      <c r="DI86" s="184"/>
      <c r="DJ86" s="184"/>
      <c r="DK86" s="184"/>
      <c r="DL86" s="184"/>
      <c r="DM86" s="184"/>
      <c r="DN86" s="184"/>
      <c r="DO86" s="184"/>
      <c r="DP86" s="184"/>
      <c r="DQ86" s="184"/>
      <c r="DR86" s="184"/>
      <c r="DS86" s="184"/>
      <c r="DT86" s="184"/>
      <c r="DU86" s="184"/>
      <c r="DV86" s="184"/>
      <c r="DW86" s="184"/>
      <c r="DX86" s="184"/>
      <c r="DY86" s="184"/>
      <c r="DZ86" s="184"/>
      <c r="EA86" s="184"/>
      <c r="EB86" s="184"/>
      <c r="EC86" s="184"/>
      <c r="ED86" s="184"/>
      <c r="EE86" s="184"/>
      <c r="EF86" s="184"/>
      <c r="EG86" s="184"/>
      <c r="EH86" s="184"/>
      <c r="EI86" s="184"/>
      <c r="EJ86" s="184"/>
      <c r="EK86" s="184"/>
      <c r="EL86" s="184"/>
      <c r="EM86" s="184"/>
      <c r="EN86" s="184"/>
      <c r="EO86" s="184"/>
      <c r="EP86" s="184"/>
      <c r="EQ86" s="184"/>
      <c r="ER86" s="184"/>
      <c r="ES86" s="184"/>
      <c r="ET86" s="184"/>
      <c r="EU86" s="184"/>
      <c r="EV86" s="184"/>
      <c r="EW86" s="184"/>
      <c r="EX86" s="184"/>
      <c r="EY86" s="184"/>
      <c r="EZ86" s="184"/>
      <c r="FA86" s="184"/>
      <c r="FB86" s="184"/>
      <c r="FC86" s="184"/>
      <c r="FD86" s="184"/>
      <c r="FE86" s="184"/>
      <c r="FF86" s="184"/>
      <c r="FG86" s="184"/>
      <c r="FH86" s="184"/>
      <c r="FI86" s="184"/>
      <c r="FJ86" s="184"/>
      <c r="FK86" s="184"/>
      <c r="FL86" s="184"/>
      <c r="FM86" s="184"/>
      <c r="FN86" s="184"/>
      <c r="FO86" s="184"/>
      <c r="FP86" s="184"/>
      <c r="FQ86" s="184"/>
      <c r="FR86" s="184"/>
      <c r="FS86" s="184"/>
      <c r="FT86" s="184"/>
      <c r="FU86" s="184"/>
      <c r="FV86" s="184"/>
      <c r="FW86" s="184"/>
      <c r="FX86" s="184"/>
      <c r="FY86" s="184"/>
      <c r="FZ86" s="184"/>
      <c r="GA86" s="184"/>
      <c r="GB86" s="184"/>
      <c r="GC86" s="184"/>
      <c r="GD86" s="184"/>
      <c r="GE86" s="184"/>
      <c r="GF86" s="184"/>
      <c r="GG86" s="184"/>
      <c r="GH86" s="184"/>
      <c r="GI86" s="184"/>
    </row>
    <row r="87" spans="1:191" s="186" customFormat="1" ht="15" customHeight="1">
      <c r="D87" s="184" t="s">
        <v>1051</v>
      </c>
      <c r="E87" s="221">
        <f>+U57</f>
        <v>65356.085081558238</v>
      </c>
      <c r="F87" s="228">
        <f t="shared" si="6"/>
        <v>4.5712003260102926E-3</v>
      </c>
      <c r="G87" s="222"/>
      <c r="H87" s="222">
        <v>86970.355654162922</v>
      </c>
      <c r="I87" s="223"/>
      <c r="J87" s="224"/>
      <c r="K87" s="221"/>
      <c r="L87" s="221"/>
      <c r="M87" s="221"/>
      <c r="N87" s="224"/>
      <c r="O87" s="225"/>
      <c r="P87" s="225"/>
      <c r="Q87" s="226"/>
      <c r="R87" s="226"/>
      <c r="S87" s="226"/>
      <c r="T87" s="224"/>
      <c r="U87" s="224">
        <f t="shared" ref="U87" si="8">+$E$67*F87</f>
        <v>86970.349170850517</v>
      </c>
      <c r="V87" s="188"/>
      <c r="AB87" s="184"/>
      <c r="AC87" s="184"/>
      <c r="AD87" s="184"/>
      <c r="AE87" s="184"/>
      <c r="AF87" s="184"/>
      <c r="AG87" s="184"/>
      <c r="AH87" s="280"/>
      <c r="AI87" s="184"/>
      <c r="AJ87" s="221"/>
      <c r="AK87" s="227"/>
      <c r="AL87" s="184"/>
      <c r="AM87" s="184"/>
      <c r="AN87" s="184"/>
      <c r="AO87" s="184"/>
      <c r="AP87" s="184"/>
      <c r="AQ87" s="184"/>
      <c r="AR87" s="184"/>
      <c r="AS87" s="184"/>
      <c r="AT87" s="184"/>
      <c r="AU87" s="184"/>
      <c r="AV87" s="184"/>
      <c r="AW87" s="184"/>
      <c r="AX87" s="184"/>
      <c r="AY87" s="184"/>
      <c r="AZ87" s="184"/>
      <c r="BA87" s="184"/>
      <c r="BB87" s="184"/>
      <c r="BC87" s="184"/>
      <c r="BD87" s="184"/>
      <c r="BE87" s="184"/>
      <c r="BF87" s="184"/>
      <c r="BG87" s="184"/>
      <c r="BH87" s="184"/>
      <c r="BI87" s="184"/>
      <c r="BJ87" s="184"/>
      <c r="BK87" s="184"/>
      <c r="BL87" s="184"/>
      <c r="BM87" s="184"/>
      <c r="BN87" s="184"/>
      <c r="BO87" s="184"/>
      <c r="BP87" s="184"/>
      <c r="BQ87" s="184"/>
      <c r="BR87" s="184"/>
      <c r="BS87" s="184"/>
      <c r="BT87" s="184"/>
      <c r="BU87" s="184"/>
      <c r="BV87" s="184"/>
      <c r="BW87" s="184"/>
      <c r="BX87" s="184"/>
      <c r="BY87" s="184"/>
      <c r="BZ87" s="184"/>
      <c r="CA87" s="184"/>
      <c r="CB87" s="184"/>
      <c r="CC87" s="184"/>
      <c r="CD87" s="184"/>
      <c r="CE87" s="184"/>
      <c r="CF87" s="184"/>
      <c r="CG87" s="184"/>
      <c r="CH87" s="184"/>
      <c r="CI87" s="184"/>
      <c r="CJ87" s="184"/>
      <c r="CK87" s="184"/>
      <c r="CL87" s="184"/>
      <c r="CM87" s="184"/>
      <c r="CN87" s="184"/>
      <c r="CO87" s="184"/>
      <c r="CP87" s="184"/>
      <c r="CQ87" s="184"/>
      <c r="CR87" s="184"/>
      <c r="CS87" s="184"/>
      <c r="CT87" s="184"/>
      <c r="CU87" s="184"/>
      <c r="CV87" s="184"/>
      <c r="CW87" s="184"/>
      <c r="CX87" s="184"/>
      <c r="CY87" s="184"/>
      <c r="CZ87" s="184"/>
      <c r="DA87" s="184"/>
      <c r="DB87" s="184"/>
      <c r="DC87" s="184"/>
      <c r="DD87" s="184"/>
      <c r="DE87" s="184"/>
      <c r="DF87" s="184"/>
      <c r="DG87" s="184"/>
      <c r="DH87" s="184"/>
      <c r="DI87" s="184"/>
      <c r="DJ87" s="184"/>
      <c r="DK87" s="184"/>
      <c r="DL87" s="184"/>
      <c r="DM87" s="184"/>
      <c r="DN87" s="184"/>
      <c r="DO87" s="184"/>
      <c r="DP87" s="184"/>
      <c r="DQ87" s="184"/>
      <c r="DR87" s="184"/>
      <c r="DS87" s="184"/>
      <c r="DT87" s="184"/>
      <c r="DU87" s="184"/>
      <c r="DV87" s="184"/>
      <c r="DW87" s="184"/>
      <c r="DX87" s="184"/>
      <c r="DY87" s="184"/>
      <c r="DZ87" s="184"/>
      <c r="EA87" s="184"/>
      <c r="EB87" s="184"/>
      <c r="EC87" s="184"/>
      <c r="ED87" s="184"/>
      <c r="EE87" s="184"/>
      <c r="EF87" s="184"/>
      <c r="EG87" s="184"/>
      <c r="EH87" s="184"/>
      <c r="EI87" s="184"/>
      <c r="EJ87" s="184"/>
      <c r="EK87" s="184"/>
      <c r="EL87" s="184"/>
      <c r="EM87" s="184"/>
      <c r="EN87" s="184"/>
      <c r="EO87" s="184"/>
      <c r="EP87" s="184"/>
      <c r="EQ87" s="184"/>
      <c r="ER87" s="184"/>
      <c r="ES87" s="184"/>
      <c r="ET87" s="184"/>
      <c r="EU87" s="184"/>
      <c r="EV87" s="184"/>
      <c r="EW87" s="184"/>
      <c r="EX87" s="184"/>
      <c r="EY87" s="184"/>
      <c r="EZ87" s="184"/>
      <c r="FA87" s="184"/>
      <c r="FB87" s="184"/>
      <c r="FC87" s="184"/>
      <c r="FD87" s="184"/>
      <c r="FE87" s="184"/>
      <c r="FF87" s="184"/>
      <c r="FG87" s="184"/>
      <c r="FH87" s="184"/>
      <c r="FI87" s="184"/>
      <c r="FJ87" s="184"/>
      <c r="FK87" s="184"/>
      <c r="FL87" s="184"/>
      <c r="FM87" s="184"/>
      <c r="FN87" s="184"/>
      <c r="FO87" s="184"/>
      <c r="FP87" s="184"/>
      <c r="FQ87" s="184"/>
      <c r="FR87" s="184"/>
      <c r="FS87" s="184"/>
      <c r="FT87" s="184"/>
      <c r="FU87" s="184"/>
      <c r="FV87" s="184"/>
      <c r="FW87" s="184"/>
      <c r="FX87" s="184"/>
      <c r="FY87" s="184"/>
      <c r="FZ87" s="184"/>
      <c r="GA87" s="184"/>
      <c r="GB87" s="184"/>
      <c r="GC87" s="184"/>
      <c r="GD87" s="184"/>
      <c r="GE87" s="184"/>
      <c r="GF87" s="184"/>
      <c r="GG87" s="184"/>
      <c r="GH87" s="184"/>
      <c r="GI87" s="184"/>
    </row>
    <row r="88" spans="1:191" s="186" customFormat="1" ht="15" customHeight="1">
      <c r="D88" s="184"/>
      <c r="E88" s="221"/>
      <c r="F88" s="228"/>
      <c r="G88" s="222"/>
      <c r="H88" s="222"/>
      <c r="I88" s="223"/>
      <c r="J88" s="224"/>
      <c r="K88" s="221"/>
      <c r="L88" s="221"/>
      <c r="M88" s="221"/>
      <c r="N88" s="224"/>
      <c r="O88" s="225"/>
      <c r="P88" s="225"/>
      <c r="Q88" s="226"/>
      <c r="R88" s="226"/>
      <c r="S88" s="226"/>
      <c r="T88" s="224"/>
      <c r="U88" s="224"/>
      <c r="V88" s="188"/>
      <c r="AB88" s="184"/>
      <c r="AC88" s="184"/>
      <c r="AD88" s="184"/>
      <c r="AE88" s="184"/>
      <c r="AF88" s="184"/>
      <c r="AG88" s="184"/>
      <c r="AH88" s="280"/>
      <c r="AI88" s="184"/>
      <c r="AJ88" s="221"/>
      <c r="AK88" s="227"/>
      <c r="AL88" s="184"/>
      <c r="AM88" s="184"/>
      <c r="AN88" s="184"/>
      <c r="AO88" s="184"/>
      <c r="AP88" s="184"/>
      <c r="AQ88" s="184"/>
      <c r="AR88" s="184"/>
      <c r="AS88" s="184"/>
      <c r="AT88" s="184"/>
      <c r="AU88" s="184"/>
      <c r="AV88" s="184"/>
      <c r="AW88" s="184"/>
      <c r="AX88" s="184"/>
      <c r="AY88" s="184"/>
      <c r="AZ88" s="184"/>
      <c r="BA88" s="184"/>
      <c r="BB88" s="184"/>
      <c r="BC88" s="184"/>
      <c r="BD88" s="184"/>
      <c r="BE88" s="184"/>
      <c r="BF88" s="184"/>
      <c r="BG88" s="184"/>
      <c r="BH88" s="184"/>
      <c r="BI88" s="184"/>
      <c r="BJ88" s="184"/>
      <c r="BK88" s="184"/>
      <c r="BL88" s="184"/>
      <c r="BM88" s="184"/>
      <c r="BN88" s="184"/>
      <c r="BO88" s="184"/>
      <c r="BP88" s="184"/>
      <c r="BQ88" s="184"/>
      <c r="BR88" s="184"/>
      <c r="BS88" s="184"/>
      <c r="BT88" s="184"/>
      <c r="BU88" s="184"/>
      <c r="BV88" s="184"/>
      <c r="BW88" s="184"/>
      <c r="BX88" s="184"/>
      <c r="BY88" s="184"/>
      <c r="BZ88" s="184"/>
      <c r="CA88" s="184"/>
      <c r="CB88" s="184"/>
      <c r="CC88" s="184"/>
      <c r="CD88" s="184"/>
      <c r="CE88" s="184"/>
      <c r="CF88" s="184"/>
      <c r="CG88" s="184"/>
      <c r="CH88" s="184"/>
      <c r="CI88" s="184"/>
      <c r="CJ88" s="184"/>
      <c r="CK88" s="184"/>
      <c r="CL88" s="184"/>
      <c r="CM88" s="184"/>
      <c r="CN88" s="184"/>
      <c r="CO88" s="184"/>
      <c r="CP88" s="184"/>
      <c r="CQ88" s="184"/>
      <c r="CR88" s="184"/>
      <c r="CS88" s="184"/>
      <c r="CT88" s="184"/>
      <c r="CU88" s="184"/>
      <c r="CV88" s="184"/>
      <c r="CW88" s="184"/>
      <c r="CX88" s="184"/>
      <c r="CY88" s="184"/>
      <c r="CZ88" s="184"/>
      <c r="DA88" s="184"/>
      <c r="DB88" s="184"/>
      <c r="DC88" s="184"/>
      <c r="DD88" s="184"/>
      <c r="DE88" s="184"/>
      <c r="DF88" s="184"/>
      <c r="DG88" s="184"/>
      <c r="DH88" s="184"/>
      <c r="DI88" s="184"/>
      <c r="DJ88" s="184"/>
      <c r="DK88" s="184"/>
      <c r="DL88" s="184"/>
      <c r="DM88" s="184"/>
      <c r="DN88" s="184"/>
      <c r="DO88" s="184"/>
      <c r="DP88" s="184"/>
      <c r="DQ88" s="184"/>
      <c r="DR88" s="184"/>
      <c r="DS88" s="184"/>
      <c r="DT88" s="184"/>
      <c r="DU88" s="184"/>
      <c r="DV88" s="184"/>
      <c r="DW88" s="184"/>
      <c r="DX88" s="184"/>
      <c r="DY88" s="184"/>
      <c r="DZ88" s="184"/>
      <c r="EA88" s="184"/>
      <c r="EB88" s="184"/>
      <c r="EC88" s="184"/>
      <c r="ED88" s="184"/>
      <c r="EE88" s="184"/>
      <c r="EF88" s="184"/>
      <c r="EG88" s="184"/>
      <c r="EH88" s="184"/>
      <c r="EI88" s="184"/>
      <c r="EJ88" s="184"/>
      <c r="EK88" s="184"/>
      <c r="EL88" s="184"/>
      <c r="EM88" s="184"/>
      <c r="EN88" s="184"/>
      <c r="EO88" s="184"/>
      <c r="EP88" s="184"/>
      <c r="EQ88" s="184"/>
      <c r="ER88" s="184"/>
      <c r="ES88" s="184"/>
      <c r="ET88" s="184"/>
      <c r="EU88" s="184"/>
      <c r="EV88" s="184"/>
      <c r="EW88" s="184"/>
      <c r="EX88" s="184"/>
      <c r="EY88" s="184"/>
      <c r="EZ88" s="184"/>
      <c r="FA88" s="184"/>
      <c r="FB88" s="184"/>
      <c r="FC88" s="184"/>
      <c r="FD88" s="184"/>
      <c r="FE88" s="184"/>
      <c r="FF88" s="184"/>
      <c r="FG88" s="184"/>
      <c r="FH88" s="184"/>
      <c r="FI88" s="184"/>
      <c r="FJ88" s="184"/>
      <c r="FK88" s="184"/>
      <c r="FL88" s="184"/>
      <c r="FM88" s="184"/>
      <c r="FN88" s="184"/>
      <c r="FO88" s="184"/>
      <c r="FP88" s="184"/>
      <c r="FQ88" s="184"/>
      <c r="FR88" s="184"/>
      <c r="FS88" s="184"/>
      <c r="FT88" s="184"/>
      <c r="FU88" s="184"/>
      <c r="FV88" s="184"/>
      <c r="FW88" s="184"/>
      <c r="FX88" s="184"/>
      <c r="FY88" s="184"/>
      <c r="FZ88" s="184"/>
      <c r="GA88" s="184"/>
      <c r="GB88" s="184"/>
      <c r="GC88" s="184"/>
      <c r="GD88" s="184"/>
      <c r="GE88" s="184"/>
      <c r="GF88" s="184"/>
      <c r="GG88" s="184"/>
      <c r="GH88" s="184"/>
      <c r="GI88" s="184"/>
    </row>
    <row r="89" spans="1:191" s="186" customFormat="1" ht="15" customHeight="1">
      <c r="D89" s="184" t="s">
        <v>1052</v>
      </c>
      <c r="E89" s="221">
        <f>+U58</f>
        <v>65356.085081558238</v>
      </c>
      <c r="F89" s="228">
        <f t="shared" si="6"/>
        <v>4.5712003260102926E-3</v>
      </c>
      <c r="G89" s="222"/>
      <c r="H89" s="222">
        <v>86970.355654162922</v>
      </c>
      <c r="I89" s="223"/>
      <c r="J89" s="224"/>
      <c r="K89" s="221"/>
      <c r="L89" s="221"/>
      <c r="M89" s="221"/>
      <c r="N89" s="224"/>
      <c r="O89" s="225"/>
      <c r="P89" s="225"/>
      <c r="Q89" s="226"/>
      <c r="R89" s="226"/>
      <c r="S89" s="226"/>
      <c r="T89" s="224"/>
      <c r="U89" s="224">
        <f t="shared" ref="U89" si="9">+$E$67*F89</f>
        <v>86970.349170850517</v>
      </c>
      <c r="V89" s="188"/>
      <c r="AB89" s="184"/>
      <c r="AC89" s="184"/>
      <c r="AD89" s="184"/>
      <c r="AE89" s="184"/>
      <c r="AF89" s="184"/>
      <c r="AG89" s="184"/>
      <c r="AH89" s="280"/>
      <c r="AI89" s="184"/>
      <c r="AJ89" s="221"/>
      <c r="AK89" s="227"/>
      <c r="AL89" s="184"/>
      <c r="AM89" s="184"/>
      <c r="AN89" s="184"/>
      <c r="AO89" s="184"/>
      <c r="AP89" s="184"/>
      <c r="AQ89" s="184"/>
      <c r="AR89" s="184"/>
      <c r="AS89" s="184"/>
      <c r="AT89" s="184"/>
      <c r="AU89" s="184"/>
      <c r="AV89" s="184"/>
      <c r="AW89" s="184"/>
      <c r="AX89" s="184"/>
      <c r="AY89" s="184"/>
      <c r="AZ89" s="184"/>
      <c r="BA89" s="184"/>
      <c r="BB89" s="184"/>
      <c r="BC89" s="184"/>
      <c r="BD89" s="184"/>
      <c r="BE89" s="184"/>
      <c r="BF89" s="184"/>
      <c r="BG89" s="184"/>
      <c r="BH89" s="184"/>
      <c r="BI89" s="184"/>
      <c r="BJ89" s="184"/>
      <c r="BK89" s="184"/>
      <c r="BL89" s="184"/>
      <c r="BM89" s="184"/>
      <c r="BN89" s="184"/>
      <c r="BO89" s="184"/>
      <c r="BP89" s="184"/>
      <c r="BQ89" s="184"/>
      <c r="BR89" s="184"/>
      <c r="BS89" s="184"/>
      <c r="BT89" s="184"/>
      <c r="BU89" s="184"/>
      <c r="BV89" s="184"/>
      <c r="BW89" s="184"/>
      <c r="BX89" s="184"/>
      <c r="BY89" s="184"/>
      <c r="BZ89" s="184"/>
      <c r="CA89" s="184"/>
      <c r="CB89" s="184"/>
      <c r="CC89" s="184"/>
      <c r="CD89" s="184"/>
      <c r="CE89" s="184"/>
      <c r="CF89" s="184"/>
      <c r="CG89" s="184"/>
      <c r="CH89" s="184"/>
      <c r="CI89" s="184"/>
      <c r="CJ89" s="184"/>
      <c r="CK89" s="184"/>
      <c r="CL89" s="184"/>
      <c r="CM89" s="184"/>
      <c r="CN89" s="184"/>
      <c r="CO89" s="184"/>
      <c r="CP89" s="184"/>
      <c r="CQ89" s="184"/>
      <c r="CR89" s="184"/>
      <c r="CS89" s="184"/>
      <c r="CT89" s="184"/>
      <c r="CU89" s="184"/>
      <c r="CV89" s="184"/>
      <c r="CW89" s="184"/>
      <c r="CX89" s="184"/>
      <c r="CY89" s="184"/>
      <c r="CZ89" s="184"/>
      <c r="DA89" s="184"/>
      <c r="DB89" s="184"/>
      <c r="DC89" s="184"/>
      <c r="DD89" s="184"/>
      <c r="DE89" s="184"/>
      <c r="DF89" s="184"/>
      <c r="DG89" s="184"/>
      <c r="DH89" s="184"/>
      <c r="DI89" s="184"/>
      <c r="DJ89" s="184"/>
      <c r="DK89" s="184"/>
      <c r="DL89" s="184"/>
      <c r="DM89" s="184"/>
      <c r="DN89" s="184"/>
      <c r="DO89" s="184"/>
      <c r="DP89" s="184"/>
      <c r="DQ89" s="184"/>
      <c r="DR89" s="184"/>
      <c r="DS89" s="184"/>
      <c r="DT89" s="184"/>
      <c r="DU89" s="184"/>
      <c r="DV89" s="184"/>
      <c r="DW89" s="184"/>
      <c r="DX89" s="184"/>
      <c r="DY89" s="184"/>
      <c r="DZ89" s="184"/>
      <c r="EA89" s="184"/>
      <c r="EB89" s="184"/>
      <c r="EC89" s="184"/>
      <c r="ED89" s="184"/>
      <c r="EE89" s="184"/>
      <c r="EF89" s="184"/>
      <c r="EG89" s="184"/>
      <c r="EH89" s="184"/>
      <c r="EI89" s="184"/>
      <c r="EJ89" s="184"/>
      <c r="EK89" s="184"/>
      <c r="EL89" s="184"/>
      <c r="EM89" s="184"/>
      <c r="EN89" s="184"/>
      <c r="EO89" s="184"/>
      <c r="EP89" s="184"/>
      <c r="EQ89" s="184"/>
      <c r="ER89" s="184"/>
      <c r="ES89" s="184"/>
      <c r="ET89" s="184"/>
      <c r="EU89" s="184"/>
      <c r="EV89" s="184"/>
      <c r="EW89" s="184"/>
      <c r="EX89" s="184"/>
      <c r="EY89" s="184"/>
      <c r="EZ89" s="184"/>
      <c r="FA89" s="184"/>
      <c r="FB89" s="184"/>
      <c r="FC89" s="184"/>
      <c r="FD89" s="184"/>
      <c r="FE89" s="184"/>
      <c r="FF89" s="184"/>
      <c r="FG89" s="184"/>
      <c r="FH89" s="184"/>
      <c r="FI89" s="184"/>
      <c r="FJ89" s="184"/>
      <c r="FK89" s="184"/>
      <c r="FL89" s="184"/>
      <c r="FM89" s="184"/>
      <c r="FN89" s="184"/>
      <c r="FO89" s="184"/>
      <c r="FP89" s="184"/>
      <c r="FQ89" s="184"/>
      <c r="FR89" s="184"/>
      <c r="FS89" s="184"/>
      <c r="FT89" s="184"/>
      <c r="FU89" s="184"/>
      <c r="FV89" s="184"/>
      <c r="FW89" s="184"/>
      <c r="FX89" s="184"/>
      <c r="FY89" s="184"/>
      <c r="FZ89" s="184"/>
      <c r="GA89" s="184"/>
      <c r="GB89" s="184"/>
      <c r="GC89" s="184"/>
      <c r="GD89" s="184"/>
      <c r="GE89" s="184"/>
      <c r="GF89" s="184"/>
      <c r="GG89" s="184"/>
      <c r="GH89" s="184"/>
      <c r="GI89" s="184"/>
    </row>
    <row r="90" spans="1:191" s="186" customFormat="1" ht="15" customHeight="1">
      <c r="D90" s="184"/>
      <c r="E90" s="221"/>
      <c r="F90" s="228"/>
      <c r="G90" s="222"/>
      <c r="H90" s="222"/>
      <c r="I90" s="223"/>
      <c r="J90" s="224"/>
      <c r="K90" s="221"/>
      <c r="L90" s="221"/>
      <c r="M90" s="221"/>
      <c r="N90" s="224"/>
      <c r="O90" s="225"/>
      <c r="P90" s="225"/>
      <c r="Q90" s="226"/>
      <c r="R90" s="226"/>
      <c r="S90" s="226"/>
      <c r="T90" s="224"/>
      <c r="U90" s="224"/>
      <c r="V90" s="188"/>
      <c r="AB90" s="184"/>
      <c r="AC90" s="184"/>
      <c r="AD90" s="184"/>
      <c r="AE90" s="184"/>
      <c r="AF90" s="184"/>
      <c r="AG90" s="184"/>
      <c r="AH90" s="280"/>
      <c r="AI90" s="184"/>
      <c r="AJ90" s="221"/>
      <c r="AK90" s="227"/>
      <c r="AL90" s="184"/>
      <c r="AM90" s="184"/>
      <c r="AN90" s="184"/>
      <c r="AO90" s="184"/>
      <c r="AP90" s="184"/>
      <c r="AQ90" s="184"/>
      <c r="AR90" s="184"/>
      <c r="AS90" s="184"/>
      <c r="AT90" s="184"/>
      <c r="AU90" s="184"/>
      <c r="AV90" s="184"/>
      <c r="AW90" s="184"/>
      <c r="AX90" s="184"/>
      <c r="AY90" s="184"/>
      <c r="AZ90" s="184"/>
      <c r="BA90" s="184"/>
      <c r="BB90" s="184"/>
      <c r="BC90" s="184"/>
      <c r="BD90" s="184"/>
      <c r="BE90" s="184"/>
      <c r="BF90" s="184"/>
      <c r="BG90" s="184"/>
      <c r="BH90" s="184"/>
      <c r="BI90" s="184"/>
      <c r="BJ90" s="184"/>
      <c r="BK90" s="184"/>
      <c r="BL90" s="184"/>
      <c r="BM90" s="184"/>
      <c r="BN90" s="184"/>
      <c r="BO90" s="184"/>
      <c r="BP90" s="184"/>
      <c r="BQ90" s="184"/>
      <c r="BR90" s="184"/>
      <c r="BS90" s="184"/>
      <c r="BT90" s="184"/>
      <c r="BU90" s="184"/>
      <c r="BV90" s="184"/>
      <c r="BW90" s="184"/>
      <c r="BX90" s="184"/>
      <c r="BY90" s="184"/>
      <c r="BZ90" s="184"/>
      <c r="CA90" s="184"/>
      <c r="CB90" s="184"/>
      <c r="CC90" s="184"/>
      <c r="CD90" s="184"/>
      <c r="CE90" s="184"/>
      <c r="CF90" s="184"/>
      <c r="CG90" s="184"/>
      <c r="CH90" s="184"/>
      <c r="CI90" s="184"/>
      <c r="CJ90" s="184"/>
      <c r="CK90" s="184"/>
      <c r="CL90" s="184"/>
      <c r="CM90" s="184"/>
      <c r="CN90" s="184"/>
      <c r="CO90" s="184"/>
      <c r="CP90" s="184"/>
      <c r="CQ90" s="184"/>
      <c r="CR90" s="184"/>
      <c r="CS90" s="184"/>
      <c r="CT90" s="184"/>
      <c r="CU90" s="184"/>
      <c r="CV90" s="184"/>
      <c r="CW90" s="184"/>
      <c r="CX90" s="184"/>
      <c r="CY90" s="184"/>
      <c r="CZ90" s="184"/>
      <c r="DA90" s="184"/>
      <c r="DB90" s="184"/>
      <c r="DC90" s="184"/>
      <c r="DD90" s="184"/>
      <c r="DE90" s="184"/>
      <c r="DF90" s="184"/>
      <c r="DG90" s="184"/>
      <c r="DH90" s="184"/>
      <c r="DI90" s="184"/>
      <c r="DJ90" s="184"/>
      <c r="DK90" s="184"/>
      <c r="DL90" s="184"/>
      <c r="DM90" s="184"/>
      <c r="DN90" s="184"/>
      <c r="DO90" s="184"/>
      <c r="DP90" s="184"/>
      <c r="DQ90" s="184"/>
      <c r="DR90" s="184"/>
      <c r="DS90" s="184"/>
      <c r="DT90" s="184"/>
      <c r="DU90" s="184"/>
      <c r="DV90" s="184"/>
      <c r="DW90" s="184"/>
      <c r="DX90" s="184"/>
      <c r="DY90" s="184"/>
      <c r="DZ90" s="184"/>
      <c r="EA90" s="184"/>
      <c r="EB90" s="184"/>
      <c r="EC90" s="184"/>
      <c r="ED90" s="184"/>
      <c r="EE90" s="184"/>
      <c r="EF90" s="184"/>
      <c r="EG90" s="184"/>
      <c r="EH90" s="184"/>
      <c r="EI90" s="184"/>
      <c r="EJ90" s="184"/>
      <c r="EK90" s="184"/>
      <c r="EL90" s="184"/>
      <c r="EM90" s="184"/>
      <c r="EN90" s="184"/>
      <c r="EO90" s="184"/>
      <c r="EP90" s="184"/>
      <c r="EQ90" s="184"/>
      <c r="ER90" s="184"/>
      <c r="ES90" s="184"/>
      <c r="ET90" s="184"/>
      <c r="EU90" s="184"/>
      <c r="EV90" s="184"/>
      <c r="EW90" s="184"/>
      <c r="EX90" s="184"/>
      <c r="EY90" s="184"/>
      <c r="EZ90" s="184"/>
      <c r="FA90" s="184"/>
      <c r="FB90" s="184"/>
      <c r="FC90" s="184"/>
      <c r="FD90" s="184"/>
      <c r="FE90" s="184"/>
      <c r="FF90" s="184"/>
      <c r="FG90" s="184"/>
      <c r="FH90" s="184"/>
      <c r="FI90" s="184"/>
      <c r="FJ90" s="184"/>
      <c r="FK90" s="184"/>
      <c r="FL90" s="184"/>
      <c r="FM90" s="184"/>
      <c r="FN90" s="184"/>
      <c r="FO90" s="184"/>
      <c r="FP90" s="184"/>
      <c r="FQ90" s="184"/>
      <c r="FR90" s="184"/>
      <c r="FS90" s="184"/>
      <c r="FT90" s="184"/>
      <c r="FU90" s="184"/>
      <c r="FV90" s="184"/>
      <c r="FW90" s="184"/>
      <c r="FX90" s="184"/>
      <c r="FY90" s="184"/>
      <c r="FZ90" s="184"/>
      <c r="GA90" s="184"/>
      <c r="GB90" s="184"/>
      <c r="GC90" s="184"/>
      <c r="GD90" s="184"/>
      <c r="GE90" s="184"/>
      <c r="GF90" s="184"/>
      <c r="GG90" s="184"/>
      <c r="GH90" s="184"/>
      <c r="GI90" s="184"/>
    </row>
    <row r="91" spans="1:191" s="186" customFormat="1" ht="15" customHeight="1">
      <c r="D91" s="184" t="s">
        <v>1053</v>
      </c>
      <c r="E91" s="221">
        <f>+U59</f>
        <v>94112.762517443873</v>
      </c>
      <c r="F91" s="228">
        <f t="shared" si="6"/>
        <v>6.5825284694548221E-3</v>
      </c>
      <c r="G91" s="222"/>
      <c r="H91" s="222">
        <v>125237.29936712675</v>
      </c>
      <c r="I91" s="223"/>
      <c r="J91" s="224"/>
      <c r="K91" s="221"/>
      <c r="L91" s="221"/>
      <c r="M91" s="221"/>
      <c r="N91" s="224"/>
      <c r="O91" s="225"/>
      <c r="P91" s="225"/>
      <c r="Q91" s="226"/>
      <c r="R91" s="226"/>
      <c r="S91" s="226"/>
      <c r="T91" s="224"/>
      <c r="U91" s="224">
        <f t="shared" ref="U91" si="10">+$E$67*F91</f>
        <v>125237.30280602476</v>
      </c>
      <c r="V91" s="188"/>
      <c r="AB91" s="184"/>
      <c r="AC91" s="184"/>
      <c r="AD91" s="184"/>
      <c r="AE91" s="184"/>
      <c r="AF91" s="184"/>
      <c r="AG91" s="184"/>
      <c r="AH91" s="280"/>
      <c r="AI91" s="184"/>
      <c r="AJ91" s="221"/>
      <c r="AK91" s="227"/>
      <c r="AL91" s="184"/>
      <c r="AM91" s="184"/>
      <c r="AN91" s="184"/>
      <c r="AO91" s="184"/>
      <c r="AP91" s="184"/>
      <c r="AQ91" s="184"/>
      <c r="AR91" s="184"/>
      <c r="AS91" s="184"/>
      <c r="AT91" s="184"/>
      <c r="AU91" s="184"/>
      <c r="AV91" s="184"/>
      <c r="AW91" s="184"/>
      <c r="AX91" s="184"/>
      <c r="AY91" s="184"/>
      <c r="AZ91" s="184"/>
      <c r="BA91" s="184"/>
      <c r="BB91" s="184"/>
      <c r="BC91" s="184"/>
      <c r="BD91" s="184"/>
      <c r="BE91" s="184"/>
      <c r="BF91" s="184"/>
      <c r="BG91" s="184"/>
      <c r="BH91" s="184"/>
      <c r="BI91" s="184"/>
      <c r="BJ91" s="184"/>
      <c r="BK91" s="184"/>
      <c r="BL91" s="184"/>
      <c r="BM91" s="184"/>
      <c r="BN91" s="184"/>
      <c r="BO91" s="184"/>
      <c r="BP91" s="184"/>
      <c r="BQ91" s="184"/>
      <c r="BR91" s="184"/>
      <c r="BS91" s="184"/>
      <c r="BT91" s="184"/>
      <c r="BU91" s="184"/>
      <c r="BV91" s="184"/>
      <c r="BW91" s="184"/>
      <c r="BX91" s="184"/>
      <c r="BY91" s="184"/>
      <c r="BZ91" s="184"/>
      <c r="CA91" s="184"/>
      <c r="CB91" s="184"/>
      <c r="CC91" s="184"/>
      <c r="CD91" s="184"/>
      <c r="CE91" s="184"/>
      <c r="CF91" s="184"/>
      <c r="CG91" s="184"/>
      <c r="CH91" s="184"/>
      <c r="CI91" s="184"/>
      <c r="CJ91" s="184"/>
      <c r="CK91" s="184"/>
      <c r="CL91" s="184"/>
      <c r="CM91" s="184"/>
      <c r="CN91" s="184"/>
      <c r="CO91" s="184"/>
      <c r="CP91" s="184"/>
      <c r="CQ91" s="184"/>
      <c r="CR91" s="184"/>
      <c r="CS91" s="184"/>
      <c r="CT91" s="184"/>
      <c r="CU91" s="184"/>
      <c r="CV91" s="184"/>
      <c r="CW91" s="184"/>
      <c r="CX91" s="184"/>
      <c r="CY91" s="184"/>
      <c r="CZ91" s="184"/>
      <c r="DA91" s="184"/>
      <c r="DB91" s="184"/>
      <c r="DC91" s="184"/>
      <c r="DD91" s="184"/>
      <c r="DE91" s="184"/>
      <c r="DF91" s="184"/>
      <c r="DG91" s="184"/>
      <c r="DH91" s="184"/>
      <c r="DI91" s="184"/>
      <c r="DJ91" s="184"/>
      <c r="DK91" s="184"/>
      <c r="DL91" s="184"/>
      <c r="DM91" s="184"/>
      <c r="DN91" s="184"/>
      <c r="DO91" s="184"/>
      <c r="DP91" s="184"/>
      <c r="DQ91" s="184"/>
      <c r="DR91" s="184"/>
      <c r="DS91" s="184"/>
      <c r="DT91" s="184"/>
      <c r="DU91" s="184"/>
      <c r="DV91" s="184"/>
      <c r="DW91" s="184"/>
      <c r="DX91" s="184"/>
      <c r="DY91" s="184"/>
      <c r="DZ91" s="184"/>
      <c r="EA91" s="184"/>
      <c r="EB91" s="184"/>
      <c r="EC91" s="184"/>
      <c r="ED91" s="184"/>
      <c r="EE91" s="184"/>
      <c r="EF91" s="184"/>
      <c r="EG91" s="184"/>
      <c r="EH91" s="184"/>
      <c r="EI91" s="184"/>
      <c r="EJ91" s="184"/>
      <c r="EK91" s="184"/>
      <c r="EL91" s="184"/>
      <c r="EM91" s="184"/>
      <c r="EN91" s="184"/>
      <c r="EO91" s="184"/>
      <c r="EP91" s="184"/>
      <c r="EQ91" s="184"/>
      <c r="ER91" s="184"/>
      <c r="ES91" s="184"/>
      <c r="ET91" s="184"/>
      <c r="EU91" s="184"/>
      <c r="EV91" s="184"/>
      <c r="EW91" s="184"/>
      <c r="EX91" s="184"/>
      <c r="EY91" s="184"/>
      <c r="EZ91" s="184"/>
      <c r="FA91" s="184"/>
      <c r="FB91" s="184"/>
      <c r="FC91" s="184"/>
      <c r="FD91" s="184"/>
      <c r="FE91" s="184"/>
      <c r="FF91" s="184"/>
      <c r="FG91" s="184"/>
      <c r="FH91" s="184"/>
      <c r="FI91" s="184"/>
      <c r="FJ91" s="184"/>
      <c r="FK91" s="184"/>
      <c r="FL91" s="184"/>
      <c r="FM91" s="184"/>
      <c r="FN91" s="184"/>
      <c r="FO91" s="184"/>
      <c r="FP91" s="184"/>
      <c r="FQ91" s="184"/>
      <c r="FR91" s="184"/>
      <c r="FS91" s="184"/>
      <c r="FT91" s="184"/>
      <c r="FU91" s="184"/>
      <c r="FV91" s="184"/>
      <c r="FW91" s="184"/>
      <c r="FX91" s="184"/>
      <c r="FY91" s="184"/>
      <c r="FZ91" s="184"/>
      <c r="GA91" s="184"/>
      <c r="GB91" s="184"/>
      <c r="GC91" s="184"/>
      <c r="GD91" s="184"/>
      <c r="GE91" s="184"/>
      <c r="GF91" s="184"/>
      <c r="GG91" s="184"/>
      <c r="GH91" s="184"/>
      <c r="GI91" s="184"/>
    </row>
    <row r="92" spans="1:191" s="186" customFormat="1" ht="15" customHeight="1">
      <c r="A92" s="184"/>
      <c r="B92" s="190"/>
      <c r="C92" s="211"/>
      <c r="D92" s="193"/>
      <c r="E92" s="222"/>
      <c r="F92" s="228"/>
      <c r="G92" s="223"/>
      <c r="H92" s="221"/>
      <c r="I92" s="223"/>
      <c r="J92" s="224"/>
      <c r="K92" s="221"/>
      <c r="L92" s="221"/>
      <c r="M92" s="221"/>
      <c r="N92" s="224"/>
      <c r="O92" s="225"/>
      <c r="P92" s="225"/>
      <c r="Q92" s="226"/>
      <c r="R92" s="226"/>
      <c r="S92" s="226"/>
      <c r="T92" s="224"/>
      <c r="U92" s="224"/>
      <c r="V92" s="188"/>
      <c r="AB92" s="184"/>
      <c r="AC92" s="184"/>
      <c r="AD92" s="184"/>
      <c r="AE92" s="184"/>
      <c r="AF92" s="184"/>
      <c r="AG92" s="184"/>
      <c r="AH92" s="184"/>
      <c r="AI92" s="184"/>
      <c r="AJ92" s="184"/>
      <c r="AK92" s="184"/>
      <c r="AL92" s="184"/>
      <c r="AM92" s="184"/>
      <c r="AN92" s="184"/>
      <c r="AO92" s="184"/>
      <c r="AP92" s="184"/>
      <c r="AQ92" s="184"/>
      <c r="AR92" s="184"/>
      <c r="AS92" s="184"/>
      <c r="AT92" s="184"/>
      <c r="AU92" s="184"/>
      <c r="AV92" s="184"/>
      <c r="AW92" s="184"/>
      <c r="AX92" s="184"/>
      <c r="AY92" s="184"/>
      <c r="AZ92" s="184"/>
      <c r="BA92" s="184"/>
      <c r="BB92" s="184"/>
      <c r="BC92" s="184"/>
      <c r="BD92" s="184"/>
      <c r="BE92" s="184"/>
      <c r="BF92" s="184"/>
      <c r="BG92" s="184"/>
      <c r="BH92" s="184"/>
      <c r="BI92" s="184"/>
      <c r="BJ92" s="184"/>
      <c r="BK92" s="184"/>
      <c r="BL92" s="184"/>
      <c r="BM92" s="184"/>
      <c r="BN92" s="184"/>
      <c r="BO92" s="184"/>
      <c r="BP92" s="184"/>
      <c r="BQ92" s="184"/>
      <c r="BR92" s="184"/>
      <c r="BS92" s="184"/>
      <c r="BT92" s="184"/>
      <c r="BU92" s="184"/>
      <c r="BV92" s="184"/>
      <c r="BW92" s="184"/>
      <c r="BX92" s="184"/>
      <c r="BY92" s="184"/>
      <c r="BZ92" s="184"/>
      <c r="CA92" s="184"/>
      <c r="CB92" s="184"/>
      <c r="CC92" s="184"/>
      <c r="CD92" s="184"/>
      <c r="CE92" s="184"/>
      <c r="CF92" s="184"/>
      <c r="CG92" s="184"/>
      <c r="CH92" s="184"/>
      <c r="CI92" s="184"/>
      <c r="CJ92" s="184"/>
      <c r="CK92" s="184"/>
      <c r="CL92" s="184"/>
      <c r="CM92" s="184"/>
      <c r="CN92" s="184"/>
      <c r="CO92" s="184"/>
      <c r="CP92" s="184"/>
      <c r="CQ92" s="184"/>
      <c r="CR92" s="184"/>
      <c r="CS92" s="184"/>
      <c r="CT92" s="184"/>
      <c r="CU92" s="184"/>
      <c r="CV92" s="184"/>
      <c r="CW92" s="184"/>
      <c r="CX92" s="184"/>
      <c r="CY92" s="184"/>
      <c r="CZ92" s="184"/>
      <c r="DA92" s="184"/>
      <c r="DB92" s="184"/>
      <c r="DC92" s="184"/>
      <c r="DD92" s="184"/>
      <c r="DE92" s="184"/>
      <c r="DF92" s="184"/>
      <c r="DG92" s="184"/>
      <c r="DH92" s="184"/>
      <c r="DI92" s="184"/>
      <c r="DJ92" s="184"/>
      <c r="DK92" s="184"/>
      <c r="DL92" s="184"/>
      <c r="DM92" s="184"/>
      <c r="DN92" s="184"/>
      <c r="DO92" s="184"/>
      <c r="DP92" s="184"/>
      <c r="DQ92" s="184"/>
      <c r="DR92" s="184"/>
      <c r="DS92" s="184"/>
      <c r="DT92" s="184"/>
      <c r="DU92" s="184"/>
      <c r="DV92" s="184"/>
      <c r="DW92" s="184"/>
      <c r="DX92" s="184"/>
      <c r="DY92" s="184"/>
      <c r="DZ92" s="184"/>
      <c r="EA92" s="184"/>
      <c r="EB92" s="184"/>
      <c r="EC92" s="184"/>
      <c r="ED92" s="184"/>
      <c r="EE92" s="184"/>
      <c r="EF92" s="184"/>
      <c r="EG92" s="184"/>
      <c r="EH92" s="184"/>
      <c r="EI92" s="184"/>
      <c r="EJ92" s="184"/>
      <c r="EK92" s="184"/>
      <c r="EL92" s="184"/>
      <c r="EM92" s="184"/>
      <c r="EN92" s="184"/>
      <c r="EO92" s="184"/>
      <c r="EP92" s="184"/>
      <c r="EQ92" s="184"/>
      <c r="ER92" s="184"/>
      <c r="ES92" s="184"/>
      <c r="ET92" s="184"/>
      <c r="EU92" s="184"/>
      <c r="EV92" s="184"/>
      <c r="EW92" s="184"/>
      <c r="EX92" s="184"/>
      <c r="EY92" s="184"/>
      <c r="EZ92" s="184"/>
      <c r="FA92" s="184"/>
      <c r="FB92" s="184"/>
      <c r="FC92" s="184"/>
      <c r="FD92" s="184"/>
      <c r="FE92" s="184"/>
      <c r="FF92" s="184"/>
      <c r="FG92" s="184"/>
      <c r="FH92" s="184"/>
      <c r="FI92" s="184"/>
      <c r="FJ92" s="184"/>
      <c r="FK92" s="184"/>
      <c r="FL92" s="184"/>
      <c r="FM92" s="184"/>
      <c r="FN92" s="184"/>
      <c r="FO92" s="184"/>
      <c r="FP92" s="184"/>
      <c r="FQ92" s="184"/>
      <c r="FR92" s="184"/>
      <c r="FS92" s="184"/>
      <c r="FT92" s="184"/>
      <c r="FU92" s="184"/>
      <c r="FV92" s="184"/>
      <c r="FW92" s="184"/>
      <c r="FX92" s="184"/>
      <c r="FY92" s="184"/>
      <c r="FZ92" s="184"/>
      <c r="GA92" s="184"/>
      <c r="GB92" s="184"/>
      <c r="GC92" s="184"/>
      <c r="GD92" s="184"/>
      <c r="GE92" s="184"/>
      <c r="GF92" s="184"/>
      <c r="GG92" s="184"/>
      <c r="GH92" s="184"/>
      <c r="GI92" s="184"/>
    </row>
    <row r="93" spans="1:191" s="186" customFormat="1" ht="15" customHeight="1">
      <c r="A93" s="184"/>
      <c r="B93" s="190"/>
      <c r="C93" s="211"/>
      <c r="D93" s="193"/>
      <c r="E93" s="268">
        <f>SUM(E68:E91)</f>
        <v>14297357.459851362</v>
      </c>
      <c r="F93" s="281" t="s">
        <v>1140</v>
      </c>
      <c r="G93" s="188"/>
      <c r="H93" s="190"/>
      <c r="I93" s="188"/>
      <c r="J93" s="184"/>
      <c r="K93" s="190"/>
      <c r="L93" s="190"/>
      <c r="M93" s="190"/>
      <c r="N93" s="184"/>
      <c r="O93" s="191"/>
      <c r="P93" s="191"/>
      <c r="Q93" s="183"/>
      <c r="R93" s="183"/>
      <c r="S93" s="183"/>
      <c r="T93" s="184"/>
      <c r="U93" s="184"/>
      <c r="V93" s="188"/>
      <c r="AB93" s="184"/>
      <c r="AC93" s="184"/>
      <c r="AD93" s="184"/>
      <c r="AE93" s="184"/>
      <c r="AF93" s="184"/>
      <c r="AG93" s="184"/>
      <c r="AH93" s="184"/>
      <c r="AI93" s="184"/>
      <c r="AJ93" s="184"/>
      <c r="AK93" s="184"/>
      <c r="AL93" s="184"/>
      <c r="AM93" s="184"/>
      <c r="AN93" s="184"/>
      <c r="AO93" s="184"/>
      <c r="AP93" s="184"/>
      <c r="AQ93" s="184"/>
      <c r="AR93" s="184"/>
      <c r="AS93" s="184"/>
      <c r="AT93" s="184"/>
      <c r="AU93" s="184"/>
      <c r="AV93" s="184"/>
      <c r="AW93" s="184"/>
      <c r="AX93" s="184"/>
      <c r="AY93" s="184"/>
      <c r="AZ93" s="184"/>
      <c r="BA93" s="184"/>
      <c r="BB93" s="184"/>
      <c r="BC93" s="184"/>
      <c r="BD93" s="184"/>
      <c r="BE93" s="184"/>
      <c r="BF93" s="184"/>
      <c r="BG93" s="184"/>
      <c r="BH93" s="184"/>
      <c r="BI93" s="184"/>
      <c r="BJ93" s="184"/>
      <c r="BK93" s="184"/>
      <c r="BL93" s="184"/>
      <c r="BM93" s="184"/>
      <c r="BN93" s="184"/>
      <c r="BO93" s="184"/>
      <c r="BP93" s="184"/>
      <c r="BQ93" s="184"/>
      <c r="BR93" s="184"/>
      <c r="BS93" s="184"/>
      <c r="BT93" s="184"/>
      <c r="BU93" s="184"/>
      <c r="BV93" s="184"/>
      <c r="BW93" s="184"/>
      <c r="BX93" s="184"/>
      <c r="BY93" s="184"/>
      <c r="BZ93" s="184"/>
      <c r="CA93" s="184"/>
      <c r="CB93" s="184"/>
      <c r="CC93" s="184"/>
      <c r="CD93" s="184"/>
      <c r="CE93" s="184"/>
      <c r="CF93" s="184"/>
      <c r="CG93" s="184"/>
      <c r="CH93" s="184"/>
      <c r="CI93" s="184"/>
      <c r="CJ93" s="184"/>
      <c r="CK93" s="184"/>
      <c r="CL93" s="184"/>
      <c r="CM93" s="184"/>
      <c r="CN93" s="184"/>
      <c r="CO93" s="184"/>
      <c r="CP93" s="184"/>
      <c r="CQ93" s="184"/>
      <c r="CR93" s="184"/>
      <c r="CS93" s="184"/>
      <c r="CT93" s="184"/>
      <c r="CU93" s="184"/>
      <c r="CV93" s="184"/>
      <c r="CW93" s="184"/>
      <c r="CX93" s="184"/>
      <c r="CY93" s="184"/>
      <c r="CZ93" s="184"/>
      <c r="DA93" s="184"/>
      <c r="DB93" s="184"/>
      <c r="DC93" s="184"/>
      <c r="DD93" s="184"/>
      <c r="DE93" s="184"/>
      <c r="DF93" s="184"/>
      <c r="DG93" s="184"/>
      <c r="DH93" s="184"/>
      <c r="DI93" s="184"/>
      <c r="DJ93" s="184"/>
      <c r="DK93" s="184"/>
      <c r="DL93" s="184"/>
      <c r="DM93" s="184"/>
      <c r="DN93" s="184"/>
      <c r="DO93" s="184"/>
      <c r="DP93" s="184"/>
      <c r="DQ93" s="184"/>
      <c r="DR93" s="184"/>
      <c r="DS93" s="184"/>
      <c r="DT93" s="184"/>
      <c r="DU93" s="184"/>
      <c r="DV93" s="184"/>
      <c r="DW93" s="184"/>
      <c r="DX93" s="184"/>
      <c r="DY93" s="184"/>
      <c r="DZ93" s="184"/>
      <c r="EA93" s="184"/>
      <c r="EB93" s="184"/>
      <c r="EC93" s="184"/>
      <c r="ED93" s="184"/>
      <c r="EE93" s="184"/>
      <c r="EF93" s="184"/>
      <c r="EG93" s="184"/>
      <c r="EH93" s="184"/>
      <c r="EI93" s="184"/>
      <c r="EJ93" s="184"/>
      <c r="EK93" s="184"/>
      <c r="EL93" s="184"/>
      <c r="EM93" s="184"/>
      <c r="EN93" s="184"/>
      <c r="EO93" s="184"/>
      <c r="EP93" s="184"/>
      <c r="EQ93" s="184"/>
      <c r="ER93" s="184"/>
      <c r="ES93" s="184"/>
      <c r="ET93" s="184"/>
      <c r="EU93" s="184"/>
      <c r="EV93" s="184"/>
      <c r="EW93" s="184"/>
      <c r="EX93" s="184"/>
      <c r="EY93" s="184"/>
      <c r="EZ93" s="184"/>
      <c r="FA93" s="184"/>
      <c r="FB93" s="184"/>
      <c r="FC93" s="184"/>
      <c r="FD93" s="184"/>
      <c r="FE93" s="184"/>
      <c r="FF93" s="184"/>
      <c r="FG93" s="184"/>
      <c r="FH93" s="184"/>
      <c r="FI93" s="184"/>
      <c r="FJ93" s="184"/>
      <c r="FK93" s="184"/>
      <c r="FL93" s="184"/>
      <c r="FM93" s="184"/>
      <c r="FN93" s="184"/>
      <c r="FO93" s="184"/>
      <c r="FP93" s="184"/>
      <c r="FQ93" s="184"/>
      <c r="FR93" s="184"/>
      <c r="FS93" s="184"/>
      <c r="FT93" s="184"/>
      <c r="FU93" s="184"/>
      <c r="FV93" s="184"/>
      <c r="FW93" s="184"/>
      <c r="FX93" s="184"/>
      <c r="FY93" s="184"/>
      <c r="FZ93" s="184"/>
      <c r="GA93" s="184"/>
      <c r="GB93" s="184"/>
      <c r="GC93" s="184"/>
      <c r="GD93" s="184"/>
      <c r="GE93" s="184"/>
      <c r="GF93" s="184"/>
      <c r="GG93" s="184"/>
      <c r="GH93" s="184"/>
      <c r="GI93" s="184"/>
    </row>
    <row r="94" spans="1:191" s="186" customFormat="1" ht="15" customHeight="1">
      <c r="A94" s="184"/>
      <c r="B94" s="190"/>
      <c r="C94" s="211"/>
      <c r="D94" s="193"/>
      <c r="E94" s="193"/>
      <c r="F94" s="188"/>
      <c r="G94" s="188"/>
      <c r="H94" s="190"/>
      <c r="I94" s="188"/>
      <c r="J94" s="184"/>
      <c r="K94" s="190"/>
      <c r="L94" s="190"/>
      <c r="M94" s="190"/>
      <c r="N94" s="184"/>
      <c r="O94" s="191"/>
      <c r="P94" s="191"/>
      <c r="Q94" s="183"/>
      <c r="R94" s="183"/>
      <c r="S94" s="183"/>
      <c r="T94" s="184"/>
      <c r="U94" s="184"/>
      <c r="V94" s="188"/>
      <c r="AB94" s="184"/>
      <c r="AC94" s="184"/>
      <c r="AD94" s="184"/>
      <c r="AE94" s="184"/>
      <c r="AF94" s="184"/>
      <c r="AG94" s="184"/>
      <c r="AH94" s="184"/>
      <c r="AI94" s="184"/>
      <c r="AJ94" s="184"/>
      <c r="AK94" s="184"/>
      <c r="AL94" s="184"/>
      <c r="AM94" s="184"/>
      <c r="AN94" s="184"/>
      <c r="AO94" s="184"/>
      <c r="AP94" s="184"/>
      <c r="AQ94" s="184"/>
      <c r="AR94" s="184"/>
      <c r="AS94" s="184"/>
      <c r="AT94" s="184"/>
      <c r="AU94" s="184"/>
      <c r="AV94" s="184"/>
      <c r="AW94" s="184"/>
      <c r="AX94" s="184"/>
      <c r="AY94" s="184"/>
      <c r="AZ94" s="184"/>
      <c r="BA94" s="184"/>
      <c r="BB94" s="184"/>
      <c r="BC94" s="184"/>
      <c r="BD94" s="184"/>
      <c r="BE94" s="184"/>
      <c r="BF94" s="184"/>
      <c r="BG94" s="184"/>
      <c r="BH94" s="184"/>
      <c r="BI94" s="184"/>
      <c r="BJ94" s="184"/>
      <c r="BK94" s="184"/>
      <c r="BL94" s="184"/>
      <c r="BM94" s="184"/>
      <c r="BN94" s="184"/>
      <c r="BO94" s="184"/>
      <c r="BP94" s="184"/>
      <c r="BQ94" s="184"/>
      <c r="BR94" s="184"/>
      <c r="BS94" s="184"/>
      <c r="BT94" s="184"/>
      <c r="BU94" s="184"/>
      <c r="BV94" s="184"/>
      <c r="BW94" s="184"/>
      <c r="BX94" s="184"/>
      <c r="BY94" s="184"/>
      <c r="BZ94" s="184"/>
      <c r="CA94" s="184"/>
      <c r="CB94" s="184"/>
      <c r="CC94" s="184"/>
      <c r="CD94" s="184"/>
      <c r="CE94" s="184"/>
      <c r="CF94" s="184"/>
      <c r="CG94" s="184"/>
      <c r="CH94" s="184"/>
      <c r="CI94" s="184"/>
      <c r="CJ94" s="184"/>
      <c r="CK94" s="184"/>
      <c r="CL94" s="184"/>
      <c r="CM94" s="184"/>
      <c r="CN94" s="184"/>
      <c r="CO94" s="184"/>
      <c r="CP94" s="184"/>
      <c r="CQ94" s="184"/>
      <c r="CR94" s="184"/>
      <c r="CS94" s="184"/>
      <c r="CT94" s="184"/>
      <c r="CU94" s="184"/>
      <c r="CV94" s="184"/>
      <c r="CW94" s="184"/>
      <c r="CX94" s="184"/>
      <c r="CY94" s="184"/>
      <c r="CZ94" s="184"/>
      <c r="DA94" s="184"/>
      <c r="DB94" s="184"/>
      <c r="DC94" s="184"/>
      <c r="DD94" s="184"/>
      <c r="DE94" s="184"/>
      <c r="DF94" s="184"/>
      <c r="DG94" s="184"/>
      <c r="DH94" s="184"/>
      <c r="DI94" s="184"/>
      <c r="DJ94" s="184"/>
      <c r="DK94" s="184"/>
      <c r="DL94" s="184"/>
      <c r="DM94" s="184"/>
      <c r="DN94" s="184"/>
      <c r="DO94" s="184"/>
      <c r="DP94" s="184"/>
      <c r="DQ94" s="184"/>
      <c r="DR94" s="184"/>
      <c r="DS94" s="184"/>
      <c r="DT94" s="184"/>
      <c r="DU94" s="184"/>
      <c r="DV94" s="184"/>
      <c r="DW94" s="184"/>
      <c r="DX94" s="184"/>
      <c r="DY94" s="184"/>
      <c r="DZ94" s="184"/>
      <c r="EA94" s="184"/>
      <c r="EB94" s="184"/>
      <c r="EC94" s="184"/>
      <c r="ED94" s="184"/>
      <c r="EE94" s="184"/>
      <c r="EF94" s="184"/>
      <c r="EG94" s="184"/>
      <c r="EH94" s="184"/>
      <c r="EI94" s="184"/>
      <c r="EJ94" s="184"/>
      <c r="EK94" s="184"/>
      <c r="EL94" s="184"/>
      <c r="EM94" s="184"/>
      <c r="EN94" s="184"/>
      <c r="EO94" s="184"/>
      <c r="EP94" s="184"/>
      <c r="EQ94" s="184"/>
      <c r="ER94" s="184"/>
      <c r="ES94" s="184"/>
      <c r="ET94" s="184"/>
      <c r="EU94" s="184"/>
      <c r="EV94" s="184"/>
      <c r="EW94" s="184"/>
      <c r="EX94" s="184"/>
      <c r="EY94" s="184"/>
      <c r="EZ94" s="184"/>
      <c r="FA94" s="184"/>
      <c r="FB94" s="184"/>
      <c r="FC94" s="184"/>
      <c r="FD94" s="184"/>
      <c r="FE94" s="184"/>
      <c r="FF94" s="184"/>
      <c r="FG94" s="184"/>
      <c r="FH94" s="184"/>
      <c r="FI94" s="184"/>
      <c r="FJ94" s="184"/>
      <c r="FK94" s="184"/>
      <c r="FL94" s="184"/>
      <c r="FM94" s="184"/>
      <c r="FN94" s="184"/>
      <c r="FO94" s="184"/>
      <c r="FP94" s="184"/>
      <c r="FQ94" s="184"/>
      <c r="FR94" s="184"/>
      <c r="FS94" s="184"/>
      <c r="FT94" s="184"/>
      <c r="FU94" s="184"/>
      <c r="FV94" s="184"/>
      <c r="FW94" s="184"/>
      <c r="FX94" s="184"/>
      <c r="FY94" s="184"/>
      <c r="FZ94" s="184"/>
      <c r="GA94" s="184"/>
      <c r="GB94" s="184"/>
      <c r="GC94" s="184"/>
      <c r="GD94" s="184"/>
      <c r="GE94" s="184"/>
      <c r="GF94" s="184"/>
      <c r="GG94" s="184"/>
      <c r="GH94" s="184"/>
      <c r="GI94" s="184"/>
    </row>
    <row r="95" spans="1:191" s="186" customFormat="1" ht="15" customHeight="1">
      <c r="A95" s="184"/>
      <c r="B95" s="190"/>
      <c r="C95" s="211"/>
      <c r="D95" s="193"/>
      <c r="E95" s="193"/>
      <c r="F95" s="188"/>
      <c r="G95" s="188"/>
      <c r="H95" s="190"/>
      <c r="I95" s="188"/>
      <c r="J95" s="184"/>
      <c r="K95" s="190"/>
      <c r="L95" s="190"/>
      <c r="M95" s="190"/>
      <c r="N95" s="184"/>
      <c r="O95" s="191"/>
      <c r="P95" s="191"/>
      <c r="Q95" s="183"/>
      <c r="R95" s="183"/>
      <c r="S95" s="183"/>
      <c r="T95" s="184"/>
      <c r="U95" s="184"/>
      <c r="V95" s="188"/>
      <c r="AB95" s="184"/>
      <c r="AC95" s="184"/>
      <c r="AD95" s="184"/>
      <c r="AE95" s="184"/>
      <c r="AF95" s="184"/>
      <c r="AG95" s="184"/>
      <c r="AH95" s="184"/>
      <c r="AI95" s="184"/>
      <c r="AJ95" s="184"/>
      <c r="AK95" s="184"/>
      <c r="AL95" s="184"/>
      <c r="AM95" s="184"/>
      <c r="AN95" s="184"/>
      <c r="AO95" s="184"/>
      <c r="AP95" s="184"/>
      <c r="AQ95" s="184"/>
      <c r="AR95" s="184"/>
      <c r="AS95" s="184"/>
      <c r="AT95" s="184"/>
      <c r="AU95" s="184"/>
      <c r="AV95" s="184"/>
      <c r="AW95" s="184"/>
      <c r="AX95" s="184"/>
      <c r="AY95" s="184"/>
      <c r="AZ95" s="184"/>
      <c r="BA95" s="184"/>
      <c r="BB95" s="184"/>
      <c r="BC95" s="184"/>
      <c r="BD95" s="184"/>
      <c r="BE95" s="184"/>
      <c r="BF95" s="184"/>
      <c r="BG95" s="184"/>
      <c r="BH95" s="184"/>
      <c r="BI95" s="184"/>
      <c r="BJ95" s="184"/>
      <c r="BK95" s="184"/>
      <c r="BL95" s="184"/>
      <c r="BM95" s="184"/>
      <c r="BN95" s="184"/>
      <c r="BO95" s="184"/>
      <c r="BP95" s="184"/>
      <c r="BQ95" s="184"/>
      <c r="BR95" s="184"/>
      <c r="BS95" s="184"/>
      <c r="BT95" s="184"/>
      <c r="BU95" s="184"/>
      <c r="BV95" s="184"/>
      <c r="BW95" s="184"/>
      <c r="BX95" s="184"/>
      <c r="BY95" s="184"/>
      <c r="BZ95" s="184"/>
      <c r="CA95" s="184"/>
      <c r="CB95" s="184"/>
      <c r="CC95" s="184"/>
      <c r="CD95" s="184"/>
      <c r="CE95" s="184"/>
      <c r="CF95" s="184"/>
      <c r="CG95" s="184"/>
      <c r="CH95" s="184"/>
      <c r="CI95" s="184"/>
      <c r="CJ95" s="184"/>
      <c r="CK95" s="184"/>
      <c r="CL95" s="184"/>
      <c r="CM95" s="184"/>
      <c r="CN95" s="184"/>
      <c r="CO95" s="184"/>
      <c r="CP95" s="184"/>
      <c r="CQ95" s="184"/>
      <c r="CR95" s="184"/>
      <c r="CS95" s="184"/>
      <c r="CT95" s="184"/>
      <c r="CU95" s="184"/>
      <c r="CV95" s="184"/>
      <c r="CW95" s="184"/>
      <c r="CX95" s="184"/>
      <c r="CY95" s="184"/>
      <c r="CZ95" s="184"/>
      <c r="DA95" s="184"/>
      <c r="DB95" s="184"/>
      <c r="DC95" s="184"/>
      <c r="DD95" s="184"/>
      <c r="DE95" s="184"/>
      <c r="DF95" s="184"/>
      <c r="DG95" s="184"/>
      <c r="DH95" s="184"/>
      <c r="DI95" s="184"/>
      <c r="DJ95" s="184"/>
      <c r="DK95" s="184"/>
      <c r="DL95" s="184"/>
      <c r="DM95" s="184"/>
      <c r="DN95" s="184"/>
      <c r="DO95" s="184"/>
      <c r="DP95" s="184"/>
      <c r="DQ95" s="184"/>
      <c r="DR95" s="184"/>
      <c r="DS95" s="184"/>
      <c r="DT95" s="184"/>
      <c r="DU95" s="184"/>
      <c r="DV95" s="184"/>
      <c r="DW95" s="184"/>
      <c r="DX95" s="184"/>
      <c r="DY95" s="184"/>
      <c r="DZ95" s="184"/>
      <c r="EA95" s="184"/>
      <c r="EB95" s="184"/>
      <c r="EC95" s="184"/>
      <c r="ED95" s="184"/>
      <c r="EE95" s="184"/>
      <c r="EF95" s="184"/>
      <c r="EG95" s="184"/>
      <c r="EH95" s="184"/>
      <c r="EI95" s="184"/>
      <c r="EJ95" s="184"/>
      <c r="EK95" s="184"/>
      <c r="EL95" s="184"/>
      <c r="EM95" s="184"/>
      <c r="EN95" s="184"/>
      <c r="EO95" s="184"/>
      <c r="EP95" s="184"/>
      <c r="EQ95" s="184"/>
      <c r="ER95" s="184"/>
      <c r="ES95" s="184"/>
      <c r="ET95" s="184"/>
      <c r="EU95" s="184"/>
      <c r="EV95" s="184"/>
      <c r="EW95" s="184"/>
      <c r="EX95" s="184"/>
      <c r="EY95" s="184"/>
      <c r="EZ95" s="184"/>
      <c r="FA95" s="184"/>
      <c r="FB95" s="184"/>
      <c r="FC95" s="184"/>
      <c r="FD95" s="184"/>
      <c r="FE95" s="184"/>
      <c r="FF95" s="184"/>
      <c r="FG95" s="184"/>
      <c r="FH95" s="184"/>
      <c r="FI95" s="184"/>
      <c r="FJ95" s="184"/>
      <c r="FK95" s="184"/>
      <c r="FL95" s="184"/>
      <c r="FM95" s="184"/>
      <c r="FN95" s="184"/>
      <c r="FO95" s="184"/>
      <c r="FP95" s="184"/>
      <c r="FQ95" s="184"/>
      <c r="FR95" s="184"/>
      <c r="FS95" s="184"/>
      <c r="FT95" s="184"/>
      <c r="FU95" s="184"/>
      <c r="FV95" s="184"/>
      <c r="FW95" s="184"/>
      <c r="FX95" s="184"/>
      <c r="FY95" s="184"/>
      <c r="FZ95" s="184"/>
      <c r="GA95" s="184"/>
      <c r="GB95" s="184"/>
      <c r="GC95" s="184"/>
      <c r="GD95" s="184"/>
      <c r="GE95" s="184"/>
      <c r="GF95" s="184"/>
      <c r="GG95" s="184"/>
      <c r="GH95" s="184"/>
      <c r="GI95" s="184"/>
    </row>
    <row r="96" spans="1:191" s="186" customFormat="1" ht="15" customHeight="1">
      <c r="A96" s="184"/>
      <c r="B96" s="190"/>
      <c r="C96" s="211"/>
      <c r="D96" s="193"/>
      <c r="E96" s="193">
        <v>19025713.809999999</v>
      </c>
      <c r="F96" s="188"/>
      <c r="G96" s="188"/>
      <c r="H96" s="190"/>
      <c r="I96" s="188"/>
      <c r="J96" s="184"/>
      <c r="K96" s="190"/>
      <c r="L96" s="190"/>
      <c r="M96" s="190"/>
      <c r="N96" s="184"/>
      <c r="O96" s="191"/>
      <c r="P96" s="191"/>
      <c r="Q96" s="183"/>
      <c r="R96" s="183"/>
      <c r="S96" s="183"/>
      <c r="T96" s="184"/>
      <c r="U96" s="227">
        <f>SUM(U68:U95)</f>
        <v>19025713.809999987</v>
      </c>
      <c r="V96" s="188"/>
      <c r="AB96" s="184"/>
      <c r="AC96" s="184"/>
      <c r="AD96" s="184"/>
      <c r="AE96" s="184"/>
      <c r="AF96" s="184"/>
      <c r="AG96" s="184"/>
      <c r="AH96" s="184"/>
      <c r="AI96" s="184"/>
      <c r="AJ96" s="184"/>
      <c r="AK96" s="184"/>
      <c r="AL96" s="184"/>
      <c r="AM96" s="184"/>
      <c r="AN96" s="184"/>
      <c r="AO96" s="184"/>
      <c r="AP96" s="184"/>
      <c r="AQ96" s="184"/>
      <c r="AR96" s="184"/>
      <c r="AS96" s="184"/>
      <c r="AT96" s="184"/>
      <c r="AU96" s="184"/>
      <c r="AV96" s="184"/>
      <c r="AW96" s="184"/>
      <c r="AX96" s="184"/>
      <c r="AY96" s="184"/>
      <c r="AZ96" s="184"/>
      <c r="BA96" s="184"/>
      <c r="BB96" s="184"/>
      <c r="BC96" s="184"/>
      <c r="BD96" s="184"/>
      <c r="BE96" s="184"/>
      <c r="BF96" s="184"/>
      <c r="BG96" s="184"/>
      <c r="BH96" s="184"/>
      <c r="BI96" s="184"/>
      <c r="BJ96" s="184"/>
      <c r="BK96" s="184"/>
      <c r="BL96" s="184"/>
      <c r="BM96" s="184"/>
      <c r="BN96" s="184"/>
      <c r="BO96" s="184"/>
      <c r="BP96" s="184"/>
      <c r="BQ96" s="184"/>
      <c r="BR96" s="184"/>
      <c r="BS96" s="184"/>
      <c r="BT96" s="184"/>
      <c r="BU96" s="184"/>
      <c r="BV96" s="184"/>
      <c r="BW96" s="184"/>
      <c r="BX96" s="184"/>
      <c r="BY96" s="184"/>
      <c r="BZ96" s="184"/>
      <c r="CA96" s="184"/>
      <c r="CB96" s="184"/>
      <c r="CC96" s="184"/>
      <c r="CD96" s="184"/>
      <c r="CE96" s="184"/>
      <c r="CF96" s="184"/>
      <c r="CG96" s="184"/>
      <c r="CH96" s="184"/>
      <c r="CI96" s="184"/>
      <c r="CJ96" s="184"/>
      <c r="CK96" s="184"/>
      <c r="CL96" s="184"/>
      <c r="CM96" s="184"/>
      <c r="CN96" s="184"/>
      <c r="CO96" s="184"/>
      <c r="CP96" s="184"/>
      <c r="CQ96" s="184"/>
      <c r="CR96" s="184"/>
      <c r="CS96" s="184"/>
      <c r="CT96" s="184"/>
      <c r="CU96" s="184"/>
      <c r="CV96" s="184"/>
      <c r="CW96" s="184"/>
      <c r="CX96" s="184"/>
      <c r="CY96" s="184"/>
      <c r="CZ96" s="184"/>
      <c r="DA96" s="184"/>
      <c r="DB96" s="184"/>
      <c r="DC96" s="184"/>
      <c r="DD96" s="184"/>
      <c r="DE96" s="184"/>
      <c r="DF96" s="184"/>
      <c r="DG96" s="184"/>
      <c r="DH96" s="184"/>
      <c r="DI96" s="184"/>
      <c r="DJ96" s="184"/>
      <c r="DK96" s="184"/>
      <c r="DL96" s="184"/>
      <c r="DM96" s="184"/>
      <c r="DN96" s="184"/>
      <c r="DO96" s="184"/>
      <c r="DP96" s="184"/>
      <c r="DQ96" s="184"/>
      <c r="DR96" s="184"/>
      <c r="DS96" s="184"/>
      <c r="DT96" s="184"/>
      <c r="DU96" s="184"/>
      <c r="DV96" s="184"/>
      <c r="DW96" s="184"/>
      <c r="DX96" s="184"/>
      <c r="DY96" s="184"/>
      <c r="DZ96" s="184"/>
      <c r="EA96" s="184"/>
      <c r="EB96" s="184"/>
      <c r="EC96" s="184"/>
      <c r="ED96" s="184"/>
      <c r="EE96" s="184"/>
      <c r="EF96" s="184"/>
      <c r="EG96" s="184"/>
      <c r="EH96" s="184"/>
      <c r="EI96" s="184"/>
      <c r="EJ96" s="184"/>
      <c r="EK96" s="184"/>
      <c r="EL96" s="184"/>
      <c r="EM96" s="184"/>
      <c r="EN96" s="184"/>
      <c r="EO96" s="184"/>
      <c r="EP96" s="184"/>
      <c r="EQ96" s="184"/>
      <c r="ER96" s="184"/>
      <c r="ES96" s="184"/>
      <c r="ET96" s="184"/>
      <c r="EU96" s="184"/>
      <c r="EV96" s="184"/>
      <c r="EW96" s="184"/>
      <c r="EX96" s="184"/>
      <c r="EY96" s="184"/>
      <c r="EZ96" s="184"/>
      <c r="FA96" s="184"/>
      <c r="FB96" s="184"/>
      <c r="FC96" s="184"/>
      <c r="FD96" s="184"/>
      <c r="FE96" s="184"/>
      <c r="FF96" s="184"/>
      <c r="FG96" s="184"/>
      <c r="FH96" s="184"/>
      <c r="FI96" s="184"/>
      <c r="FJ96" s="184"/>
      <c r="FK96" s="184"/>
      <c r="FL96" s="184"/>
      <c r="FM96" s="184"/>
      <c r="FN96" s="184"/>
      <c r="FO96" s="184"/>
      <c r="FP96" s="184"/>
      <c r="FQ96" s="184"/>
      <c r="FR96" s="184"/>
      <c r="FS96" s="184"/>
      <c r="FT96" s="184"/>
      <c r="FU96" s="184"/>
      <c r="FV96" s="184"/>
      <c r="FW96" s="184"/>
      <c r="FX96" s="184"/>
      <c r="FY96" s="184"/>
      <c r="FZ96" s="184"/>
      <c r="GA96" s="184"/>
      <c r="GB96" s="184"/>
      <c r="GC96" s="184"/>
      <c r="GD96" s="184"/>
      <c r="GE96" s="184"/>
      <c r="GF96" s="184"/>
      <c r="GG96" s="184"/>
      <c r="GH96" s="184"/>
      <c r="GI96" s="184"/>
    </row>
    <row r="97" spans="1:191" s="186" customFormat="1" ht="15" customHeight="1">
      <c r="A97" s="184"/>
      <c r="B97" s="190"/>
      <c r="C97" s="211"/>
      <c r="D97" s="193"/>
      <c r="E97" s="193"/>
      <c r="F97" s="188"/>
      <c r="G97" s="188"/>
      <c r="H97" s="190"/>
      <c r="I97" s="188"/>
      <c r="J97" s="184"/>
      <c r="K97" s="190"/>
      <c r="L97" s="190"/>
      <c r="M97" s="190"/>
      <c r="N97" s="184"/>
      <c r="O97" s="191"/>
      <c r="P97" s="191"/>
      <c r="Q97" s="183"/>
      <c r="R97" s="183"/>
      <c r="S97" s="183"/>
      <c r="T97" s="184"/>
      <c r="U97" s="184"/>
      <c r="V97" s="188"/>
      <c r="AB97" s="184"/>
      <c r="AC97" s="184"/>
      <c r="AD97" s="184"/>
      <c r="AE97" s="184"/>
      <c r="AF97" s="184"/>
      <c r="AG97" s="184"/>
      <c r="AH97" s="184"/>
      <c r="AI97" s="184"/>
      <c r="AJ97" s="184"/>
      <c r="AK97" s="184"/>
      <c r="AL97" s="184"/>
      <c r="AM97" s="184"/>
      <c r="AN97" s="184"/>
      <c r="AO97" s="184"/>
      <c r="AP97" s="184"/>
      <c r="AQ97" s="184"/>
      <c r="AR97" s="184"/>
      <c r="AS97" s="184"/>
      <c r="AT97" s="184"/>
      <c r="AU97" s="184"/>
      <c r="AV97" s="184"/>
      <c r="AW97" s="184"/>
      <c r="AX97" s="184"/>
      <c r="AY97" s="184"/>
      <c r="AZ97" s="184"/>
      <c r="BA97" s="184"/>
      <c r="BB97" s="184"/>
      <c r="BC97" s="184"/>
      <c r="BD97" s="184"/>
      <c r="BE97" s="184"/>
      <c r="BF97" s="184"/>
      <c r="BG97" s="184"/>
      <c r="BH97" s="184"/>
      <c r="BI97" s="184"/>
      <c r="BJ97" s="184"/>
      <c r="BK97" s="184"/>
      <c r="BL97" s="184"/>
      <c r="BM97" s="184"/>
      <c r="BN97" s="184"/>
      <c r="BO97" s="184"/>
      <c r="BP97" s="184"/>
      <c r="BQ97" s="184"/>
      <c r="BR97" s="184"/>
      <c r="BS97" s="184"/>
      <c r="BT97" s="184"/>
      <c r="BU97" s="184"/>
      <c r="BV97" s="184"/>
      <c r="BW97" s="184"/>
      <c r="BX97" s="184"/>
      <c r="BY97" s="184"/>
      <c r="BZ97" s="184"/>
      <c r="CA97" s="184"/>
      <c r="CB97" s="184"/>
      <c r="CC97" s="184"/>
      <c r="CD97" s="184"/>
      <c r="CE97" s="184"/>
      <c r="CF97" s="184"/>
      <c r="CG97" s="184"/>
      <c r="CH97" s="184"/>
      <c r="CI97" s="184"/>
      <c r="CJ97" s="184"/>
      <c r="CK97" s="184"/>
      <c r="CL97" s="184"/>
      <c r="CM97" s="184"/>
      <c r="CN97" s="184"/>
      <c r="CO97" s="184"/>
      <c r="CP97" s="184"/>
      <c r="CQ97" s="184"/>
      <c r="CR97" s="184"/>
      <c r="CS97" s="184"/>
      <c r="CT97" s="184"/>
      <c r="CU97" s="184"/>
      <c r="CV97" s="184"/>
      <c r="CW97" s="184"/>
      <c r="CX97" s="184"/>
      <c r="CY97" s="184"/>
      <c r="CZ97" s="184"/>
      <c r="DA97" s="184"/>
      <c r="DB97" s="184"/>
      <c r="DC97" s="184"/>
      <c r="DD97" s="184"/>
      <c r="DE97" s="184"/>
      <c r="DF97" s="184"/>
      <c r="DG97" s="184"/>
      <c r="DH97" s="184"/>
      <c r="DI97" s="184"/>
      <c r="DJ97" s="184"/>
      <c r="DK97" s="184"/>
      <c r="DL97" s="184"/>
      <c r="DM97" s="184"/>
      <c r="DN97" s="184"/>
      <c r="DO97" s="184"/>
      <c r="DP97" s="184"/>
      <c r="DQ97" s="184"/>
      <c r="DR97" s="184"/>
      <c r="DS97" s="184"/>
      <c r="DT97" s="184"/>
      <c r="DU97" s="184"/>
      <c r="DV97" s="184"/>
      <c r="DW97" s="184"/>
      <c r="DX97" s="184"/>
      <c r="DY97" s="184"/>
      <c r="DZ97" s="184"/>
      <c r="EA97" s="184"/>
      <c r="EB97" s="184"/>
      <c r="EC97" s="184"/>
      <c r="ED97" s="184"/>
      <c r="EE97" s="184"/>
      <c r="EF97" s="184"/>
      <c r="EG97" s="184"/>
      <c r="EH97" s="184"/>
      <c r="EI97" s="184"/>
      <c r="EJ97" s="184"/>
      <c r="EK97" s="184"/>
      <c r="EL97" s="184"/>
      <c r="EM97" s="184"/>
      <c r="EN97" s="184"/>
      <c r="EO97" s="184"/>
      <c r="EP97" s="184"/>
      <c r="EQ97" s="184"/>
      <c r="ER97" s="184"/>
      <c r="ES97" s="184"/>
      <c r="ET97" s="184"/>
      <c r="EU97" s="184"/>
      <c r="EV97" s="184"/>
      <c r="EW97" s="184"/>
      <c r="EX97" s="184"/>
      <c r="EY97" s="184"/>
      <c r="EZ97" s="184"/>
      <c r="FA97" s="184"/>
      <c r="FB97" s="184"/>
      <c r="FC97" s="184"/>
      <c r="FD97" s="184"/>
      <c r="FE97" s="184"/>
      <c r="FF97" s="184"/>
      <c r="FG97" s="184"/>
      <c r="FH97" s="184"/>
      <c r="FI97" s="184"/>
      <c r="FJ97" s="184"/>
      <c r="FK97" s="184"/>
      <c r="FL97" s="184"/>
      <c r="FM97" s="184"/>
      <c r="FN97" s="184"/>
      <c r="FO97" s="184"/>
      <c r="FP97" s="184"/>
      <c r="FQ97" s="184"/>
      <c r="FR97" s="184"/>
      <c r="FS97" s="184"/>
      <c r="FT97" s="184"/>
      <c r="FU97" s="184"/>
      <c r="FV97" s="184"/>
      <c r="FW97" s="184"/>
      <c r="FX97" s="184"/>
      <c r="FY97" s="184"/>
      <c r="FZ97" s="184"/>
      <c r="GA97" s="184"/>
      <c r="GB97" s="184"/>
      <c r="GC97" s="184"/>
      <c r="GD97" s="184"/>
      <c r="GE97" s="184"/>
      <c r="GF97" s="184"/>
      <c r="GG97" s="184"/>
      <c r="GH97" s="184"/>
      <c r="GI97" s="184"/>
    </row>
    <row r="98" spans="1:191" s="186" customFormat="1" ht="15" customHeight="1">
      <c r="A98" s="184"/>
      <c r="B98" s="190"/>
      <c r="C98" s="211"/>
      <c r="D98" s="193" t="s">
        <v>1137</v>
      </c>
      <c r="E98" s="193"/>
      <c r="F98" s="188"/>
      <c r="G98" s="188"/>
      <c r="H98" s="190"/>
      <c r="I98" s="188"/>
      <c r="J98" s="184"/>
      <c r="K98" s="190"/>
      <c r="L98" s="190"/>
      <c r="M98" s="190"/>
      <c r="N98" s="184"/>
      <c r="O98" s="191"/>
      <c r="P98" s="191"/>
      <c r="Q98" s="183"/>
      <c r="R98" s="183"/>
      <c r="S98" s="183"/>
      <c r="T98" s="184"/>
      <c r="U98" s="184"/>
      <c r="V98" s="188"/>
      <c r="AB98" s="184"/>
      <c r="AC98" s="184"/>
      <c r="AD98" s="184"/>
      <c r="AE98" s="184"/>
      <c r="AF98" s="184"/>
      <c r="AG98" s="184"/>
      <c r="AH98" s="184"/>
      <c r="AI98" s="184"/>
      <c r="AJ98" s="184"/>
      <c r="AK98" s="184"/>
      <c r="AL98" s="184"/>
      <c r="AM98" s="184"/>
      <c r="AN98" s="184"/>
      <c r="AO98" s="184"/>
      <c r="AP98" s="184"/>
      <c r="AQ98" s="184"/>
      <c r="AR98" s="184"/>
      <c r="AS98" s="184"/>
      <c r="AT98" s="184"/>
      <c r="AU98" s="184"/>
      <c r="AV98" s="184"/>
      <c r="AW98" s="184"/>
      <c r="AX98" s="184"/>
      <c r="AY98" s="184"/>
      <c r="AZ98" s="184"/>
      <c r="BA98" s="184"/>
      <c r="BB98" s="184"/>
      <c r="BC98" s="184"/>
      <c r="BD98" s="184"/>
      <c r="BE98" s="184"/>
      <c r="BF98" s="184"/>
      <c r="BG98" s="184"/>
      <c r="BH98" s="184"/>
      <c r="BI98" s="184"/>
      <c r="BJ98" s="184"/>
      <c r="BK98" s="184"/>
      <c r="BL98" s="184"/>
      <c r="BM98" s="184"/>
      <c r="BN98" s="184"/>
      <c r="BO98" s="184"/>
      <c r="BP98" s="184"/>
      <c r="BQ98" s="184"/>
      <c r="BR98" s="184"/>
      <c r="BS98" s="184"/>
      <c r="BT98" s="184"/>
      <c r="BU98" s="184"/>
      <c r="BV98" s="184"/>
      <c r="BW98" s="184"/>
      <c r="BX98" s="184"/>
      <c r="BY98" s="184"/>
      <c r="BZ98" s="184"/>
      <c r="CA98" s="184"/>
      <c r="CB98" s="184"/>
      <c r="CC98" s="184"/>
      <c r="CD98" s="184"/>
      <c r="CE98" s="184"/>
      <c r="CF98" s="184"/>
      <c r="CG98" s="184"/>
      <c r="CH98" s="184"/>
      <c r="CI98" s="184"/>
      <c r="CJ98" s="184"/>
      <c r="CK98" s="184"/>
      <c r="CL98" s="184"/>
      <c r="CM98" s="184"/>
      <c r="CN98" s="184"/>
      <c r="CO98" s="184"/>
      <c r="CP98" s="184"/>
      <c r="CQ98" s="184"/>
      <c r="CR98" s="184"/>
      <c r="CS98" s="184"/>
      <c r="CT98" s="184"/>
      <c r="CU98" s="184"/>
      <c r="CV98" s="184"/>
      <c r="CW98" s="184"/>
      <c r="CX98" s="184"/>
      <c r="CY98" s="184"/>
      <c r="CZ98" s="184"/>
      <c r="DA98" s="184"/>
      <c r="DB98" s="184"/>
      <c r="DC98" s="184"/>
      <c r="DD98" s="184"/>
      <c r="DE98" s="184"/>
      <c r="DF98" s="184"/>
      <c r="DG98" s="184"/>
      <c r="DH98" s="184"/>
      <c r="DI98" s="184"/>
      <c r="DJ98" s="184"/>
      <c r="DK98" s="184"/>
      <c r="DL98" s="184"/>
      <c r="DM98" s="184"/>
      <c r="DN98" s="184"/>
      <c r="DO98" s="184"/>
      <c r="DP98" s="184"/>
      <c r="DQ98" s="184"/>
      <c r="DR98" s="184"/>
      <c r="DS98" s="184"/>
      <c r="DT98" s="184"/>
      <c r="DU98" s="184"/>
      <c r="DV98" s="184"/>
      <c r="DW98" s="184"/>
      <c r="DX98" s="184"/>
      <c r="DY98" s="184"/>
      <c r="DZ98" s="184"/>
      <c r="EA98" s="184"/>
      <c r="EB98" s="184"/>
      <c r="EC98" s="184"/>
      <c r="ED98" s="184"/>
      <c r="EE98" s="184"/>
      <c r="EF98" s="184"/>
      <c r="EG98" s="184"/>
      <c r="EH98" s="184"/>
      <c r="EI98" s="184"/>
      <c r="EJ98" s="184"/>
      <c r="EK98" s="184"/>
      <c r="EL98" s="184"/>
      <c r="EM98" s="184"/>
      <c r="EN98" s="184"/>
      <c r="EO98" s="184"/>
      <c r="EP98" s="184"/>
      <c r="EQ98" s="184"/>
      <c r="ER98" s="184"/>
      <c r="ES98" s="184"/>
      <c r="ET98" s="184"/>
      <c r="EU98" s="184"/>
      <c r="EV98" s="184"/>
      <c r="EW98" s="184"/>
      <c r="EX98" s="184"/>
      <c r="EY98" s="184"/>
      <c r="EZ98" s="184"/>
      <c r="FA98" s="184"/>
      <c r="FB98" s="184"/>
      <c r="FC98" s="184"/>
      <c r="FD98" s="184"/>
      <c r="FE98" s="184"/>
      <c r="FF98" s="184"/>
      <c r="FG98" s="184"/>
      <c r="FH98" s="184"/>
      <c r="FI98" s="184"/>
      <c r="FJ98" s="184"/>
      <c r="FK98" s="184"/>
      <c r="FL98" s="184"/>
      <c r="FM98" s="184"/>
      <c r="FN98" s="184"/>
      <c r="FO98" s="184"/>
      <c r="FP98" s="184"/>
      <c r="FQ98" s="184"/>
      <c r="FR98" s="184"/>
      <c r="FS98" s="184"/>
      <c r="FT98" s="184"/>
      <c r="FU98" s="184"/>
      <c r="FV98" s="184"/>
      <c r="FW98" s="184"/>
      <c r="FX98" s="184"/>
      <c r="FY98" s="184"/>
      <c r="FZ98" s="184"/>
      <c r="GA98" s="184"/>
      <c r="GB98" s="184"/>
      <c r="GC98" s="184"/>
      <c r="GD98" s="184"/>
      <c r="GE98" s="184"/>
      <c r="GF98" s="184"/>
      <c r="GG98" s="184"/>
      <c r="GH98" s="184"/>
      <c r="GI98" s="184"/>
    </row>
    <row r="99" spans="1:191" s="186" customFormat="1" ht="15" customHeight="1">
      <c r="A99" s="184"/>
      <c r="B99" s="190"/>
      <c r="C99" s="211"/>
      <c r="D99" s="193"/>
      <c r="E99" s="193"/>
      <c r="F99" s="188"/>
      <c r="G99" s="188"/>
      <c r="H99" s="190"/>
      <c r="I99" s="188"/>
      <c r="J99" s="184"/>
      <c r="K99" s="190"/>
      <c r="L99" s="190"/>
      <c r="M99" s="190"/>
      <c r="N99" s="184"/>
      <c r="O99" s="191"/>
      <c r="P99" s="191"/>
      <c r="Q99" s="183"/>
      <c r="R99" s="183"/>
      <c r="S99" s="183"/>
      <c r="T99" s="184"/>
      <c r="U99" s="184"/>
      <c r="V99" s="188"/>
      <c r="AB99" s="184"/>
      <c r="AC99" s="184"/>
      <c r="AD99" s="184"/>
      <c r="AE99" s="184"/>
      <c r="AF99" s="184"/>
      <c r="AG99" s="184"/>
      <c r="AH99" s="184"/>
      <c r="AI99" s="184"/>
      <c r="AJ99" s="184"/>
      <c r="AK99" s="184"/>
      <c r="AL99" s="184"/>
      <c r="AM99" s="184"/>
      <c r="AN99" s="184"/>
      <c r="AO99" s="184"/>
      <c r="AP99" s="184"/>
      <c r="AQ99" s="184"/>
      <c r="AR99" s="184"/>
      <c r="AS99" s="184"/>
      <c r="AT99" s="184"/>
      <c r="AU99" s="184"/>
      <c r="AV99" s="184"/>
      <c r="AW99" s="184"/>
      <c r="AX99" s="184"/>
      <c r="AY99" s="184"/>
      <c r="AZ99" s="184"/>
      <c r="BA99" s="184"/>
      <c r="BB99" s="184"/>
      <c r="BC99" s="184"/>
      <c r="BD99" s="184"/>
      <c r="BE99" s="184"/>
      <c r="BF99" s="184"/>
      <c r="BG99" s="184"/>
      <c r="BH99" s="184"/>
      <c r="BI99" s="184"/>
      <c r="BJ99" s="184"/>
      <c r="BK99" s="184"/>
      <c r="BL99" s="184"/>
      <c r="BM99" s="184"/>
      <c r="BN99" s="184"/>
      <c r="BO99" s="184"/>
      <c r="BP99" s="184"/>
      <c r="BQ99" s="184"/>
      <c r="BR99" s="184"/>
      <c r="BS99" s="184"/>
      <c r="BT99" s="184"/>
      <c r="BU99" s="184"/>
      <c r="BV99" s="184"/>
      <c r="BW99" s="184"/>
      <c r="BX99" s="184"/>
      <c r="BY99" s="184"/>
      <c r="BZ99" s="184"/>
      <c r="CA99" s="184"/>
      <c r="CB99" s="184"/>
      <c r="CC99" s="184"/>
      <c r="CD99" s="184"/>
      <c r="CE99" s="184"/>
      <c r="CF99" s="184"/>
      <c r="CG99" s="184"/>
      <c r="CH99" s="184"/>
      <c r="CI99" s="184"/>
      <c r="CJ99" s="184"/>
      <c r="CK99" s="184"/>
      <c r="CL99" s="184"/>
      <c r="CM99" s="184"/>
      <c r="CN99" s="184"/>
      <c r="CO99" s="184"/>
      <c r="CP99" s="184"/>
      <c r="CQ99" s="184"/>
      <c r="CR99" s="184"/>
      <c r="CS99" s="184"/>
      <c r="CT99" s="184"/>
      <c r="CU99" s="184"/>
      <c r="CV99" s="184"/>
      <c r="CW99" s="184"/>
      <c r="CX99" s="184"/>
      <c r="CY99" s="184"/>
      <c r="CZ99" s="184"/>
      <c r="DA99" s="184"/>
      <c r="DB99" s="184"/>
      <c r="DC99" s="184"/>
      <c r="DD99" s="184"/>
      <c r="DE99" s="184"/>
      <c r="DF99" s="184"/>
      <c r="DG99" s="184"/>
      <c r="DH99" s="184"/>
      <c r="DI99" s="184"/>
      <c r="DJ99" s="184"/>
      <c r="DK99" s="184"/>
      <c r="DL99" s="184"/>
      <c r="DM99" s="184"/>
      <c r="DN99" s="184"/>
      <c r="DO99" s="184"/>
      <c r="DP99" s="184"/>
      <c r="DQ99" s="184"/>
      <c r="DR99" s="184"/>
      <c r="DS99" s="184"/>
      <c r="DT99" s="184"/>
      <c r="DU99" s="184"/>
      <c r="DV99" s="184"/>
      <c r="DW99" s="184"/>
      <c r="DX99" s="184"/>
      <c r="DY99" s="184"/>
      <c r="DZ99" s="184"/>
      <c r="EA99" s="184"/>
      <c r="EB99" s="184"/>
      <c r="EC99" s="184"/>
      <c r="ED99" s="184"/>
      <c r="EE99" s="184"/>
      <c r="EF99" s="184"/>
      <c r="EG99" s="184"/>
      <c r="EH99" s="184"/>
      <c r="EI99" s="184"/>
      <c r="EJ99" s="184"/>
      <c r="EK99" s="184"/>
      <c r="EL99" s="184"/>
      <c r="EM99" s="184"/>
      <c r="EN99" s="184"/>
      <c r="EO99" s="184"/>
      <c r="EP99" s="184"/>
      <c r="EQ99" s="184"/>
      <c r="ER99" s="184"/>
      <c r="ES99" s="184"/>
      <c r="ET99" s="184"/>
      <c r="EU99" s="184"/>
      <c r="EV99" s="184"/>
      <c r="EW99" s="184"/>
      <c r="EX99" s="184"/>
      <c r="EY99" s="184"/>
      <c r="EZ99" s="184"/>
      <c r="FA99" s="184"/>
      <c r="FB99" s="184"/>
      <c r="FC99" s="184"/>
      <c r="FD99" s="184"/>
      <c r="FE99" s="184"/>
      <c r="FF99" s="184"/>
      <c r="FG99" s="184"/>
      <c r="FH99" s="184"/>
      <c r="FI99" s="184"/>
      <c r="FJ99" s="184"/>
      <c r="FK99" s="184"/>
      <c r="FL99" s="184"/>
      <c r="FM99" s="184"/>
      <c r="FN99" s="184"/>
      <c r="FO99" s="184"/>
      <c r="FP99" s="184"/>
      <c r="FQ99" s="184"/>
      <c r="FR99" s="184"/>
      <c r="FS99" s="184"/>
      <c r="FT99" s="184"/>
      <c r="FU99" s="184"/>
      <c r="FV99" s="184"/>
      <c r="FW99" s="184"/>
      <c r="FX99" s="184"/>
      <c r="FY99" s="184"/>
      <c r="FZ99" s="184"/>
      <c r="GA99" s="184"/>
      <c r="GB99" s="184"/>
      <c r="GC99" s="184"/>
      <c r="GD99" s="184"/>
      <c r="GE99" s="184"/>
      <c r="GF99" s="184"/>
      <c r="GG99" s="184"/>
      <c r="GH99" s="184"/>
      <c r="GI99" s="184"/>
    </row>
    <row r="100" spans="1:191" s="186" customFormat="1" ht="15" customHeight="1">
      <c r="A100" s="184"/>
      <c r="B100" s="190"/>
      <c r="C100" s="211"/>
      <c r="D100" s="193"/>
      <c r="E100" s="193"/>
      <c r="F100" s="188"/>
      <c r="G100" s="188"/>
      <c r="H100" s="190"/>
      <c r="I100" s="188"/>
      <c r="J100" s="184"/>
      <c r="K100" s="190"/>
      <c r="L100" s="190"/>
      <c r="M100" s="190"/>
      <c r="N100" s="184"/>
      <c r="O100" s="191"/>
      <c r="P100" s="191"/>
      <c r="Q100" s="183"/>
      <c r="R100" s="183"/>
      <c r="S100" s="183"/>
      <c r="T100" s="184"/>
      <c r="U100" s="184"/>
      <c r="V100" s="188"/>
      <c r="AB100" s="184"/>
      <c r="AC100" s="184"/>
      <c r="AD100" s="184"/>
      <c r="AE100" s="184"/>
      <c r="AF100" s="184"/>
      <c r="AG100" s="184"/>
      <c r="AH100" s="184"/>
      <c r="AI100" s="184"/>
      <c r="AJ100" s="184"/>
      <c r="AK100" s="184"/>
      <c r="AL100" s="184"/>
      <c r="AM100" s="184"/>
      <c r="AN100" s="184"/>
      <c r="AO100" s="184"/>
      <c r="AP100" s="184"/>
      <c r="AQ100" s="184"/>
      <c r="AR100" s="184"/>
      <c r="AS100" s="184"/>
      <c r="AT100" s="184"/>
      <c r="AU100" s="184"/>
      <c r="AV100" s="184"/>
      <c r="AW100" s="184"/>
      <c r="AX100" s="184"/>
      <c r="AY100" s="184"/>
      <c r="AZ100" s="184"/>
      <c r="BA100" s="184"/>
      <c r="BB100" s="184"/>
      <c r="BC100" s="184"/>
      <c r="BD100" s="184"/>
      <c r="BE100" s="184"/>
      <c r="BF100" s="184"/>
      <c r="BG100" s="184"/>
      <c r="BH100" s="184"/>
      <c r="BI100" s="184"/>
      <c r="BJ100" s="184"/>
      <c r="BK100" s="184"/>
      <c r="BL100" s="184"/>
      <c r="BM100" s="184"/>
      <c r="BN100" s="184"/>
      <c r="BO100" s="184"/>
      <c r="BP100" s="184"/>
      <c r="BQ100" s="184"/>
      <c r="BR100" s="184"/>
      <c r="BS100" s="184"/>
      <c r="BT100" s="184"/>
      <c r="BU100" s="184"/>
      <c r="BV100" s="184"/>
      <c r="BW100" s="184"/>
      <c r="BX100" s="184"/>
      <c r="BY100" s="184"/>
      <c r="BZ100" s="184"/>
      <c r="CA100" s="184"/>
      <c r="CB100" s="184"/>
      <c r="CC100" s="184"/>
      <c r="CD100" s="184"/>
      <c r="CE100" s="184"/>
      <c r="CF100" s="184"/>
      <c r="CG100" s="184"/>
      <c r="CH100" s="184"/>
      <c r="CI100" s="184"/>
      <c r="CJ100" s="184"/>
      <c r="CK100" s="184"/>
      <c r="CL100" s="184"/>
      <c r="CM100" s="184"/>
      <c r="CN100" s="184"/>
      <c r="CO100" s="184"/>
      <c r="CP100" s="184"/>
      <c r="CQ100" s="184"/>
      <c r="CR100" s="184"/>
      <c r="CS100" s="184"/>
      <c r="CT100" s="184"/>
      <c r="CU100" s="184"/>
      <c r="CV100" s="184"/>
      <c r="CW100" s="184"/>
      <c r="CX100" s="184"/>
      <c r="CY100" s="184"/>
      <c r="CZ100" s="184"/>
      <c r="DA100" s="184"/>
      <c r="DB100" s="184"/>
      <c r="DC100" s="184"/>
      <c r="DD100" s="184"/>
      <c r="DE100" s="184"/>
      <c r="DF100" s="184"/>
      <c r="DG100" s="184"/>
      <c r="DH100" s="184"/>
      <c r="DI100" s="184"/>
      <c r="DJ100" s="184"/>
      <c r="DK100" s="184"/>
      <c r="DL100" s="184"/>
      <c r="DM100" s="184"/>
      <c r="DN100" s="184"/>
      <c r="DO100" s="184"/>
      <c r="DP100" s="184"/>
      <c r="DQ100" s="184"/>
      <c r="DR100" s="184"/>
      <c r="DS100" s="184"/>
      <c r="DT100" s="184"/>
      <c r="DU100" s="184"/>
      <c r="DV100" s="184"/>
      <c r="DW100" s="184"/>
      <c r="DX100" s="184"/>
      <c r="DY100" s="184"/>
      <c r="DZ100" s="184"/>
      <c r="EA100" s="184"/>
      <c r="EB100" s="184"/>
      <c r="EC100" s="184"/>
      <c r="ED100" s="184"/>
      <c r="EE100" s="184"/>
      <c r="EF100" s="184"/>
      <c r="EG100" s="184"/>
      <c r="EH100" s="184"/>
      <c r="EI100" s="184"/>
      <c r="EJ100" s="184"/>
      <c r="EK100" s="184"/>
      <c r="EL100" s="184"/>
      <c r="EM100" s="184"/>
      <c r="EN100" s="184"/>
      <c r="EO100" s="184"/>
      <c r="EP100" s="184"/>
      <c r="EQ100" s="184"/>
      <c r="ER100" s="184"/>
      <c r="ES100" s="184"/>
      <c r="ET100" s="184"/>
      <c r="EU100" s="184"/>
      <c r="EV100" s="184"/>
      <c r="EW100" s="184"/>
      <c r="EX100" s="184"/>
      <c r="EY100" s="184"/>
      <c r="EZ100" s="184"/>
      <c r="FA100" s="184"/>
      <c r="FB100" s="184"/>
      <c r="FC100" s="184"/>
      <c r="FD100" s="184"/>
      <c r="FE100" s="184"/>
      <c r="FF100" s="184"/>
      <c r="FG100" s="184"/>
      <c r="FH100" s="184"/>
      <c r="FI100" s="184"/>
      <c r="FJ100" s="184"/>
      <c r="FK100" s="184"/>
      <c r="FL100" s="184"/>
      <c r="FM100" s="184"/>
      <c r="FN100" s="184"/>
      <c r="FO100" s="184"/>
      <c r="FP100" s="184"/>
      <c r="FQ100" s="184"/>
      <c r="FR100" s="184"/>
      <c r="FS100" s="184"/>
      <c r="FT100" s="184"/>
      <c r="FU100" s="184"/>
      <c r="FV100" s="184"/>
      <c r="FW100" s="184"/>
      <c r="FX100" s="184"/>
      <c r="FY100" s="184"/>
      <c r="FZ100" s="184"/>
      <c r="GA100" s="184"/>
      <c r="GB100" s="184"/>
      <c r="GC100" s="184"/>
      <c r="GD100" s="184"/>
      <c r="GE100" s="184"/>
      <c r="GF100" s="184"/>
      <c r="GG100" s="184"/>
      <c r="GH100" s="184"/>
      <c r="GI100" s="184"/>
    </row>
    <row r="101" spans="1:191" s="186" customFormat="1" ht="15" customHeight="1">
      <c r="A101" s="184"/>
      <c r="B101" s="190"/>
      <c r="C101" s="211"/>
      <c r="D101" s="193"/>
      <c r="E101" s="193"/>
      <c r="F101" s="188"/>
      <c r="G101" s="188"/>
      <c r="H101" s="190"/>
      <c r="I101" s="188"/>
      <c r="J101" s="184"/>
      <c r="K101" s="190"/>
      <c r="L101" s="190"/>
      <c r="M101" s="190"/>
      <c r="N101" s="184"/>
      <c r="O101" s="191"/>
      <c r="P101" s="191"/>
      <c r="Q101" s="183"/>
      <c r="R101" s="183"/>
      <c r="S101" s="183"/>
      <c r="T101" s="184"/>
      <c r="U101" s="184"/>
      <c r="V101" s="188"/>
      <c r="AB101" s="184"/>
      <c r="AC101" s="184"/>
      <c r="AD101" s="184"/>
      <c r="AE101" s="184"/>
      <c r="AF101" s="184"/>
      <c r="AG101" s="184"/>
      <c r="AH101" s="184"/>
      <c r="AI101" s="184"/>
      <c r="AJ101" s="184"/>
      <c r="AK101" s="184"/>
      <c r="AL101" s="184"/>
      <c r="AM101" s="184"/>
      <c r="AN101" s="184"/>
      <c r="AO101" s="184"/>
      <c r="AP101" s="184"/>
      <c r="AQ101" s="184"/>
      <c r="AR101" s="184"/>
      <c r="AS101" s="184"/>
      <c r="AT101" s="184"/>
      <c r="AU101" s="184"/>
      <c r="AV101" s="184"/>
      <c r="AW101" s="184"/>
      <c r="AX101" s="184"/>
      <c r="AY101" s="184"/>
      <c r="AZ101" s="184"/>
      <c r="BA101" s="184"/>
      <c r="BB101" s="184"/>
      <c r="BC101" s="184"/>
      <c r="BD101" s="184"/>
      <c r="BE101" s="184"/>
      <c r="BF101" s="184"/>
      <c r="BG101" s="184"/>
      <c r="BH101" s="184"/>
      <c r="BI101" s="184"/>
      <c r="BJ101" s="184"/>
      <c r="BK101" s="184"/>
      <c r="BL101" s="184"/>
      <c r="BM101" s="184"/>
      <c r="BN101" s="184"/>
      <c r="BO101" s="184"/>
      <c r="BP101" s="184"/>
      <c r="BQ101" s="184"/>
      <c r="BR101" s="184"/>
      <c r="BS101" s="184"/>
      <c r="BT101" s="184"/>
      <c r="BU101" s="184"/>
      <c r="BV101" s="184"/>
      <c r="BW101" s="184"/>
      <c r="BX101" s="184"/>
      <c r="BY101" s="184"/>
      <c r="BZ101" s="184"/>
      <c r="CA101" s="184"/>
      <c r="CB101" s="184"/>
      <c r="CC101" s="184"/>
      <c r="CD101" s="184"/>
      <c r="CE101" s="184"/>
      <c r="CF101" s="184"/>
      <c r="CG101" s="184"/>
      <c r="CH101" s="184"/>
      <c r="CI101" s="184"/>
      <c r="CJ101" s="184"/>
      <c r="CK101" s="184"/>
      <c r="CL101" s="184"/>
      <c r="CM101" s="184"/>
      <c r="CN101" s="184"/>
      <c r="CO101" s="184"/>
      <c r="CP101" s="184"/>
      <c r="CQ101" s="184"/>
      <c r="CR101" s="184"/>
      <c r="CS101" s="184"/>
      <c r="CT101" s="184"/>
      <c r="CU101" s="184"/>
      <c r="CV101" s="184"/>
      <c r="CW101" s="184"/>
      <c r="CX101" s="184"/>
      <c r="CY101" s="184"/>
      <c r="CZ101" s="184"/>
      <c r="DA101" s="184"/>
      <c r="DB101" s="184"/>
      <c r="DC101" s="184"/>
      <c r="DD101" s="184"/>
      <c r="DE101" s="184"/>
      <c r="DF101" s="184"/>
      <c r="DG101" s="184"/>
      <c r="DH101" s="184"/>
      <c r="DI101" s="184"/>
      <c r="DJ101" s="184"/>
      <c r="DK101" s="184"/>
      <c r="DL101" s="184"/>
      <c r="DM101" s="184"/>
      <c r="DN101" s="184"/>
      <c r="DO101" s="184"/>
      <c r="DP101" s="184"/>
      <c r="DQ101" s="184"/>
      <c r="DR101" s="184"/>
      <c r="DS101" s="184"/>
      <c r="DT101" s="184"/>
      <c r="DU101" s="184"/>
      <c r="DV101" s="184"/>
      <c r="DW101" s="184"/>
      <c r="DX101" s="184"/>
      <c r="DY101" s="184"/>
      <c r="DZ101" s="184"/>
      <c r="EA101" s="184"/>
      <c r="EB101" s="184"/>
      <c r="EC101" s="184"/>
      <c r="ED101" s="184"/>
      <c r="EE101" s="184"/>
      <c r="EF101" s="184"/>
      <c r="EG101" s="184"/>
      <c r="EH101" s="184"/>
      <c r="EI101" s="184"/>
      <c r="EJ101" s="184"/>
      <c r="EK101" s="184"/>
      <c r="EL101" s="184"/>
      <c r="EM101" s="184"/>
      <c r="EN101" s="184"/>
      <c r="EO101" s="184"/>
      <c r="EP101" s="184"/>
      <c r="EQ101" s="184"/>
      <c r="ER101" s="184"/>
      <c r="ES101" s="184"/>
      <c r="ET101" s="184"/>
      <c r="EU101" s="184"/>
      <c r="EV101" s="184"/>
      <c r="EW101" s="184"/>
      <c r="EX101" s="184"/>
      <c r="EY101" s="184"/>
      <c r="EZ101" s="184"/>
      <c r="FA101" s="184"/>
      <c r="FB101" s="184"/>
      <c r="FC101" s="184"/>
      <c r="FD101" s="184"/>
      <c r="FE101" s="184"/>
      <c r="FF101" s="184"/>
      <c r="FG101" s="184"/>
      <c r="FH101" s="184"/>
      <c r="FI101" s="184"/>
      <c r="FJ101" s="184"/>
      <c r="FK101" s="184"/>
      <c r="FL101" s="184"/>
      <c r="FM101" s="184"/>
      <c r="FN101" s="184"/>
      <c r="FO101" s="184"/>
      <c r="FP101" s="184"/>
      <c r="FQ101" s="184"/>
      <c r="FR101" s="184"/>
      <c r="FS101" s="184"/>
      <c r="FT101" s="184"/>
      <c r="FU101" s="184"/>
      <c r="FV101" s="184"/>
      <c r="FW101" s="184"/>
      <c r="FX101" s="184"/>
      <c r="FY101" s="184"/>
      <c r="FZ101" s="184"/>
      <c r="GA101" s="184"/>
      <c r="GB101" s="184"/>
      <c r="GC101" s="184"/>
      <c r="GD101" s="184"/>
      <c r="GE101" s="184"/>
      <c r="GF101" s="184"/>
      <c r="GG101" s="184"/>
      <c r="GH101" s="184"/>
      <c r="GI101" s="184"/>
    </row>
    <row r="102" spans="1:191" s="186" customFormat="1" ht="15" customHeight="1">
      <c r="A102" s="184"/>
      <c r="B102" s="190"/>
      <c r="C102" s="211"/>
      <c r="D102" s="193"/>
      <c r="E102" s="193"/>
      <c r="F102" s="188"/>
      <c r="G102" s="188"/>
      <c r="H102" s="190"/>
      <c r="I102" s="188"/>
      <c r="J102" s="184"/>
      <c r="K102" s="190"/>
      <c r="L102" s="190"/>
      <c r="M102" s="190"/>
      <c r="N102" s="184"/>
      <c r="O102" s="191"/>
      <c r="P102" s="191"/>
      <c r="Q102" s="183"/>
      <c r="R102" s="183"/>
      <c r="S102" s="183"/>
      <c r="T102" s="184"/>
      <c r="U102" s="184"/>
      <c r="V102" s="188"/>
      <c r="AB102" s="184"/>
      <c r="AC102" s="184"/>
      <c r="AD102" s="184"/>
      <c r="AE102" s="184"/>
      <c r="AF102" s="184"/>
      <c r="AG102" s="184"/>
      <c r="AH102" s="184"/>
      <c r="AI102" s="184"/>
      <c r="AJ102" s="184"/>
      <c r="AK102" s="184"/>
      <c r="AL102" s="184"/>
      <c r="AM102" s="184"/>
      <c r="AN102" s="184"/>
      <c r="AO102" s="184"/>
      <c r="AP102" s="184"/>
      <c r="AQ102" s="184"/>
      <c r="AR102" s="184"/>
      <c r="AS102" s="184"/>
      <c r="AT102" s="184"/>
      <c r="AU102" s="184"/>
      <c r="AV102" s="184"/>
      <c r="AW102" s="184"/>
      <c r="AX102" s="184"/>
      <c r="AY102" s="184"/>
      <c r="AZ102" s="184"/>
      <c r="BA102" s="184"/>
      <c r="BB102" s="184"/>
      <c r="BC102" s="184"/>
      <c r="BD102" s="184"/>
      <c r="BE102" s="184"/>
      <c r="BF102" s="184"/>
      <c r="BG102" s="184"/>
      <c r="BH102" s="184"/>
      <c r="BI102" s="184"/>
      <c r="BJ102" s="184"/>
      <c r="BK102" s="184"/>
      <c r="BL102" s="184"/>
      <c r="BM102" s="184"/>
      <c r="BN102" s="184"/>
      <c r="BO102" s="184"/>
      <c r="BP102" s="184"/>
      <c r="BQ102" s="184"/>
      <c r="BR102" s="184"/>
      <c r="BS102" s="184"/>
      <c r="BT102" s="184"/>
      <c r="BU102" s="184"/>
      <c r="BV102" s="184"/>
      <c r="BW102" s="184"/>
      <c r="BX102" s="184"/>
      <c r="BY102" s="184"/>
      <c r="BZ102" s="184"/>
      <c r="CA102" s="184"/>
      <c r="CB102" s="184"/>
      <c r="CC102" s="184"/>
      <c r="CD102" s="184"/>
      <c r="CE102" s="184"/>
      <c r="CF102" s="184"/>
      <c r="CG102" s="184"/>
      <c r="CH102" s="184"/>
      <c r="CI102" s="184"/>
      <c r="CJ102" s="184"/>
      <c r="CK102" s="184"/>
      <c r="CL102" s="184"/>
      <c r="CM102" s="184"/>
      <c r="CN102" s="184"/>
      <c r="CO102" s="184"/>
      <c r="CP102" s="184"/>
      <c r="CQ102" s="184"/>
      <c r="CR102" s="184"/>
      <c r="CS102" s="184"/>
      <c r="CT102" s="184"/>
      <c r="CU102" s="184"/>
      <c r="CV102" s="184"/>
      <c r="CW102" s="184"/>
      <c r="CX102" s="184"/>
      <c r="CY102" s="184"/>
      <c r="CZ102" s="184"/>
      <c r="DA102" s="184"/>
      <c r="DB102" s="184"/>
      <c r="DC102" s="184"/>
      <c r="DD102" s="184"/>
      <c r="DE102" s="184"/>
      <c r="DF102" s="184"/>
      <c r="DG102" s="184"/>
      <c r="DH102" s="184"/>
      <c r="DI102" s="184"/>
      <c r="DJ102" s="184"/>
      <c r="DK102" s="184"/>
      <c r="DL102" s="184"/>
      <c r="DM102" s="184"/>
      <c r="DN102" s="184"/>
      <c r="DO102" s="184"/>
      <c r="DP102" s="184"/>
      <c r="DQ102" s="184"/>
      <c r="DR102" s="184"/>
      <c r="DS102" s="184"/>
      <c r="DT102" s="184"/>
      <c r="DU102" s="184"/>
      <c r="DV102" s="184"/>
      <c r="DW102" s="184"/>
      <c r="DX102" s="184"/>
      <c r="DY102" s="184"/>
      <c r="DZ102" s="184"/>
      <c r="EA102" s="184"/>
      <c r="EB102" s="184"/>
      <c r="EC102" s="184"/>
      <c r="ED102" s="184"/>
      <c r="EE102" s="184"/>
      <c r="EF102" s="184"/>
      <c r="EG102" s="184"/>
      <c r="EH102" s="184"/>
      <c r="EI102" s="184"/>
      <c r="EJ102" s="184"/>
      <c r="EK102" s="184"/>
      <c r="EL102" s="184"/>
      <c r="EM102" s="184"/>
      <c r="EN102" s="184"/>
      <c r="EO102" s="184"/>
      <c r="EP102" s="184"/>
      <c r="EQ102" s="184"/>
      <c r="ER102" s="184"/>
      <c r="ES102" s="184"/>
      <c r="ET102" s="184"/>
      <c r="EU102" s="184"/>
      <c r="EV102" s="184"/>
      <c r="EW102" s="184"/>
      <c r="EX102" s="184"/>
      <c r="EY102" s="184"/>
      <c r="EZ102" s="184"/>
      <c r="FA102" s="184"/>
      <c r="FB102" s="184"/>
      <c r="FC102" s="184"/>
      <c r="FD102" s="184"/>
      <c r="FE102" s="184"/>
      <c r="FF102" s="184"/>
      <c r="FG102" s="184"/>
      <c r="FH102" s="184"/>
      <c r="FI102" s="184"/>
      <c r="FJ102" s="184"/>
      <c r="FK102" s="184"/>
      <c r="FL102" s="184"/>
      <c r="FM102" s="184"/>
      <c r="FN102" s="184"/>
      <c r="FO102" s="184"/>
      <c r="FP102" s="184"/>
      <c r="FQ102" s="184"/>
      <c r="FR102" s="184"/>
      <c r="FS102" s="184"/>
      <c r="FT102" s="184"/>
      <c r="FU102" s="184"/>
      <c r="FV102" s="184"/>
      <c r="FW102" s="184"/>
      <c r="FX102" s="184"/>
      <c r="FY102" s="184"/>
      <c r="FZ102" s="184"/>
      <c r="GA102" s="184"/>
      <c r="GB102" s="184"/>
      <c r="GC102" s="184"/>
      <c r="GD102" s="184"/>
      <c r="GE102" s="184"/>
      <c r="GF102" s="184"/>
      <c r="GG102" s="184"/>
      <c r="GH102" s="184"/>
      <c r="GI102" s="184"/>
    </row>
    <row r="103" spans="1:191" s="186" customFormat="1" ht="15" customHeight="1">
      <c r="A103" s="184"/>
      <c r="B103" s="190"/>
      <c r="C103" s="211"/>
      <c r="D103" s="193"/>
      <c r="E103" s="193"/>
      <c r="F103" s="188"/>
      <c r="G103" s="188"/>
      <c r="H103" s="190"/>
      <c r="I103" s="188"/>
      <c r="J103" s="184"/>
      <c r="K103" s="190"/>
      <c r="L103" s="190"/>
      <c r="M103" s="190"/>
      <c r="N103" s="184"/>
      <c r="O103" s="191"/>
      <c r="P103" s="191"/>
      <c r="Q103" s="183"/>
      <c r="R103" s="183"/>
      <c r="S103" s="183"/>
      <c r="T103" s="184"/>
      <c r="U103" s="184"/>
      <c r="V103" s="188"/>
      <c r="AB103" s="184"/>
      <c r="AC103" s="184"/>
      <c r="AD103" s="184"/>
      <c r="AE103" s="184"/>
      <c r="AF103" s="184"/>
      <c r="AG103" s="184"/>
      <c r="AH103" s="184"/>
      <c r="AI103" s="184"/>
      <c r="AJ103" s="184"/>
      <c r="AK103" s="184"/>
      <c r="AL103" s="184"/>
      <c r="AM103" s="184"/>
      <c r="AN103" s="184"/>
      <c r="AO103" s="184"/>
      <c r="AP103" s="184"/>
      <c r="AQ103" s="184"/>
      <c r="AR103" s="184"/>
      <c r="AS103" s="184"/>
      <c r="AT103" s="184"/>
      <c r="AU103" s="184"/>
      <c r="AV103" s="184"/>
      <c r="AW103" s="184"/>
      <c r="AX103" s="184"/>
      <c r="AY103" s="184"/>
      <c r="AZ103" s="184"/>
      <c r="BA103" s="184"/>
      <c r="BB103" s="184"/>
      <c r="BC103" s="184"/>
      <c r="BD103" s="184"/>
      <c r="BE103" s="184"/>
      <c r="BF103" s="184"/>
      <c r="BG103" s="184"/>
      <c r="BH103" s="184"/>
      <c r="BI103" s="184"/>
      <c r="BJ103" s="184"/>
      <c r="BK103" s="184"/>
      <c r="BL103" s="184"/>
      <c r="BM103" s="184"/>
      <c r="BN103" s="184"/>
      <c r="BO103" s="184"/>
      <c r="BP103" s="184"/>
      <c r="BQ103" s="184"/>
      <c r="BR103" s="184"/>
      <c r="BS103" s="184"/>
      <c r="BT103" s="184"/>
      <c r="BU103" s="184"/>
      <c r="BV103" s="184"/>
      <c r="BW103" s="184"/>
      <c r="BX103" s="184"/>
      <c r="BY103" s="184"/>
      <c r="BZ103" s="184"/>
      <c r="CA103" s="184"/>
      <c r="CB103" s="184"/>
      <c r="CC103" s="184"/>
      <c r="CD103" s="184"/>
      <c r="CE103" s="184"/>
      <c r="CF103" s="184"/>
      <c r="CG103" s="184"/>
      <c r="CH103" s="184"/>
      <c r="CI103" s="184"/>
      <c r="CJ103" s="184"/>
      <c r="CK103" s="184"/>
      <c r="CL103" s="184"/>
      <c r="CM103" s="184"/>
      <c r="CN103" s="184"/>
      <c r="CO103" s="184"/>
      <c r="CP103" s="184"/>
      <c r="CQ103" s="184"/>
      <c r="CR103" s="184"/>
      <c r="CS103" s="184"/>
      <c r="CT103" s="184"/>
      <c r="CU103" s="184"/>
      <c r="CV103" s="184"/>
      <c r="CW103" s="184"/>
      <c r="CX103" s="184"/>
      <c r="CY103" s="184"/>
      <c r="CZ103" s="184"/>
      <c r="DA103" s="184"/>
      <c r="DB103" s="184"/>
      <c r="DC103" s="184"/>
      <c r="DD103" s="184"/>
      <c r="DE103" s="184"/>
      <c r="DF103" s="184"/>
      <c r="DG103" s="184"/>
      <c r="DH103" s="184"/>
      <c r="DI103" s="184"/>
      <c r="DJ103" s="184"/>
      <c r="DK103" s="184"/>
      <c r="DL103" s="184"/>
      <c r="DM103" s="184"/>
      <c r="DN103" s="184"/>
      <c r="DO103" s="184"/>
      <c r="DP103" s="184"/>
      <c r="DQ103" s="184"/>
      <c r="DR103" s="184"/>
      <c r="DS103" s="184"/>
      <c r="DT103" s="184"/>
      <c r="DU103" s="184"/>
      <c r="DV103" s="184"/>
      <c r="DW103" s="184"/>
      <c r="DX103" s="184"/>
      <c r="DY103" s="184"/>
      <c r="DZ103" s="184"/>
      <c r="EA103" s="184"/>
      <c r="EB103" s="184"/>
      <c r="EC103" s="184"/>
      <c r="ED103" s="184"/>
      <c r="EE103" s="184"/>
      <c r="EF103" s="184"/>
      <c r="EG103" s="184"/>
      <c r="EH103" s="184"/>
      <c r="EI103" s="184"/>
      <c r="EJ103" s="184"/>
      <c r="EK103" s="184"/>
      <c r="EL103" s="184"/>
      <c r="EM103" s="184"/>
      <c r="EN103" s="184"/>
      <c r="EO103" s="184"/>
      <c r="EP103" s="184"/>
      <c r="EQ103" s="184"/>
      <c r="ER103" s="184"/>
      <c r="ES103" s="184"/>
      <c r="ET103" s="184"/>
      <c r="EU103" s="184"/>
      <c r="EV103" s="184"/>
      <c r="EW103" s="184"/>
      <c r="EX103" s="184"/>
      <c r="EY103" s="184"/>
      <c r="EZ103" s="184"/>
      <c r="FA103" s="184"/>
      <c r="FB103" s="184"/>
      <c r="FC103" s="184"/>
      <c r="FD103" s="184"/>
      <c r="FE103" s="184"/>
      <c r="FF103" s="184"/>
      <c r="FG103" s="184"/>
      <c r="FH103" s="184"/>
      <c r="FI103" s="184"/>
      <c r="FJ103" s="184"/>
      <c r="FK103" s="184"/>
      <c r="FL103" s="184"/>
      <c r="FM103" s="184"/>
      <c r="FN103" s="184"/>
      <c r="FO103" s="184"/>
      <c r="FP103" s="184"/>
      <c r="FQ103" s="184"/>
      <c r="FR103" s="184"/>
      <c r="FS103" s="184"/>
      <c r="FT103" s="184"/>
      <c r="FU103" s="184"/>
      <c r="FV103" s="184"/>
      <c r="FW103" s="184"/>
      <c r="FX103" s="184"/>
      <c r="FY103" s="184"/>
      <c r="FZ103" s="184"/>
      <c r="GA103" s="184"/>
      <c r="GB103" s="184"/>
      <c r="GC103" s="184"/>
      <c r="GD103" s="184"/>
      <c r="GE103" s="184"/>
      <c r="GF103" s="184"/>
      <c r="GG103" s="184"/>
      <c r="GH103" s="184"/>
      <c r="GI103" s="184"/>
    </row>
    <row r="104" spans="1:191" s="186" customFormat="1" ht="15" customHeight="1">
      <c r="A104" s="184"/>
      <c r="B104" s="190"/>
      <c r="C104" s="211"/>
      <c r="D104" s="193"/>
      <c r="E104" s="193"/>
      <c r="F104" s="188"/>
      <c r="G104" s="188"/>
      <c r="H104" s="190"/>
      <c r="I104" s="188"/>
      <c r="J104" s="184"/>
      <c r="K104" s="190"/>
      <c r="L104" s="190"/>
      <c r="M104" s="190"/>
      <c r="N104" s="184"/>
      <c r="O104" s="191"/>
      <c r="P104" s="191"/>
      <c r="Q104" s="183"/>
      <c r="R104" s="183"/>
      <c r="S104" s="183"/>
      <c r="T104" s="184"/>
      <c r="U104" s="184"/>
      <c r="V104" s="188"/>
      <c r="AB104" s="184"/>
      <c r="AC104" s="184"/>
      <c r="AD104" s="184"/>
      <c r="AE104" s="184"/>
      <c r="AF104" s="184"/>
      <c r="AG104" s="184"/>
      <c r="AH104" s="184"/>
      <c r="AI104" s="184"/>
      <c r="AJ104" s="184"/>
      <c r="AK104" s="184"/>
      <c r="AL104" s="184"/>
      <c r="AM104" s="184"/>
      <c r="AN104" s="184"/>
      <c r="AO104" s="184"/>
      <c r="AP104" s="184"/>
      <c r="AQ104" s="184"/>
      <c r="AR104" s="184"/>
      <c r="AS104" s="184"/>
      <c r="AT104" s="184"/>
      <c r="AU104" s="184"/>
      <c r="AV104" s="184"/>
      <c r="AW104" s="184"/>
      <c r="AX104" s="184"/>
      <c r="AY104" s="184"/>
      <c r="AZ104" s="184"/>
      <c r="BA104" s="184"/>
      <c r="BB104" s="184"/>
      <c r="BC104" s="184"/>
      <c r="BD104" s="184"/>
      <c r="BE104" s="184"/>
      <c r="BF104" s="184"/>
      <c r="BG104" s="184"/>
      <c r="BH104" s="184"/>
      <c r="BI104" s="184"/>
      <c r="BJ104" s="184"/>
      <c r="BK104" s="184"/>
      <c r="BL104" s="184"/>
      <c r="BM104" s="184"/>
      <c r="BN104" s="184"/>
      <c r="BO104" s="184"/>
      <c r="BP104" s="184"/>
      <c r="BQ104" s="184"/>
      <c r="BR104" s="184"/>
      <c r="BS104" s="184"/>
      <c r="BT104" s="184"/>
      <c r="BU104" s="184"/>
      <c r="BV104" s="184"/>
      <c r="BW104" s="184"/>
      <c r="BX104" s="184"/>
      <c r="BY104" s="184"/>
      <c r="BZ104" s="184"/>
      <c r="CA104" s="184"/>
      <c r="CB104" s="184"/>
      <c r="CC104" s="184"/>
      <c r="CD104" s="184"/>
      <c r="CE104" s="184"/>
      <c r="CF104" s="184"/>
      <c r="CG104" s="184"/>
      <c r="CH104" s="184"/>
      <c r="CI104" s="184"/>
      <c r="CJ104" s="184"/>
      <c r="CK104" s="184"/>
      <c r="CL104" s="184"/>
      <c r="CM104" s="184"/>
      <c r="CN104" s="184"/>
      <c r="CO104" s="184"/>
      <c r="CP104" s="184"/>
      <c r="CQ104" s="184"/>
      <c r="CR104" s="184"/>
      <c r="CS104" s="184"/>
      <c r="CT104" s="184"/>
      <c r="CU104" s="184"/>
      <c r="CV104" s="184"/>
      <c r="CW104" s="184"/>
      <c r="CX104" s="184"/>
      <c r="CY104" s="184"/>
      <c r="CZ104" s="184"/>
      <c r="DA104" s="184"/>
      <c r="DB104" s="184"/>
      <c r="DC104" s="184"/>
      <c r="DD104" s="184"/>
      <c r="DE104" s="184"/>
      <c r="DF104" s="184"/>
      <c r="DG104" s="184"/>
      <c r="DH104" s="184"/>
      <c r="DI104" s="184"/>
      <c r="DJ104" s="184"/>
      <c r="DK104" s="184"/>
      <c r="DL104" s="184"/>
      <c r="DM104" s="184"/>
      <c r="DN104" s="184"/>
      <c r="DO104" s="184"/>
      <c r="DP104" s="184"/>
      <c r="DQ104" s="184"/>
      <c r="DR104" s="184"/>
      <c r="DS104" s="184"/>
      <c r="DT104" s="184"/>
      <c r="DU104" s="184"/>
      <c r="DV104" s="184"/>
      <c r="DW104" s="184"/>
      <c r="DX104" s="184"/>
      <c r="DY104" s="184"/>
      <c r="DZ104" s="184"/>
      <c r="EA104" s="184"/>
      <c r="EB104" s="184"/>
      <c r="EC104" s="184"/>
      <c r="ED104" s="184"/>
      <c r="EE104" s="184"/>
      <c r="EF104" s="184"/>
      <c r="EG104" s="184"/>
      <c r="EH104" s="184"/>
      <c r="EI104" s="184"/>
      <c r="EJ104" s="184"/>
      <c r="EK104" s="184"/>
      <c r="EL104" s="184"/>
      <c r="EM104" s="184"/>
      <c r="EN104" s="184"/>
      <c r="EO104" s="184"/>
      <c r="EP104" s="184"/>
      <c r="EQ104" s="184"/>
      <c r="ER104" s="184"/>
      <c r="ES104" s="184"/>
      <c r="ET104" s="184"/>
      <c r="EU104" s="184"/>
      <c r="EV104" s="184"/>
      <c r="EW104" s="184"/>
      <c r="EX104" s="184"/>
      <c r="EY104" s="184"/>
      <c r="EZ104" s="184"/>
      <c r="FA104" s="184"/>
      <c r="FB104" s="184"/>
      <c r="FC104" s="184"/>
      <c r="FD104" s="184"/>
      <c r="FE104" s="184"/>
      <c r="FF104" s="184"/>
      <c r="FG104" s="184"/>
      <c r="FH104" s="184"/>
      <c r="FI104" s="184"/>
      <c r="FJ104" s="184"/>
      <c r="FK104" s="184"/>
      <c r="FL104" s="184"/>
      <c r="FM104" s="184"/>
      <c r="FN104" s="184"/>
      <c r="FO104" s="184"/>
      <c r="FP104" s="184"/>
      <c r="FQ104" s="184"/>
      <c r="FR104" s="184"/>
      <c r="FS104" s="184"/>
      <c r="FT104" s="184"/>
      <c r="FU104" s="184"/>
      <c r="FV104" s="184"/>
      <c r="FW104" s="184"/>
      <c r="FX104" s="184"/>
      <c r="FY104" s="184"/>
      <c r="FZ104" s="184"/>
      <c r="GA104" s="184"/>
      <c r="GB104" s="184"/>
      <c r="GC104" s="184"/>
      <c r="GD104" s="184"/>
      <c r="GE104" s="184"/>
      <c r="GF104" s="184"/>
      <c r="GG104" s="184"/>
      <c r="GH104" s="184"/>
      <c r="GI104" s="184"/>
    </row>
    <row r="105" spans="1:191" s="186" customFormat="1" ht="15" customHeight="1">
      <c r="A105" s="184"/>
      <c r="B105" s="190"/>
      <c r="C105" s="211"/>
      <c r="D105" s="193"/>
      <c r="E105" s="193"/>
      <c r="F105" s="188"/>
      <c r="G105" s="188"/>
      <c r="H105" s="190"/>
      <c r="I105" s="188"/>
      <c r="J105" s="184"/>
      <c r="K105" s="190"/>
      <c r="L105" s="190"/>
      <c r="M105" s="190"/>
      <c r="N105" s="184"/>
      <c r="O105" s="191"/>
      <c r="P105" s="191"/>
      <c r="Q105" s="183"/>
      <c r="R105" s="183"/>
      <c r="S105" s="183"/>
      <c r="T105" s="184"/>
      <c r="U105" s="184"/>
      <c r="V105" s="188"/>
      <c r="AB105" s="184"/>
      <c r="AC105" s="184"/>
      <c r="AD105" s="184"/>
      <c r="AE105" s="184"/>
      <c r="AF105" s="184"/>
      <c r="AG105" s="184"/>
      <c r="AH105" s="184"/>
      <c r="AI105" s="184"/>
      <c r="AJ105" s="184"/>
      <c r="AK105" s="184"/>
      <c r="AL105" s="184"/>
      <c r="AM105" s="184"/>
      <c r="AN105" s="184"/>
      <c r="AO105" s="184"/>
      <c r="AP105" s="184"/>
      <c r="AQ105" s="184"/>
      <c r="AR105" s="184"/>
      <c r="AS105" s="184"/>
      <c r="AT105" s="184"/>
      <c r="AU105" s="184"/>
      <c r="AV105" s="184"/>
      <c r="AW105" s="184"/>
      <c r="AX105" s="184"/>
      <c r="AY105" s="184"/>
      <c r="AZ105" s="184"/>
      <c r="BA105" s="184"/>
      <c r="BB105" s="184"/>
      <c r="BC105" s="184"/>
      <c r="BD105" s="184"/>
      <c r="BE105" s="184"/>
      <c r="BF105" s="184"/>
      <c r="BG105" s="184"/>
      <c r="BH105" s="184"/>
      <c r="BI105" s="184"/>
      <c r="BJ105" s="184"/>
      <c r="BK105" s="184"/>
      <c r="BL105" s="184"/>
      <c r="BM105" s="184"/>
      <c r="BN105" s="184"/>
      <c r="BO105" s="184"/>
      <c r="BP105" s="184"/>
      <c r="BQ105" s="184"/>
      <c r="BR105" s="184"/>
      <c r="BS105" s="184"/>
      <c r="BT105" s="184"/>
      <c r="BU105" s="184"/>
      <c r="BV105" s="184"/>
      <c r="BW105" s="184"/>
      <c r="BX105" s="184"/>
      <c r="BY105" s="184"/>
      <c r="BZ105" s="184"/>
      <c r="CA105" s="184"/>
      <c r="CB105" s="184"/>
      <c r="CC105" s="184"/>
      <c r="CD105" s="184"/>
      <c r="CE105" s="184"/>
      <c r="CF105" s="184"/>
      <c r="CG105" s="184"/>
      <c r="CH105" s="184"/>
      <c r="CI105" s="184"/>
      <c r="CJ105" s="184"/>
      <c r="CK105" s="184"/>
      <c r="CL105" s="184"/>
      <c r="CM105" s="184"/>
      <c r="CN105" s="184"/>
      <c r="CO105" s="184"/>
      <c r="CP105" s="184"/>
      <c r="CQ105" s="184"/>
      <c r="CR105" s="184"/>
      <c r="CS105" s="184"/>
      <c r="CT105" s="184"/>
      <c r="CU105" s="184"/>
      <c r="CV105" s="184"/>
      <c r="CW105" s="184"/>
      <c r="CX105" s="184"/>
      <c r="CY105" s="184"/>
      <c r="CZ105" s="184"/>
      <c r="DA105" s="184"/>
      <c r="DB105" s="184"/>
      <c r="DC105" s="184"/>
      <c r="DD105" s="184"/>
      <c r="DE105" s="184"/>
      <c r="DF105" s="184"/>
      <c r="DG105" s="184"/>
      <c r="DH105" s="184"/>
      <c r="DI105" s="184"/>
      <c r="DJ105" s="184"/>
      <c r="DK105" s="184"/>
      <c r="DL105" s="184"/>
      <c r="DM105" s="184"/>
      <c r="DN105" s="184"/>
      <c r="DO105" s="184"/>
      <c r="DP105" s="184"/>
      <c r="DQ105" s="184"/>
      <c r="DR105" s="184"/>
      <c r="DS105" s="184"/>
      <c r="DT105" s="184"/>
      <c r="DU105" s="184"/>
      <c r="DV105" s="184"/>
      <c r="DW105" s="184"/>
      <c r="DX105" s="184"/>
      <c r="DY105" s="184"/>
      <c r="DZ105" s="184"/>
      <c r="EA105" s="184"/>
      <c r="EB105" s="184"/>
      <c r="EC105" s="184"/>
      <c r="ED105" s="184"/>
      <c r="EE105" s="184"/>
      <c r="EF105" s="184"/>
      <c r="EG105" s="184"/>
      <c r="EH105" s="184"/>
      <c r="EI105" s="184"/>
      <c r="EJ105" s="184"/>
      <c r="EK105" s="184"/>
      <c r="EL105" s="184"/>
      <c r="EM105" s="184"/>
      <c r="EN105" s="184"/>
      <c r="EO105" s="184"/>
      <c r="EP105" s="184"/>
      <c r="EQ105" s="184"/>
      <c r="ER105" s="184"/>
      <c r="ES105" s="184"/>
      <c r="ET105" s="184"/>
      <c r="EU105" s="184"/>
      <c r="EV105" s="184"/>
      <c r="EW105" s="184"/>
      <c r="EX105" s="184"/>
      <c r="EY105" s="184"/>
      <c r="EZ105" s="184"/>
      <c r="FA105" s="184"/>
      <c r="FB105" s="184"/>
      <c r="FC105" s="184"/>
      <c r="FD105" s="184"/>
      <c r="FE105" s="184"/>
      <c r="FF105" s="184"/>
      <c r="FG105" s="184"/>
      <c r="FH105" s="184"/>
      <c r="FI105" s="184"/>
      <c r="FJ105" s="184"/>
      <c r="FK105" s="184"/>
      <c r="FL105" s="184"/>
      <c r="FM105" s="184"/>
      <c r="FN105" s="184"/>
      <c r="FO105" s="184"/>
      <c r="FP105" s="184"/>
      <c r="FQ105" s="184"/>
      <c r="FR105" s="184"/>
      <c r="FS105" s="184"/>
      <c r="FT105" s="184"/>
      <c r="FU105" s="184"/>
      <c r="FV105" s="184"/>
      <c r="FW105" s="184"/>
      <c r="FX105" s="184"/>
      <c r="FY105" s="184"/>
      <c r="FZ105" s="184"/>
      <c r="GA105" s="184"/>
      <c r="GB105" s="184"/>
      <c r="GC105" s="184"/>
      <c r="GD105" s="184"/>
      <c r="GE105" s="184"/>
      <c r="GF105" s="184"/>
      <c r="GG105" s="184"/>
      <c r="GH105" s="184"/>
      <c r="GI105" s="184"/>
    </row>
    <row r="106" spans="1:191" s="186" customFormat="1" ht="15" customHeight="1">
      <c r="A106" s="184"/>
      <c r="B106" s="190"/>
      <c r="C106" s="211"/>
      <c r="D106" s="193"/>
      <c r="E106" s="193"/>
      <c r="F106" s="188"/>
      <c r="G106" s="188"/>
      <c r="H106" s="190"/>
      <c r="I106" s="188"/>
      <c r="J106" s="184"/>
      <c r="K106" s="190"/>
      <c r="L106" s="190"/>
      <c r="M106" s="190"/>
      <c r="N106" s="184"/>
      <c r="O106" s="191"/>
      <c r="P106" s="191"/>
      <c r="Q106" s="183"/>
      <c r="R106" s="183"/>
      <c r="S106" s="183"/>
      <c r="T106" s="184"/>
      <c r="U106" s="184"/>
      <c r="V106" s="188"/>
      <c r="AB106" s="184"/>
      <c r="AC106" s="184"/>
      <c r="AD106" s="184"/>
      <c r="AE106" s="184"/>
      <c r="AF106" s="184"/>
      <c r="AG106" s="184"/>
      <c r="AH106" s="184"/>
      <c r="AI106" s="184"/>
      <c r="AJ106" s="184"/>
      <c r="AK106" s="184"/>
      <c r="AL106" s="184"/>
      <c r="AM106" s="184"/>
      <c r="AN106" s="184"/>
      <c r="AO106" s="184"/>
      <c r="AP106" s="184"/>
      <c r="AQ106" s="184"/>
      <c r="AR106" s="184"/>
      <c r="AS106" s="184"/>
      <c r="AT106" s="184"/>
      <c r="AU106" s="184"/>
      <c r="AV106" s="184"/>
      <c r="AW106" s="184"/>
      <c r="AX106" s="184"/>
      <c r="AY106" s="184"/>
      <c r="AZ106" s="184"/>
      <c r="BA106" s="184"/>
      <c r="BB106" s="184"/>
      <c r="BC106" s="184"/>
      <c r="BD106" s="184"/>
      <c r="BE106" s="184"/>
      <c r="BF106" s="184"/>
      <c r="BG106" s="184"/>
      <c r="BH106" s="184"/>
      <c r="BI106" s="184"/>
      <c r="BJ106" s="184"/>
      <c r="BK106" s="184"/>
      <c r="BL106" s="184"/>
      <c r="BM106" s="184"/>
      <c r="BN106" s="184"/>
      <c r="BO106" s="184"/>
      <c r="BP106" s="184"/>
      <c r="BQ106" s="184"/>
      <c r="BR106" s="184"/>
      <c r="BS106" s="184"/>
      <c r="BT106" s="184"/>
      <c r="BU106" s="184"/>
      <c r="BV106" s="184"/>
      <c r="BW106" s="184"/>
      <c r="BX106" s="184"/>
      <c r="BY106" s="184"/>
      <c r="BZ106" s="184"/>
      <c r="CA106" s="184"/>
      <c r="CB106" s="184"/>
      <c r="CC106" s="184"/>
      <c r="CD106" s="184"/>
      <c r="CE106" s="184"/>
      <c r="CF106" s="184"/>
      <c r="CG106" s="184"/>
      <c r="CH106" s="184"/>
      <c r="CI106" s="184"/>
      <c r="CJ106" s="184"/>
      <c r="CK106" s="184"/>
      <c r="CL106" s="184"/>
      <c r="CM106" s="184"/>
      <c r="CN106" s="184"/>
      <c r="CO106" s="184"/>
      <c r="CP106" s="184"/>
      <c r="CQ106" s="184"/>
      <c r="CR106" s="184"/>
      <c r="CS106" s="184"/>
      <c r="CT106" s="184"/>
      <c r="CU106" s="184"/>
      <c r="CV106" s="184"/>
      <c r="CW106" s="184"/>
      <c r="CX106" s="184"/>
      <c r="CY106" s="184"/>
      <c r="CZ106" s="184"/>
      <c r="DA106" s="184"/>
      <c r="DB106" s="184"/>
      <c r="DC106" s="184"/>
      <c r="DD106" s="184"/>
      <c r="DE106" s="184"/>
      <c r="DF106" s="184"/>
      <c r="DG106" s="184"/>
      <c r="DH106" s="184"/>
      <c r="DI106" s="184"/>
      <c r="DJ106" s="184"/>
      <c r="DK106" s="184"/>
      <c r="DL106" s="184"/>
      <c r="DM106" s="184"/>
      <c r="DN106" s="184"/>
      <c r="DO106" s="184"/>
      <c r="DP106" s="184"/>
      <c r="DQ106" s="184"/>
      <c r="DR106" s="184"/>
      <c r="DS106" s="184"/>
      <c r="DT106" s="184"/>
      <c r="DU106" s="184"/>
      <c r="DV106" s="184"/>
      <c r="DW106" s="184"/>
      <c r="DX106" s="184"/>
      <c r="DY106" s="184"/>
      <c r="DZ106" s="184"/>
      <c r="EA106" s="184"/>
      <c r="EB106" s="184"/>
      <c r="EC106" s="184"/>
      <c r="ED106" s="184"/>
      <c r="EE106" s="184"/>
      <c r="EF106" s="184"/>
      <c r="EG106" s="184"/>
      <c r="EH106" s="184"/>
      <c r="EI106" s="184"/>
      <c r="EJ106" s="184"/>
      <c r="EK106" s="184"/>
      <c r="EL106" s="184"/>
      <c r="EM106" s="184"/>
      <c r="EN106" s="184"/>
      <c r="EO106" s="184"/>
      <c r="EP106" s="184"/>
      <c r="EQ106" s="184"/>
      <c r="ER106" s="184"/>
      <c r="ES106" s="184"/>
      <c r="ET106" s="184"/>
      <c r="EU106" s="184"/>
      <c r="EV106" s="184"/>
      <c r="EW106" s="184"/>
      <c r="EX106" s="184"/>
      <c r="EY106" s="184"/>
      <c r="EZ106" s="184"/>
      <c r="FA106" s="184"/>
      <c r="FB106" s="184"/>
      <c r="FC106" s="184"/>
      <c r="FD106" s="184"/>
      <c r="FE106" s="184"/>
      <c r="FF106" s="184"/>
      <c r="FG106" s="184"/>
      <c r="FH106" s="184"/>
      <c r="FI106" s="184"/>
      <c r="FJ106" s="184"/>
      <c r="FK106" s="184"/>
      <c r="FL106" s="184"/>
      <c r="FM106" s="184"/>
      <c r="FN106" s="184"/>
      <c r="FO106" s="184"/>
      <c r="FP106" s="184"/>
      <c r="FQ106" s="184"/>
      <c r="FR106" s="184"/>
      <c r="FS106" s="184"/>
      <c r="FT106" s="184"/>
      <c r="FU106" s="184"/>
      <c r="FV106" s="184"/>
      <c r="FW106" s="184"/>
      <c r="FX106" s="184"/>
      <c r="FY106" s="184"/>
      <c r="FZ106" s="184"/>
      <c r="GA106" s="184"/>
      <c r="GB106" s="184"/>
      <c r="GC106" s="184"/>
      <c r="GD106" s="184"/>
      <c r="GE106" s="184"/>
      <c r="GF106" s="184"/>
      <c r="GG106" s="184"/>
      <c r="GH106" s="184"/>
      <c r="GI106" s="184"/>
    </row>
    <row r="107" spans="1:191" s="186" customFormat="1" ht="15" customHeight="1">
      <c r="A107" s="184"/>
      <c r="B107" s="190"/>
      <c r="C107" s="211"/>
      <c r="D107" s="193"/>
      <c r="E107" s="193"/>
      <c r="F107" s="188"/>
      <c r="G107" s="188"/>
      <c r="H107" s="190"/>
      <c r="I107" s="188"/>
      <c r="J107" s="184"/>
      <c r="K107" s="190"/>
      <c r="L107" s="190"/>
      <c r="M107" s="190"/>
      <c r="N107" s="184"/>
      <c r="O107" s="191"/>
      <c r="P107" s="191"/>
      <c r="Q107" s="183"/>
      <c r="R107" s="183"/>
      <c r="S107" s="183"/>
      <c r="T107" s="184"/>
      <c r="U107" s="184"/>
      <c r="V107" s="188"/>
      <c r="AB107" s="184"/>
      <c r="AC107" s="184"/>
      <c r="AD107" s="184"/>
      <c r="AE107" s="184"/>
      <c r="AF107" s="184"/>
      <c r="AG107" s="184"/>
      <c r="AH107" s="184"/>
      <c r="AI107" s="184"/>
      <c r="AJ107" s="184"/>
      <c r="AK107" s="184"/>
      <c r="AL107" s="184"/>
      <c r="AM107" s="184"/>
      <c r="AN107" s="184"/>
      <c r="AO107" s="184"/>
      <c r="AP107" s="184"/>
      <c r="AQ107" s="184"/>
      <c r="AR107" s="184"/>
      <c r="AS107" s="184"/>
      <c r="AT107" s="184"/>
      <c r="AU107" s="184"/>
      <c r="AV107" s="184"/>
      <c r="AW107" s="184"/>
      <c r="AX107" s="184"/>
      <c r="AY107" s="184"/>
      <c r="AZ107" s="184"/>
      <c r="BA107" s="184"/>
      <c r="BB107" s="184"/>
      <c r="BC107" s="184"/>
      <c r="BD107" s="184"/>
      <c r="BE107" s="184"/>
      <c r="BF107" s="184"/>
      <c r="BG107" s="184"/>
      <c r="BH107" s="184"/>
      <c r="BI107" s="184"/>
      <c r="BJ107" s="184"/>
      <c r="BK107" s="184"/>
      <c r="BL107" s="184"/>
      <c r="BM107" s="184"/>
      <c r="BN107" s="184"/>
      <c r="BO107" s="184"/>
      <c r="BP107" s="184"/>
      <c r="BQ107" s="184"/>
      <c r="BR107" s="184"/>
      <c r="BS107" s="184"/>
      <c r="BT107" s="184"/>
      <c r="BU107" s="184"/>
      <c r="BV107" s="184"/>
      <c r="BW107" s="184"/>
      <c r="BX107" s="184"/>
      <c r="BY107" s="184"/>
      <c r="BZ107" s="184"/>
      <c r="CA107" s="184"/>
      <c r="CB107" s="184"/>
      <c r="CC107" s="184"/>
      <c r="CD107" s="184"/>
      <c r="CE107" s="184"/>
      <c r="CF107" s="184"/>
      <c r="CG107" s="184"/>
      <c r="CH107" s="184"/>
      <c r="CI107" s="184"/>
      <c r="CJ107" s="184"/>
      <c r="CK107" s="184"/>
      <c r="CL107" s="184"/>
      <c r="CM107" s="184"/>
      <c r="CN107" s="184"/>
      <c r="CO107" s="184"/>
      <c r="CP107" s="184"/>
      <c r="CQ107" s="184"/>
      <c r="CR107" s="184"/>
      <c r="CS107" s="184"/>
      <c r="CT107" s="184"/>
      <c r="CU107" s="184"/>
      <c r="CV107" s="184"/>
      <c r="CW107" s="184"/>
      <c r="CX107" s="184"/>
      <c r="CY107" s="184"/>
      <c r="CZ107" s="184"/>
      <c r="DA107" s="184"/>
      <c r="DB107" s="184"/>
      <c r="DC107" s="184"/>
      <c r="DD107" s="184"/>
      <c r="DE107" s="184"/>
      <c r="DF107" s="184"/>
      <c r="DG107" s="184"/>
      <c r="DH107" s="184"/>
      <c r="DI107" s="184"/>
      <c r="DJ107" s="184"/>
      <c r="DK107" s="184"/>
      <c r="DL107" s="184"/>
      <c r="DM107" s="184"/>
      <c r="DN107" s="184"/>
      <c r="DO107" s="184"/>
      <c r="DP107" s="184"/>
      <c r="DQ107" s="184"/>
      <c r="DR107" s="184"/>
      <c r="DS107" s="184"/>
      <c r="DT107" s="184"/>
      <c r="DU107" s="184"/>
      <c r="DV107" s="184"/>
      <c r="DW107" s="184"/>
      <c r="DX107" s="184"/>
      <c r="DY107" s="184"/>
      <c r="DZ107" s="184"/>
      <c r="EA107" s="184"/>
      <c r="EB107" s="184"/>
      <c r="EC107" s="184"/>
      <c r="ED107" s="184"/>
      <c r="EE107" s="184"/>
      <c r="EF107" s="184"/>
      <c r="EG107" s="184"/>
      <c r="EH107" s="184"/>
      <c r="EI107" s="184"/>
      <c r="EJ107" s="184"/>
      <c r="EK107" s="184"/>
      <c r="EL107" s="184"/>
      <c r="EM107" s="184"/>
      <c r="EN107" s="184"/>
      <c r="EO107" s="184"/>
      <c r="EP107" s="184"/>
      <c r="EQ107" s="184"/>
      <c r="ER107" s="184"/>
      <c r="ES107" s="184"/>
      <c r="ET107" s="184"/>
      <c r="EU107" s="184"/>
      <c r="EV107" s="184"/>
      <c r="EW107" s="184"/>
      <c r="EX107" s="184"/>
      <c r="EY107" s="184"/>
      <c r="EZ107" s="184"/>
      <c r="FA107" s="184"/>
      <c r="FB107" s="184"/>
      <c r="FC107" s="184"/>
      <c r="FD107" s="184"/>
      <c r="FE107" s="184"/>
      <c r="FF107" s="184"/>
      <c r="FG107" s="184"/>
      <c r="FH107" s="184"/>
      <c r="FI107" s="184"/>
      <c r="FJ107" s="184"/>
      <c r="FK107" s="184"/>
      <c r="FL107" s="184"/>
      <c r="FM107" s="184"/>
      <c r="FN107" s="184"/>
      <c r="FO107" s="184"/>
      <c r="FP107" s="184"/>
      <c r="FQ107" s="184"/>
      <c r="FR107" s="184"/>
      <c r="FS107" s="184"/>
      <c r="FT107" s="184"/>
      <c r="FU107" s="184"/>
      <c r="FV107" s="184"/>
      <c r="FW107" s="184"/>
      <c r="FX107" s="184"/>
      <c r="FY107" s="184"/>
      <c r="FZ107" s="184"/>
      <c r="GA107" s="184"/>
      <c r="GB107" s="184"/>
      <c r="GC107" s="184"/>
      <c r="GD107" s="184"/>
      <c r="GE107" s="184"/>
      <c r="GF107" s="184"/>
      <c r="GG107" s="184"/>
      <c r="GH107" s="184"/>
      <c r="GI107" s="184"/>
    </row>
    <row r="108" spans="1:191" s="186" customFormat="1" ht="15" customHeight="1">
      <c r="A108" s="184"/>
      <c r="B108" s="190"/>
      <c r="C108" s="211"/>
      <c r="D108" s="193"/>
      <c r="E108" s="193"/>
      <c r="F108" s="188"/>
      <c r="G108" s="188"/>
      <c r="H108" s="190"/>
      <c r="I108" s="188"/>
      <c r="J108" s="184"/>
      <c r="K108" s="190"/>
      <c r="L108" s="190"/>
      <c r="M108" s="190"/>
      <c r="N108" s="184"/>
      <c r="O108" s="191"/>
      <c r="P108" s="191"/>
      <c r="Q108" s="183"/>
      <c r="R108" s="183"/>
      <c r="S108" s="183"/>
      <c r="T108" s="184"/>
      <c r="U108" s="184"/>
      <c r="V108" s="188"/>
      <c r="AB108" s="184"/>
      <c r="AC108" s="184"/>
      <c r="AD108" s="184"/>
      <c r="AE108" s="184"/>
      <c r="AF108" s="184"/>
      <c r="AG108" s="184"/>
      <c r="AH108" s="184"/>
      <c r="AI108" s="184"/>
      <c r="AJ108" s="184"/>
      <c r="AK108" s="184"/>
      <c r="AL108" s="184"/>
      <c r="AM108" s="184"/>
      <c r="AN108" s="184"/>
      <c r="AO108" s="184"/>
      <c r="AP108" s="184"/>
      <c r="AQ108" s="184"/>
      <c r="AR108" s="184"/>
      <c r="AS108" s="184"/>
      <c r="AT108" s="184"/>
      <c r="AU108" s="184"/>
      <c r="AV108" s="184"/>
      <c r="AW108" s="184"/>
      <c r="AX108" s="184"/>
      <c r="AY108" s="184"/>
      <c r="AZ108" s="184"/>
      <c r="BA108" s="184"/>
      <c r="BB108" s="184"/>
      <c r="BC108" s="184"/>
      <c r="BD108" s="184"/>
      <c r="BE108" s="184"/>
      <c r="BF108" s="184"/>
      <c r="BG108" s="184"/>
      <c r="BH108" s="184"/>
      <c r="BI108" s="184"/>
      <c r="BJ108" s="184"/>
      <c r="BK108" s="184"/>
      <c r="BL108" s="184"/>
      <c r="BM108" s="184"/>
      <c r="BN108" s="184"/>
      <c r="BO108" s="184"/>
      <c r="BP108" s="184"/>
      <c r="BQ108" s="184"/>
      <c r="BR108" s="184"/>
      <c r="BS108" s="184"/>
      <c r="BT108" s="184"/>
      <c r="BU108" s="184"/>
      <c r="BV108" s="184"/>
      <c r="BW108" s="184"/>
      <c r="BX108" s="184"/>
      <c r="BY108" s="184"/>
      <c r="BZ108" s="184"/>
      <c r="CA108" s="184"/>
      <c r="CB108" s="184"/>
      <c r="CC108" s="184"/>
      <c r="CD108" s="184"/>
      <c r="CE108" s="184"/>
      <c r="CF108" s="184"/>
      <c r="CG108" s="184"/>
      <c r="CH108" s="184"/>
      <c r="CI108" s="184"/>
      <c r="CJ108" s="184"/>
      <c r="CK108" s="184"/>
      <c r="CL108" s="184"/>
      <c r="CM108" s="184"/>
      <c r="CN108" s="184"/>
      <c r="CO108" s="184"/>
      <c r="CP108" s="184"/>
      <c r="CQ108" s="184"/>
      <c r="CR108" s="184"/>
      <c r="CS108" s="184"/>
      <c r="CT108" s="184"/>
      <c r="CU108" s="184"/>
      <c r="CV108" s="184"/>
      <c r="CW108" s="184"/>
      <c r="CX108" s="184"/>
      <c r="CY108" s="184"/>
      <c r="CZ108" s="184"/>
      <c r="DA108" s="184"/>
      <c r="DB108" s="184"/>
      <c r="DC108" s="184"/>
      <c r="DD108" s="184"/>
      <c r="DE108" s="184"/>
      <c r="DF108" s="184"/>
      <c r="DG108" s="184"/>
      <c r="DH108" s="184"/>
      <c r="DI108" s="184"/>
      <c r="DJ108" s="184"/>
      <c r="DK108" s="184"/>
      <c r="DL108" s="184"/>
      <c r="DM108" s="184"/>
      <c r="DN108" s="184"/>
      <c r="DO108" s="184"/>
      <c r="DP108" s="184"/>
      <c r="DQ108" s="184"/>
      <c r="DR108" s="184"/>
      <c r="DS108" s="184"/>
      <c r="DT108" s="184"/>
      <c r="DU108" s="184"/>
      <c r="DV108" s="184"/>
      <c r="DW108" s="184"/>
      <c r="DX108" s="184"/>
      <c r="DY108" s="184"/>
      <c r="DZ108" s="184"/>
      <c r="EA108" s="184"/>
      <c r="EB108" s="184"/>
      <c r="EC108" s="184"/>
      <c r="ED108" s="184"/>
      <c r="EE108" s="184"/>
      <c r="EF108" s="184"/>
      <c r="EG108" s="184"/>
      <c r="EH108" s="184"/>
      <c r="EI108" s="184"/>
      <c r="EJ108" s="184"/>
      <c r="EK108" s="184"/>
      <c r="EL108" s="184"/>
      <c r="EM108" s="184"/>
      <c r="EN108" s="184"/>
      <c r="EO108" s="184"/>
      <c r="EP108" s="184"/>
      <c r="EQ108" s="184"/>
      <c r="ER108" s="184"/>
      <c r="ES108" s="184"/>
      <c r="ET108" s="184"/>
      <c r="EU108" s="184"/>
      <c r="EV108" s="184"/>
      <c r="EW108" s="184"/>
      <c r="EX108" s="184"/>
      <c r="EY108" s="184"/>
      <c r="EZ108" s="184"/>
      <c r="FA108" s="184"/>
      <c r="FB108" s="184"/>
      <c r="FC108" s="184"/>
      <c r="FD108" s="184"/>
      <c r="FE108" s="184"/>
      <c r="FF108" s="184"/>
      <c r="FG108" s="184"/>
      <c r="FH108" s="184"/>
      <c r="FI108" s="184"/>
      <c r="FJ108" s="184"/>
      <c r="FK108" s="184"/>
      <c r="FL108" s="184"/>
      <c r="FM108" s="184"/>
      <c r="FN108" s="184"/>
      <c r="FO108" s="184"/>
      <c r="FP108" s="184"/>
      <c r="FQ108" s="184"/>
      <c r="FR108" s="184"/>
      <c r="FS108" s="184"/>
      <c r="FT108" s="184"/>
      <c r="FU108" s="184"/>
      <c r="FV108" s="184"/>
      <c r="FW108" s="184"/>
      <c r="FX108" s="184"/>
      <c r="FY108" s="184"/>
      <c r="FZ108" s="184"/>
      <c r="GA108" s="184"/>
      <c r="GB108" s="184"/>
      <c r="GC108" s="184"/>
      <c r="GD108" s="184"/>
      <c r="GE108" s="184"/>
      <c r="GF108" s="184"/>
      <c r="GG108" s="184"/>
      <c r="GH108" s="184"/>
      <c r="GI108" s="184"/>
    </row>
    <row r="109" spans="1:191" s="186" customFormat="1" ht="15" customHeight="1">
      <c r="A109" s="184"/>
      <c r="B109" s="190"/>
      <c r="C109" s="211"/>
      <c r="D109" s="193"/>
      <c r="E109" s="193"/>
      <c r="F109" s="188"/>
      <c r="G109" s="188"/>
      <c r="H109" s="190"/>
      <c r="I109" s="188"/>
      <c r="J109" s="184"/>
      <c r="K109" s="190"/>
      <c r="L109" s="190"/>
      <c r="M109" s="190"/>
      <c r="N109" s="184"/>
      <c r="O109" s="191"/>
      <c r="P109" s="191"/>
      <c r="Q109" s="183"/>
      <c r="R109" s="183"/>
      <c r="S109" s="183"/>
      <c r="T109" s="184"/>
      <c r="U109" s="184"/>
      <c r="V109" s="188"/>
      <c r="AB109" s="184"/>
      <c r="AC109" s="184"/>
      <c r="AD109" s="184"/>
      <c r="AE109" s="184"/>
      <c r="AF109" s="184"/>
      <c r="AG109" s="184"/>
      <c r="AH109" s="184"/>
      <c r="AI109" s="184"/>
      <c r="AJ109" s="184"/>
      <c r="AK109" s="184"/>
      <c r="AL109" s="184"/>
      <c r="AM109" s="184"/>
      <c r="AN109" s="184"/>
      <c r="AO109" s="184"/>
      <c r="AP109" s="184"/>
      <c r="AQ109" s="184"/>
      <c r="AR109" s="184"/>
      <c r="AS109" s="184"/>
      <c r="AT109" s="184"/>
      <c r="AU109" s="184"/>
      <c r="AV109" s="184"/>
      <c r="AW109" s="184"/>
      <c r="AX109" s="184"/>
      <c r="AY109" s="184"/>
      <c r="AZ109" s="184"/>
      <c r="BA109" s="184"/>
      <c r="BB109" s="184"/>
      <c r="BC109" s="184"/>
      <c r="BD109" s="184"/>
      <c r="BE109" s="184"/>
      <c r="BF109" s="184"/>
      <c r="BG109" s="184"/>
      <c r="BH109" s="184"/>
      <c r="BI109" s="184"/>
      <c r="BJ109" s="184"/>
      <c r="BK109" s="184"/>
      <c r="BL109" s="184"/>
      <c r="BM109" s="184"/>
      <c r="BN109" s="184"/>
      <c r="BO109" s="184"/>
      <c r="BP109" s="184"/>
      <c r="BQ109" s="184"/>
      <c r="BR109" s="184"/>
      <c r="BS109" s="184"/>
      <c r="BT109" s="184"/>
      <c r="BU109" s="184"/>
      <c r="BV109" s="184"/>
      <c r="BW109" s="184"/>
      <c r="BX109" s="184"/>
      <c r="BY109" s="184"/>
      <c r="BZ109" s="184"/>
      <c r="CA109" s="184"/>
      <c r="CB109" s="184"/>
      <c r="CC109" s="184"/>
      <c r="CD109" s="184"/>
      <c r="CE109" s="184"/>
      <c r="CF109" s="184"/>
      <c r="CG109" s="184"/>
      <c r="CH109" s="184"/>
      <c r="CI109" s="184"/>
      <c r="CJ109" s="184"/>
      <c r="CK109" s="184"/>
      <c r="CL109" s="184"/>
      <c r="CM109" s="184"/>
      <c r="CN109" s="184"/>
      <c r="CO109" s="184"/>
      <c r="CP109" s="184"/>
      <c r="CQ109" s="184"/>
      <c r="CR109" s="184"/>
      <c r="CS109" s="184"/>
      <c r="CT109" s="184"/>
      <c r="CU109" s="184"/>
      <c r="CV109" s="184"/>
      <c r="CW109" s="184"/>
      <c r="CX109" s="184"/>
      <c r="CY109" s="184"/>
      <c r="CZ109" s="184"/>
      <c r="DA109" s="184"/>
      <c r="DB109" s="184"/>
      <c r="DC109" s="184"/>
      <c r="DD109" s="184"/>
      <c r="DE109" s="184"/>
      <c r="DF109" s="184"/>
      <c r="DG109" s="184"/>
      <c r="DH109" s="184"/>
      <c r="DI109" s="184"/>
      <c r="DJ109" s="184"/>
      <c r="DK109" s="184"/>
      <c r="DL109" s="184"/>
      <c r="DM109" s="184"/>
      <c r="DN109" s="184"/>
      <c r="DO109" s="184"/>
      <c r="DP109" s="184"/>
      <c r="DQ109" s="184"/>
      <c r="DR109" s="184"/>
      <c r="DS109" s="184"/>
      <c r="DT109" s="184"/>
      <c r="DU109" s="184"/>
      <c r="DV109" s="184"/>
      <c r="DW109" s="184"/>
      <c r="DX109" s="184"/>
      <c r="DY109" s="184"/>
      <c r="DZ109" s="184"/>
      <c r="EA109" s="184"/>
      <c r="EB109" s="184"/>
      <c r="EC109" s="184"/>
      <c r="ED109" s="184"/>
      <c r="EE109" s="184"/>
      <c r="EF109" s="184"/>
      <c r="EG109" s="184"/>
      <c r="EH109" s="184"/>
      <c r="EI109" s="184"/>
      <c r="EJ109" s="184"/>
      <c r="EK109" s="184"/>
      <c r="EL109" s="184"/>
      <c r="EM109" s="184"/>
      <c r="EN109" s="184"/>
      <c r="EO109" s="184"/>
      <c r="EP109" s="184"/>
      <c r="EQ109" s="184"/>
      <c r="ER109" s="184"/>
      <c r="ES109" s="184"/>
      <c r="ET109" s="184"/>
      <c r="EU109" s="184"/>
      <c r="EV109" s="184"/>
      <c r="EW109" s="184"/>
      <c r="EX109" s="184"/>
      <c r="EY109" s="184"/>
      <c r="EZ109" s="184"/>
      <c r="FA109" s="184"/>
      <c r="FB109" s="184"/>
      <c r="FC109" s="184"/>
      <c r="FD109" s="184"/>
      <c r="FE109" s="184"/>
      <c r="FF109" s="184"/>
      <c r="FG109" s="184"/>
      <c r="FH109" s="184"/>
      <c r="FI109" s="184"/>
      <c r="FJ109" s="184"/>
      <c r="FK109" s="184"/>
      <c r="FL109" s="184"/>
      <c r="FM109" s="184"/>
      <c r="FN109" s="184"/>
      <c r="FO109" s="184"/>
      <c r="FP109" s="184"/>
      <c r="FQ109" s="184"/>
      <c r="FR109" s="184"/>
      <c r="FS109" s="184"/>
      <c r="FT109" s="184"/>
      <c r="FU109" s="184"/>
      <c r="FV109" s="184"/>
      <c r="FW109" s="184"/>
      <c r="FX109" s="184"/>
      <c r="FY109" s="184"/>
      <c r="FZ109" s="184"/>
      <c r="GA109" s="184"/>
      <c r="GB109" s="184"/>
      <c r="GC109" s="184"/>
      <c r="GD109" s="184"/>
      <c r="GE109" s="184"/>
      <c r="GF109" s="184"/>
      <c r="GG109" s="184"/>
      <c r="GH109" s="184"/>
      <c r="GI109" s="184"/>
    </row>
    <row r="110" spans="1:191" s="186" customFormat="1" ht="15" customHeight="1">
      <c r="A110" s="184"/>
      <c r="B110" s="190"/>
      <c r="C110" s="211"/>
      <c r="D110" s="193"/>
      <c r="E110" s="193"/>
      <c r="F110" s="188"/>
      <c r="G110" s="188"/>
      <c r="H110" s="190"/>
      <c r="I110" s="188"/>
      <c r="J110" s="184"/>
      <c r="K110" s="190"/>
      <c r="L110" s="190"/>
      <c r="M110" s="190"/>
      <c r="N110" s="184"/>
      <c r="O110" s="191"/>
      <c r="P110" s="191"/>
      <c r="Q110" s="183"/>
      <c r="R110" s="183"/>
      <c r="S110" s="183"/>
      <c r="T110" s="184"/>
      <c r="U110" s="184"/>
      <c r="V110" s="188"/>
      <c r="AB110" s="184"/>
      <c r="AC110" s="184"/>
      <c r="AD110" s="184"/>
      <c r="AE110" s="184"/>
      <c r="AF110" s="184"/>
      <c r="AG110" s="184"/>
      <c r="AH110" s="184"/>
      <c r="AI110" s="184"/>
      <c r="AJ110" s="184"/>
      <c r="AK110" s="184"/>
      <c r="AL110" s="184"/>
      <c r="AM110" s="184"/>
      <c r="AN110" s="184"/>
      <c r="AO110" s="184"/>
      <c r="AP110" s="184"/>
      <c r="AQ110" s="184"/>
      <c r="AR110" s="184"/>
      <c r="AS110" s="184"/>
      <c r="AT110" s="184"/>
      <c r="AU110" s="184"/>
      <c r="AV110" s="184"/>
      <c r="AW110" s="184"/>
      <c r="AX110" s="184"/>
      <c r="AY110" s="184"/>
      <c r="AZ110" s="184"/>
      <c r="BA110" s="184"/>
      <c r="BB110" s="184"/>
      <c r="BC110" s="184"/>
      <c r="BD110" s="184"/>
      <c r="BE110" s="184"/>
      <c r="BF110" s="184"/>
      <c r="BG110" s="184"/>
      <c r="BH110" s="184"/>
      <c r="BI110" s="184"/>
      <c r="BJ110" s="184"/>
      <c r="BK110" s="184"/>
      <c r="BL110" s="184"/>
      <c r="BM110" s="184"/>
      <c r="BN110" s="184"/>
      <c r="BO110" s="184"/>
      <c r="BP110" s="184"/>
      <c r="BQ110" s="184"/>
      <c r="BR110" s="184"/>
      <c r="BS110" s="184"/>
      <c r="BT110" s="184"/>
      <c r="BU110" s="184"/>
      <c r="BV110" s="184"/>
      <c r="BW110" s="184"/>
      <c r="BX110" s="184"/>
      <c r="BY110" s="184"/>
      <c r="BZ110" s="184"/>
      <c r="CA110" s="184"/>
      <c r="CB110" s="184"/>
      <c r="CC110" s="184"/>
      <c r="CD110" s="184"/>
      <c r="CE110" s="184"/>
      <c r="CF110" s="184"/>
      <c r="CG110" s="184"/>
      <c r="CH110" s="184"/>
      <c r="CI110" s="184"/>
      <c r="CJ110" s="184"/>
      <c r="CK110" s="184"/>
      <c r="CL110" s="184"/>
      <c r="CM110" s="184"/>
      <c r="CN110" s="184"/>
      <c r="CO110" s="184"/>
      <c r="CP110" s="184"/>
      <c r="CQ110" s="184"/>
      <c r="CR110" s="184"/>
      <c r="CS110" s="184"/>
      <c r="CT110" s="184"/>
      <c r="CU110" s="184"/>
      <c r="CV110" s="184"/>
      <c r="CW110" s="184"/>
      <c r="CX110" s="184"/>
      <c r="CY110" s="184"/>
      <c r="CZ110" s="184"/>
      <c r="DA110" s="184"/>
      <c r="DB110" s="184"/>
      <c r="DC110" s="184"/>
      <c r="DD110" s="184"/>
      <c r="DE110" s="184"/>
      <c r="DF110" s="184"/>
      <c r="DG110" s="184"/>
      <c r="DH110" s="184"/>
      <c r="DI110" s="184"/>
      <c r="DJ110" s="184"/>
      <c r="DK110" s="184"/>
      <c r="DL110" s="184"/>
      <c r="DM110" s="184"/>
      <c r="DN110" s="184"/>
      <c r="DO110" s="184"/>
      <c r="DP110" s="184"/>
      <c r="DQ110" s="184"/>
      <c r="DR110" s="184"/>
      <c r="DS110" s="184"/>
      <c r="DT110" s="184"/>
      <c r="DU110" s="184"/>
      <c r="DV110" s="184"/>
      <c r="DW110" s="184"/>
      <c r="DX110" s="184"/>
      <c r="DY110" s="184"/>
      <c r="DZ110" s="184"/>
      <c r="EA110" s="184"/>
      <c r="EB110" s="184"/>
      <c r="EC110" s="184"/>
      <c r="ED110" s="184"/>
      <c r="EE110" s="184"/>
      <c r="EF110" s="184"/>
      <c r="EG110" s="184"/>
      <c r="EH110" s="184"/>
      <c r="EI110" s="184"/>
      <c r="EJ110" s="184"/>
      <c r="EK110" s="184"/>
      <c r="EL110" s="184"/>
      <c r="EM110" s="184"/>
      <c r="EN110" s="184"/>
      <c r="EO110" s="184"/>
      <c r="EP110" s="184"/>
      <c r="EQ110" s="184"/>
      <c r="ER110" s="184"/>
      <c r="ES110" s="184"/>
      <c r="ET110" s="184"/>
      <c r="EU110" s="184"/>
      <c r="EV110" s="184"/>
      <c r="EW110" s="184"/>
      <c r="EX110" s="184"/>
      <c r="EY110" s="184"/>
      <c r="EZ110" s="184"/>
      <c r="FA110" s="184"/>
      <c r="FB110" s="184"/>
      <c r="FC110" s="184"/>
      <c r="FD110" s="184"/>
      <c r="FE110" s="184"/>
      <c r="FF110" s="184"/>
      <c r="FG110" s="184"/>
      <c r="FH110" s="184"/>
      <c r="FI110" s="184"/>
      <c r="FJ110" s="184"/>
      <c r="FK110" s="184"/>
      <c r="FL110" s="184"/>
      <c r="FM110" s="184"/>
      <c r="FN110" s="184"/>
      <c r="FO110" s="184"/>
      <c r="FP110" s="184"/>
      <c r="FQ110" s="184"/>
      <c r="FR110" s="184"/>
      <c r="FS110" s="184"/>
      <c r="FT110" s="184"/>
      <c r="FU110" s="184"/>
      <c r="FV110" s="184"/>
      <c r="FW110" s="184"/>
      <c r="FX110" s="184"/>
      <c r="FY110" s="184"/>
      <c r="FZ110" s="184"/>
      <c r="GA110" s="184"/>
      <c r="GB110" s="184"/>
      <c r="GC110" s="184"/>
      <c r="GD110" s="184"/>
      <c r="GE110" s="184"/>
      <c r="GF110" s="184"/>
      <c r="GG110" s="184"/>
      <c r="GH110" s="184"/>
      <c r="GI110" s="184"/>
    </row>
    <row r="111" spans="1:191" s="186" customFormat="1" ht="15" customHeight="1">
      <c r="A111" s="184"/>
      <c r="B111" s="190"/>
      <c r="C111" s="211"/>
      <c r="D111" s="193"/>
      <c r="E111" s="193"/>
      <c r="F111" s="188"/>
      <c r="G111" s="188"/>
      <c r="H111" s="190"/>
      <c r="I111" s="188"/>
      <c r="J111" s="184"/>
      <c r="K111" s="190"/>
      <c r="L111" s="190"/>
      <c r="M111" s="190"/>
      <c r="N111" s="184"/>
      <c r="O111" s="191"/>
      <c r="P111" s="191"/>
      <c r="Q111" s="183"/>
      <c r="R111" s="183"/>
      <c r="S111" s="183"/>
      <c r="T111" s="184"/>
      <c r="U111" s="184"/>
      <c r="V111" s="188"/>
      <c r="AB111" s="184"/>
      <c r="AC111" s="184"/>
      <c r="AD111" s="184"/>
      <c r="AE111" s="184"/>
      <c r="AF111" s="184"/>
      <c r="AG111" s="184"/>
      <c r="AH111" s="184"/>
      <c r="AI111" s="184"/>
      <c r="AJ111" s="184"/>
      <c r="AK111" s="184"/>
      <c r="AL111" s="184"/>
      <c r="AM111" s="184"/>
      <c r="AN111" s="184"/>
      <c r="AO111" s="184"/>
      <c r="AP111" s="184"/>
      <c r="AQ111" s="184"/>
      <c r="AR111" s="184"/>
      <c r="AS111" s="184"/>
      <c r="AT111" s="184"/>
      <c r="AU111" s="184"/>
      <c r="AV111" s="184"/>
      <c r="AW111" s="184"/>
      <c r="AX111" s="184"/>
      <c r="AY111" s="184"/>
      <c r="AZ111" s="184"/>
      <c r="BA111" s="184"/>
      <c r="BB111" s="184"/>
      <c r="BC111" s="184"/>
      <c r="BD111" s="184"/>
      <c r="BE111" s="184"/>
      <c r="BF111" s="184"/>
      <c r="BG111" s="184"/>
      <c r="BH111" s="184"/>
      <c r="BI111" s="184"/>
      <c r="BJ111" s="184"/>
      <c r="BK111" s="184"/>
      <c r="BL111" s="184"/>
      <c r="BM111" s="184"/>
      <c r="BN111" s="184"/>
      <c r="BO111" s="184"/>
      <c r="BP111" s="184"/>
      <c r="BQ111" s="184"/>
      <c r="BR111" s="184"/>
      <c r="BS111" s="184"/>
      <c r="BT111" s="184"/>
      <c r="BU111" s="184"/>
      <c r="BV111" s="184"/>
      <c r="BW111" s="184"/>
      <c r="BX111" s="184"/>
      <c r="BY111" s="184"/>
      <c r="BZ111" s="184"/>
      <c r="CA111" s="184"/>
      <c r="CB111" s="184"/>
      <c r="CC111" s="184"/>
      <c r="CD111" s="184"/>
      <c r="CE111" s="184"/>
      <c r="CF111" s="184"/>
      <c r="CG111" s="184"/>
      <c r="CH111" s="184"/>
      <c r="CI111" s="184"/>
      <c r="CJ111" s="184"/>
      <c r="CK111" s="184"/>
      <c r="CL111" s="184"/>
      <c r="CM111" s="184"/>
      <c r="CN111" s="184"/>
      <c r="CO111" s="184"/>
      <c r="CP111" s="184"/>
      <c r="CQ111" s="184"/>
      <c r="CR111" s="184"/>
      <c r="CS111" s="184"/>
      <c r="CT111" s="184"/>
      <c r="CU111" s="184"/>
      <c r="CV111" s="184"/>
      <c r="CW111" s="184"/>
      <c r="CX111" s="184"/>
      <c r="CY111" s="184"/>
      <c r="CZ111" s="184"/>
      <c r="DA111" s="184"/>
      <c r="DB111" s="184"/>
      <c r="DC111" s="184"/>
      <c r="DD111" s="184"/>
      <c r="DE111" s="184"/>
      <c r="DF111" s="184"/>
      <c r="DG111" s="184"/>
      <c r="DH111" s="184"/>
      <c r="DI111" s="184"/>
      <c r="DJ111" s="184"/>
      <c r="DK111" s="184"/>
      <c r="DL111" s="184"/>
      <c r="DM111" s="184"/>
      <c r="DN111" s="184"/>
      <c r="DO111" s="184"/>
      <c r="DP111" s="184"/>
      <c r="DQ111" s="184"/>
      <c r="DR111" s="184"/>
      <c r="DS111" s="184"/>
      <c r="DT111" s="184"/>
      <c r="DU111" s="184"/>
      <c r="DV111" s="184"/>
      <c r="DW111" s="184"/>
      <c r="DX111" s="184"/>
      <c r="DY111" s="184"/>
      <c r="DZ111" s="184"/>
      <c r="EA111" s="184"/>
      <c r="EB111" s="184"/>
      <c r="EC111" s="184"/>
      <c r="ED111" s="184"/>
      <c r="EE111" s="184"/>
      <c r="EF111" s="184"/>
      <c r="EG111" s="184"/>
      <c r="EH111" s="184"/>
      <c r="EI111" s="184"/>
      <c r="EJ111" s="184"/>
      <c r="EK111" s="184"/>
      <c r="EL111" s="184"/>
      <c r="EM111" s="184"/>
      <c r="EN111" s="184"/>
      <c r="EO111" s="184"/>
      <c r="EP111" s="184"/>
      <c r="EQ111" s="184"/>
      <c r="ER111" s="184"/>
      <c r="ES111" s="184"/>
      <c r="ET111" s="184"/>
      <c r="EU111" s="184"/>
      <c r="EV111" s="184"/>
      <c r="EW111" s="184"/>
      <c r="EX111" s="184"/>
      <c r="EY111" s="184"/>
      <c r="EZ111" s="184"/>
      <c r="FA111" s="184"/>
      <c r="FB111" s="184"/>
      <c r="FC111" s="184"/>
      <c r="FD111" s="184"/>
      <c r="FE111" s="184"/>
      <c r="FF111" s="184"/>
      <c r="FG111" s="184"/>
      <c r="FH111" s="184"/>
      <c r="FI111" s="184"/>
      <c r="FJ111" s="184"/>
      <c r="FK111" s="184"/>
      <c r="FL111" s="184"/>
      <c r="FM111" s="184"/>
      <c r="FN111" s="184"/>
      <c r="FO111" s="184"/>
      <c r="FP111" s="184"/>
      <c r="FQ111" s="184"/>
      <c r="FR111" s="184"/>
      <c r="FS111" s="184"/>
      <c r="FT111" s="184"/>
      <c r="FU111" s="184"/>
      <c r="FV111" s="184"/>
      <c r="FW111" s="184"/>
      <c r="FX111" s="184"/>
      <c r="FY111" s="184"/>
      <c r="FZ111" s="184"/>
      <c r="GA111" s="184"/>
      <c r="GB111" s="184"/>
      <c r="GC111" s="184"/>
      <c r="GD111" s="184"/>
      <c r="GE111" s="184"/>
      <c r="GF111" s="184"/>
      <c r="GG111" s="184"/>
      <c r="GH111" s="184"/>
      <c r="GI111" s="184"/>
    </row>
    <row r="112" spans="1:191" s="186" customFormat="1" ht="15" customHeight="1">
      <c r="A112" s="184"/>
      <c r="B112" s="190"/>
      <c r="C112" s="211"/>
      <c r="D112" s="193"/>
      <c r="E112" s="193"/>
      <c r="F112" s="188"/>
      <c r="G112" s="188"/>
      <c r="H112" s="190"/>
      <c r="I112" s="188"/>
      <c r="J112" s="184"/>
      <c r="K112" s="190"/>
      <c r="L112" s="190"/>
      <c r="M112" s="190"/>
      <c r="N112" s="184"/>
      <c r="O112" s="191"/>
      <c r="P112" s="191"/>
      <c r="Q112" s="183"/>
      <c r="R112" s="183"/>
      <c r="S112" s="183"/>
      <c r="T112" s="184"/>
      <c r="U112" s="184"/>
      <c r="V112" s="188"/>
      <c r="AB112" s="184"/>
      <c r="AC112" s="184"/>
      <c r="AD112" s="184"/>
      <c r="AE112" s="184"/>
      <c r="AF112" s="184"/>
      <c r="AG112" s="184"/>
      <c r="AH112" s="184"/>
      <c r="AI112" s="184"/>
      <c r="AJ112" s="184"/>
      <c r="AK112" s="184"/>
      <c r="AL112" s="184"/>
      <c r="AM112" s="184"/>
      <c r="AN112" s="184"/>
      <c r="AO112" s="184"/>
      <c r="AP112" s="184"/>
      <c r="AQ112" s="184"/>
      <c r="AR112" s="184"/>
      <c r="AS112" s="184"/>
      <c r="AT112" s="184"/>
      <c r="AU112" s="184"/>
      <c r="AV112" s="184"/>
      <c r="AW112" s="184"/>
      <c r="AX112" s="184"/>
      <c r="AY112" s="184"/>
      <c r="AZ112" s="184"/>
      <c r="BA112" s="184"/>
      <c r="BB112" s="184"/>
      <c r="BC112" s="184"/>
      <c r="BD112" s="184"/>
      <c r="BE112" s="184"/>
      <c r="BF112" s="184"/>
      <c r="BG112" s="184"/>
      <c r="BH112" s="184"/>
      <c r="BI112" s="184"/>
      <c r="BJ112" s="184"/>
      <c r="BK112" s="184"/>
      <c r="BL112" s="184"/>
      <c r="BM112" s="184"/>
      <c r="BN112" s="184"/>
      <c r="BO112" s="184"/>
      <c r="BP112" s="184"/>
      <c r="BQ112" s="184"/>
      <c r="BR112" s="184"/>
      <c r="BS112" s="184"/>
      <c r="BT112" s="184"/>
      <c r="BU112" s="184"/>
      <c r="BV112" s="184"/>
      <c r="BW112" s="184"/>
      <c r="BX112" s="184"/>
      <c r="BY112" s="184"/>
      <c r="BZ112" s="184"/>
      <c r="CA112" s="184"/>
      <c r="CB112" s="184"/>
      <c r="CC112" s="184"/>
      <c r="CD112" s="184"/>
      <c r="CE112" s="184"/>
      <c r="CF112" s="184"/>
      <c r="CG112" s="184"/>
      <c r="CH112" s="184"/>
      <c r="CI112" s="184"/>
      <c r="CJ112" s="184"/>
      <c r="CK112" s="184"/>
      <c r="CL112" s="184"/>
      <c r="CM112" s="184"/>
      <c r="CN112" s="184"/>
      <c r="CO112" s="184"/>
      <c r="CP112" s="184"/>
      <c r="CQ112" s="184"/>
      <c r="CR112" s="184"/>
      <c r="CS112" s="184"/>
      <c r="CT112" s="184"/>
      <c r="CU112" s="184"/>
      <c r="CV112" s="184"/>
      <c r="CW112" s="184"/>
      <c r="CX112" s="184"/>
      <c r="CY112" s="184"/>
      <c r="CZ112" s="184"/>
      <c r="DA112" s="184"/>
      <c r="DB112" s="184"/>
      <c r="DC112" s="184"/>
      <c r="DD112" s="184"/>
      <c r="DE112" s="184"/>
      <c r="DF112" s="184"/>
      <c r="DG112" s="184"/>
      <c r="DH112" s="184"/>
      <c r="DI112" s="184"/>
      <c r="DJ112" s="184"/>
      <c r="DK112" s="184"/>
      <c r="DL112" s="184"/>
      <c r="DM112" s="184"/>
      <c r="DN112" s="184"/>
      <c r="DO112" s="184"/>
      <c r="DP112" s="184"/>
      <c r="DQ112" s="184"/>
      <c r="DR112" s="184"/>
      <c r="DS112" s="184"/>
      <c r="DT112" s="184"/>
      <c r="DU112" s="184"/>
      <c r="DV112" s="184"/>
      <c r="DW112" s="184"/>
      <c r="DX112" s="184"/>
      <c r="DY112" s="184"/>
      <c r="DZ112" s="184"/>
      <c r="EA112" s="184"/>
      <c r="EB112" s="184"/>
      <c r="EC112" s="184"/>
      <c r="ED112" s="184"/>
      <c r="EE112" s="184"/>
      <c r="EF112" s="184"/>
      <c r="EG112" s="184"/>
      <c r="EH112" s="184"/>
      <c r="EI112" s="184"/>
      <c r="EJ112" s="184"/>
      <c r="EK112" s="184"/>
      <c r="EL112" s="184"/>
      <c r="EM112" s="184"/>
      <c r="EN112" s="184"/>
      <c r="EO112" s="184"/>
      <c r="EP112" s="184"/>
      <c r="EQ112" s="184"/>
      <c r="ER112" s="184"/>
      <c r="ES112" s="184"/>
      <c r="ET112" s="184"/>
      <c r="EU112" s="184"/>
      <c r="EV112" s="184"/>
      <c r="EW112" s="184"/>
      <c r="EX112" s="184"/>
      <c r="EY112" s="184"/>
      <c r="EZ112" s="184"/>
      <c r="FA112" s="184"/>
      <c r="FB112" s="184"/>
      <c r="FC112" s="184"/>
      <c r="FD112" s="184"/>
      <c r="FE112" s="184"/>
      <c r="FF112" s="184"/>
      <c r="FG112" s="184"/>
      <c r="FH112" s="184"/>
      <c r="FI112" s="184"/>
      <c r="FJ112" s="184"/>
      <c r="FK112" s="184"/>
      <c r="FL112" s="184"/>
      <c r="FM112" s="184"/>
      <c r="FN112" s="184"/>
      <c r="FO112" s="184"/>
      <c r="FP112" s="184"/>
      <c r="FQ112" s="184"/>
      <c r="FR112" s="184"/>
      <c r="FS112" s="184"/>
      <c r="FT112" s="184"/>
      <c r="FU112" s="184"/>
      <c r="FV112" s="184"/>
      <c r="FW112" s="184"/>
      <c r="FX112" s="184"/>
      <c r="FY112" s="184"/>
      <c r="FZ112" s="184"/>
      <c r="GA112" s="184"/>
      <c r="GB112" s="184"/>
      <c r="GC112" s="184"/>
      <c r="GD112" s="184"/>
      <c r="GE112" s="184"/>
      <c r="GF112" s="184"/>
      <c r="GG112" s="184"/>
      <c r="GH112" s="184"/>
      <c r="GI112" s="184"/>
    </row>
    <row r="113" spans="1:191" s="186" customFormat="1" ht="15" customHeight="1">
      <c r="A113" s="184"/>
      <c r="B113" s="190"/>
      <c r="C113" s="211"/>
      <c r="D113" s="193"/>
      <c r="E113" s="193"/>
      <c r="F113" s="188"/>
      <c r="G113" s="188"/>
      <c r="H113" s="190"/>
      <c r="I113" s="188"/>
      <c r="J113" s="184"/>
      <c r="K113" s="190"/>
      <c r="L113" s="190"/>
      <c r="M113" s="190"/>
      <c r="N113" s="184"/>
      <c r="O113" s="191"/>
      <c r="P113" s="191"/>
      <c r="Q113" s="183"/>
      <c r="R113" s="183"/>
      <c r="S113" s="183"/>
      <c r="T113" s="184"/>
      <c r="U113" s="184"/>
      <c r="V113" s="188"/>
      <c r="AB113" s="184"/>
      <c r="AC113" s="184"/>
      <c r="AD113" s="184"/>
      <c r="AE113" s="184"/>
      <c r="AF113" s="184"/>
      <c r="AG113" s="184"/>
      <c r="AH113" s="184"/>
      <c r="AI113" s="184"/>
      <c r="AJ113" s="184"/>
      <c r="AK113" s="184"/>
      <c r="AL113" s="184"/>
      <c r="AM113" s="184"/>
      <c r="AN113" s="184"/>
      <c r="AO113" s="184"/>
      <c r="AP113" s="184"/>
      <c r="AQ113" s="184"/>
      <c r="AR113" s="184"/>
      <c r="AS113" s="184"/>
      <c r="AT113" s="184"/>
      <c r="AU113" s="184"/>
      <c r="AV113" s="184"/>
      <c r="AW113" s="184"/>
      <c r="AX113" s="184"/>
      <c r="AY113" s="184"/>
      <c r="AZ113" s="184"/>
      <c r="BA113" s="184"/>
      <c r="BB113" s="184"/>
      <c r="BC113" s="184"/>
      <c r="BD113" s="184"/>
      <c r="BE113" s="184"/>
      <c r="BF113" s="184"/>
      <c r="BG113" s="184"/>
      <c r="BH113" s="184"/>
      <c r="BI113" s="184"/>
      <c r="BJ113" s="184"/>
      <c r="BK113" s="184"/>
      <c r="BL113" s="184"/>
      <c r="BM113" s="184"/>
      <c r="BN113" s="184"/>
      <c r="BO113" s="184"/>
      <c r="BP113" s="184"/>
      <c r="BQ113" s="184"/>
      <c r="BR113" s="184"/>
      <c r="BS113" s="184"/>
      <c r="BT113" s="184"/>
      <c r="BU113" s="184"/>
      <c r="BV113" s="184"/>
      <c r="BW113" s="184"/>
      <c r="BX113" s="184"/>
      <c r="BY113" s="184"/>
      <c r="BZ113" s="184"/>
      <c r="CA113" s="184"/>
      <c r="CB113" s="184"/>
      <c r="CC113" s="184"/>
      <c r="CD113" s="184"/>
      <c r="CE113" s="184"/>
      <c r="CF113" s="184"/>
      <c r="CG113" s="184"/>
      <c r="CH113" s="184"/>
      <c r="CI113" s="184"/>
      <c r="CJ113" s="184"/>
      <c r="CK113" s="184"/>
      <c r="CL113" s="184"/>
      <c r="CM113" s="184"/>
      <c r="CN113" s="184"/>
      <c r="CO113" s="184"/>
      <c r="CP113" s="184"/>
      <c r="CQ113" s="184"/>
      <c r="CR113" s="184"/>
      <c r="CS113" s="184"/>
      <c r="CT113" s="184"/>
      <c r="CU113" s="184"/>
      <c r="CV113" s="184"/>
      <c r="CW113" s="184"/>
      <c r="CX113" s="184"/>
      <c r="CY113" s="184"/>
      <c r="CZ113" s="184"/>
      <c r="DA113" s="184"/>
      <c r="DB113" s="184"/>
      <c r="DC113" s="184"/>
      <c r="DD113" s="184"/>
      <c r="DE113" s="184"/>
      <c r="DF113" s="184"/>
      <c r="DG113" s="184"/>
      <c r="DH113" s="184"/>
      <c r="DI113" s="184"/>
      <c r="DJ113" s="184"/>
      <c r="DK113" s="184"/>
      <c r="DL113" s="184"/>
      <c r="DM113" s="184"/>
      <c r="DN113" s="184"/>
      <c r="DO113" s="184"/>
      <c r="DP113" s="184"/>
      <c r="DQ113" s="184"/>
      <c r="DR113" s="184"/>
      <c r="DS113" s="184"/>
      <c r="DT113" s="184"/>
      <c r="DU113" s="184"/>
      <c r="DV113" s="184"/>
      <c r="DW113" s="184"/>
      <c r="DX113" s="184"/>
      <c r="DY113" s="184"/>
      <c r="DZ113" s="184"/>
      <c r="EA113" s="184"/>
      <c r="EB113" s="184"/>
      <c r="EC113" s="184"/>
      <c r="ED113" s="184"/>
      <c r="EE113" s="184"/>
      <c r="EF113" s="184"/>
      <c r="EG113" s="184"/>
      <c r="EH113" s="184"/>
      <c r="EI113" s="184"/>
      <c r="EJ113" s="184"/>
      <c r="EK113" s="184"/>
      <c r="EL113" s="184"/>
      <c r="EM113" s="184"/>
      <c r="EN113" s="184"/>
      <c r="EO113" s="184"/>
      <c r="EP113" s="184"/>
      <c r="EQ113" s="184"/>
      <c r="ER113" s="184"/>
      <c r="ES113" s="184"/>
      <c r="ET113" s="184"/>
      <c r="EU113" s="184"/>
      <c r="EV113" s="184"/>
      <c r="EW113" s="184"/>
      <c r="EX113" s="184"/>
      <c r="EY113" s="184"/>
      <c r="EZ113" s="184"/>
      <c r="FA113" s="184"/>
      <c r="FB113" s="184"/>
      <c r="FC113" s="184"/>
      <c r="FD113" s="184"/>
      <c r="FE113" s="184"/>
      <c r="FF113" s="184"/>
      <c r="FG113" s="184"/>
      <c r="FH113" s="184"/>
      <c r="FI113" s="184"/>
      <c r="FJ113" s="184"/>
      <c r="FK113" s="184"/>
      <c r="FL113" s="184"/>
      <c r="FM113" s="184"/>
      <c r="FN113" s="184"/>
      <c r="FO113" s="184"/>
      <c r="FP113" s="184"/>
      <c r="FQ113" s="184"/>
      <c r="FR113" s="184"/>
      <c r="FS113" s="184"/>
      <c r="FT113" s="184"/>
      <c r="FU113" s="184"/>
      <c r="FV113" s="184"/>
      <c r="FW113" s="184"/>
      <c r="FX113" s="184"/>
      <c r="FY113" s="184"/>
      <c r="FZ113" s="184"/>
      <c r="GA113" s="184"/>
      <c r="GB113" s="184"/>
      <c r="GC113" s="184"/>
      <c r="GD113" s="184"/>
      <c r="GE113" s="184"/>
      <c r="GF113" s="184"/>
      <c r="GG113" s="184"/>
      <c r="GH113" s="184"/>
      <c r="GI113" s="184"/>
    </row>
    <row r="114" spans="1:191" s="186" customFormat="1" ht="15" customHeight="1">
      <c r="A114" s="184"/>
      <c r="B114" s="190"/>
      <c r="C114" s="211"/>
      <c r="D114" s="193"/>
      <c r="E114" s="193"/>
      <c r="F114" s="188"/>
      <c r="G114" s="188"/>
      <c r="H114" s="190"/>
      <c r="I114" s="188"/>
      <c r="J114" s="184"/>
      <c r="K114" s="190"/>
      <c r="L114" s="190"/>
      <c r="M114" s="190"/>
      <c r="N114" s="184"/>
      <c r="O114" s="191"/>
      <c r="P114" s="191"/>
      <c r="Q114" s="183"/>
      <c r="R114" s="183"/>
      <c r="S114" s="183"/>
      <c r="T114" s="184"/>
      <c r="U114" s="184"/>
      <c r="V114" s="188"/>
      <c r="AB114" s="184"/>
      <c r="AC114" s="184"/>
      <c r="AD114" s="184"/>
      <c r="AE114" s="184"/>
      <c r="AF114" s="184"/>
      <c r="AG114" s="184"/>
      <c r="AH114" s="184"/>
      <c r="AI114" s="184"/>
      <c r="AJ114" s="184"/>
      <c r="AK114" s="184"/>
      <c r="AL114" s="184"/>
      <c r="AM114" s="184"/>
      <c r="AN114" s="184"/>
      <c r="AO114" s="184"/>
      <c r="AP114" s="184"/>
      <c r="AQ114" s="184"/>
      <c r="AR114" s="184"/>
      <c r="AS114" s="184"/>
      <c r="AT114" s="184"/>
      <c r="AU114" s="184"/>
      <c r="AV114" s="184"/>
      <c r="AW114" s="184"/>
      <c r="AX114" s="184"/>
      <c r="AY114" s="184"/>
      <c r="AZ114" s="184"/>
      <c r="BA114" s="184"/>
      <c r="BB114" s="184"/>
      <c r="BC114" s="184"/>
      <c r="BD114" s="184"/>
      <c r="BE114" s="184"/>
      <c r="BF114" s="184"/>
      <c r="BG114" s="184"/>
      <c r="BH114" s="184"/>
      <c r="BI114" s="184"/>
      <c r="BJ114" s="184"/>
      <c r="BK114" s="184"/>
      <c r="BL114" s="184"/>
      <c r="BM114" s="184"/>
      <c r="BN114" s="184"/>
      <c r="BO114" s="184"/>
      <c r="BP114" s="184"/>
      <c r="BQ114" s="184"/>
      <c r="BR114" s="184"/>
      <c r="BS114" s="184"/>
      <c r="BT114" s="184"/>
      <c r="BU114" s="184"/>
      <c r="BV114" s="184"/>
      <c r="BW114" s="184"/>
      <c r="BX114" s="184"/>
      <c r="BY114" s="184"/>
      <c r="BZ114" s="184"/>
      <c r="CA114" s="184"/>
      <c r="CB114" s="184"/>
      <c r="CC114" s="184"/>
      <c r="CD114" s="184"/>
      <c r="CE114" s="184"/>
      <c r="CF114" s="184"/>
      <c r="CG114" s="184"/>
      <c r="CH114" s="184"/>
      <c r="CI114" s="184"/>
      <c r="CJ114" s="184"/>
      <c r="CK114" s="184"/>
      <c r="CL114" s="184"/>
      <c r="CM114" s="184"/>
      <c r="CN114" s="184"/>
      <c r="CO114" s="184"/>
      <c r="CP114" s="184"/>
      <c r="CQ114" s="184"/>
      <c r="CR114" s="184"/>
      <c r="CS114" s="184"/>
      <c r="CT114" s="184"/>
      <c r="CU114" s="184"/>
      <c r="CV114" s="184"/>
      <c r="CW114" s="184"/>
      <c r="CX114" s="184"/>
      <c r="CY114" s="184"/>
      <c r="CZ114" s="184"/>
      <c r="DA114" s="184"/>
      <c r="DB114" s="184"/>
      <c r="DC114" s="184"/>
      <c r="DD114" s="184"/>
      <c r="DE114" s="184"/>
      <c r="DF114" s="184"/>
      <c r="DG114" s="184"/>
      <c r="DH114" s="184"/>
      <c r="DI114" s="184"/>
      <c r="DJ114" s="184"/>
      <c r="DK114" s="184"/>
      <c r="DL114" s="184"/>
      <c r="DM114" s="184"/>
      <c r="DN114" s="184"/>
      <c r="DO114" s="184"/>
      <c r="DP114" s="184"/>
      <c r="DQ114" s="184"/>
      <c r="DR114" s="184"/>
      <c r="DS114" s="184"/>
      <c r="DT114" s="184"/>
      <c r="DU114" s="184"/>
      <c r="DV114" s="184"/>
      <c r="DW114" s="184"/>
      <c r="DX114" s="184"/>
      <c r="DY114" s="184"/>
      <c r="DZ114" s="184"/>
      <c r="EA114" s="184"/>
      <c r="EB114" s="184"/>
      <c r="EC114" s="184"/>
      <c r="ED114" s="184"/>
      <c r="EE114" s="184"/>
      <c r="EF114" s="184"/>
      <c r="EG114" s="184"/>
      <c r="EH114" s="184"/>
      <c r="EI114" s="184"/>
      <c r="EJ114" s="184"/>
      <c r="EK114" s="184"/>
      <c r="EL114" s="184"/>
      <c r="EM114" s="184"/>
      <c r="EN114" s="184"/>
      <c r="EO114" s="184"/>
      <c r="EP114" s="184"/>
      <c r="EQ114" s="184"/>
      <c r="ER114" s="184"/>
      <c r="ES114" s="184"/>
      <c r="ET114" s="184"/>
      <c r="EU114" s="184"/>
      <c r="EV114" s="184"/>
      <c r="EW114" s="184"/>
      <c r="EX114" s="184"/>
      <c r="EY114" s="184"/>
      <c r="EZ114" s="184"/>
      <c r="FA114" s="184"/>
      <c r="FB114" s="184"/>
      <c r="FC114" s="184"/>
      <c r="FD114" s="184"/>
      <c r="FE114" s="184"/>
      <c r="FF114" s="184"/>
      <c r="FG114" s="184"/>
      <c r="FH114" s="184"/>
      <c r="FI114" s="184"/>
      <c r="FJ114" s="184"/>
      <c r="FK114" s="184"/>
      <c r="FL114" s="184"/>
      <c r="FM114" s="184"/>
      <c r="FN114" s="184"/>
      <c r="FO114" s="184"/>
      <c r="FP114" s="184"/>
      <c r="FQ114" s="184"/>
      <c r="FR114" s="184"/>
      <c r="FS114" s="184"/>
      <c r="FT114" s="184"/>
      <c r="FU114" s="184"/>
      <c r="FV114" s="184"/>
      <c r="FW114" s="184"/>
      <c r="FX114" s="184"/>
      <c r="FY114" s="184"/>
      <c r="FZ114" s="184"/>
      <c r="GA114" s="184"/>
      <c r="GB114" s="184"/>
      <c r="GC114" s="184"/>
      <c r="GD114" s="184"/>
      <c r="GE114" s="184"/>
      <c r="GF114" s="184"/>
      <c r="GG114" s="184"/>
      <c r="GH114" s="184"/>
      <c r="GI114" s="184"/>
    </row>
    <row r="115" spans="1:191" s="186" customFormat="1" ht="15" customHeight="1">
      <c r="A115" s="184"/>
      <c r="B115" s="190"/>
      <c r="C115" s="211"/>
      <c r="D115" s="193"/>
      <c r="E115" s="193"/>
      <c r="F115" s="188"/>
      <c r="G115" s="188"/>
      <c r="H115" s="190"/>
      <c r="I115" s="188"/>
      <c r="J115" s="184"/>
      <c r="K115" s="190"/>
      <c r="L115" s="190"/>
      <c r="M115" s="190"/>
      <c r="N115" s="184"/>
      <c r="O115" s="191"/>
      <c r="P115" s="191"/>
      <c r="Q115" s="183"/>
      <c r="R115" s="183"/>
      <c r="S115" s="183"/>
      <c r="T115" s="184"/>
      <c r="U115" s="184"/>
      <c r="V115" s="188"/>
      <c r="AB115" s="184"/>
      <c r="AC115" s="184"/>
      <c r="AD115" s="184"/>
      <c r="AE115" s="184"/>
      <c r="AF115" s="184"/>
      <c r="AG115" s="184"/>
      <c r="AH115" s="184"/>
      <c r="AI115" s="184"/>
      <c r="AJ115" s="184"/>
      <c r="AK115" s="184"/>
      <c r="AL115" s="184"/>
      <c r="AM115" s="184"/>
      <c r="AN115" s="184"/>
      <c r="AO115" s="184"/>
      <c r="AP115" s="184"/>
      <c r="AQ115" s="184"/>
      <c r="AR115" s="184"/>
      <c r="AS115" s="184"/>
      <c r="AT115" s="184"/>
      <c r="AU115" s="184"/>
      <c r="AV115" s="184"/>
      <c r="AW115" s="184"/>
      <c r="AX115" s="184"/>
      <c r="AY115" s="184"/>
      <c r="AZ115" s="184"/>
      <c r="BA115" s="184"/>
      <c r="BB115" s="184"/>
      <c r="BC115" s="184"/>
      <c r="BD115" s="184"/>
      <c r="BE115" s="184"/>
      <c r="BF115" s="184"/>
      <c r="BG115" s="184"/>
      <c r="BH115" s="184"/>
      <c r="BI115" s="184"/>
      <c r="BJ115" s="184"/>
      <c r="BK115" s="184"/>
      <c r="BL115" s="184"/>
      <c r="BM115" s="184"/>
      <c r="BN115" s="184"/>
      <c r="BO115" s="184"/>
      <c r="BP115" s="184"/>
      <c r="BQ115" s="184"/>
      <c r="BR115" s="184"/>
      <c r="BS115" s="184"/>
      <c r="BT115" s="184"/>
      <c r="BU115" s="184"/>
      <c r="BV115" s="184"/>
      <c r="BW115" s="184"/>
      <c r="BX115" s="184"/>
      <c r="BY115" s="184"/>
      <c r="BZ115" s="184"/>
      <c r="CA115" s="184"/>
      <c r="CB115" s="184"/>
      <c r="CC115" s="184"/>
      <c r="CD115" s="184"/>
      <c r="CE115" s="184"/>
      <c r="CF115" s="184"/>
      <c r="CG115" s="184"/>
      <c r="CH115" s="184"/>
      <c r="CI115" s="184"/>
      <c r="CJ115" s="184"/>
      <c r="CK115" s="184"/>
      <c r="CL115" s="184"/>
      <c r="CM115" s="184"/>
      <c r="CN115" s="184"/>
      <c r="CO115" s="184"/>
      <c r="CP115" s="184"/>
      <c r="CQ115" s="184"/>
      <c r="CR115" s="184"/>
      <c r="CS115" s="184"/>
      <c r="CT115" s="184"/>
      <c r="CU115" s="184"/>
      <c r="CV115" s="184"/>
      <c r="CW115" s="184"/>
      <c r="CX115" s="184"/>
      <c r="CY115" s="184"/>
      <c r="CZ115" s="184"/>
      <c r="DA115" s="184"/>
      <c r="DB115" s="184"/>
      <c r="DC115" s="184"/>
      <c r="DD115" s="184"/>
      <c r="DE115" s="184"/>
      <c r="DF115" s="184"/>
      <c r="DG115" s="184"/>
      <c r="DH115" s="184"/>
      <c r="DI115" s="184"/>
      <c r="DJ115" s="184"/>
      <c r="DK115" s="184"/>
      <c r="DL115" s="184"/>
      <c r="DM115" s="184"/>
      <c r="DN115" s="184"/>
      <c r="DO115" s="184"/>
      <c r="DP115" s="184"/>
      <c r="DQ115" s="184"/>
      <c r="DR115" s="184"/>
      <c r="DS115" s="184"/>
      <c r="DT115" s="184"/>
      <c r="DU115" s="184"/>
      <c r="DV115" s="184"/>
      <c r="DW115" s="184"/>
      <c r="DX115" s="184"/>
      <c r="DY115" s="184"/>
      <c r="DZ115" s="184"/>
      <c r="EA115" s="184"/>
      <c r="EB115" s="184"/>
      <c r="EC115" s="184"/>
      <c r="ED115" s="184"/>
      <c r="EE115" s="184"/>
      <c r="EF115" s="184"/>
      <c r="EG115" s="184"/>
      <c r="EH115" s="184"/>
      <c r="EI115" s="184"/>
      <c r="EJ115" s="184"/>
      <c r="EK115" s="184"/>
      <c r="EL115" s="184"/>
      <c r="EM115" s="184"/>
      <c r="EN115" s="184"/>
      <c r="EO115" s="184"/>
      <c r="EP115" s="184"/>
      <c r="EQ115" s="184"/>
      <c r="ER115" s="184"/>
      <c r="ES115" s="184"/>
      <c r="ET115" s="184"/>
      <c r="EU115" s="184"/>
      <c r="EV115" s="184"/>
      <c r="EW115" s="184"/>
      <c r="EX115" s="184"/>
      <c r="EY115" s="184"/>
      <c r="EZ115" s="184"/>
      <c r="FA115" s="184"/>
      <c r="FB115" s="184"/>
      <c r="FC115" s="184"/>
      <c r="FD115" s="184"/>
      <c r="FE115" s="184"/>
      <c r="FF115" s="184"/>
      <c r="FG115" s="184"/>
      <c r="FH115" s="184"/>
      <c r="FI115" s="184"/>
      <c r="FJ115" s="184"/>
      <c r="FK115" s="184"/>
      <c r="FL115" s="184"/>
      <c r="FM115" s="184"/>
      <c r="FN115" s="184"/>
      <c r="FO115" s="184"/>
      <c r="FP115" s="184"/>
      <c r="FQ115" s="184"/>
      <c r="FR115" s="184"/>
      <c r="FS115" s="184"/>
      <c r="FT115" s="184"/>
      <c r="FU115" s="184"/>
      <c r="FV115" s="184"/>
      <c r="FW115" s="184"/>
      <c r="FX115" s="184"/>
      <c r="FY115" s="184"/>
      <c r="FZ115" s="184"/>
      <c r="GA115" s="184"/>
      <c r="GB115" s="184"/>
      <c r="GC115" s="184"/>
      <c r="GD115" s="184"/>
      <c r="GE115" s="184"/>
      <c r="GF115" s="184"/>
      <c r="GG115" s="184"/>
      <c r="GH115" s="184"/>
      <c r="GI115" s="184"/>
    </row>
    <row r="116" spans="1:191" s="186" customFormat="1" ht="15" customHeight="1">
      <c r="A116" s="184"/>
      <c r="B116" s="190"/>
      <c r="C116" s="211"/>
      <c r="D116" s="193"/>
      <c r="E116" s="193"/>
      <c r="F116" s="188"/>
      <c r="G116" s="188"/>
      <c r="H116" s="190"/>
      <c r="I116" s="188"/>
      <c r="J116" s="184"/>
      <c r="K116" s="190"/>
      <c r="L116" s="190"/>
      <c r="M116" s="190"/>
      <c r="N116" s="184"/>
      <c r="O116" s="191"/>
      <c r="P116" s="191"/>
      <c r="Q116" s="183"/>
      <c r="R116" s="183"/>
      <c r="S116" s="183"/>
      <c r="T116" s="184"/>
      <c r="U116" s="184"/>
      <c r="V116" s="188"/>
      <c r="AB116" s="184"/>
      <c r="AC116" s="184"/>
      <c r="AD116" s="184"/>
      <c r="AE116" s="184"/>
      <c r="AF116" s="184"/>
      <c r="AG116" s="184"/>
      <c r="AH116" s="184"/>
      <c r="AI116" s="184"/>
      <c r="AJ116" s="184"/>
      <c r="AK116" s="184"/>
      <c r="AL116" s="184"/>
      <c r="AM116" s="184"/>
      <c r="AN116" s="184"/>
      <c r="AO116" s="184"/>
      <c r="AP116" s="184"/>
      <c r="AQ116" s="184"/>
      <c r="AR116" s="184"/>
      <c r="AS116" s="184"/>
      <c r="AT116" s="184"/>
      <c r="AU116" s="184"/>
      <c r="AV116" s="184"/>
      <c r="AW116" s="184"/>
      <c r="AX116" s="184"/>
      <c r="AY116" s="184"/>
      <c r="AZ116" s="184"/>
      <c r="BA116" s="184"/>
      <c r="BB116" s="184"/>
      <c r="BC116" s="184"/>
      <c r="BD116" s="184"/>
      <c r="BE116" s="184"/>
      <c r="BF116" s="184"/>
      <c r="BG116" s="184"/>
      <c r="BH116" s="184"/>
      <c r="BI116" s="184"/>
      <c r="BJ116" s="184"/>
      <c r="BK116" s="184"/>
      <c r="BL116" s="184"/>
      <c r="BM116" s="184"/>
      <c r="BN116" s="184"/>
      <c r="BO116" s="184"/>
      <c r="BP116" s="184"/>
      <c r="BQ116" s="184"/>
      <c r="BR116" s="184"/>
      <c r="BS116" s="184"/>
      <c r="BT116" s="184"/>
      <c r="BU116" s="184"/>
      <c r="BV116" s="184"/>
      <c r="BW116" s="184"/>
      <c r="BX116" s="184"/>
      <c r="BY116" s="184"/>
      <c r="BZ116" s="184"/>
      <c r="CA116" s="184"/>
      <c r="CB116" s="184"/>
      <c r="CC116" s="184"/>
      <c r="CD116" s="184"/>
      <c r="CE116" s="184"/>
      <c r="CF116" s="184"/>
      <c r="CG116" s="184"/>
      <c r="CH116" s="184"/>
      <c r="CI116" s="184"/>
      <c r="CJ116" s="184"/>
      <c r="CK116" s="184"/>
      <c r="CL116" s="184"/>
      <c r="CM116" s="184"/>
      <c r="CN116" s="184"/>
      <c r="CO116" s="184"/>
      <c r="CP116" s="184"/>
      <c r="CQ116" s="184"/>
      <c r="CR116" s="184"/>
      <c r="CS116" s="184"/>
      <c r="CT116" s="184"/>
      <c r="CU116" s="184"/>
      <c r="CV116" s="184"/>
      <c r="CW116" s="184"/>
      <c r="CX116" s="184"/>
      <c r="CY116" s="184"/>
      <c r="CZ116" s="184"/>
      <c r="DA116" s="184"/>
      <c r="DB116" s="184"/>
      <c r="DC116" s="184"/>
      <c r="DD116" s="184"/>
      <c r="DE116" s="184"/>
      <c r="DF116" s="184"/>
      <c r="DG116" s="184"/>
      <c r="DH116" s="184"/>
      <c r="DI116" s="184"/>
      <c r="DJ116" s="184"/>
      <c r="DK116" s="184"/>
      <c r="DL116" s="184"/>
      <c r="DM116" s="184"/>
      <c r="DN116" s="184"/>
      <c r="DO116" s="184"/>
      <c r="DP116" s="184"/>
      <c r="DQ116" s="184"/>
      <c r="DR116" s="184"/>
      <c r="DS116" s="184"/>
      <c r="DT116" s="184"/>
      <c r="DU116" s="184"/>
      <c r="DV116" s="184"/>
      <c r="DW116" s="184"/>
      <c r="DX116" s="184"/>
      <c r="DY116" s="184"/>
      <c r="DZ116" s="184"/>
      <c r="EA116" s="184"/>
      <c r="EB116" s="184"/>
      <c r="EC116" s="184"/>
      <c r="ED116" s="184"/>
      <c r="EE116" s="184"/>
      <c r="EF116" s="184"/>
      <c r="EG116" s="184"/>
      <c r="EH116" s="184"/>
      <c r="EI116" s="184"/>
      <c r="EJ116" s="184"/>
      <c r="EK116" s="184"/>
      <c r="EL116" s="184"/>
      <c r="EM116" s="184"/>
      <c r="EN116" s="184"/>
      <c r="EO116" s="184"/>
      <c r="EP116" s="184"/>
      <c r="EQ116" s="184"/>
      <c r="ER116" s="184"/>
      <c r="ES116" s="184"/>
      <c r="ET116" s="184"/>
      <c r="EU116" s="184"/>
      <c r="EV116" s="184"/>
      <c r="EW116" s="184"/>
      <c r="EX116" s="184"/>
      <c r="EY116" s="184"/>
      <c r="EZ116" s="184"/>
      <c r="FA116" s="184"/>
      <c r="FB116" s="184"/>
      <c r="FC116" s="184"/>
      <c r="FD116" s="184"/>
      <c r="FE116" s="184"/>
      <c r="FF116" s="184"/>
      <c r="FG116" s="184"/>
      <c r="FH116" s="184"/>
      <c r="FI116" s="184"/>
      <c r="FJ116" s="184"/>
      <c r="FK116" s="184"/>
      <c r="FL116" s="184"/>
      <c r="FM116" s="184"/>
      <c r="FN116" s="184"/>
      <c r="FO116" s="184"/>
      <c r="FP116" s="184"/>
      <c r="FQ116" s="184"/>
      <c r="FR116" s="184"/>
      <c r="FS116" s="184"/>
      <c r="FT116" s="184"/>
      <c r="FU116" s="184"/>
      <c r="FV116" s="184"/>
      <c r="FW116" s="184"/>
      <c r="FX116" s="184"/>
      <c r="FY116" s="184"/>
      <c r="FZ116" s="184"/>
      <c r="GA116" s="184"/>
      <c r="GB116" s="184"/>
      <c r="GC116" s="184"/>
      <c r="GD116" s="184"/>
      <c r="GE116" s="184"/>
      <c r="GF116" s="184"/>
      <c r="GG116" s="184"/>
      <c r="GH116" s="184"/>
      <c r="GI116" s="184"/>
    </row>
    <row r="117" spans="1:191" s="186" customFormat="1" ht="15" customHeight="1">
      <c r="A117" s="184"/>
      <c r="B117" s="190"/>
      <c r="C117" s="211"/>
      <c r="D117" s="193"/>
      <c r="E117" s="193"/>
      <c r="F117" s="188"/>
      <c r="G117" s="188"/>
      <c r="H117" s="190"/>
      <c r="I117" s="188"/>
      <c r="J117" s="184"/>
      <c r="K117" s="190"/>
      <c r="L117" s="190"/>
      <c r="M117" s="190"/>
      <c r="N117" s="184"/>
      <c r="O117" s="191"/>
      <c r="P117" s="191"/>
      <c r="Q117" s="183"/>
      <c r="R117" s="183"/>
      <c r="S117" s="183"/>
      <c r="T117" s="184"/>
      <c r="U117" s="184"/>
      <c r="V117" s="188"/>
      <c r="AB117" s="184"/>
      <c r="AC117" s="184"/>
      <c r="AD117" s="184"/>
      <c r="AE117" s="184"/>
      <c r="AF117" s="184"/>
      <c r="AG117" s="184"/>
      <c r="AH117" s="184"/>
      <c r="AI117" s="184"/>
      <c r="AJ117" s="184"/>
      <c r="AK117" s="184"/>
      <c r="AL117" s="184"/>
      <c r="AM117" s="184"/>
      <c r="AN117" s="184"/>
      <c r="AO117" s="184"/>
      <c r="AP117" s="184"/>
      <c r="AQ117" s="184"/>
      <c r="AR117" s="184"/>
      <c r="AS117" s="184"/>
      <c r="AT117" s="184"/>
      <c r="AU117" s="184"/>
      <c r="AV117" s="184"/>
      <c r="AW117" s="184"/>
      <c r="AX117" s="184"/>
      <c r="AY117" s="184"/>
      <c r="AZ117" s="184"/>
      <c r="BA117" s="184"/>
      <c r="BB117" s="184"/>
      <c r="BC117" s="184"/>
      <c r="BD117" s="184"/>
      <c r="BE117" s="184"/>
      <c r="BF117" s="184"/>
      <c r="BG117" s="184"/>
      <c r="BH117" s="184"/>
      <c r="BI117" s="184"/>
      <c r="BJ117" s="184"/>
      <c r="BK117" s="184"/>
      <c r="BL117" s="184"/>
      <c r="BM117" s="184"/>
      <c r="BN117" s="184"/>
      <c r="BO117" s="184"/>
      <c r="BP117" s="184"/>
      <c r="BQ117" s="184"/>
      <c r="BR117" s="184"/>
      <c r="BS117" s="184"/>
      <c r="BT117" s="184"/>
      <c r="BU117" s="184"/>
      <c r="BV117" s="184"/>
      <c r="BW117" s="184"/>
      <c r="BX117" s="184"/>
      <c r="BY117" s="184"/>
      <c r="BZ117" s="184"/>
      <c r="CA117" s="184"/>
      <c r="CB117" s="184"/>
      <c r="CC117" s="184"/>
      <c r="CD117" s="184"/>
      <c r="CE117" s="184"/>
      <c r="CF117" s="184"/>
      <c r="CG117" s="184"/>
      <c r="CH117" s="184"/>
      <c r="CI117" s="184"/>
      <c r="CJ117" s="184"/>
      <c r="CK117" s="184"/>
      <c r="CL117" s="184"/>
      <c r="CM117" s="184"/>
      <c r="CN117" s="184"/>
      <c r="CO117" s="184"/>
      <c r="CP117" s="184"/>
      <c r="CQ117" s="184"/>
      <c r="CR117" s="184"/>
      <c r="CS117" s="184"/>
      <c r="CT117" s="184"/>
      <c r="CU117" s="184"/>
      <c r="CV117" s="184"/>
      <c r="CW117" s="184"/>
      <c r="CX117" s="184"/>
      <c r="CY117" s="184"/>
      <c r="CZ117" s="184"/>
      <c r="DA117" s="184"/>
      <c r="DB117" s="184"/>
      <c r="DC117" s="184"/>
      <c r="DD117" s="184"/>
      <c r="DE117" s="184"/>
      <c r="DF117" s="184"/>
      <c r="DG117" s="184"/>
      <c r="DH117" s="184"/>
      <c r="DI117" s="184"/>
      <c r="DJ117" s="184"/>
      <c r="DK117" s="184"/>
      <c r="DL117" s="184"/>
      <c r="DM117" s="184"/>
      <c r="DN117" s="184"/>
      <c r="DO117" s="184"/>
      <c r="DP117" s="184"/>
      <c r="DQ117" s="184"/>
      <c r="DR117" s="184"/>
      <c r="DS117" s="184"/>
      <c r="DT117" s="184"/>
      <c r="DU117" s="184"/>
      <c r="DV117" s="184"/>
      <c r="DW117" s="184"/>
      <c r="DX117" s="184"/>
      <c r="DY117" s="184"/>
      <c r="DZ117" s="184"/>
      <c r="EA117" s="184"/>
      <c r="EB117" s="184"/>
      <c r="EC117" s="184"/>
      <c r="ED117" s="184"/>
      <c r="EE117" s="184"/>
      <c r="EF117" s="184"/>
      <c r="EG117" s="184"/>
      <c r="EH117" s="184"/>
      <c r="EI117" s="184"/>
      <c r="EJ117" s="184"/>
      <c r="EK117" s="184"/>
      <c r="EL117" s="184"/>
      <c r="EM117" s="184"/>
      <c r="EN117" s="184"/>
      <c r="EO117" s="184"/>
      <c r="EP117" s="184"/>
      <c r="EQ117" s="184"/>
      <c r="ER117" s="184"/>
      <c r="ES117" s="184"/>
      <c r="ET117" s="184"/>
      <c r="EU117" s="184"/>
      <c r="EV117" s="184"/>
      <c r="EW117" s="184"/>
      <c r="EX117" s="184"/>
      <c r="EY117" s="184"/>
      <c r="EZ117" s="184"/>
      <c r="FA117" s="184"/>
      <c r="FB117" s="184"/>
      <c r="FC117" s="184"/>
      <c r="FD117" s="184"/>
      <c r="FE117" s="184"/>
      <c r="FF117" s="184"/>
      <c r="FG117" s="184"/>
      <c r="FH117" s="184"/>
      <c r="FI117" s="184"/>
      <c r="FJ117" s="184"/>
      <c r="FK117" s="184"/>
      <c r="FL117" s="184"/>
      <c r="FM117" s="184"/>
      <c r="FN117" s="184"/>
      <c r="FO117" s="184"/>
      <c r="FP117" s="184"/>
      <c r="FQ117" s="184"/>
      <c r="FR117" s="184"/>
      <c r="FS117" s="184"/>
      <c r="FT117" s="184"/>
      <c r="FU117" s="184"/>
      <c r="FV117" s="184"/>
      <c r="FW117" s="184"/>
      <c r="FX117" s="184"/>
      <c r="FY117" s="184"/>
      <c r="FZ117" s="184"/>
      <c r="GA117" s="184"/>
      <c r="GB117" s="184"/>
      <c r="GC117" s="184"/>
      <c r="GD117" s="184"/>
      <c r="GE117" s="184"/>
      <c r="GF117" s="184"/>
      <c r="GG117" s="184"/>
      <c r="GH117" s="184"/>
      <c r="GI117" s="184"/>
    </row>
    <row r="118" spans="1:191" s="186" customFormat="1" ht="15" customHeight="1">
      <c r="A118" s="184"/>
      <c r="B118" s="190"/>
      <c r="C118" s="211"/>
      <c r="D118" s="193"/>
      <c r="E118" s="193"/>
      <c r="F118" s="188"/>
      <c r="G118" s="188"/>
      <c r="H118" s="190"/>
      <c r="I118" s="188"/>
      <c r="J118" s="184"/>
      <c r="K118" s="190"/>
      <c r="L118" s="190"/>
      <c r="M118" s="190"/>
      <c r="N118" s="184"/>
      <c r="O118" s="191"/>
      <c r="P118" s="191"/>
      <c r="Q118" s="183"/>
      <c r="R118" s="183"/>
      <c r="S118" s="183"/>
      <c r="T118" s="184"/>
      <c r="U118" s="184"/>
      <c r="V118" s="188"/>
      <c r="AB118" s="184"/>
      <c r="AC118" s="184"/>
      <c r="AD118" s="184"/>
      <c r="AE118" s="184"/>
      <c r="AF118" s="184"/>
      <c r="AG118" s="184"/>
      <c r="AH118" s="184"/>
      <c r="AI118" s="184"/>
      <c r="AJ118" s="184"/>
      <c r="AK118" s="184"/>
      <c r="AL118" s="184"/>
      <c r="AM118" s="184"/>
      <c r="AN118" s="184"/>
      <c r="AO118" s="184"/>
      <c r="AP118" s="184"/>
      <c r="AQ118" s="184"/>
      <c r="AR118" s="184"/>
      <c r="AS118" s="184"/>
      <c r="AT118" s="184"/>
      <c r="AU118" s="184"/>
      <c r="AV118" s="184"/>
      <c r="AW118" s="184"/>
      <c r="AX118" s="184"/>
      <c r="AY118" s="184"/>
      <c r="AZ118" s="184"/>
      <c r="BA118" s="184"/>
      <c r="BB118" s="184"/>
      <c r="BC118" s="184"/>
      <c r="BD118" s="184"/>
      <c r="BE118" s="184"/>
      <c r="BF118" s="184"/>
      <c r="BG118" s="184"/>
      <c r="BH118" s="184"/>
      <c r="BI118" s="184"/>
      <c r="BJ118" s="184"/>
      <c r="BK118" s="184"/>
      <c r="BL118" s="184"/>
      <c r="BM118" s="184"/>
      <c r="BN118" s="184"/>
      <c r="BO118" s="184"/>
      <c r="BP118" s="184"/>
      <c r="BQ118" s="184"/>
      <c r="BR118" s="184"/>
      <c r="BS118" s="184"/>
      <c r="BT118" s="184"/>
      <c r="BU118" s="184"/>
      <c r="BV118" s="184"/>
      <c r="BW118" s="184"/>
      <c r="BX118" s="184"/>
      <c r="BY118" s="184"/>
      <c r="BZ118" s="184"/>
      <c r="CA118" s="184"/>
      <c r="CB118" s="184"/>
      <c r="CC118" s="184"/>
      <c r="CD118" s="184"/>
      <c r="CE118" s="184"/>
      <c r="CF118" s="184"/>
      <c r="CG118" s="184"/>
      <c r="CH118" s="184"/>
      <c r="CI118" s="184"/>
      <c r="CJ118" s="184"/>
      <c r="CK118" s="184"/>
      <c r="CL118" s="184"/>
      <c r="CM118" s="184"/>
      <c r="CN118" s="184"/>
      <c r="CO118" s="184"/>
      <c r="CP118" s="184"/>
      <c r="CQ118" s="184"/>
      <c r="CR118" s="184"/>
      <c r="CS118" s="184"/>
      <c r="CT118" s="184"/>
      <c r="CU118" s="184"/>
      <c r="CV118" s="184"/>
      <c r="CW118" s="184"/>
      <c r="CX118" s="184"/>
      <c r="CY118" s="184"/>
      <c r="CZ118" s="184"/>
      <c r="DA118" s="184"/>
      <c r="DB118" s="184"/>
      <c r="DC118" s="184"/>
      <c r="DD118" s="184"/>
      <c r="DE118" s="184"/>
      <c r="DF118" s="184"/>
      <c r="DG118" s="184"/>
      <c r="DH118" s="184"/>
      <c r="DI118" s="184"/>
      <c r="DJ118" s="184"/>
      <c r="DK118" s="184"/>
      <c r="DL118" s="184"/>
      <c r="DM118" s="184"/>
      <c r="DN118" s="184"/>
      <c r="DO118" s="184"/>
      <c r="DP118" s="184"/>
      <c r="DQ118" s="184"/>
      <c r="DR118" s="184"/>
      <c r="DS118" s="184"/>
      <c r="DT118" s="184"/>
      <c r="DU118" s="184"/>
      <c r="DV118" s="184"/>
      <c r="DW118" s="184"/>
      <c r="DX118" s="184"/>
      <c r="DY118" s="184"/>
      <c r="DZ118" s="184"/>
      <c r="EA118" s="184"/>
      <c r="EB118" s="184"/>
      <c r="EC118" s="184"/>
      <c r="ED118" s="184"/>
      <c r="EE118" s="184"/>
      <c r="EF118" s="184"/>
      <c r="EG118" s="184"/>
      <c r="EH118" s="184"/>
      <c r="EI118" s="184"/>
      <c r="EJ118" s="184"/>
      <c r="EK118" s="184"/>
      <c r="EL118" s="184"/>
      <c r="EM118" s="184"/>
      <c r="EN118" s="184"/>
      <c r="EO118" s="184"/>
      <c r="EP118" s="184"/>
      <c r="EQ118" s="184"/>
      <c r="ER118" s="184"/>
      <c r="ES118" s="184"/>
      <c r="ET118" s="184"/>
      <c r="EU118" s="184"/>
      <c r="EV118" s="184"/>
      <c r="EW118" s="184"/>
      <c r="EX118" s="184"/>
      <c r="EY118" s="184"/>
      <c r="EZ118" s="184"/>
      <c r="FA118" s="184"/>
      <c r="FB118" s="184"/>
      <c r="FC118" s="184"/>
      <c r="FD118" s="184"/>
      <c r="FE118" s="184"/>
      <c r="FF118" s="184"/>
      <c r="FG118" s="184"/>
      <c r="FH118" s="184"/>
      <c r="FI118" s="184"/>
      <c r="FJ118" s="184"/>
      <c r="FK118" s="184"/>
      <c r="FL118" s="184"/>
      <c r="FM118" s="184"/>
      <c r="FN118" s="184"/>
      <c r="FO118" s="184"/>
      <c r="FP118" s="184"/>
      <c r="FQ118" s="184"/>
      <c r="FR118" s="184"/>
      <c r="FS118" s="184"/>
      <c r="FT118" s="184"/>
      <c r="FU118" s="184"/>
      <c r="FV118" s="184"/>
      <c r="FW118" s="184"/>
      <c r="FX118" s="184"/>
      <c r="FY118" s="184"/>
      <c r="FZ118" s="184"/>
      <c r="GA118" s="184"/>
      <c r="GB118" s="184"/>
      <c r="GC118" s="184"/>
      <c r="GD118" s="184"/>
      <c r="GE118" s="184"/>
      <c r="GF118" s="184"/>
      <c r="GG118" s="184"/>
      <c r="GH118" s="184"/>
      <c r="GI118" s="184"/>
    </row>
    <row r="119" spans="1:191" s="186" customFormat="1" ht="15" customHeight="1">
      <c r="A119" s="184"/>
      <c r="B119" s="190"/>
      <c r="C119" s="211"/>
      <c r="D119" s="193"/>
      <c r="E119" s="193"/>
      <c r="F119" s="188"/>
      <c r="G119" s="188"/>
      <c r="H119" s="190"/>
      <c r="I119" s="188"/>
      <c r="J119" s="184"/>
      <c r="K119" s="190"/>
      <c r="L119" s="190"/>
      <c r="M119" s="190"/>
      <c r="N119" s="184"/>
      <c r="O119" s="191"/>
      <c r="P119" s="191"/>
      <c r="Q119" s="183"/>
      <c r="R119" s="183"/>
      <c r="S119" s="183"/>
      <c r="T119" s="184"/>
      <c r="U119" s="184"/>
      <c r="V119" s="188"/>
      <c r="AB119" s="184"/>
      <c r="AC119" s="184"/>
      <c r="AD119" s="184"/>
      <c r="AE119" s="184"/>
      <c r="AF119" s="184"/>
      <c r="AG119" s="184"/>
      <c r="AH119" s="184"/>
      <c r="AI119" s="184"/>
      <c r="AJ119" s="184"/>
      <c r="AK119" s="184"/>
      <c r="AL119" s="184"/>
      <c r="AM119" s="184"/>
      <c r="AN119" s="184"/>
      <c r="AO119" s="184"/>
      <c r="AP119" s="184"/>
      <c r="AQ119" s="184"/>
      <c r="AR119" s="184"/>
      <c r="AS119" s="184"/>
      <c r="AT119" s="184"/>
      <c r="AU119" s="184"/>
      <c r="AV119" s="184"/>
      <c r="AW119" s="184"/>
      <c r="AX119" s="184"/>
      <c r="AY119" s="184"/>
      <c r="AZ119" s="184"/>
      <c r="BA119" s="184"/>
      <c r="BB119" s="184"/>
      <c r="BC119" s="184"/>
      <c r="BD119" s="184"/>
      <c r="BE119" s="184"/>
      <c r="BF119" s="184"/>
      <c r="BG119" s="184"/>
      <c r="BH119" s="184"/>
      <c r="BI119" s="184"/>
      <c r="BJ119" s="184"/>
      <c r="BK119" s="184"/>
      <c r="BL119" s="184"/>
      <c r="BM119" s="184"/>
      <c r="BN119" s="184"/>
      <c r="BO119" s="184"/>
      <c r="BP119" s="184"/>
      <c r="BQ119" s="184"/>
      <c r="BR119" s="184"/>
      <c r="BS119" s="184"/>
      <c r="BT119" s="184"/>
      <c r="BU119" s="184"/>
      <c r="BV119" s="184"/>
      <c r="BW119" s="184"/>
      <c r="BX119" s="184"/>
      <c r="BY119" s="184"/>
      <c r="BZ119" s="184"/>
      <c r="CA119" s="184"/>
      <c r="CB119" s="184"/>
      <c r="CC119" s="184"/>
      <c r="CD119" s="184"/>
      <c r="CE119" s="184"/>
      <c r="CF119" s="184"/>
      <c r="CG119" s="184"/>
      <c r="CH119" s="184"/>
      <c r="CI119" s="184"/>
      <c r="CJ119" s="184"/>
      <c r="CK119" s="184"/>
      <c r="CL119" s="184"/>
      <c r="CM119" s="184"/>
      <c r="CN119" s="184"/>
      <c r="CO119" s="184"/>
      <c r="CP119" s="184"/>
      <c r="CQ119" s="184"/>
      <c r="CR119" s="184"/>
      <c r="CS119" s="184"/>
      <c r="CT119" s="184"/>
      <c r="CU119" s="184"/>
      <c r="CV119" s="184"/>
      <c r="CW119" s="184"/>
      <c r="CX119" s="184"/>
      <c r="CY119" s="184"/>
      <c r="CZ119" s="184"/>
      <c r="DA119" s="184"/>
      <c r="DB119" s="184"/>
      <c r="DC119" s="184"/>
      <c r="DD119" s="184"/>
      <c r="DE119" s="184"/>
      <c r="DF119" s="184"/>
      <c r="DG119" s="184"/>
      <c r="DH119" s="184"/>
      <c r="DI119" s="184"/>
      <c r="DJ119" s="184"/>
      <c r="DK119" s="184"/>
      <c r="DL119" s="184"/>
      <c r="DM119" s="184"/>
      <c r="DN119" s="184"/>
      <c r="DO119" s="184"/>
      <c r="DP119" s="184"/>
      <c r="DQ119" s="184"/>
      <c r="DR119" s="184"/>
      <c r="DS119" s="184"/>
      <c r="DT119" s="184"/>
      <c r="DU119" s="184"/>
      <c r="DV119" s="184"/>
      <c r="DW119" s="184"/>
      <c r="DX119" s="184"/>
      <c r="DY119" s="184"/>
      <c r="DZ119" s="184"/>
      <c r="EA119" s="184"/>
      <c r="EB119" s="184"/>
      <c r="EC119" s="184"/>
      <c r="ED119" s="184"/>
      <c r="EE119" s="184"/>
      <c r="EF119" s="184"/>
      <c r="EG119" s="184"/>
      <c r="EH119" s="184"/>
      <c r="EI119" s="184"/>
      <c r="EJ119" s="184"/>
      <c r="EK119" s="184"/>
      <c r="EL119" s="184"/>
      <c r="EM119" s="184"/>
      <c r="EN119" s="184"/>
      <c r="EO119" s="184"/>
      <c r="EP119" s="184"/>
      <c r="EQ119" s="184"/>
      <c r="ER119" s="184"/>
      <c r="ES119" s="184"/>
      <c r="ET119" s="184"/>
      <c r="EU119" s="184"/>
      <c r="EV119" s="184"/>
      <c r="EW119" s="184"/>
      <c r="EX119" s="184"/>
      <c r="EY119" s="184"/>
      <c r="EZ119" s="184"/>
      <c r="FA119" s="184"/>
      <c r="FB119" s="184"/>
      <c r="FC119" s="184"/>
      <c r="FD119" s="184"/>
      <c r="FE119" s="184"/>
      <c r="FF119" s="184"/>
      <c r="FG119" s="184"/>
      <c r="FH119" s="184"/>
      <c r="FI119" s="184"/>
      <c r="FJ119" s="184"/>
      <c r="FK119" s="184"/>
      <c r="FL119" s="184"/>
      <c r="FM119" s="184"/>
      <c r="FN119" s="184"/>
      <c r="FO119" s="184"/>
      <c r="FP119" s="184"/>
      <c r="FQ119" s="184"/>
      <c r="FR119" s="184"/>
      <c r="FS119" s="184"/>
      <c r="FT119" s="184"/>
      <c r="FU119" s="184"/>
      <c r="FV119" s="184"/>
      <c r="FW119" s="184"/>
      <c r="FX119" s="184"/>
      <c r="FY119" s="184"/>
      <c r="FZ119" s="184"/>
      <c r="GA119" s="184"/>
      <c r="GB119" s="184"/>
      <c r="GC119" s="184"/>
      <c r="GD119" s="184"/>
      <c r="GE119" s="184"/>
      <c r="GF119" s="184"/>
      <c r="GG119" s="184"/>
      <c r="GH119" s="184"/>
      <c r="GI119" s="184"/>
    </row>
    <row r="120" spans="1:191" s="186" customFormat="1" ht="15" customHeight="1">
      <c r="A120" s="184"/>
      <c r="B120" s="190"/>
      <c r="C120" s="211"/>
      <c r="D120" s="193"/>
      <c r="E120" s="193"/>
      <c r="F120" s="188"/>
      <c r="G120" s="188"/>
      <c r="H120" s="190"/>
      <c r="I120" s="188"/>
      <c r="J120" s="184"/>
      <c r="K120" s="190"/>
      <c r="L120" s="190"/>
      <c r="M120" s="190"/>
      <c r="N120" s="184"/>
      <c r="O120" s="191"/>
      <c r="P120" s="191"/>
      <c r="Q120" s="183"/>
      <c r="R120" s="183"/>
      <c r="S120" s="183"/>
      <c r="T120" s="184"/>
      <c r="U120" s="184"/>
      <c r="V120" s="188"/>
      <c r="AB120" s="184"/>
      <c r="AC120" s="184"/>
      <c r="AD120" s="184"/>
      <c r="AE120" s="184"/>
      <c r="AF120" s="184"/>
      <c r="AG120" s="184"/>
      <c r="AH120" s="184"/>
      <c r="AI120" s="184"/>
      <c r="AJ120" s="184"/>
      <c r="AK120" s="184"/>
      <c r="AL120" s="184"/>
      <c r="AM120" s="184"/>
      <c r="AN120" s="184"/>
      <c r="AO120" s="184"/>
      <c r="AP120" s="184"/>
      <c r="AQ120" s="184"/>
      <c r="AR120" s="184"/>
      <c r="AS120" s="184"/>
      <c r="AT120" s="184"/>
      <c r="AU120" s="184"/>
      <c r="AV120" s="184"/>
      <c r="AW120" s="184"/>
      <c r="AX120" s="184"/>
      <c r="AY120" s="184"/>
      <c r="AZ120" s="184"/>
      <c r="BA120" s="184"/>
      <c r="BB120" s="184"/>
      <c r="BC120" s="184"/>
      <c r="BD120" s="184"/>
      <c r="BE120" s="184"/>
      <c r="BF120" s="184"/>
      <c r="BG120" s="184"/>
      <c r="BH120" s="184"/>
      <c r="BI120" s="184"/>
      <c r="BJ120" s="184"/>
      <c r="BK120" s="184"/>
      <c r="BL120" s="184"/>
      <c r="BM120" s="184"/>
      <c r="BN120" s="184"/>
      <c r="BO120" s="184"/>
      <c r="BP120" s="184"/>
      <c r="BQ120" s="184"/>
      <c r="BR120" s="184"/>
      <c r="BS120" s="184"/>
      <c r="BT120" s="184"/>
      <c r="BU120" s="184"/>
      <c r="BV120" s="184"/>
      <c r="BW120" s="184"/>
      <c r="BX120" s="184"/>
      <c r="BY120" s="184"/>
      <c r="BZ120" s="184"/>
      <c r="CA120" s="184"/>
      <c r="CB120" s="184"/>
      <c r="CC120" s="184"/>
      <c r="CD120" s="184"/>
      <c r="CE120" s="184"/>
      <c r="CF120" s="184"/>
      <c r="CG120" s="184"/>
      <c r="CH120" s="184"/>
      <c r="CI120" s="184"/>
      <c r="CJ120" s="184"/>
      <c r="CK120" s="184"/>
      <c r="CL120" s="184"/>
      <c r="CM120" s="184"/>
      <c r="CN120" s="184"/>
      <c r="CO120" s="184"/>
      <c r="CP120" s="184"/>
      <c r="CQ120" s="184"/>
      <c r="CR120" s="184"/>
      <c r="CS120" s="184"/>
      <c r="CT120" s="184"/>
      <c r="CU120" s="184"/>
      <c r="CV120" s="184"/>
      <c r="CW120" s="184"/>
      <c r="CX120" s="184"/>
      <c r="CY120" s="184"/>
      <c r="CZ120" s="184"/>
      <c r="DA120" s="184"/>
      <c r="DB120" s="184"/>
      <c r="DC120" s="184"/>
      <c r="DD120" s="184"/>
      <c r="DE120" s="184"/>
      <c r="DF120" s="184"/>
      <c r="DG120" s="184"/>
      <c r="DH120" s="184"/>
      <c r="DI120" s="184"/>
      <c r="DJ120" s="184"/>
      <c r="DK120" s="184"/>
      <c r="DL120" s="184"/>
      <c r="DM120" s="184"/>
      <c r="DN120" s="184"/>
      <c r="DO120" s="184"/>
      <c r="DP120" s="184"/>
      <c r="DQ120" s="184"/>
      <c r="DR120" s="184"/>
      <c r="DS120" s="184"/>
      <c r="DT120" s="184"/>
      <c r="DU120" s="184"/>
      <c r="DV120" s="184"/>
      <c r="DW120" s="184"/>
      <c r="DX120" s="184"/>
      <c r="DY120" s="184"/>
      <c r="DZ120" s="184"/>
      <c r="EA120" s="184"/>
      <c r="EB120" s="184"/>
      <c r="EC120" s="184"/>
      <c r="ED120" s="184"/>
      <c r="EE120" s="184"/>
      <c r="EF120" s="184"/>
      <c r="EG120" s="184"/>
      <c r="EH120" s="184"/>
      <c r="EI120" s="184"/>
      <c r="EJ120" s="184"/>
      <c r="EK120" s="184"/>
      <c r="EL120" s="184"/>
      <c r="EM120" s="184"/>
      <c r="EN120" s="184"/>
      <c r="EO120" s="184"/>
      <c r="EP120" s="184"/>
      <c r="EQ120" s="184"/>
      <c r="ER120" s="184"/>
      <c r="ES120" s="184"/>
      <c r="ET120" s="184"/>
      <c r="EU120" s="184"/>
      <c r="EV120" s="184"/>
      <c r="EW120" s="184"/>
      <c r="EX120" s="184"/>
      <c r="EY120" s="184"/>
      <c r="EZ120" s="184"/>
      <c r="FA120" s="184"/>
      <c r="FB120" s="184"/>
      <c r="FC120" s="184"/>
      <c r="FD120" s="184"/>
      <c r="FE120" s="184"/>
      <c r="FF120" s="184"/>
      <c r="FG120" s="184"/>
      <c r="FH120" s="184"/>
      <c r="FI120" s="184"/>
      <c r="FJ120" s="184"/>
      <c r="FK120" s="184"/>
      <c r="FL120" s="184"/>
      <c r="FM120" s="184"/>
      <c r="FN120" s="184"/>
      <c r="FO120" s="184"/>
      <c r="FP120" s="184"/>
      <c r="FQ120" s="184"/>
      <c r="FR120" s="184"/>
      <c r="FS120" s="184"/>
      <c r="FT120" s="184"/>
      <c r="FU120" s="184"/>
      <c r="FV120" s="184"/>
      <c r="FW120" s="184"/>
      <c r="FX120" s="184"/>
      <c r="FY120" s="184"/>
      <c r="FZ120" s="184"/>
      <c r="GA120" s="184"/>
      <c r="GB120" s="184"/>
      <c r="GC120" s="184"/>
      <c r="GD120" s="184"/>
      <c r="GE120" s="184"/>
      <c r="GF120" s="184"/>
      <c r="GG120" s="184"/>
      <c r="GH120" s="184"/>
      <c r="GI120" s="184"/>
    </row>
    <row r="121" spans="1:191" s="186" customFormat="1" ht="15" customHeight="1">
      <c r="A121" s="184"/>
      <c r="B121" s="190"/>
      <c r="C121" s="211"/>
      <c r="D121" s="193"/>
      <c r="E121" s="193"/>
      <c r="F121" s="188"/>
      <c r="G121" s="188"/>
      <c r="H121" s="190"/>
      <c r="I121" s="188"/>
      <c r="J121" s="184"/>
      <c r="K121" s="190"/>
      <c r="L121" s="190"/>
      <c r="M121" s="190"/>
      <c r="N121" s="184"/>
      <c r="O121" s="191"/>
      <c r="P121" s="191"/>
      <c r="Q121" s="183"/>
      <c r="R121" s="183"/>
      <c r="S121" s="183"/>
      <c r="T121" s="184"/>
      <c r="U121" s="184"/>
      <c r="V121" s="188"/>
      <c r="AB121" s="184"/>
      <c r="AC121" s="184"/>
      <c r="AD121" s="184"/>
      <c r="AE121" s="184"/>
      <c r="AF121" s="184"/>
      <c r="AG121" s="184"/>
      <c r="AH121" s="184"/>
      <c r="AI121" s="184"/>
      <c r="AJ121" s="184"/>
      <c r="AK121" s="184"/>
      <c r="AL121" s="184"/>
      <c r="AM121" s="184"/>
      <c r="AN121" s="184"/>
      <c r="AO121" s="184"/>
      <c r="AP121" s="184"/>
      <c r="AQ121" s="184"/>
      <c r="AR121" s="184"/>
      <c r="AS121" s="184"/>
      <c r="AT121" s="184"/>
      <c r="AU121" s="184"/>
      <c r="AV121" s="184"/>
      <c r="AW121" s="184"/>
      <c r="AX121" s="184"/>
      <c r="AY121" s="184"/>
      <c r="AZ121" s="184"/>
      <c r="BA121" s="184"/>
      <c r="BB121" s="184"/>
      <c r="BC121" s="184"/>
      <c r="BD121" s="184"/>
      <c r="BE121" s="184"/>
      <c r="BF121" s="184"/>
      <c r="BG121" s="184"/>
      <c r="BH121" s="184"/>
      <c r="BI121" s="184"/>
      <c r="BJ121" s="184"/>
      <c r="BK121" s="184"/>
      <c r="BL121" s="184"/>
      <c r="BM121" s="184"/>
      <c r="BN121" s="184"/>
      <c r="BO121" s="184"/>
      <c r="BP121" s="184"/>
      <c r="BQ121" s="184"/>
      <c r="BR121" s="184"/>
      <c r="BS121" s="184"/>
      <c r="BT121" s="184"/>
      <c r="BU121" s="184"/>
      <c r="BV121" s="184"/>
      <c r="BW121" s="184"/>
      <c r="BX121" s="184"/>
      <c r="BY121" s="184"/>
      <c r="BZ121" s="184"/>
      <c r="CA121" s="184"/>
      <c r="CB121" s="184"/>
      <c r="CC121" s="184"/>
      <c r="CD121" s="184"/>
      <c r="CE121" s="184"/>
      <c r="CF121" s="184"/>
      <c r="CG121" s="184"/>
      <c r="CH121" s="184"/>
      <c r="CI121" s="184"/>
      <c r="CJ121" s="184"/>
      <c r="CK121" s="184"/>
      <c r="CL121" s="184"/>
      <c r="CM121" s="184"/>
      <c r="CN121" s="184"/>
      <c r="CO121" s="184"/>
      <c r="CP121" s="184"/>
      <c r="CQ121" s="184"/>
      <c r="CR121" s="184"/>
      <c r="CS121" s="184"/>
      <c r="CT121" s="184"/>
      <c r="CU121" s="184"/>
      <c r="CV121" s="184"/>
      <c r="CW121" s="184"/>
      <c r="CX121" s="184"/>
      <c r="CY121" s="184"/>
      <c r="CZ121" s="184"/>
      <c r="DA121" s="184"/>
      <c r="DB121" s="184"/>
      <c r="DC121" s="184"/>
      <c r="DD121" s="184"/>
      <c r="DE121" s="184"/>
      <c r="DF121" s="184"/>
      <c r="DG121" s="184"/>
      <c r="DH121" s="184"/>
      <c r="DI121" s="184"/>
      <c r="DJ121" s="184"/>
      <c r="DK121" s="184"/>
      <c r="DL121" s="184"/>
      <c r="DM121" s="184"/>
      <c r="DN121" s="184"/>
      <c r="DO121" s="184"/>
      <c r="DP121" s="184"/>
      <c r="DQ121" s="184"/>
      <c r="DR121" s="184"/>
      <c r="DS121" s="184"/>
      <c r="DT121" s="184"/>
      <c r="DU121" s="184"/>
      <c r="DV121" s="184"/>
      <c r="DW121" s="184"/>
      <c r="DX121" s="184"/>
      <c r="DY121" s="184"/>
      <c r="DZ121" s="184"/>
      <c r="EA121" s="184"/>
      <c r="EB121" s="184"/>
      <c r="EC121" s="184"/>
      <c r="ED121" s="184"/>
      <c r="EE121" s="184"/>
      <c r="EF121" s="184"/>
      <c r="EG121" s="184"/>
      <c r="EH121" s="184"/>
      <c r="EI121" s="184"/>
      <c r="EJ121" s="184"/>
      <c r="EK121" s="184"/>
      <c r="EL121" s="184"/>
      <c r="EM121" s="184"/>
      <c r="EN121" s="184"/>
      <c r="EO121" s="184"/>
      <c r="EP121" s="184"/>
      <c r="EQ121" s="184"/>
      <c r="ER121" s="184"/>
      <c r="ES121" s="184"/>
      <c r="ET121" s="184"/>
      <c r="EU121" s="184"/>
      <c r="EV121" s="184"/>
      <c r="EW121" s="184"/>
      <c r="EX121" s="184"/>
      <c r="EY121" s="184"/>
      <c r="EZ121" s="184"/>
      <c r="FA121" s="184"/>
      <c r="FB121" s="184"/>
      <c r="FC121" s="184"/>
      <c r="FD121" s="184"/>
      <c r="FE121" s="184"/>
      <c r="FF121" s="184"/>
      <c r="FG121" s="184"/>
      <c r="FH121" s="184"/>
      <c r="FI121" s="184"/>
      <c r="FJ121" s="184"/>
      <c r="FK121" s="184"/>
      <c r="FL121" s="184"/>
      <c r="FM121" s="184"/>
      <c r="FN121" s="184"/>
      <c r="FO121" s="184"/>
      <c r="FP121" s="184"/>
      <c r="FQ121" s="184"/>
      <c r="FR121" s="184"/>
      <c r="FS121" s="184"/>
      <c r="FT121" s="184"/>
      <c r="FU121" s="184"/>
      <c r="FV121" s="184"/>
      <c r="FW121" s="184"/>
      <c r="FX121" s="184"/>
      <c r="FY121" s="184"/>
      <c r="FZ121" s="184"/>
      <c r="GA121" s="184"/>
      <c r="GB121" s="184"/>
      <c r="GC121" s="184"/>
      <c r="GD121" s="184"/>
      <c r="GE121" s="184"/>
      <c r="GF121" s="184"/>
      <c r="GG121" s="184"/>
      <c r="GH121" s="184"/>
      <c r="GI121" s="184"/>
    </row>
    <row r="122" spans="1:191" s="186" customFormat="1" ht="15" customHeight="1">
      <c r="A122" s="184"/>
      <c r="B122" s="190"/>
      <c r="C122" s="211"/>
      <c r="D122" s="193"/>
      <c r="E122" s="193"/>
      <c r="F122" s="188"/>
      <c r="G122" s="188"/>
      <c r="H122" s="190"/>
      <c r="I122" s="188"/>
      <c r="J122" s="184"/>
      <c r="K122" s="190"/>
      <c r="L122" s="190"/>
      <c r="M122" s="190"/>
      <c r="N122" s="184"/>
      <c r="O122" s="191"/>
      <c r="P122" s="191"/>
      <c r="Q122" s="183"/>
      <c r="R122" s="183"/>
      <c r="S122" s="183"/>
      <c r="T122" s="184"/>
      <c r="U122" s="184"/>
      <c r="V122" s="188"/>
      <c r="AB122" s="184"/>
      <c r="AC122" s="184"/>
      <c r="AD122" s="184"/>
      <c r="AE122" s="184"/>
      <c r="AF122" s="184"/>
      <c r="AG122" s="184"/>
      <c r="AH122" s="184"/>
      <c r="AI122" s="184"/>
      <c r="AJ122" s="184"/>
      <c r="AK122" s="184"/>
      <c r="AL122" s="184"/>
      <c r="AM122" s="184"/>
      <c r="AN122" s="184"/>
      <c r="AO122" s="184"/>
      <c r="AP122" s="184"/>
      <c r="AQ122" s="184"/>
      <c r="AR122" s="184"/>
      <c r="AS122" s="184"/>
      <c r="AT122" s="184"/>
      <c r="AU122" s="184"/>
      <c r="AV122" s="184"/>
      <c r="AW122" s="184"/>
      <c r="AX122" s="184"/>
      <c r="AY122" s="184"/>
      <c r="AZ122" s="184"/>
      <c r="BA122" s="184"/>
      <c r="BB122" s="184"/>
      <c r="BC122" s="184"/>
      <c r="BD122" s="184"/>
      <c r="BE122" s="184"/>
      <c r="BF122" s="184"/>
      <c r="BG122" s="184"/>
      <c r="BH122" s="184"/>
      <c r="BI122" s="184"/>
      <c r="BJ122" s="184"/>
      <c r="BK122" s="184"/>
      <c r="BL122" s="184"/>
      <c r="BM122" s="184"/>
      <c r="BN122" s="184"/>
      <c r="BO122" s="184"/>
      <c r="BP122" s="184"/>
      <c r="BQ122" s="184"/>
      <c r="BR122" s="184"/>
      <c r="BS122" s="184"/>
      <c r="BT122" s="184"/>
      <c r="BU122" s="184"/>
      <c r="BV122" s="184"/>
      <c r="BW122" s="184"/>
      <c r="BX122" s="184"/>
      <c r="BY122" s="184"/>
      <c r="BZ122" s="184"/>
      <c r="CA122" s="184"/>
      <c r="CB122" s="184"/>
      <c r="CC122" s="184"/>
      <c r="CD122" s="184"/>
      <c r="CE122" s="184"/>
      <c r="CF122" s="184"/>
      <c r="CG122" s="184"/>
      <c r="CH122" s="184"/>
      <c r="CI122" s="184"/>
      <c r="CJ122" s="184"/>
      <c r="CK122" s="184"/>
      <c r="CL122" s="184"/>
      <c r="CM122" s="184"/>
      <c r="CN122" s="184"/>
      <c r="CO122" s="184"/>
      <c r="CP122" s="184"/>
      <c r="CQ122" s="184"/>
      <c r="CR122" s="184"/>
      <c r="CS122" s="184"/>
      <c r="CT122" s="184"/>
      <c r="CU122" s="184"/>
      <c r="CV122" s="184"/>
      <c r="CW122" s="184"/>
      <c r="CX122" s="184"/>
      <c r="CY122" s="184"/>
      <c r="CZ122" s="184"/>
      <c r="DA122" s="184"/>
      <c r="DB122" s="184"/>
      <c r="DC122" s="184"/>
      <c r="DD122" s="184"/>
      <c r="DE122" s="184"/>
      <c r="DF122" s="184"/>
      <c r="DG122" s="184"/>
      <c r="DH122" s="184"/>
      <c r="DI122" s="184"/>
      <c r="DJ122" s="184"/>
      <c r="DK122" s="184"/>
      <c r="DL122" s="184"/>
      <c r="DM122" s="184"/>
      <c r="DN122" s="184"/>
      <c r="DO122" s="184"/>
      <c r="DP122" s="184"/>
      <c r="DQ122" s="184"/>
      <c r="DR122" s="184"/>
      <c r="DS122" s="184"/>
      <c r="DT122" s="184"/>
      <c r="DU122" s="184"/>
      <c r="DV122" s="184"/>
      <c r="DW122" s="184"/>
      <c r="DX122" s="184"/>
      <c r="DY122" s="184"/>
      <c r="DZ122" s="184"/>
      <c r="EA122" s="184"/>
      <c r="EB122" s="184"/>
      <c r="EC122" s="184"/>
      <c r="ED122" s="184"/>
      <c r="EE122" s="184"/>
      <c r="EF122" s="184"/>
      <c r="EG122" s="184"/>
      <c r="EH122" s="184"/>
      <c r="EI122" s="184"/>
      <c r="EJ122" s="184"/>
      <c r="EK122" s="184"/>
      <c r="EL122" s="184"/>
      <c r="EM122" s="184"/>
      <c r="EN122" s="184"/>
      <c r="EO122" s="184"/>
      <c r="EP122" s="184"/>
      <c r="EQ122" s="184"/>
      <c r="ER122" s="184"/>
      <c r="ES122" s="184"/>
      <c r="ET122" s="184"/>
      <c r="EU122" s="184"/>
      <c r="EV122" s="184"/>
      <c r="EW122" s="184"/>
      <c r="EX122" s="184"/>
      <c r="EY122" s="184"/>
      <c r="EZ122" s="184"/>
      <c r="FA122" s="184"/>
      <c r="FB122" s="184"/>
      <c r="FC122" s="184"/>
      <c r="FD122" s="184"/>
      <c r="FE122" s="184"/>
      <c r="FF122" s="184"/>
      <c r="FG122" s="184"/>
      <c r="FH122" s="184"/>
      <c r="FI122" s="184"/>
      <c r="FJ122" s="184"/>
      <c r="FK122" s="184"/>
      <c r="FL122" s="184"/>
      <c r="FM122" s="184"/>
      <c r="FN122" s="184"/>
      <c r="FO122" s="184"/>
      <c r="FP122" s="184"/>
      <c r="FQ122" s="184"/>
      <c r="FR122" s="184"/>
      <c r="FS122" s="184"/>
      <c r="FT122" s="184"/>
      <c r="FU122" s="184"/>
      <c r="FV122" s="184"/>
      <c r="FW122" s="184"/>
      <c r="FX122" s="184"/>
      <c r="FY122" s="184"/>
      <c r="FZ122" s="184"/>
      <c r="GA122" s="184"/>
      <c r="GB122" s="184"/>
      <c r="GC122" s="184"/>
      <c r="GD122" s="184"/>
      <c r="GE122" s="184"/>
      <c r="GF122" s="184"/>
      <c r="GG122" s="184"/>
      <c r="GH122" s="184"/>
      <c r="GI122" s="184"/>
    </row>
    <row r="123" spans="1:191" s="186" customFormat="1" ht="15" customHeight="1">
      <c r="A123" s="184"/>
      <c r="B123" s="190"/>
      <c r="C123" s="211"/>
      <c r="D123" s="193"/>
      <c r="E123" s="193"/>
      <c r="F123" s="188"/>
      <c r="G123" s="188"/>
      <c r="H123" s="190"/>
      <c r="I123" s="188"/>
      <c r="J123" s="184"/>
      <c r="K123" s="190"/>
      <c r="L123" s="190"/>
      <c r="M123" s="190"/>
      <c r="N123" s="184"/>
      <c r="O123" s="191"/>
      <c r="P123" s="191"/>
      <c r="Q123" s="183"/>
      <c r="R123" s="183"/>
      <c r="S123" s="183"/>
      <c r="T123" s="184"/>
      <c r="U123" s="184"/>
      <c r="V123" s="188"/>
      <c r="AB123" s="184"/>
      <c r="AC123" s="184"/>
      <c r="AD123" s="184"/>
      <c r="AE123" s="184"/>
      <c r="AF123" s="184"/>
      <c r="AG123" s="184"/>
      <c r="AH123" s="184"/>
      <c r="AI123" s="184"/>
      <c r="AJ123" s="184"/>
      <c r="AK123" s="184"/>
      <c r="AL123" s="184"/>
      <c r="AM123" s="184"/>
      <c r="AN123" s="184"/>
      <c r="AO123" s="184"/>
      <c r="AP123" s="184"/>
      <c r="AQ123" s="184"/>
      <c r="AR123" s="184"/>
      <c r="AS123" s="184"/>
      <c r="AT123" s="184"/>
      <c r="AU123" s="184"/>
      <c r="AV123" s="184"/>
      <c r="AW123" s="184"/>
      <c r="AX123" s="184"/>
      <c r="AY123" s="184"/>
      <c r="AZ123" s="184"/>
      <c r="BA123" s="184"/>
      <c r="BB123" s="184"/>
      <c r="BC123" s="184"/>
      <c r="BD123" s="184"/>
      <c r="BE123" s="184"/>
      <c r="BF123" s="184"/>
      <c r="BG123" s="184"/>
      <c r="BH123" s="184"/>
      <c r="BI123" s="184"/>
      <c r="BJ123" s="184"/>
      <c r="BK123" s="184"/>
      <c r="BL123" s="184"/>
      <c r="BM123" s="184"/>
      <c r="BN123" s="184"/>
      <c r="BO123" s="184"/>
      <c r="BP123" s="184"/>
      <c r="BQ123" s="184"/>
      <c r="BR123" s="184"/>
      <c r="BS123" s="184"/>
      <c r="BT123" s="184"/>
      <c r="BU123" s="184"/>
      <c r="BV123" s="184"/>
      <c r="BW123" s="184"/>
      <c r="BX123" s="184"/>
      <c r="BY123" s="184"/>
      <c r="BZ123" s="184"/>
      <c r="CA123" s="184"/>
      <c r="CB123" s="184"/>
      <c r="CC123" s="184"/>
      <c r="CD123" s="184"/>
      <c r="CE123" s="184"/>
      <c r="CF123" s="184"/>
      <c r="CG123" s="184"/>
      <c r="CH123" s="184"/>
      <c r="CI123" s="184"/>
      <c r="CJ123" s="184"/>
      <c r="CK123" s="184"/>
      <c r="CL123" s="184"/>
      <c r="CM123" s="184"/>
      <c r="CN123" s="184"/>
      <c r="CO123" s="184"/>
      <c r="CP123" s="184"/>
      <c r="CQ123" s="184"/>
      <c r="CR123" s="184"/>
      <c r="CS123" s="184"/>
      <c r="CT123" s="184"/>
      <c r="CU123" s="184"/>
      <c r="CV123" s="184"/>
      <c r="CW123" s="184"/>
      <c r="CX123" s="184"/>
      <c r="CY123" s="184"/>
      <c r="CZ123" s="184"/>
      <c r="DA123" s="184"/>
      <c r="DB123" s="184"/>
      <c r="DC123" s="184"/>
      <c r="DD123" s="184"/>
      <c r="DE123" s="184"/>
      <c r="DF123" s="184"/>
      <c r="DG123" s="184"/>
      <c r="DH123" s="184"/>
      <c r="DI123" s="184"/>
      <c r="DJ123" s="184"/>
      <c r="DK123" s="184"/>
      <c r="DL123" s="184"/>
      <c r="DM123" s="184"/>
      <c r="DN123" s="184"/>
      <c r="DO123" s="184"/>
      <c r="DP123" s="184"/>
      <c r="DQ123" s="184"/>
      <c r="DR123" s="184"/>
      <c r="DS123" s="184"/>
      <c r="DT123" s="184"/>
      <c r="DU123" s="184"/>
      <c r="DV123" s="184"/>
      <c r="DW123" s="184"/>
      <c r="DX123" s="184"/>
      <c r="DY123" s="184"/>
      <c r="DZ123" s="184"/>
      <c r="EA123" s="184"/>
      <c r="EB123" s="184"/>
      <c r="EC123" s="184"/>
      <c r="ED123" s="184"/>
      <c r="EE123" s="184"/>
      <c r="EF123" s="184"/>
      <c r="EG123" s="184"/>
      <c r="EH123" s="184"/>
      <c r="EI123" s="184"/>
      <c r="EJ123" s="184"/>
      <c r="EK123" s="184"/>
      <c r="EL123" s="184"/>
      <c r="EM123" s="184"/>
      <c r="EN123" s="184"/>
      <c r="EO123" s="184"/>
      <c r="EP123" s="184"/>
      <c r="EQ123" s="184"/>
      <c r="ER123" s="184"/>
      <c r="ES123" s="184"/>
      <c r="ET123" s="184"/>
      <c r="EU123" s="184"/>
      <c r="EV123" s="184"/>
      <c r="EW123" s="184"/>
      <c r="EX123" s="184"/>
      <c r="EY123" s="184"/>
      <c r="EZ123" s="184"/>
      <c r="FA123" s="184"/>
      <c r="FB123" s="184"/>
      <c r="FC123" s="184"/>
      <c r="FD123" s="184"/>
      <c r="FE123" s="184"/>
      <c r="FF123" s="184"/>
      <c r="FG123" s="184"/>
      <c r="FH123" s="184"/>
      <c r="FI123" s="184"/>
      <c r="FJ123" s="184"/>
      <c r="FK123" s="184"/>
      <c r="FL123" s="184"/>
      <c r="FM123" s="184"/>
      <c r="FN123" s="184"/>
      <c r="FO123" s="184"/>
      <c r="FP123" s="184"/>
      <c r="FQ123" s="184"/>
      <c r="FR123" s="184"/>
      <c r="FS123" s="184"/>
      <c r="FT123" s="184"/>
      <c r="FU123" s="184"/>
      <c r="FV123" s="184"/>
      <c r="FW123" s="184"/>
      <c r="FX123" s="184"/>
      <c r="FY123" s="184"/>
      <c r="FZ123" s="184"/>
      <c r="GA123" s="184"/>
      <c r="GB123" s="184"/>
      <c r="GC123" s="184"/>
      <c r="GD123" s="184"/>
      <c r="GE123" s="184"/>
      <c r="GF123" s="184"/>
      <c r="GG123" s="184"/>
      <c r="GH123" s="184"/>
      <c r="GI123" s="184"/>
    </row>
    <row r="124" spans="1:191" s="186" customFormat="1" ht="15" customHeight="1">
      <c r="A124" s="184"/>
      <c r="B124" s="190"/>
      <c r="C124" s="211"/>
      <c r="D124" s="193"/>
      <c r="E124" s="193"/>
      <c r="F124" s="188"/>
      <c r="G124" s="188"/>
      <c r="H124" s="190"/>
      <c r="I124" s="188"/>
      <c r="J124" s="184"/>
      <c r="K124" s="190"/>
      <c r="L124" s="190"/>
      <c r="M124" s="190"/>
      <c r="N124" s="184"/>
      <c r="O124" s="191"/>
      <c r="P124" s="191"/>
      <c r="Q124" s="183"/>
      <c r="R124" s="183"/>
      <c r="S124" s="183"/>
      <c r="T124" s="184"/>
      <c r="U124" s="184"/>
      <c r="V124" s="188"/>
      <c r="AB124" s="184"/>
      <c r="AC124" s="184"/>
      <c r="AD124" s="184"/>
      <c r="AE124" s="184"/>
      <c r="AF124" s="184"/>
      <c r="AG124" s="184"/>
      <c r="AH124" s="184"/>
      <c r="AI124" s="184"/>
      <c r="AJ124" s="184"/>
      <c r="AK124" s="184"/>
      <c r="AL124" s="184"/>
      <c r="AM124" s="184"/>
      <c r="AN124" s="184"/>
      <c r="AO124" s="184"/>
      <c r="AP124" s="184"/>
      <c r="AQ124" s="184"/>
      <c r="AR124" s="184"/>
      <c r="AS124" s="184"/>
      <c r="AT124" s="184"/>
      <c r="AU124" s="184"/>
      <c r="AV124" s="184"/>
      <c r="AW124" s="184"/>
      <c r="AX124" s="184"/>
      <c r="AY124" s="184"/>
      <c r="AZ124" s="184"/>
      <c r="BA124" s="184"/>
      <c r="BB124" s="184"/>
      <c r="BC124" s="184"/>
      <c r="BD124" s="184"/>
      <c r="BE124" s="184"/>
      <c r="BF124" s="184"/>
      <c r="BG124" s="184"/>
      <c r="BH124" s="184"/>
      <c r="BI124" s="184"/>
      <c r="BJ124" s="184"/>
      <c r="BK124" s="184"/>
      <c r="BL124" s="184"/>
      <c r="BM124" s="184"/>
      <c r="BN124" s="184"/>
      <c r="BO124" s="184"/>
      <c r="BP124" s="184"/>
      <c r="BQ124" s="184"/>
      <c r="BR124" s="184"/>
      <c r="BS124" s="184"/>
      <c r="BT124" s="184"/>
      <c r="BU124" s="184"/>
      <c r="BV124" s="184"/>
      <c r="BW124" s="184"/>
      <c r="BX124" s="184"/>
      <c r="BY124" s="184"/>
      <c r="BZ124" s="184"/>
      <c r="CA124" s="184"/>
      <c r="CB124" s="184"/>
      <c r="CC124" s="184"/>
      <c r="CD124" s="184"/>
      <c r="CE124" s="184"/>
      <c r="CF124" s="184"/>
      <c r="CG124" s="184"/>
      <c r="CH124" s="184"/>
      <c r="CI124" s="184"/>
      <c r="CJ124" s="184"/>
      <c r="CK124" s="184"/>
      <c r="CL124" s="184"/>
      <c r="CM124" s="184"/>
      <c r="CN124" s="184"/>
      <c r="CO124" s="184"/>
      <c r="CP124" s="184"/>
      <c r="CQ124" s="184"/>
      <c r="CR124" s="184"/>
      <c r="CS124" s="184"/>
      <c r="CT124" s="184"/>
      <c r="CU124" s="184"/>
      <c r="CV124" s="184"/>
      <c r="CW124" s="184"/>
      <c r="CX124" s="184"/>
      <c r="CY124" s="184"/>
      <c r="CZ124" s="184"/>
      <c r="DA124" s="184"/>
      <c r="DB124" s="184"/>
      <c r="DC124" s="184"/>
      <c r="DD124" s="184"/>
      <c r="DE124" s="184"/>
      <c r="DF124" s="184"/>
      <c r="DG124" s="184"/>
      <c r="DH124" s="184"/>
      <c r="DI124" s="184"/>
      <c r="DJ124" s="184"/>
      <c r="DK124" s="184"/>
      <c r="DL124" s="184"/>
      <c r="DM124" s="184"/>
      <c r="DN124" s="184"/>
      <c r="DO124" s="184"/>
      <c r="DP124" s="184"/>
      <c r="DQ124" s="184"/>
      <c r="DR124" s="184"/>
      <c r="DS124" s="184"/>
      <c r="DT124" s="184"/>
      <c r="DU124" s="184"/>
      <c r="DV124" s="184"/>
      <c r="DW124" s="184"/>
      <c r="DX124" s="184"/>
      <c r="DY124" s="184"/>
      <c r="DZ124" s="184"/>
      <c r="EA124" s="184"/>
      <c r="EB124" s="184"/>
      <c r="EC124" s="184"/>
      <c r="ED124" s="184"/>
      <c r="EE124" s="184"/>
      <c r="EF124" s="184"/>
      <c r="EG124" s="184"/>
      <c r="EH124" s="184"/>
      <c r="EI124" s="184"/>
      <c r="EJ124" s="184"/>
      <c r="EK124" s="184"/>
      <c r="EL124" s="184"/>
      <c r="EM124" s="184"/>
      <c r="EN124" s="184"/>
      <c r="EO124" s="184"/>
      <c r="EP124" s="184"/>
      <c r="EQ124" s="184"/>
      <c r="ER124" s="184"/>
      <c r="ES124" s="184"/>
      <c r="ET124" s="184"/>
      <c r="EU124" s="184"/>
      <c r="EV124" s="184"/>
      <c r="EW124" s="184"/>
      <c r="EX124" s="184"/>
      <c r="EY124" s="184"/>
      <c r="EZ124" s="184"/>
      <c r="FA124" s="184"/>
      <c r="FB124" s="184"/>
      <c r="FC124" s="184"/>
      <c r="FD124" s="184"/>
      <c r="FE124" s="184"/>
      <c r="FF124" s="184"/>
      <c r="FG124" s="184"/>
      <c r="FH124" s="184"/>
      <c r="FI124" s="184"/>
      <c r="FJ124" s="184"/>
      <c r="FK124" s="184"/>
      <c r="FL124" s="184"/>
      <c r="FM124" s="184"/>
      <c r="FN124" s="184"/>
      <c r="FO124" s="184"/>
      <c r="FP124" s="184"/>
      <c r="FQ124" s="184"/>
      <c r="FR124" s="184"/>
      <c r="FS124" s="184"/>
      <c r="FT124" s="184"/>
      <c r="FU124" s="184"/>
      <c r="FV124" s="184"/>
      <c r="FW124" s="184"/>
      <c r="FX124" s="184"/>
      <c r="FY124" s="184"/>
      <c r="FZ124" s="184"/>
      <c r="GA124" s="184"/>
      <c r="GB124" s="184"/>
      <c r="GC124" s="184"/>
      <c r="GD124" s="184"/>
      <c r="GE124" s="184"/>
      <c r="GF124" s="184"/>
      <c r="GG124" s="184"/>
      <c r="GH124" s="184"/>
      <c r="GI124" s="184"/>
    </row>
    <row r="125" spans="1:191" s="186" customFormat="1" ht="15" customHeight="1">
      <c r="A125" s="184"/>
      <c r="B125" s="190"/>
      <c r="C125" s="211"/>
      <c r="D125" s="193"/>
      <c r="E125" s="193"/>
      <c r="F125" s="188"/>
      <c r="G125" s="188"/>
      <c r="H125" s="190"/>
      <c r="I125" s="188"/>
      <c r="J125" s="184"/>
      <c r="K125" s="190"/>
      <c r="L125" s="190"/>
      <c r="M125" s="190"/>
      <c r="N125" s="184"/>
      <c r="O125" s="191"/>
      <c r="P125" s="191"/>
      <c r="Q125" s="183"/>
      <c r="R125" s="183"/>
      <c r="S125" s="183"/>
      <c r="T125" s="184"/>
      <c r="U125" s="184"/>
      <c r="V125" s="188"/>
      <c r="AB125" s="184"/>
      <c r="AC125" s="184"/>
      <c r="AD125" s="184"/>
      <c r="AE125" s="184"/>
      <c r="AF125" s="184"/>
      <c r="AG125" s="184"/>
      <c r="AH125" s="184"/>
      <c r="AI125" s="184"/>
      <c r="AJ125" s="184"/>
      <c r="AK125" s="184"/>
      <c r="AL125" s="184"/>
      <c r="AM125" s="184"/>
      <c r="AN125" s="184"/>
      <c r="AO125" s="184"/>
      <c r="AP125" s="184"/>
      <c r="AQ125" s="184"/>
      <c r="AR125" s="184"/>
      <c r="AS125" s="184"/>
      <c r="AT125" s="184"/>
      <c r="AU125" s="184"/>
      <c r="AV125" s="184"/>
      <c r="AW125" s="184"/>
      <c r="AX125" s="184"/>
      <c r="AY125" s="184"/>
      <c r="AZ125" s="184"/>
      <c r="BA125" s="184"/>
      <c r="BB125" s="184"/>
      <c r="BC125" s="184"/>
      <c r="BD125" s="184"/>
      <c r="BE125" s="184"/>
      <c r="BF125" s="184"/>
      <c r="BG125" s="184"/>
      <c r="BH125" s="184"/>
      <c r="BI125" s="184"/>
      <c r="BJ125" s="184"/>
      <c r="BK125" s="184"/>
      <c r="BL125" s="184"/>
      <c r="BM125" s="184"/>
      <c r="BN125" s="184"/>
      <c r="BO125" s="184"/>
      <c r="BP125" s="184"/>
      <c r="BQ125" s="184"/>
      <c r="BR125" s="184"/>
      <c r="BS125" s="184"/>
      <c r="BT125" s="184"/>
      <c r="BU125" s="184"/>
      <c r="BV125" s="184"/>
      <c r="BW125" s="184"/>
      <c r="BX125" s="184"/>
      <c r="BY125" s="184"/>
      <c r="BZ125" s="184"/>
      <c r="CA125" s="184"/>
      <c r="CB125" s="184"/>
      <c r="CC125" s="184"/>
      <c r="CD125" s="184"/>
      <c r="CE125" s="184"/>
      <c r="CF125" s="184"/>
      <c r="CG125" s="184"/>
      <c r="CH125" s="184"/>
      <c r="CI125" s="184"/>
      <c r="CJ125" s="184"/>
      <c r="CK125" s="184"/>
      <c r="CL125" s="184"/>
      <c r="CM125" s="184"/>
      <c r="CN125" s="184"/>
      <c r="CO125" s="184"/>
      <c r="CP125" s="184"/>
      <c r="CQ125" s="184"/>
      <c r="CR125" s="184"/>
      <c r="CS125" s="184"/>
      <c r="CT125" s="184"/>
      <c r="CU125" s="184"/>
      <c r="CV125" s="184"/>
      <c r="CW125" s="184"/>
      <c r="CX125" s="184"/>
      <c r="CY125" s="184"/>
      <c r="CZ125" s="184"/>
      <c r="DA125" s="184"/>
      <c r="DB125" s="184"/>
      <c r="DC125" s="184"/>
      <c r="DD125" s="184"/>
      <c r="DE125" s="184"/>
      <c r="DF125" s="184"/>
      <c r="DG125" s="184"/>
      <c r="DH125" s="184"/>
      <c r="DI125" s="184"/>
      <c r="DJ125" s="184"/>
      <c r="DK125" s="184"/>
      <c r="DL125" s="184"/>
      <c r="DM125" s="184"/>
      <c r="DN125" s="184"/>
      <c r="DO125" s="184"/>
      <c r="DP125" s="184"/>
      <c r="DQ125" s="184"/>
      <c r="DR125" s="184"/>
      <c r="DS125" s="184"/>
      <c r="DT125" s="184"/>
      <c r="DU125" s="184"/>
      <c r="DV125" s="184"/>
      <c r="DW125" s="184"/>
      <c r="DX125" s="184"/>
      <c r="DY125" s="184"/>
      <c r="DZ125" s="184"/>
      <c r="EA125" s="184"/>
      <c r="EB125" s="184"/>
      <c r="EC125" s="184"/>
      <c r="ED125" s="184"/>
      <c r="EE125" s="184"/>
      <c r="EF125" s="184"/>
      <c r="EG125" s="184"/>
      <c r="EH125" s="184"/>
      <c r="EI125" s="184"/>
      <c r="EJ125" s="184"/>
      <c r="EK125" s="184"/>
      <c r="EL125" s="184"/>
      <c r="EM125" s="184"/>
      <c r="EN125" s="184"/>
      <c r="EO125" s="184"/>
      <c r="EP125" s="184"/>
      <c r="EQ125" s="184"/>
      <c r="ER125" s="184"/>
      <c r="ES125" s="184"/>
      <c r="ET125" s="184"/>
      <c r="EU125" s="184"/>
      <c r="EV125" s="184"/>
      <c r="EW125" s="184"/>
      <c r="EX125" s="184"/>
      <c r="EY125" s="184"/>
      <c r="EZ125" s="184"/>
      <c r="FA125" s="184"/>
      <c r="FB125" s="184"/>
      <c r="FC125" s="184"/>
      <c r="FD125" s="184"/>
      <c r="FE125" s="184"/>
      <c r="FF125" s="184"/>
      <c r="FG125" s="184"/>
      <c r="FH125" s="184"/>
      <c r="FI125" s="184"/>
      <c r="FJ125" s="184"/>
      <c r="FK125" s="184"/>
      <c r="FL125" s="184"/>
      <c r="FM125" s="184"/>
      <c r="FN125" s="184"/>
      <c r="FO125" s="184"/>
      <c r="FP125" s="184"/>
      <c r="FQ125" s="184"/>
      <c r="FR125" s="184"/>
      <c r="FS125" s="184"/>
      <c r="FT125" s="184"/>
      <c r="FU125" s="184"/>
      <c r="FV125" s="184"/>
      <c r="FW125" s="184"/>
      <c r="FX125" s="184"/>
      <c r="FY125" s="184"/>
      <c r="FZ125" s="184"/>
      <c r="GA125" s="184"/>
      <c r="GB125" s="184"/>
      <c r="GC125" s="184"/>
      <c r="GD125" s="184"/>
      <c r="GE125" s="184"/>
      <c r="GF125" s="184"/>
      <c r="GG125" s="184"/>
      <c r="GH125" s="184"/>
      <c r="GI125" s="184"/>
    </row>
    <row r="126" spans="1:191" s="186" customFormat="1" ht="15" customHeight="1">
      <c r="A126" s="184"/>
      <c r="B126" s="190"/>
      <c r="C126" s="211"/>
      <c r="D126" s="193"/>
      <c r="E126" s="193"/>
      <c r="F126" s="188"/>
      <c r="G126" s="188"/>
      <c r="H126" s="190"/>
      <c r="I126" s="188"/>
      <c r="J126" s="184"/>
      <c r="K126" s="190"/>
      <c r="L126" s="190"/>
      <c r="M126" s="190"/>
      <c r="N126" s="184"/>
      <c r="O126" s="191"/>
      <c r="P126" s="191"/>
      <c r="Q126" s="183"/>
      <c r="R126" s="183"/>
      <c r="S126" s="183"/>
      <c r="T126" s="184"/>
      <c r="U126" s="184"/>
      <c r="V126" s="188"/>
      <c r="AB126" s="184"/>
      <c r="AC126" s="184"/>
      <c r="AD126" s="184"/>
      <c r="AE126" s="184"/>
      <c r="AF126" s="184"/>
      <c r="AG126" s="184"/>
      <c r="AH126" s="184"/>
      <c r="AI126" s="184"/>
      <c r="AJ126" s="184"/>
      <c r="AK126" s="184"/>
      <c r="AL126" s="184"/>
      <c r="AM126" s="184"/>
      <c r="AN126" s="184"/>
      <c r="AO126" s="184"/>
      <c r="AP126" s="184"/>
      <c r="AQ126" s="184"/>
      <c r="AR126" s="184"/>
      <c r="AS126" s="184"/>
      <c r="AT126" s="184"/>
      <c r="AU126" s="184"/>
      <c r="AV126" s="184"/>
      <c r="AW126" s="184"/>
      <c r="AX126" s="184"/>
      <c r="AY126" s="184"/>
      <c r="AZ126" s="184"/>
      <c r="BA126" s="184"/>
      <c r="BB126" s="184"/>
      <c r="BC126" s="184"/>
      <c r="BD126" s="184"/>
      <c r="BE126" s="184"/>
      <c r="BF126" s="184"/>
      <c r="BG126" s="184"/>
      <c r="BH126" s="184"/>
      <c r="BI126" s="184"/>
      <c r="BJ126" s="184"/>
      <c r="BK126" s="184"/>
      <c r="BL126" s="184"/>
      <c r="BM126" s="184"/>
      <c r="BN126" s="184"/>
      <c r="BO126" s="184"/>
      <c r="BP126" s="184"/>
      <c r="BQ126" s="184"/>
      <c r="BR126" s="184"/>
      <c r="BS126" s="184"/>
      <c r="BT126" s="184"/>
      <c r="BU126" s="184"/>
      <c r="BV126" s="184"/>
      <c r="BW126" s="184"/>
      <c r="BX126" s="184"/>
      <c r="BY126" s="184"/>
      <c r="BZ126" s="184"/>
      <c r="CA126" s="184"/>
      <c r="CB126" s="184"/>
      <c r="CC126" s="184"/>
      <c r="CD126" s="184"/>
      <c r="CE126" s="184"/>
      <c r="CF126" s="184"/>
      <c r="CG126" s="184"/>
      <c r="CH126" s="184"/>
      <c r="CI126" s="184"/>
      <c r="CJ126" s="184"/>
      <c r="CK126" s="184"/>
      <c r="CL126" s="184"/>
      <c r="CM126" s="184"/>
      <c r="CN126" s="184"/>
      <c r="CO126" s="184"/>
      <c r="CP126" s="184"/>
      <c r="CQ126" s="184"/>
      <c r="CR126" s="184"/>
      <c r="CS126" s="184"/>
      <c r="CT126" s="184"/>
      <c r="CU126" s="184"/>
      <c r="CV126" s="184"/>
      <c r="CW126" s="184"/>
      <c r="CX126" s="184"/>
      <c r="CY126" s="184"/>
      <c r="CZ126" s="184"/>
      <c r="DA126" s="184"/>
      <c r="DB126" s="184"/>
      <c r="DC126" s="184"/>
      <c r="DD126" s="184"/>
      <c r="DE126" s="184"/>
      <c r="DF126" s="184"/>
      <c r="DG126" s="184"/>
      <c r="DH126" s="184"/>
      <c r="DI126" s="184"/>
      <c r="DJ126" s="184"/>
      <c r="DK126" s="184"/>
      <c r="DL126" s="184"/>
      <c r="DM126" s="184"/>
      <c r="DN126" s="184"/>
      <c r="DO126" s="184"/>
      <c r="DP126" s="184"/>
      <c r="DQ126" s="184"/>
      <c r="DR126" s="184"/>
      <c r="DS126" s="184"/>
      <c r="DT126" s="184"/>
      <c r="DU126" s="184"/>
      <c r="DV126" s="184"/>
      <c r="DW126" s="184"/>
      <c r="DX126" s="184"/>
      <c r="DY126" s="184"/>
      <c r="DZ126" s="184"/>
      <c r="EA126" s="184"/>
      <c r="EB126" s="184"/>
      <c r="EC126" s="184"/>
      <c r="ED126" s="184"/>
      <c r="EE126" s="184"/>
      <c r="EF126" s="184"/>
      <c r="EG126" s="184"/>
      <c r="EH126" s="184"/>
      <c r="EI126" s="184"/>
      <c r="EJ126" s="184"/>
      <c r="EK126" s="184"/>
      <c r="EL126" s="184"/>
      <c r="EM126" s="184"/>
      <c r="EN126" s="184"/>
      <c r="EO126" s="184"/>
      <c r="EP126" s="184"/>
      <c r="EQ126" s="184"/>
      <c r="ER126" s="184"/>
      <c r="ES126" s="184"/>
      <c r="ET126" s="184"/>
      <c r="EU126" s="184"/>
      <c r="EV126" s="184"/>
      <c r="EW126" s="184"/>
      <c r="EX126" s="184"/>
      <c r="EY126" s="184"/>
      <c r="EZ126" s="184"/>
      <c r="FA126" s="184"/>
      <c r="FB126" s="184"/>
      <c r="FC126" s="184"/>
      <c r="FD126" s="184"/>
      <c r="FE126" s="184"/>
      <c r="FF126" s="184"/>
      <c r="FG126" s="184"/>
      <c r="FH126" s="184"/>
      <c r="FI126" s="184"/>
      <c r="FJ126" s="184"/>
      <c r="FK126" s="184"/>
      <c r="FL126" s="184"/>
      <c r="FM126" s="184"/>
      <c r="FN126" s="184"/>
      <c r="FO126" s="184"/>
      <c r="FP126" s="184"/>
      <c r="FQ126" s="184"/>
      <c r="FR126" s="184"/>
      <c r="FS126" s="184"/>
      <c r="FT126" s="184"/>
      <c r="FU126" s="184"/>
      <c r="FV126" s="184"/>
      <c r="FW126" s="184"/>
      <c r="FX126" s="184"/>
      <c r="FY126" s="184"/>
      <c r="FZ126" s="184"/>
      <c r="GA126" s="184"/>
      <c r="GB126" s="184"/>
      <c r="GC126" s="184"/>
      <c r="GD126" s="184"/>
      <c r="GE126" s="184"/>
      <c r="GF126" s="184"/>
      <c r="GG126" s="184"/>
      <c r="GH126" s="184"/>
      <c r="GI126" s="184"/>
    </row>
    <row r="127" spans="1:191" s="186" customFormat="1" ht="15" customHeight="1">
      <c r="A127" s="184"/>
      <c r="B127" s="190"/>
      <c r="C127" s="211"/>
      <c r="D127" s="193"/>
      <c r="E127" s="193"/>
      <c r="F127" s="188"/>
      <c r="G127" s="188"/>
      <c r="H127" s="190"/>
      <c r="I127" s="188"/>
      <c r="J127" s="184"/>
      <c r="K127" s="190"/>
      <c r="L127" s="190"/>
      <c r="M127" s="190"/>
      <c r="N127" s="184"/>
      <c r="O127" s="191"/>
      <c r="P127" s="191"/>
      <c r="Q127" s="183"/>
      <c r="R127" s="183"/>
      <c r="S127" s="183"/>
      <c r="T127" s="184"/>
      <c r="U127" s="184"/>
      <c r="V127" s="188"/>
      <c r="AB127" s="184"/>
      <c r="AC127" s="184"/>
      <c r="AD127" s="184"/>
      <c r="AE127" s="184"/>
      <c r="AF127" s="184"/>
      <c r="AG127" s="184"/>
      <c r="AH127" s="184"/>
      <c r="AI127" s="184"/>
      <c r="AJ127" s="184"/>
      <c r="AK127" s="184"/>
      <c r="AL127" s="184"/>
      <c r="AM127" s="184"/>
      <c r="AN127" s="184"/>
      <c r="AO127" s="184"/>
      <c r="AP127" s="184"/>
      <c r="AQ127" s="184"/>
      <c r="AR127" s="184"/>
      <c r="AS127" s="184"/>
      <c r="AT127" s="184"/>
      <c r="AU127" s="184"/>
      <c r="AV127" s="184"/>
      <c r="AW127" s="184"/>
      <c r="AX127" s="184"/>
      <c r="AY127" s="184"/>
      <c r="AZ127" s="184"/>
      <c r="BA127" s="184"/>
      <c r="BB127" s="184"/>
      <c r="BC127" s="184"/>
      <c r="BD127" s="184"/>
      <c r="BE127" s="184"/>
      <c r="BF127" s="184"/>
      <c r="BG127" s="184"/>
      <c r="BH127" s="184"/>
      <c r="BI127" s="184"/>
      <c r="BJ127" s="184"/>
      <c r="BK127" s="184"/>
      <c r="BL127" s="184"/>
      <c r="BM127" s="184"/>
      <c r="BN127" s="184"/>
      <c r="BO127" s="184"/>
      <c r="BP127" s="184"/>
      <c r="BQ127" s="184"/>
      <c r="BR127" s="184"/>
      <c r="BS127" s="184"/>
      <c r="BT127" s="184"/>
      <c r="BU127" s="184"/>
      <c r="BV127" s="184"/>
      <c r="BW127" s="184"/>
      <c r="BX127" s="184"/>
      <c r="BY127" s="184"/>
      <c r="BZ127" s="184"/>
      <c r="CA127" s="184"/>
      <c r="CB127" s="184"/>
      <c r="CC127" s="184"/>
      <c r="CD127" s="184"/>
      <c r="CE127" s="184"/>
      <c r="CF127" s="184"/>
      <c r="CG127" s="184"/>
      <c r="CH127" s="184"/>
      <c r="CI127" s="184"/>
      <c r="CJ127" s="184"/>
      <c r="CK127" s="184"/>
      <c r="CL127" s="184"/>
      <c r="CM127" s="184"/>
      <c r="CN127" s="184"/>
      <c r="CO127" s="184"/>
      <c r="CP127" s="184"/>
      <c r="CQ127" s="184"/>
      <c r="CR127" s="184"/>
      <c r="CS127" s="184"/>
      <c r="CT127" s="184"/>
      <c r="CU127" s="184"/>
      <c r="CV127" s="184"/>
      <c r="CW127" s="184"/>
      <c r="CX127" s="184"/>
      <c r="CY127" s="184"/>
      <c r="CZ127" s="184"/>
      <c r="DA127" s="184"/>
      <c r="DB127" s="184"/>
      <c r="DC127" s="184"/>
      <c r="DD127" s="184"/>
      <c r="DE127" s="184"/>
      <c r="DF127" s="184"/>
      <c r="DG127" s="184"/>
      <c r="DH127" s="184"/>
      <c r="DI127" s="184"/>
      <c r="DJ127" s="184"/>
      <c r="DK127" s="184"/>
      <c r="DL127" s="184"/>
      <c r="DM127" s="184"/>
      <c r="DN127" s="184"/>
      <c r="DO127" s="184"/>
      <c r="DP127" s="184"/>
      <c r="DQ127" s="184"/>
      <c r="DR127" s="184"/>
      <c r="DS127" s="184"/>
      <c r="DT127" s="184"/>
      <c r="DU127" s="184"/>
      <c r="DV127" s="184"/>
      <c r="DW127" s="184"/>
      <c r="DX127" s="184"/>
      <c r="DY127" s="184"/>
      <c r="DZ127" s="184"/>
      <c r="EA127" s="184"/>
      <c r="EB127" s="184"/>
      <c r="EC127" s="184"/>
      <c r="ED127" s="184"/>
      <c r="EE127" s="184"/>
      <c r="EF127" s="184"/>
      <c r="EG127" s="184"/>
      <c r="EH127" s="184"/>
      <c r="EI127" s="184"/>
      <c r="EJ127" s="184"/>
      <c r="EK127" s="184"/>
      <c r="EL127" s="184"/>
      <c r="EM127" s="184"/>
      <c r="EN127" s="184"/>
      <c r="EO127" s="184"/>
      <c r="EP127" s="184"/>
      <c r="EQ127" s="184"/>
      <c r="ER127" s="184"/>
      <c r="ES127" s="184"/>
      <c r="ET127" s="184"/>
      <c r="EU127" s="184"/>
      <c r="EV127" s="184"/>
      <c r="EW127" s="184"/>
      <c r="EX127" s="184"/>
      <c r="EY127" s="184"/>
      <c r="EZ127" s="184"/>
      <c r="FA127" s="184"/>
      <c r="FB127" s="184"/>
      <c r="FC127" s="184"/>
      <c r="FD127" s="184"/>
      <c r="FE127" s="184"/>
      <c r="FF127" s="184"/>
      <c r="FG127" s="184"/>
      <c r="FH127" s="184"/>
      <c r="FI127" s="184"/>
      <c r="FJ127" s="184"/>
      <c r="FK127" s="184"/>
      <c r="FL127" s="184"/>
      <c r="FM127" s="184"/>
      <c r="FN127" s="184"/>
      <c r="FO127" s="184"/>
      <c r="FP127" s="184"/>
      <c r="FQ127" s="184"/>
      <c r="FR127" s="184"/>
      <c r="FS127" s="184"/>
      <c r="FT127" s="184"/>
      <c r="FU127" s="184"/>
      <c r="FV127" s="184"/>
      <c r="FW127" s="184"/>
      <c r="FX127" s="184"/>
      <c r="FY127" s="184"/>
      <c r="FZ127" s="184"/>
      <c r="GA127" s="184"/>
      <c r="GB127" s="184"/>
      <c r="GC127" s="184"/>
      <c r="GD127" s="184"/>
      <c r="GE127" s="184"/>
      <c r="GF127" s="184"/>
      <c r="GG127" s="184"/>
      <c r="GH127" s="184"/>
      <c r="GI127" s="184"/>
    </row>
    <row r="128" spans="1:191" s="186" customFormat="1" ht="15" customHeight="1">
      <c r="A128" s="184"/>
      <c r="B128" s="190"/>
      <c r="C128" s="211"/>
      <c r="D128" s="193"/>
      <c r="E128" s="193"/>
      <c r="F128" s="188"/>
      <c r="G128" s="188"/>
      <c r="H128" s="190"/>
      <c r="I128" s="188"/>
      <c r="J128" s="184"/>
      <c r="K128" s="190"/>
      <c r="L128" s="190"/>
      <c r="M128" s="190"/>
      <c r="N128" s="184"/>
      <c r="O128" s="191"/>
      <c r="P128" s="191"/>
      <c r="Q128" s="183"/>
      <c r="R128" s="183"/>
      <c r="S128" s="183"/>
      <c r="T128" s="184"/>
      <c r="U128" s="184"/>
      <c r="V128" s="188"/>
      <c r="AB128" s="184"/>
      <c r="AC128" s="184"/>
      <c r="AD128" s="184"/>
      <c r="AE128" s="184"/>
      <c r="AF128" s="184"/>
      <c r="AG128" s="184"/>
      <c r="AH128" s="184"/>
      <c r="AI128" s="184"/>
      <c r="AJ128" s="184"/>
      <c r="AK128" s="184"/>
      <c r="AL128" s="184"/>
      <c r="AM128" s="184"/>
      <c r="AN128" s="184"/>
      <c r="AO128" s="184"/>
      <c r="AP128" s="184"/>
      <c r="AQ128" s="184"/>
      <c r="AR128" s="184"/>
      <c r="AS128" s="184"/>
      <c r="AT128" s="184"/>
      <c r="AU128" s="184"/>
      <c r="AV128" s="184"/>
      <c r="AW128" s="184"/>
      <c r="AX128" s="184"/>
      <c r="AY128" s="184"/>
      <c r="AZ128" s="184"/>
      <c r="BA128" s="184"/>
      <c r="BB128" s="184"/>
      <c r="BC128" s="184"/>
      <c r="BD128" s="184"/>
      <c r="BE128" s="184"/>
      <c r="BF128" s="184"/>
      <c r="BG128" s="184"/>
      <c r="BH128" s="184"/>
      <c r="BI128" s="184"/>
      <c r="BJ128" s="184"/>
      <c r="BK128" s="184"/>
      <c r="BL128" s="184"/>
      <c r="BM128" s="184"/>
      <c r="BN128" s="184"/>
      <c r="BO128" s="184"/>
      <c r="BP128" s="184"/>
      <c r="BQ128" s="184"/>
      <c r="BR128" s="184"/>
      <c r="BS128" s="184"/>
      <c r="BT128" s="184"/>
      <c r="BU128" s="184"/>
      <c r="BV128" s="184"/>
      <c r="BW128" s="184"/>
      <c r="BX128" s="184"/>
      <c r="BY128" s="184"/>
      <c r="BZ128" s="184"/>
      <c r="CA128" s="184"/>
      <c r="CB128" s="184"/>
      <c r="CC128" s="184"/>
      <c r="CD128" s="184"/>
      <c r="CE128" s="184"/>
      <c r="CF128" s="184"/>
      <c r="CG128" s="184"/>
      <c r="CH128" s="184"/>
      <c r="CI128" s="184"/>
      <c r="CJ128" s="184"/>
      <c r="CK128" s="184"/>
      <c r="CL128" s="184"/>
      <c r="CM128" s="184"/>
      <c r="CN128" s="184"/>
      <c r="CO128" s="184"/>
      <c r="CP128" s="184"/>
      <c r="CQ128" s="184"/>
      <c r="CR128" s="184"/>
      <c r="CS128" s="184"/>
      <c r="CT128" s="184"/>
      <c r="CU128" s="184"/>
      <c r="CV128" s="184"/>
      <c r="CW128" s="184"/>
      <c r="CX128" s="184"/>
      <c r="CY128" s="184"/>
      <c r="CZ128" s="184"/>
      <c r="DA128" s="184"/>
      <c r="DB128" s="184"/>
      <c r="DC128" s="184"/>
      <c r="DD128" s="184"/>
      <c r="DE128" s="184"/>
      <c r="DF128" s="184"/>
      <c r="DG128" s="184"/>
      <c r="DH128" s="184"/>
      <c r="DI128" s="184"/>
      <c r="DJ128" s="184"/>
      <c r="DK128" s="184"/>
      <c r="DL128" s="184"/>
      <c r="DM128" s="184"/>
      <c r="DN128" s="184"/>
      <c r="DO128" s="184"/>
      <c r="DP128" s="184"/>
      <c r="DQ128" s="184"/>
      <c r="DR128" s="184"/>
      <c r="DS128" s="184"/>
      <c r="DT128" s="184"/>
      <c r="DU128" s="184"/>
      <c r="DV128" s="184"/>
      <c r="DW128" s="184"/>
      <c r="DX128" s="184"/>
      <c r="DY128" s="184"/>
      <c r="DZ128" s="184"/>
      <c r="EA128" s="184"/>
      <c r="EB128" s="184"/>
      <c r="EC128" s="184"/>
      <c r="ED128" s="184"/>
      <c r="EE128" s="184"/>
      <c r="EF128" s="184"/>
      <c r="EG128" s="184"/>
      <c r="EH128" s="184"/>
      <c r="EI128" s="184"/>
      <c r="EJ128" s="184"/>
      <c r="EK128" s="184"/>
      <c r="EL128" s="184"/>
      <c r="EM128" s="184"/>
      <c r="EN128" s="184"/>
      <c r="EO128" s="184"/>
      <c r="EP128" s="184"/>
      <c r="EQ128" s="184"/>
      <c r="ER128" s="184"/>
      <c r="ES128" s="184"/>
      <c r="ET128" s="184"/>
      <c r="EU128" s="184"/>
      <c r="EV128" s="184"/>
      <c r="EW128" s="184"/>
      <c r="EX128" s="184"/>
      <c r="EY128" s="184"/>
      <c r="EZ128" s="184"/>
      <c r="FA128" s="184"/>
      <c r="FB128" s="184"/>
      <c r="FC128" s="184"/>
      <c r="FD128" s="184"/>
      <c r="FE128" s="184"/>
      <c r="FF128" s="184"/>
      <c r="FG128" s="184"/>
      <c r="FH128" s="184"/>
      <c r="FI128" s="184"/>
      <c r="FJ128" s="184"/>
      <c r="FK128" s="184"/>
      <c r="FL128" s="184"/>
      <c r="FM128" s="184"/>
      <c r="FN128" s="184"/>
      <c r="FO128" s="184"/>
      <c r="FP128" s="184"/>
      <c r="FQ128" s="184"/>
      <c r="FR128" s="184"/>
      <c r="FS128" s="184"/>
      <c r="FT128" s="184"/>
      <c r="FU128" s="184"/>
      <c r="FV128" s="184"/>
      <c r="FW128" s="184"/>
      <c r="FX128" s="184"/>
      <c r="FY128" s="184"/>
      <c r="FZ128" s="184"/>
      <c r="GA128" s="184"/>
      <c r="GB128" s="184"/>
      <c r="GC128" s="184"/>
      <c r="GD128" s="184"/>
      <c r="GE128" s="184"/>
      <c r="GF128" s="184"/>
      <c r="GG128" s="184"/>
      <c r="GH128" s="184"/>
      <c r="GI128" s="184"/>
    </row>
    <row r="129" spans="1:191" s="186" customFormat="1" ht="15" customHeight="1">
      <c r="A129" s="184"/>
      <c r="B129" s="190"/>
      <c r="C129" s="211"/>
      <c r="D129" s="193"/>
      <c r="E129" s="193"/>
      <c r="F129" s="188"/>
      <c r="G129" s="188"/>
      <c r="H129" s="190"/>
      <c r="I129" s="188"/>
      <c r="J129" s="184"/>
      <c r="K129" s="190"/>
      <c r="L129" s="190"/>
      <c r="M129" s="190"/>
      <c r="N129" s="184"/>
      <c r="O129" s="191"/>
      <c r="P129" s="191"/>
      <c r="Q129" s="183"/>
      <c r="R129" s="183"/>
      <c r="S129" s="183"/>
      <c r="T129" s="184"/>
      <c r="U129" s="184"/>
      <c r="V129" s="188"/>
      <c r="AB129" s="184"/>
      <c r="AC129" s="184"/>
      <c r="AD129" s="184"/>
      <c r="AE129" s="184"/>
      <c r="AF129" s="184"/>
      <c r="AG129" s="184"/>
      <c r="AH129" s="184"/>
      <c r="AI129" s="184"/>
      <c r="AJ129" s="184"/>
      <c r="AK129" s="184"/>
      <c r="AL129" s="184"/>
      <c r="AM129" s="184"/>
      <c r="AN129" s="184"/>
      <c r="AO129" s="184"/>
      <c r="AP129" s="184"/>
      <c r="AQ129" s="184"/>
      <c r="AR129" s="184"/>
      <c r="AS129" s="184"/>
      <c r="AT129" s="184"/>
      <c r="AU129" s="184"/>
      <c r="AV129" s="184"/>
      <c r="AW129" s="184"/>
      <c r="AX129" s="184"/>
      <c r="AY129" s="184"/>
      <c r="AZ129" s="184"/>
      <c r="BA129" s="184"/>
      <c r="BB129" s="184"/>
      <c r="BC129" s="184"/>
      <c r="BD129" s="184"/>
      <c r="BE129" s="184"/>
      <c r="BF129" s="184"/>
      <c r="BG129" s="184"/>
      <c r="BH129" s="184"/>
      <c r="BI129" s="184"/>
      <c r="BJ129" s="184"/>
      <c r="BK129" s="184"/>
      <c r="BL129" s="184"/>
      <c r="BM129" s="184"/>
      <c r="BN129" s="184"/>
      <c r="BO129" s="184"/>
      <c r="BP129" s="184"/>
      <c r="BQ129" s="184"/>
      <c r="BR129" s="184"/>
      <c r="BS129" s="184"/>
      <c r="BT129" s="184"/>
      <c r="BU129" s="184"/>
      <c r="BV129" s="184"/>
      <c r="BW129" s="184"/>
      <c r="BX129" s="184"/>
      <c r="BY129" s="184"/>
      <c r="BZ129" s="184"/>
      <c r="CA129" s="184"/>
      <c r="CB129" s="184"/>
      <c r="CC129" s="184"/>
      <c r="CD129" s="184"/>
      <c r="CE129" s="184"/>
      <c r="CF129" s="184"/>
      <c r="CG129" s="184"/>
      <c r="CH129" s="184"/>
      <c r="CI129" s="184"/>
      <c r="CJ129" s="184"/>
      <c r="CK129" s="184"/>
      <c r="CL129" s="184"/>
      <c r="CM129" s="184"/>
      <c r="CN129" s="184"/>
      <c r="CO129" s="184"/>
      <c r="CP129" s="184"/>
      <c r="CQ129" s="184"/>
      <c r="CR129" s="184"/>
      <c r="CS129" s="184"/>
      <c r="CT129" s="184"/>
      <c r="CU129" s="184"/>
      <c r="CV129" s="184"/>
      <c r="CW129" s="184"/>
      <c r="CX129" s="184"/>
      <c r="CY129" s="184"/>
      <c r="CZ129" s="184"/>
      <c r="DA129" s="184"/>
      <c r="DB129" s="184"/>
      <c r="DC129" s="184"/>
      <c r="DD129" s="184"/>
      <c r="DE129" s="184"/>
      <c r="DF129" s="184"/>
      <c r="DG129" s="184"/>
      <c r="DH129" s="184"/>
      <c r="DI129" s="184"/>
      <c r="DJ129" s="184"/>
      <c r="DK129" s="184"/>
      <c r="DL129" s="184"/>
      <c r="DM129" s="184"/>
      <c r="DN129" s="184"/>
      <c r="DO129" s="184"/>
      <c r="DP129" s="184"/>
      <c r="DQ129" s="184"/>
      <c r="DR129" s="184"/>
      <c r="DS129" s="184"/>
      <c r="DT129" s="184"/>
      <c r="DU129" s="184"/>
      <c r="DV129" s="184"/>
      <c r="DW129" s="184"/>
      <c r="DX129" s="184"/>
      <c r="DY129" s="184"/>
      <c r="DZ129" s="184"/>
      <c r="EA129" s="184"/>
      <c r="EB129" s="184"/>
      <c r="EC129" s="184"/>
      <c r="ED129" s="184"/>
      <c r="EE129" s="184"/>
      <c r="EF129" s="184"/>
      <c r="EG129" s="184"/>
      <c r="EH129" s="184"/>
      <c r="EI129" s="184"/>
      <c r="EJ129" s="184"/>
      <c r="EK129" s="184"/>
      <c r="EL129" s="184"/>
      <c r="EM129" s="184"/>
      <c r="EN129" s="184"/>
      <c r="EO129" s="184"/>
      <c r="EP129" s="184"/>
      <c r="EQ129" s="184"/>
      <c r="ER129" s="184"/>
      <c r="ES129" s="184"/>
      <c r="ET129" s="184"/>
      <c r="EU129" s="184"/>
      <c r="EV129" s="184"/>
      <c r="EW129" s="184"/>
      <c r="EX129" s="184"/>
      <c r="EY129" s="184"/>
      <c r="EZ129" s="184"/>
      <c r="FA129" s="184"/>
      <c r="FB129" s="184"/>
      <c r="FC129" s="184"/>
      <c r="FD129" s="184"/>
      <c r="FE129" s="184"/>
      <c r="FF129" s="184"/>
      <c r="FG129" s="184"/>
      <c r="FH129" s="184"/>
      <c r="FI129" s="184"/>
      <c r="FJ129" s="184"/>
      <c r="FK129" s="184"/>
      <c r="FL129" s="184"/>
      <c r="FM129" s="184"/>
      <c r="FN129" s="184"/>
      <c r="FO129" s="184"/>
      <c r="FP129" s="184"/>
      <c r="FQ129" s="184"/>
      <c r="FR129" s="184"/>
      <c r="FS129" s="184"/>
      <c r="FT129" s="184"/>
      <c r="FU129" s="184"/>
      <c r="FV129" s="184"/>
      <c r="FW129" s="184"/>
      <c r="FX129" s="184"/>
      <c r="FY129" s="184"/>
      <c r="FZ129" s="184"/>
      <c r="GA129" s="184"/>
      <c r="GB129" s="184"/>
      <c r="GC129" s="184"/>
      <c r="GD129" s="184"/>
      <c r="GE129" s="184"/>
      <c r="GF129" s="184"/>
      <c r="GG129" s="184"/>
      <c r="GH129" s="184"/>
      <c r="GI129" s="184"/>
    </row>
    <row r="130" spans="1:191" s="186" customFormat="1" ht="15" customHeight="1">
      <c r="A130" s="184"/>
      <c r="B130" s="190"/>
      <c r="C130" s="211"/>
      <c r="D130" s="193"/>
      <c r="E130" s="193"/>
      <c r="F130" s="188"/>
      <c r="G130" s="188"/>
      <c r="H130" s="190"/>
      <c r="I130" s="188"/>
      <c r="J130" s="184"/>
      <c r="K130" s="190"/>
      <c r="L130" s="190"/>
      <c r="M130" s="190"/>
      <c r="N130" s="184"/>
      <c r="O130" s="191"/>
      <c r="P130" s="191"/>
      <c r="Q130" s="183"/>
      <c r="R130" s="183"/>
      <c r="S130" s="183"/>
      <c r="T130" s="184"/>
      <c r="U130" s="184"/>
      <c r="V130" s="188"/>
      <c r="AB130" s="184"/>
      <c r="AC130" s="184"/>
      <c r="AD130" s="184"/>
      <c r="AE130" s="184"/>
      <c r="AF130" s="184"/>
      <c r="AG130" s="184"/>
      <c r="AH130" s="184"/>
      <c r="AI130" s="184"/>
      <c r="AJ130" s="184"/>
      <c r="AK130" s="184"/>
      <c r="AL130" s="184"/>
      <c r="AM130" s="184"/>
      <c r="AN130" s="184"/>
      <c r="AO130" s="184"/>
      <c r="AP130" s="184"/>
      <c r="AQ130" s="184"/>
      <c r="AR130" s="184"/>
      <c r="AS130" s="184"/>
      <c r="AT130" s="184"/>
      <c r="AU130" s="184"/>
      <c r="AV130" s="184"/>
      <c r="AW130" s="184"/>
      <c r="AX130" s="184"/>
      <c r="AY130" s="184"/>
      <c r="AZ130" s="184"/>
      <c r="BA130" s="184"/>
      <c r="BB130" s="184"/>
      <c r="BC130" s="184"/>
      <c r="BD130" s="184"/>
      <c r="BE130" s="184"/>
      <c r="BF130" s="184"/>
      <c r="BG130" s="184"/>
      <c r="BH130" s="184"/>
      <c r="BI130" s="184"/>
      <c r="BJ130" s="184"/>
      <c r="BK130" s="184"/>
      <c r="BL130" s="184"/>
      <c r="BM130" s="184"/>
      <c r="BN130" s="184"/>
      <c r="BO130" s="184"/>
      <c r="BP130" s="184"/>
      <c r="BQ130" s="184"/>
      <c r="BR130" s="184"/>
      <c r="BS130" s="184"/>
      <c r="BT130" s="184"/>
      <c r="BU130" s="184"/>
      <c r="BV130" s="184"/>
      <c r="BW130" s="184"/>
      <c r="BX130" s="184"/>
      <c r="BY130" s="184"/>
      <c r="BZ130" s="184"/>
      <c r="CA130" s="184"/>
      <c r="CB130" s="184"/>
      <c r="CC130" s="184"/>
      <c r="CD130" s="184"/>
      <c r="CE130" s="184"/>
      <c r="CF130" s="184"/>
      <c r="CG130" s="184"/>
      <c r="CH130" s="184"/>
      <c r="CI130" s="184"/>
      <c r="CJ130" s="184"/>
      <c r="CK130" s="184"/>
      <c r="CL130" s="184"/>
      <c r="CM130" s="184"/>
      <c r="CN130" s="184"/>
      <c r="CO130" s="184"/>
      <c r="CP130" s="184"/>
      <c r="CQ130" s="184"/>
      <c r="CR130" s="184"/>
      <c r="CS130" s="184"/>
      <c r="CT130" s="184"/>
      <c r="CU130" s="184"/>
      <c r="CV130" s="184"/>
      <c r="CW130" s="184"/>
      <c r="CX130" s="184"/>
      <c r="CY130" s="184"/>
      <c r="CZ130" s="184"/>
      <c r="DA130" s="184"/>
      <c r="DB130" s="184"/>
      <c r="DC130" s="184"/>
      <c r="DD130" s="184"/>
      <c r="DE130" s="184"/>
      <c r="DF130" s="184"/>
      <c r="DG130" s="184"/>
      <c r="DH130" s="184"/>
      <c r="DI130" s="184"/>
      <c r="DJ130" s="184"/>
      <c r="DK130" s="184"/>
      <c r="DL130" s="184"/>
      <c r="DM130" s="184"/>
      <c r="DN130" s="184"/>
      <c r="DO130" s="184"/>
      <c r="DP130" s="184"/>
      <c r="DQ130" s="184"/>
      <c r="DR130" s="184"/>
      <c r="DS130" s="184"/>
      <c r="DT130" s="184"/>
      <c r="DU130" s="184"/>
      <c r="DV130" s="184"/>
      <c r="DW130" s="184"/>
      <c r="DX130" s="184"/>
      <c r="DY130" s="184"/>
      <c r="DZ130" s="184"/>
      <c r="EA130" s="184"/>
      <c r="EB130" s="184"/>
      <c r="EC130" s="184"/>
      <c r="ED130" s="184"/>
      <c r="EE130" s="184"/>
      <c r="EF130" s="184"/>
      <c r="EG130" s="184"/>
      <c r="EH130" s="184"/>
      <c r="EI130" s="184"/>
      <c r="EJ130" s="184"/>
      <c r="EK130" s="184"/>
      <c r="EL130" s="184"/>
      <c r="EM130" s="184"/>
      <c r="EN130" s="184"/>
      <c r="EO130" s="184"/>
      <c r="EP130" s="184"/>
      <c r="EQ130" s="184"/>
      <c r="ER130" s="184"/>
      <c r="ES130" s="184"/>
      <c r="ET130" s="184"/>
      <c r="EU130" s="184"/>
      <c r="EV130" s="184"/>
      <c r="EW130" s="184"/>
      <c r="EX130" s="184"/>
      <c r="EY130" s="184"/>
      <c r="EZ130" s="184"/>
      <c r="FA130" s="184"/>
      <c r="FB130" s="184"/>
      <c r="FC130" s="184"/>
      <c r="FD130" s="184"/>
      <c r="FE130" s="184"/>
      <c r="FF130" s="184"/>
      <c r="FG130" s="184"/>
      <c r="FH130" s="184"/>
      <c r="FI130" s="184"/>
      <c r="FJ130" s="184"/>
      <c r="FK130" s="184"/>
      <c r="FL130" s="184"/>
      <c r="FM130" s="184"/>
      <c r="FN130" s="184"/>
      <c r="FO130" s="184"/>
      <c r="FP130" s="184"/>
      <c r="FQ130" s="184"/>
      <c r="FR130" s="184"/>
      <c r="FS130" s="184"/>
      <c r="FT130" s="184"/>
      <c r="FU130" s="184"/>
      <c r="FV130" s="184"/>
      <c r="FW130" s="184"/>
      <c r="FX130" s="184"/>
      <c r="FY130" s="184"/>
      <c r="FZ130" s="184"/>
      <c r="GA130" s="184"/>
      <c r="GB130" s="184"/>
      <c r="GC130" s="184"/>
      <c r="GD130" s="184"/>
      <c r="GE130" s="184"/>
      <c r="GF130" s="184"/>
      <c r="GG130" s="184"/>
      <c r="GH130" s="184"/>
      <c r="GI130" s="184"/>
    </row>
    <row r="131" spans="1:191" s="186" customFormat="1" ht="15" customHeight="1">
      <c r="A131" s="184"/>
      <c r="B131" s="190"/>
      <c r="C131" s="211"/>
      <c r="D131" s="193"/>
      <c r="E131" s="193"/>
      <c r="F131" s="188"/>
      <c r="G131" s="188"/>
      <c r="H131" s="190"/>
      <c r="I131" s="188"/>
      <c r="J131" s="184"/>
      <c r="K131" s="190"/>
      <c r="L131" s="190"/>
      <c r="M131" s="190"/>
      <c r="N131" s="184"/>
      <c r="O131" s="191"/>
      <c r="P131" s="191"/>
      <c r="Q131" s="183"/>
      <c r="R131" s="183"/>
      <c r="S131" s="183"/>
      <c r="T131" s="184"/>
      <c r="U131" s="184"/>
      <c r="V131" s="188"/>
      <c r="AB131" s="184"/>
      <c r="AC131" s="184"/>
      <c r="AD131" s="184"/>
      <c r="AE131" s="184"/>
      <c r="AF131" s="184"/>
      <c r="AG131" s="184"/>
      <c r="AH131" s="184"/>
      <c r="AI131" s="184"/>
      <c r="AJ131" s="184"/>
      <c r="AK131" s="184"/>
      <c r="AL131" s="184"/>
      <c r="AM131" s="184"/>
      <c r="AN131" s="184"/>
      <c r="AO131" s="184"/>
      <c r="AP131" s="184"/>
      <c r="AQ131" s="184"/>
      <c r="AR131" s="184"/>
      <c r="AS131" s="184"/>
      <c r="AT131" s="184"/>
      <c r="AU131" s="184"/>
      <c r="AV131" s="184"/>
      <c r="AW131" s="184"/>
      <c r="AX131" s="184"/>
      <c r="AY131" s="184"/>
      <c r="AZ131" s="184"/>
      <c r="BA131" s="184"/>
      <c r="BB131" s="184"/>
      <c r="BC131" s="184"/>
      <c r="BD131" s="184"/>
      <c r="BE131" s="184"/>
      <c r="BF131" s="184"/>
      <c r="BG131" s="184"/>
      <c r="BH131" s="184"/>
      <c r="BI131" s="184"/>
      <c r="BJ131" s="184"/>
      <c r="BK131" s="184"/>
      <c r="BL131" s="184"/>
      <c r="BM131" s="184"/>
      <c r="BN131" s="184"/>
      <c r="BO131" s="184"/>
      <c r="BP131" s="184"/>
      <c r="BQ131" s="184"/>
      <c r="BR131" s="184"/>
      <c r="BS131" s="184"/>
      <c r="BT131" s="184"/>
      <c r="BU131" s="184"/>
      <c r="BV131" s="184"/>
      <c r="BW131" s="184"/>
      <c r="BX131" s="184"/>
      <c r="BY131" s="184"/>
      <c r="BZ131" s="184"/>
      <c r="CA131" s="184"/>
      <c r="CB131" s="184"/>
      <c r="CC131" s="184"/>
      <c r="CD131" s="184"/>
      <c r="CE131" s="184"/>
      <c r="CF131" s="184"/>
      <c r="CG131" s="184"/>
      <c r="CH131" s="184"/>
      <c r="CI131" s="184"/>
      <c r="CJ131" s="184"/>
      <c r="CK131" s="184"/>
      <c r="CL131" s="184"/>
      <c r="CM131" s="184"/>
      <c r="CN131" s="184"/>
      <c r="CO131" s="184"/>
      <c r="CP131" s="184"/>
      <c r="CQ131" s="184"/>
      <c r="CR131" s="184"/>
      <c r="CS131" s="184"/>
      <c r="CT131" s="184"/>
      <c r="CU131" s="184"/>
      <c r="CV131" s="184"/>
      <c r="CW131" s="184"/>
      <c r="CX131" s="184"/>
      <c r="CY131" s="184"/>
      <c r="CZ131" s="184"/>
      <c r="DA131" s="184"/>
      <c r="DB131" s="184"/>
      <c r="DC131" s="184"/>
      <c r="DD131" s="184"/>
      <c r="DE131" s="184"/>
      <c r="DF131" s="184"/>
      <c r="DG131" s="184"/>
      <c r="DH131" s="184"/>
      <c r="DI131" s="184"/>
      <c r="DJ131" s="184"/>
      <c r="DK131" s="184"/>
      <c r="DL131" s="184"/>
      <c r="DM131" s="184"/>
      <c r="DN131" s="184"/>
      <c r="DO131" s="184"/>
      <c r="DP131" s="184"/>
      <c r="DQ131" s="184"/>
      <c r="DR131" s="184"/>
      <c r="DS131" s="184"/>
      <c r="DT131" s="184"/>
      <c r="DU131" s="184"/>
      <c r="DV131" s="184"/>
      <c r="DW131" s="184"/>
      <c r="DX131" s="184"/>
      <c r="DY131" s="184"/>
      <c r="DZ131" s="184"/>
      <c r="EA131" s="184"/>
      <c r="EB131" s="184"/>
      <c r="EC131" s="184"/>
      <c r="ED131" s="184"/>
      <c r="EE131" s="184"/>
      <c r="EF131" s="184"/>
      <c r="EG131" s="184"/>
      <c r="EH131" s="184"/>
      <c r="EI131" s="184"/>
      <c r="EJ131" s="184"/>
      <c r="EK131" s="184"/>
      <c r="EL131" s="184"/>
      <c r="EM131" s="184"/>
      <c r="EN131" s="184"/>
      <c r="EO131" s="184"/>
      <c r="EP131" s="184"/>
      <c r="EQ131" s="184"/>
      <c r="ER131" s="184"/>
      <c r="ES131" s="184"/>
      <c r="ET131" s="184"/>
      <c r="EU131" s="184"/>
      <c r="EV131" s="184"/>
      <c r="EW131" s="184"/>
      <c r="EX131" s="184"/>
      <c r="EY131" s="184"/>
      <c r="EZ131" s="184"/>
      <c r="FA131" s="184"/>
      <c r="FB131" s="184"/>
      <c r="FC131" s="184"/>
      <c r="FD131" s="184"/>
      <c r="FE131" s="184"/>
      <c r="FF131" s="184"/>
      <c r="FG131" s="184"/>
      <c r="FH131" s="184"/>
      <c r="FI131" s="184"/>
      <c r="FJ131" s="184"/>
      <c r="FK131" s="184"/>
      <c r="FL131" s="184"/>
      <c r="FM131" s="184"/>
      <c r="FN131" s="184"/>
      <c r="FO131" s="184"/>
      <c r="FP131" s="184"/>
      <c r="FQ131" s="184"/>
      <c r="FR131" s="184"/>
      <c r="FS131" s="184"/>
      <c r="FT131" s="184"/>
      <c r="FU131" s="184"/>
      <c r="FV131" s="184"/>
      <c r="FW131" s="184"/>
      <c r="FX131" s="184"/>
      <c r="FY131" s="184"/>
      <c r="FZ131" s="184"/>
      <c r="GA131" s="184"/>
      <c r="GB131" s="184"/>
      <c r="GC131" s="184"/>
      <c r="GD131" s="184"/>
      <c r="GE131" s="184"/>
      <c r="GF131" s="184"/>
      <c r="GG131" s="184"/>
      <c r="GH131" s="184"/>
      <c r="GI131" s="184"/>
    </row>
    <row r="132" spans="1:191" s="186" customFormat="1" ht="15" customHeight="1">
      <c r="A132" s="184"/>
      <c r="B132" s="190"/>
      <c r="C132" s="211"/>
      <c r="D132" s="193"/>
      <c r="E132" s="193"/>
      <c r="F132" s="188"/>
      <c r="G132" s="188"/>
      <c r="H132" s="190"/>
      <c r="I132" s="188"/>
      <c r="J132" s="184"/>
      <c r="K132" s="190"/>
      <c r="L132" s="190"/>
      <c r="M132" s="190"/>
      <c r="N132" s="184"/>
      <c r="O132" s="191"/>
      <c r="P132" s="191"/>
      <c r="Q132" s="183"/>
      <c r="R132" s="183"/>
      <c r="S132" s="183"/>
      <c r="T132" s="184"/>
      <c r="U132" s="184"/>
      <c r="V132" s="188"/>
      <c r="AB132" s="184"/>
      <c r="AC132" s="184"/>
      <c r="AD132" s="184"/>
      <c r="AE132" s="184"/>
      <c r="AF132" s="184"/>
      <c r="AG132" s="184"/>
      <c r="AH132" s="184"/>
      <c r="AI132" s="184"/>
      <c r="AJ132" s="184"/>
      <c r="AK132" s="184"/>
      <c r="AL132" s="184"/>
      <c r="AM132" s="184"/>
      <c r="AN132" s="184"/>
      <c r="AO132" s="184"/>
      <c r="AP132" s="184"/>
      <c r="AQ132" s="184"/>
      <c r="AR132" s="184"/>
      <c r="AS132" s="184"/>
      <c r="AT132" s="184"/>
      <c r="AU132" s="184"/>
      <c r="AV132" s="184"/>
      <c r="AW132" s="184"/>
      <c r="AX132" s="184"/>
      <c r="AY132" s="184"/>
      <c r="AZ132" s="184"/>
      <c r="BA132" s="184"/>
      <c r="BB132" s="184"/>
      <c r="BC132" s="184"/>
      <c r="BD132" s="184"/>
      <c r="BE132" s="184"/>
      <c r="BF132" s="184"/>
      <c r="BG132" s="184"/>
      <c r="BH132" s="184"/>
      <c r="BI132" s="184"/>
      <c r="BJ132" s="184"/>
      <c r="BK132" s="184"/>
      <c r="BL132" s="184"/>
      <c r="BM132" s="184"/>
      <c r="BN132" s="184"/>
      <c r="BO132" s="184"/>
      <c r="BP132" s="184"/>
      <c r="BQ132" s="184"/>
      <c r="BR132" s="184"/>
      <c r="BS132" s="184"/>
      <c r="BT132" s="184"/>
      <c r="BU132" s="184"/>
      <c r="BV132" s="184"/>
      <c r="BW132" s="184"/>
      <c r="BX132" s="184"/>
      <c r="BY132" s="184"/>
      <c r="BZ132" s="184"/>
      <c r="CA132" s="184"/>
      <c r="CB132" s="184"/>
      <c r="CC132" s="184"/>
      <c r="CD132" s="184"/>
      <c r="CE132" s="184"/>
      <c r="CF132" s="184"/>
      <c r="CG132" s="184"/>
      <c r="CH132" s="184"/>
      <c r="CI132" s="184"/>
      <c r="CJ132" s="184"/>
      <c r="CK132" s="184"/>
      <c r="CL132" s="184"/>
      <c r="CM132" s="184"/>
      <c r="CN132" s="184"/>
      <c r="CO132" s="184"/>
      <c r="CP132" s="184"/>
      <c r="CQ132" s="184"/>
      <c r="CR132" s="184"/>
      <c r="CS132" s="184"/>
      <c r="CT132" s="184"/>
      <c r="CU132" s="184"/>
      <c r="CV132" s="184"/>
      <c r="CW132" s="184"/>
      <c r="CX132" s="184"/>
      <c r="CY132" s="184"/>
      <c r="CZ132" s="184"/>
      <c r="DA132" s="184"/>
      <c r="DB132" s="184"/>
      <c r="DC132" s="184"/>
      <c r="DD132" s="184"/>
      <c r="DE132" s="184"/>
      <c r="DF132" s="184"/>
      <c r="DG132" s="184"/>
      <c r="DH132" s="184"/>
      <c r="DI132" s="184"/>
      <c r="DJ132" s="184"/>
      <c r="DK132" s="184"/>
      <c r="DL132" s="184"/>
      <c r="DM132" s="184"/>
      <c r="DN132" s="184"/>
      <c r="DO132" s="184"/>
      <c r="DP132" s="184"/>
      <c r="DQ132" s="184"/>
      <c r="DR132" s="184"/>
      <c r="DS132" s="184"/>
      <c r="DT132" s="184"/>
      <c r="DU132" s="184"/>
      <c r="DV132" s="184"/>
      <c r="DW132" s="184"/>
      <c r="DX132" s="184"/>
      <c r="DY132" s="184"/>
      <c r="DZ132" s="184"/>
      <c r="EA132" s="184"/>
      <c r="EB132" s="184"/>
      <c r="EC132" s="184"/>
      <c r="ED132" s="184"/>
      <c r="EE132" s="184"/>
      <c r="EF132" s="184"/>
      <c r="EG132" s="184"/>
      <c r="EH132" s="184"/>
      <c r="EI132" s="184"/>
      <c r="EJ132" s="184"/>
      <c r="EK132" s="184"/>
      <c r="EL132" s="184"/>
      <c r="EM132" s="184"/>
      <c r="EN132" s="184"/>
      <c r="EO132" s="184"/>
      <c r="EP132" s="184"/>
      <c r="EQ132" s="184"/>
      <c r="ER132" s="184"/>
      <c r="ES132" s="184"/>
      <c r="ET132" s="184"/>
      <c r="EU132" s="184"/>
      <c r="EV132" s="184"/>
      <c r="EW132" s="184"/>
      <c r="EX132" s="184"/>
      <c r="EY132" s="184"/>
      <c r="EZ132" s="184"/>
      <c r="FA132" s="184"/>
      <c r="FB132" s="184"/>
      <c r="FC132" s="184"/>
      <c r="FD132" s="184"/>
      <c r="FE132" s="184"/>
      <c r="FF132" s="184"/>
      <c r="FG132" s="184"/>
      <c r="FH132" s="184"/>
      <c r="FI132" s="184"/>
      <c r="FJ132" s="184"/>
      <c r="FK132" s="184"/>
      <c r="FL132" s="184"/>
      <c r="FM132" s="184"/>
      <c r="FN132" s="184"/>
      <c r="FO132" s="184"/>
      <c r="FP132" s="184"/>
      <c r="FQ132" s="184"/>
      <c r="FR132" s="184"/>
      <c r="FS132" s="184"/>
      <c r="FT132" s="184"/>
      <c r="FU132" s="184"/>
      <c r="FV132" s="184"/>
      <c r="FW132" s="184"/>
      <c r="FX132" s="184"/>
      <c r="FY132" s="184"/>
      <c r="FZ132" s="184"/>
      <c r="GA132" s="184"/>
      <c r="GB132" s="184"/>
      <c r="GC132" s="184"/>
      <c r="GD132" s="184"/>
      <c r="GE132" s="184"/>
      <c r="GF132" s="184"/>
      <c r="GG132" s="184"/>
      <c r="GH132" s="184"/>
      <c r="GI132" s="184"/>
    </row>
    <row r="133" spans="1:191" s="186" customFormat="1" ht="15" customHeight="1">
      <c r="A133" s="184"/>
      <c r="B133" s="190"/>
      <c r="C133" s="211"/>
      <c r="D133" s="193"/>
      <c r="E133" s="193"/>
      <c r="F133" s="188"/>
      <c r="G133" s="188"/>
      <c r="H133" s="190"/>
      <c r="I133" s="188"/>
      <c r="J133" s="184"/>
      <c r="K133" s="190"/>
      <c r="L133" s="190"/>
      <c r="M133" s="190"/>
      <c r="N133" s="184"/>
      <c r="O133" s="191"/>
      <c r="P133" s="191"/>
      <c r="Q133" s="183"/>
      <c r="R133" s="183"/>
      <c r="S133" s="183"/>
      <c r="T133" s="184"/>
      <c r="U133" s="184"/>
      <c r="V133" s="188"/>
      <c r="AB133" s="184"/>
      <c r="AC133" s="184"/>
      <c r="AD133" s="184"/>
      <c r="AE133" s="184"/>
      <c r="AF133" s="184"/>
      <c r="AG133" s="184"/>
      <c r="AH133" s="184"/>
      <c r="AI133" s="184"/>
      <c r="AJ133" s="184"/>
      <c r="AK133" s="184"/>
      <c r="AL133" s="184"/>
      <c r="AM133" s="184"/>
      <c r="AN133" s="184"/>
      <c r="AO133" s="184"/>
      <c r="AP133" s="184"/>
      <c r="AQ133" s="184"/>
      <c r="AR133" s="184"/>
      <c r="AS133" s="184"/>
      <c r="AT133" s="184"/>
      <c r="AU133" s="184"/>
      <c r="AV133" s="184"/>
      <c r="AW133" s="184"/>
      <c r="AX133" s="184"/>
      <c r="AY133" s="184"/>
      <c r="AZ133" s="184"/>
      <c r="BA133" s="184"/>
      <c r="BB133" s="184"/>
      <c r="BC133" s="184"/>
      <c r="BD133" s="184"/>
      <c r="BE133" s="184"/>
      <c r="BF133" s="184"/>
      <c r="BG133" s="184"/>
      <c r="BH133" s="184"/>
      <c r="BI133" s="184"/>
      <c r="BJ133" s="184"/>
      <c r="BK133" s="184"/>
      <c r="BL133" s="184"/>
      <c r="BM133" s="184"/>
      <c r="BN133" s="184"/>
      <c r="BO133" s="184"/>
      <c r="BP133" s="184"/>
      <c r="BQ133" s="184"/>
      <c r="BR133" s="184"/>
      <c r="BS133" s="184"/>
      <c r="BT133" s="184"/>
      <c r="BU133" s="184"/>
      <c r="BV133" s="184"/>
      <c r="BW133" s="184"/>
      <c r="BX133" s="184"/>
      <c r="BY133" s="184"/>
      <c r="BZ133" s="184"/>
      <c r="CA133" s="184"/>
      <c r="CB133" s="184"/>
      <c r="CC133" s="184"/>
      <c r="CD133" s="184"/>
      <c r="CE133" s="184"/>
      <c r="CF133" s="184"/>
      <c r="CG133" s="184"/>
      <c r="CH133" s="184"/>
      <c r="CI133" s="184"/>
      <c r="CJ133" s="184"/>
      <c r="CK133" s="184"/>
      <c r="CL133" s="184"/>
      <c r="CM133" s="184"/>
      <c r="CN133" s="184"/>
      <c r="CO133" s="184"/>
      <c r="CP133" s="184"/>
      <c r="CQ133" s="184"/>
      <c r="CR133" s="184"/>
      <c r="CS133" s="184"/>
      <c r="CT133" s="184"/>
      <c r="CU133" s="184"/>
      <c r="CV133" s="184"/>
      <c r="CW133" s="184"/>
      <c r="CX133" s="184"/>
      <c r="CY133" s="184"/>
      <c r="CZ133" s="184"/>
      <c r="DA133" s="184"/>
      <c r="DB133" s="184"/>
      <c r="DC133" s="184"/>
      <c r="DD133" s="184"/>
      <c r="DE133" s="184"/>
      <c r="DF133" s="184"/>
      <c r="DG133" s="184"/>
      <c r="DH133" s="184"/>
      <c r="DI133" s="184"/>
      <c r="DJ133" s="184"/>
      <c r="DK133" s="184"/>
      <c r="DL133" s="184"/>
      <c r="DM133" s="184"/>
      <c r="DN133" s="184"/>
      <c r="DO133" s="184"/>
      <c r="DP133" s="184"/>
      <c r="DQ133" s="184"/>
      <c r="DR133" s="184"/>
      <c r="DS133" s="184"/>
      <c r="DT133" s="184"/>
      <c r="DU133" s="184"/>
      <c r="DV133" s="184"/>
      <c r="DW133" s="184"/>
      <c r="DX133" s="184"/>
      <c r="DY133" s="184"/>
      <c r="DZ133" s="184"/>
      <c r="EA133" s="184"/>
      <c r="EB133" s="184"/>
      <c r="EC133" s="184"/>
      <c r="ED133" s="184"/>
      <c r="EE133" s="184"/>
      <c r="EF133" s="184"/>
      <c r="EG133" s="184"/>
      <c r="EH133" s="184"/>
      <c r="EI133" s="184"/>
      <c r="EJ133" s="184"/>
      <c r="EK133" s="184"/>
      <c r="EL133" s="184"/>
      <c r="EM133" s="184"/>
      <c r="EN133" s="184"/>
      <c r="EO133" s="184"/>
      <c r="EP133" s="184"/>
      <c r="EQ133" s="184"/>
      <c r="ER133" s="184"/>
      <c r="ES133" s="184"/>
      <c r="ET133" s="184"/>
      <c r="EU133" s="184"/>
      <c r="EV133" s="184"/>
      <c r="EW133" s="184"/>
      <c r="EX133" s="184"/>
      <c r="EY133" s="184"/>
      <c r="EZ133" s="184"/>
      <c r="FA133" s="184"/>
      <c r="FB133" s="184"/>
      <c r="FC133" s="184"/>
      <c r="FD133" s="184"/>
      <c r="FE133" s="184"/>
      <c r="FF133" s="184"/>
      <c r="FG133" s="184"/>
      <c r="FH133" s="184"/>
      <c r="FI133" s="184"/>
      <c r="FJ133" s="184"/>
      <c r="FK133" s="184"/>
      <c r="FL133" s="184"/>
      <c r="FM133" s="184"/>
      <c r="FN133" s="184"/>
      <c r="FO133" s="184"/>
      <c r="FP133" s="184"/>
      <c r="FQ133" s="184"/>
      <c r="FR133" s="184"/>
      <c r="FS133" s="184"/>
      <c r="FT133" s="184"/>
      <c r="FU133" s="184"/>
      <c r="FV133" s="184"/>
      <c r="FW133" s="184"/>
      <c r="FX133" s="184"/>
      <c r="FY133" s="184"/>
      <c r="FZ133" s="184"/>
      <c r="GA133" s="184"/>
      <c r="GB133" s="184"/>
      <c r="GC133" s="184"/>
      <c r="GD133" s="184"/>
      <c r="GE133" s="184"/>
      <c r="GF133" s="184"/>
      <c r="GG133" s="184"/>
      <c r="GH133" s="184"/>
      <c r="GI133" s="184"/>
    </row>
    <row r="134" spans="1:191" s="186" customFormat="1" ht="15" customHeight="1">
      <c r="A134" s="184"/>
      <c r="B134" s="190"/>
      <c r="C134" s="211"/>
      <c r="D134" s="193"/>
      <c r="E134" s="193"/>
      <c r="F134" s="188"/>
      <c r="G134" s="188"/>
      <c r="H134" s="190"/>
      <c r="I134" s="188"/>
      <c r="J134" s="184"/>
      <c r="K134" s="190"/>
      <c r="L134" s="190"/>
      <c r="M134" s="190"/>
      <c r="N134" s="184"/>
      <c r="O134" s="191"/>
      <c r="P134" s="191"/>
      <c r="Q134" s="183"/>
      <c r="R134" s="183"/>
      <c r="S134" s="183"/>
      <c r="T134" s="184"/>
      <c r="U134" s="184"/>
      <c r="V134" s="188"/>
      <c r="AB134" s="184"/>
      <c r="AC134" s="184"/>
      <c r="AD134" s="184"/>
      <c r="AE134" s="184"/>
      <c r="AF134" s="184"/>
      <c r="AG134" s="184"/>
      <c r="AH134" s="184"/>
      <c r="AI134" s="184"/>
      <c r="AJ134" s="184"/>
      <c r="AK134" s="184"/>
      <c r="AL134" s="184"/>
      <c r="AM134" s="184"/>
      <c r="AN134" s="184"/>
      <c r="AO134" s="184"/>
      <c r="AP134" s="184"/>
      <c r="AQ134" s="184"/>
      <c r="AR134" s="184"/>
      <c r="AS134" s="184"/>
      <c r="AT134" s="184"/>
      <c r="AU134" s="184"/>
      <c r="AV134" s="184"/>
      <c r="AW134" s="184"/>
      <c r="AX134" s="184"/>
      <c r="AY134" s="184"/>
      <c r="AZ134" s="184"/>
      <c r="BA134" s="184"/>
      <c r="BB134" s="184"/>
      <c r="BC134" s="184"/>
      <c r="BD134" s="184"/>
      <c r="BE134" s="184"/>
      <c r="BF134" s="184"/>
      <c r="BG134" s="184"/>
      <c r="BH134" s="184"/>
      <c r="BI134" s="184"/>
      <c r="BJ134" s="184"/>
      <c r="BK134" s="184"/>
      <c r="BL134" s="184"/>
      <c r="BM134" s="184"/>
      <c r="BN134" s="184"/>
      <c r="BO134" s="184"/>
      <c r="BP134" s="184"/>
      <c r="BQ134" s="184"/>
      <c r="BR134" s="184"/>
      <c r="BS134" s="184"/>
      <c r="BT134" s="184"/>
      <c r="BU134" s="184"/>
      <c r="BV134" s="184"/>
      <c r="BW134" s="184"/>
      <c r="BX134" s="184"/>
      <c r="BY134" s="184"/>
      <c r="BZ134" s="184"/>
      <c r="CA134" s="184"/>
      <c r="CB134" s="184"/>
      <c r="CC134" s="184"/>
      <c r="CD134" s="184"/>
      <c r="CE134" s="184"/>
      <c r="CF134" s="184"/>
      <c r="CG134" s="184"/>
      <c r="CH134" s="184"/>
      <c r="CI134" s="184"/>
      <c r="CJ134" s="184"/>
      <c r="CK134" s="184"/>
      <c r="CL134" s="184"/>
      <c r="CM134" s="184"/>
      <c r="CN134" s="184"/>
      <c r="CO134" s="184"/>
      <c r="CP134" s="184"/>
      <c r="CQ134" s="184"/>
      <c r="CR134" s="184"/>
      <c r="CS134" s="184"/>
      <c r="CT134" s="184"/>
      <c r="CU134" s="184"/>
      <c r="CV134" s="184"/>
      <c r="CW134" s="184"/>
      <c r="CX134" s="184"/>
      <c r="CY134" s="184"/>
      <c r="CZ134" s="184"/>
      <c r="DA134" s="184"/>
      <c r="DB134" s="184"/>
      <c r="DC134" s="184"/>
      <c r="DD134" s="184"/>
      <c r="DE134" s="184"/>
      <c r="DF134" s="184"/>
      <c r="DG134" s="184"/>
      <c r="DH134" s="184"/>
      <c r="DI134" s="184"/>
      <c r="DJ134" s="184"/>
      <c r="DK134" s="184"/>
      <c r="DL134" s="184"/>
      <c r="DM134" s="184"/>
      <c r="DN134" s="184"/>
      <c r="DO134" s="184"/>
      <c r="DP134" s="184"/>
      <c r="DQ134" s="184"/>
      <c r="DR134" s="184"/>
      <c r="DS134" s="184"/>
      <c r="DT134" s="184"/>
      <c r="DU134" s="184"/>
      <c r="DV134" s="184"/>
      <c r="DW134" s="184"/>
      <c r="DX134" s="184"/>
      <c r="DY134" s="184"/>
      <c r="DZ134" s="184"/>
      <c r="EA134" s="184"/>
      <c r="EB134" s="184"/>
      <c r="EC134" s="184"/>
      <c r="ED134" s="184"/>
      <c r="EE134" s="184"/>
      <c r="EF134" s="184"/>
      <c r="EG134" s="184"/>
      <c r="EH134" s="184"/>
      <c r="EI134" s="184"/>
      <c r="EJ134" s="184"/>
      <c r="EK134" s="184"/>
      <c r="EL134" s="184"/>
      <c r="EM134" s="184"/>
      <c r="EN134" s="184"/>
      <c r="EO134" s="184"/>
      <c r="EP134" s="184"/>
      <c r="EQ134" s="184"/>
      <c r="ER134" s="184"/>
      <c r="ES134" s="184"/>
      <c r="ET134" s="184"/>
      <c r="EU134" s="184"/>
      <c r="EV134" s="184"/>
      <c r="EW134" s="184"/>
      <c r="EX134" s="184"/>
      <c r="EY134" s="184"/>
      <c r="EZ134" s="184"/>
      <c r="FA134" s="184"/>
      <c r="FB134" s="184"/>
      <c r="FC134" s="184"/>
      <c r="FD134" s="184"/>
      <c r="FE134" s="184"/>
      <c r="FF134" s="184"/>
      <c r="FG134" s="184"/>
      <c r="FH134" s="184"/>
      <c r="FI134" s="184"/>
      <c r="FJ134" s="184"/>
      <c r="FK134" s="184"/>
      <c r="FL134" s="184"/>
      <c r="FM134" s="184"/>
      <c r="FN134" s="184"/>
      <c r="FO134" s="184"/>
      <c r="FP134" s="184"/>
      <c r="FQ134" s="184"/>
      <c r="FR134" s="184"/>
      <c r="FS134" s="184"/>
      <c r="FT134" s="184"/>
      <c r="FU134" s="184"/>
      <c r="FV134" s="184"/>
      <c r="FW134" s="184"/>
      <c r="FX134" s="184"/>
      <c r="FY134" s="184"/>
      <c r="FZ134" s="184"/>
      <c r="GA134" s="184"/>
      <c r="GB134" s="184"/>
      <c r="GC134" s="184"/>
      <c r="GD134" s="184"/>
      <c r="GE134" s="184"/>
      <c r="GF134" s="184"/>
      <c r="GG134" s="184"/>
      <c r="GH134" s="184"/>
      <c r="GI134" s="184"/>
    </row>
    <row r="135" spans="1:191" s="186" customFormat="1" ht="15" customHeight="1">
      <c r="A135" s="184"/>
      <c r="B135" s="190"/>
      <c r="C135" s="211"/>
      <c r="D135" s="193"/>
      <c r="E135" s="193"/>
      <c r="F135" s="188"/>
      <c r="G135" s="188"/>
      <c r="H135" s="190"/>
      <c r="I135" s="188"/>
      <c r="J135" s="184"/>
      <c r="K135" s="190"/>
      <c r="L135" s="190"/>
      <c r="M135" s="190"/>
      <c r="N135" s="184"/>
      <c r="O135" s="191"/>
      <c r="P135" s="191"/>
      <c r="Q135" s="183"/>
      <c r="R135" s="183"/>
      <c r="S135" s="183"/>
      <c r="T135" s="184"/>
      <c r="U135" s="184"/>
      <c r="V135" s="188"/>
      <c r="AB135" s="184"/>
      <c r="AC135" s="184"/>
      <c r="AD135" s="184"/>
      <c r="AE135" s="184"/>
      <c r="AF135" s="184"/>
      <c r="AG135" s="184"/>
      <c r="AH135" s="184"/>
      <c r="AI135" s="184"/>
      <c r="AJ135" s="184"/>
      <c r="AK135" s="184"/>
      <c r="AL135" s="184"/>
      <c r="AM135" s="184"/>
      <c r="AN135" s="184"/>
      <c r="AO135" s="184"/>
      <c r="AP135" s="184"/>
      <c r="AQ135" s="184"/>
      <c r="AR135" s="184"/>
      <c r="AS135" s="184"/>
      <c r="AT135" s="184"/>
      <c r="AU135" s="184"/>
      <c r="AV135" s="184"/>
      <c r="AW135" s="184"/>
      <c r="AX135" s="184"/>
      <c r="AY135" s="184"/>
      <c r="AZ135" s="184"/>
      <c r="BA135" s="184"/>
      <c r="BB135" s="184"/>
      <c r="BC135" s="184"/>
      <c r="BD135" s="184"/>
      <c r="BE135" s="184"/>
      <c r="BF135" s="184"/>
      <c r="BG135" s="184"/>
      <c r="BH135" s="184"/>
      <c r="BI135" s="184"/>
      <c r="BJ135" s="184"/>
      <c r="BK135" s="184"/>
      <c r="BL135" s="184"/>
      <c r="BM135" s="184"/>
      <c r="BN135" s="184"/>
      <c r="BO135" s="184"/>
      <c r="BP135" s="184"/>
      <c r="BQ135" s="184"/>
      <c r="BR135" s="184"/>
      <c r="BS135" s="184"/>
      <c r="BT135" s="184"/>
      <c r="BU135" s="184"/>
      <c r="BV135" s="184"/>
      <c r="BW135" s="184"/>
      <c r="BX135" s="184"/>
      <c r="BY135" s="184"/>
      <c r="BZ135" s="184"/>
      <c r="CA135" s="184"/>
      <c r="CB135" s="184"/>
      <c r="CC135" s="184"/>
      <c r="CD135" s="184"/>
      <c r="CE135" s="184"/>
      <c r="CF135" s="184"/>
      <c r="CG135" s="184"/>
      <c r="CH135" s="184"/>
      <c r="CI135" s="184"/>
      <c r="CJ135" s="184"/>
      <c r="CK135" s="184"/>
      <c r="CL135" s="184"/>
      <c r="CM135" s="184"/>
      <c r="CN135" s="184"/>
      <c r="CO135" s="184"/>
      <c r="CP135" s="184"/>
      <c r="CQ135" s="184"/>
      <c r="CR135" s="184"/>
      <c r="CS135" s="184"/>
      <c r="CT135" s="184"/>
      <c r="CU135" s="184"/>
      <c r="CV135" s="184"/>
      <c r="CW135" s="184"/>
      <c r="CX135" s="184"/>
      <c r="CY135" s="184"/>
      <c r="CZ135" s="184"/>
      <c r="DA135" s="184"/>
      <c r="DB135" s="184"/>
      <c r="DC135" s="184"/>
      <c r="DD135" s="184"/>
      <c r="DE135" s="184"/>
      <c r="DF135" s="184"/>
      <c r="DG135" s="184"/>
      <c r="DH135" s="184"/>
      <c r="DI135" s="184"/>
      <c r="DJ135" s="184"/>
      <c r="DK135" s="184"/>
      <c r="DL135" s="184"/>
      <c r="DM135" s="184"/>
      <c r="DN135" s="184"/>
      <c r="DO135" s="184"/>
      <c r="DP135" s="184"/>
      <c r="DQ135" s="184"/>
      <c r="DR135" s="184"/>
      <c r="DS135" s="184"/>
      <c r="DT135" s="184"/>
      <c r="DU135" s="184"/>
      <c r="DV135" s="184"/>
      <c r="DW135" s="184"/>
      <c r="DX135" s="184"/>
      <c r="DY135" s="184"/>
      <c r="DZ135" s="184"/>
      <c r="EA135" s="184"/>
      <c r="EB135" s="184"/>
      <c r="EC135" s="184"/>
      <c r="ED135" s="184"/>
      <c r="EE135" s="184"/>
      <c r="EF135" s="184"/>
      <c r="EG135" s="184"/>
      <c r="EH135" s="184"/>
      <c r="EI135" s="184"/>
      <c r="EJ135" s="184"/>
      <c r="EK135" s="184"/>
      <c r="EL135" s="184"/>
      <c r="EM135" s="184"/>
      <c r="EN135" s="184"/>
      <c r="EO135" s="184"/>
      <c r="EP135" s="184"/>
      <c r="EQ135" s="184"/>
      <c r="ER135" s="184"/>
      <c r="ES135" s="184"/>
      <c r="ET135" s="184"/>
      <c r="EU135" s="184"/>
      <c r="EV135" s="184"/>
      <c r="EW135" s="184"/>
      <c r="EX135" s="184"/>
      <c r="EY135" s="184"/>
      <c r="EZ135" s="184"/>
      <c r="FA135" s="184"/>
      <c r="FB135" s="184"/>
      <c r="FC135" s="184"/>
      <c r="FD135" s="184"/>
      <c r="FE135" s="184"/>
      <c r="FF135" s="184"/>
      <c r="FG135" s="184"/>
      <c r="FH135" s="184"/>
      <c r="FI135" s="184"/>
      <c r="FJ135" s="184"/>
      <c r="FK135" s="184"/>
      <c r="FL135" s="184"/>
      <c r="FM135" s="184"/>
      <c r="FN135" s="184"/>
      <c r="FO135" s="184"/>
      <c r="FP135" s="184"/>
      <c r="FQ135" s="184"/>
      <c r="FR135" s="184"/>
      <c r="FS135" s="184"/>
      <c r="FT135" s="184"/>
      <c r="FU135" s="184"/>
      <c r="FV135" s="184"/>
      <c r="FW135" s="184"/>
      <c r="FX135" s="184"/>
      <c r="FY135" s="184"/>
      <c r="FZ135" s="184"/>
      <c r="GA135" s="184"/>
      <c r="GB135" s="184"/>
      <c r="GC135" s="184"/>
      <c r="GD135" s="184"/>
      <c r="GE135" s="184"/>
      <c r="GF135" s="184"/>
      <c r="GG135" s="184"/>
      <c r="GH135" s="184"/>
      <c r="GI135" s="184"/>
    </row>
    <row r="136" spans="1:191" s="186" customFormat="1" ht="15" customHeight="1">
      <c r="A136" s="184"/>
      <c r="B136" s="190"/>
      <c r="C136" s="211"/>
      <c r="D136" s="193"/>
      <c r="E136" s="193"/>
      <c r="F136" s="188"/>
      <c r="G136" s="188"/>
      <c r="H136" s="190"/>
      <c r="I136" s="188"/>
      <c r="J136" s="184"/>
      <c r="K136" s="190"/>
      <c r="L136" s="190"/>
      <c r="M136" s="190"/>
      <c r="N136" s="184"/>
      <c r="O136" s="191"/>
      <c r="P136" s="191"/>
      <c r="Q136" s="183"/>
      <c r="R136" s="183"/>
      <c r="S136" s="183"/>
      <c r="T136" s="184"/>
      <c r="U136" s="184"/>
      <c r="V136" s="188"/>
      <c r="AB136" s="184"/>
      <c r="AC136" s="184"/>
      <c r="AD136" s="184"/>
      <c r="AE136" s="184"/>
      <c r="AF136" s="184"/>
      <c r="AG136" s="184"/>
      <c r="AH136" s="184"/>
      <c r="AI136" s="184"/>
      <c r="AJ136" s="184"/>
      <c r="AK136" s="184"/>
      <c r="AL136" s="184"/>
      <c r="AM136" s="184"/>
      <c r="AN136" s="184"/>
      <c r="AO136" s="184"/>
      <c r="AP136" s="184"/>
      <c r="AQ136" s="184"/>
      <c r="AR136" s="184"/>
      <c r="AS136" s="184"/>
      <c r="AT136" s="184"/>
      <c r="AU136" s="184"/>
      <c r="AV136" s="184"/>
      <c r="AW136" s="184"/>
      <c r="AX136" s="184"/>
      <c r="AY136" s="184"/>
      <c r="AZ136" s="184"/>
      <c r="BA136" s="184"/>
      <c r="BB136" s="184"/>
      <c r="BC136" s="184"/>
      <c r="BD136" s="184"/>
      <c r="BE136" s="184"/>
      <c r="BF136" s="184"/>
      <c r="BG136" s="184"/>
      <c r="BH136" s="184"/>
      <c r="BI136" s="184"/>
      <c r="BJ136" s="184"/>
      <c r="BK136" s="184"/>
      <c r="BL136" s="184"/>
      <c r="BM136" s="184"/>
      <c r="BN136" s="184"/>
      <c r="BO136" s="184"/>
      <c r="BP136" s="184"/>
      <c r="BQ136" s="184"/>
      <c r="BR136" s="184"/>
      <c r="BS136" s="184"/>
      <c r="BT136" s="184"/>
      <c r="BU136" s="184"/>
      <c r="BV136" s="184"/>
      <c r="BW136" s="184"/>
      <c r="BX136" s="184"/>
      <c r="BY136" s="184"/>
      <c r="BZ136" s="184"/>
      <c r="CA136" s="184"/>
      <c r="CB136" s="184"/>
      <c r="CC136" s="184"/>
      <c r="CD136" s="184"/>
      <c r="CE136" s="184"/>
      <c r="CF136" s="184"/>
      <c r="CG136" s="184"/>
      <c r="CH136" s="184"/>
      <c r="CI136" s="184"/>
      <c r="CJ136" s="184"/>
      <c r="CK136" s="184"/>
      <c r="CL136" s="184"/>
      <c r="CM136" s="184"/>
      <c r="CN136" s="184"/>
      <c r="CO136" s="184"/>
      <c r="CP136" s="184"/>
      <c r="CQ136" s="184"/>
      <c r="CR136" s="184"/>
      <c r="CS136" s="184"/>
      <c r="CT136" s="184"/>
      <c r="CU136" s="184"/>
      <c r="CV136" s="184"/>
      <c r="CW136" s="184"/>
      <c r="CX136" s="184"/>
      <c r="CY136" s="184"/>
      <c r="CZ136" s="184"/>
      <c r="DA136" s="184"/>
      <c r="DB136" s="184"/>
      <c r="DC136" s="184"/>
      <c r="DD136" s="184"/>
      <c r="DE136" s="184"/>
      <c r="DF136" s="184"/>
      <c r="DG136" s="184"/>
      <c r="DH136" s="184"/>
      <c r="DI136" s="184"/>
      <c r="DJ136" s="184"/>
      <c r="DK136" s="184"/>
      <c r="DL136" s="184"/>
      <c r="DM136" s="184"/>
      <c r="DN136" s="184"/>
      <c r="DO136" s="184"/>
      <c r="DP136" s="184"/>
      <c r="DQ136" s="184"/>
      <c r="DR136" s="184"/>
      <c r="DS136" s="184"/>
      <c r="DT136" s="184"/>
      <c r="DU136" s="184"/>
      <c r="DV136" s="184"/>
      <c r="DW136" s="184"/>
      <c r="DX136" s="184"/>
      <c r="DY136" s="184"/>
      <c r="DZ136" s="184"/>
      <c r="EA136" s="184"/>
      <c r="EB136" s="184"/>
      <c r="EC136" s="184"/>
      <c r="ED136" s="184"/>
      <c r="EE136" s="184"/>
      <c r="EF136" s="184"/>
      <c r="EG136" s="184"/>
      <c r="EH136" s="184"/>
      <c r="EI136" s="184"/>
      <c r="EJ136" s="184"/>
      <c r="EK136" s="184"/>
      <c r="EL136" s="184"/>
      <c r="EM136" s="184"/>
      <c r="EN136" s="184"/>
      <c r="EO136" s="184"/>
      <c r="EP136" s="184"/>
      <c r="EQ136" s="184"/>
      <c r="ER136" s="184"/>
      <c r="ES136" s="184"/>
      <c r="ET136" s="184"/>
      <c r="EU136" s="184"/>
      <c r="EV136" s="184"/>
      <c r="EW136" s="184"/>
      <c r="EX136" s="184"/>
      <c r="EY136" s="184"/>
      <c r="EZ136" s="184"/>
      <c r="FA136" s="184"/>
      <c r="FB136" s="184"/>
      <c r="FC136" s="184"/>
      <c r="FD136" s="184"/>
      <c r="FE136" s="184"/>
      <c r="FF136" s="184"/>
      <c r="FG136" s="184"/>
      <c r="FH136" s="184"/>
      <c r="FI136" s="184"/>
      <c r="FJ136" s="184"/>
      <c r="FK136" s="184"/>
      <c r="FL136" s="184"/>
      <c r="FM136" s="184"/>
      <c r="FN136" s="184"/>
      <c r="FO136" s="184"/>
      <c r="FP136" s="184"/>
      <c r="FQ136" s="184"/>
      <c r="FR136" s="184"/>
      <c r="FS136" s="184"/>
      <c r="FT136" s="184"/>
      <c r="FU136" s="184"/>
      <c r="FV136" s="184"/>
      <c r="FW136" s="184"/>
      <c r="FX136" s="184"/>
      <c r="FY136" s="184"/>
      <c r="FZ136" s="184"/>
      <c r="GA136" s="184"/>
      <c r="GB136" s="184"/>
      <c r="GC136" s="184"/>
      <c r="GD136" s="184"/>
      <c r="GE136" s="184"/>
      <c r="GF136" s="184"/>
      <c r="GG136" s="184"/>
      <c r="GH136" s="184"/>
      <c r="GI136" s="184"/>
    </row>
    <row r="137" spans="1:191" s="186" customFormat="1" ht="15" customHeight="1">
      <c r="A137" s="184"/>
      <c r="B137" s="190"/>
      <c r="C137" s="211"/>
      <c r="D137" s="193"/>
      <c r="E137" s="193"/>
      <c r="F137" s="188"/>
      <c r="G137" s="188"/>
      <c r="H137" s="190"/>
      <c r="I137" s="188"/>
      <c r="J137" s="184"/>
      <c r="K137" s="190"/>
      <c r="L137" s="190"/>
      <c r="M137" s="190"/>
      <c r="N137" s="184"/>
      <c r="O137" s="191"/>
      <c r="P137" s="191"/>
      <c r="Q137" s="183"/>
      <c r="R137" s="183"/>
      <c r="S137" s="183"/>
      <c r="T137" s="184"/>
      <c r="U137" s="184"/>
      <c r="V137" s="188"/>
      <c r="AB137" s="184"/>
      <c r="AC137" s="184"/>
      <c r="AD137" s="184"/>
      <c r="AE137" s="184"/>
      <c r="AF137" s="184"/>
      <c r="AG137" s="184"/>
      <c r="AH137" s="184"/>
      <c r="AI137" s="184"/>
      <c r="AJ137" s="184"/>
      <c r="AK137" s="184"/>
      <c r="AL137" s="184"/>
      <c r="AM137" s="184"/>
      <c r="AN137" s="184"/>
      <c r="AO137" s="184"/>
      <c r="AP137" s="184"/>
      <c r="AQ137" s="184"/>
      <c r="AR137" s="184"/>
      <c r="AS137" s="184"/>
      <c r="AT137" s="184"/>
      <c r="AU137" s="184"/>
      <c r="AV137" s="184"/>
      <c r="AW137" s="184"/>
      <c r="AX137" s="184"/>
      <c r="AY137" s="184"/>
      <c r="AZ137" s="184"/>
      <c r="BA137" s="184"/>
      <c r="BB137" s="184"/>
      <c r="BC137" s="184"/>
      <c r="BD137" s="184"/>
      <c r="BE137" s="184"/>
      <c r="BF137" s="184"/>
      <c r="BG137" s="184"/>
      <c r="BH137" s="184"/>
      <c r="BI137" s="184"/>
      <c r="BJ137" s="184"/>
      <c r="BK137" s="184"/>
      <c r="BL137" s="184"/>
      <c r="BM137" s="184"/>
      <c r="BN137" s="184"/>
      <c r="BO137" s="184"/>
      <c r="BP137" s="184"/>
      <c r="BQ137" s="184"/>
      <c r="BR137" s="184"/>
      <c r="BS137" s="184"/>
      <c r="BT137" s="184"/>
      <c r="BU137" s="184"/>
      <c r="BV137" s="184"/>
      <c r="BW137" s="184"/>
      <c r="BX137" s="184"/>
      <c r="BY137" s="184"/>
      <c r="BZ137" s="184"/>
      <c r="CA137" s="184"/>
      <c r="CB137" s="184"/>
      <c r="CC137" s="184"/>
      <c r="CD137" s="184"/>
      <c r="CE137" s="184"/>
      <c r="CF137" s="184"/>
      <c r="CG137" s="184"/>
      <c r="CH137" s="184"/>
      <c r="CI137" s="184"/>
      <c r="CJ137" s="184"/>
      <c r="CK137" s="184"/>
      <c r="CL137" s="184"/>
      <c r="CM137" s="184"/>
      <c r="CN137" s="184"/>
      <c r="CO137" s="184"/>
      <c r="CP137" s="184"/>
      <c r="CQ137" s="184"/>
      <c r="CR137" s="184"/>
      <c r="CS137" s="184"/>
      <c r="CT137" s="184"/>
      <c r="CU137" s="184"/>
      <c r="CV137" s="184"/>
      <c r="CW137" s="184"/>
      <c r="CX137" s="184"/>
      <c r="CY137" s="184"/>
      <c r="CZ137" s="184"/>
      <c r="DA137" s="184"/>
      <c r="DB137" s="184"/>
      <c r="DC137" s="184"/>
      <c r="DD137" s="184"/>
      <c r="DE137" s="184"/>
      <c r="DF137" s="184"/>
      <c r="DG137" s="184"/>
      <c r="DH137" s="184"/>
      <c r="DI137" s="184"/>
      <c r="DJ137" s="184"/>
      <c r="DK137" s="184"/>
      <c r="DL137" s="184"/>
      <c r="DM137" s="184"/>
      <c r="DN137" s="184"/>
      <c r="DO137" s="184"/>
      <c r="DP137" s="184"/>
      <c r="DQ137" s="184"/>
      <c r="DR137" s="184"/>
      <c r="DS137" s="184"/>
      <c r="DT137" s="184"/>
      <c r="DU137" s="184"/>
      <c r="DV137" s="184"/>
      <c r="DW137" s="184"/>
      <c r="DX137" s="184"/>
      <c r="DY137" s="184"/>
      <c r="DZ137" s="184"/>
      <c r="EA137" s="184"/>
      <c r="EB137" s="184"/>
      <c r="EC137" s="184"/>
      <c r="ED137" s="184"/>
      <c r="EE137" s="184"/>
      <c r="EF137" s="184"/>
      <c r="EG137" s="184"/>
      <c r="EH137" s="184"/>
      <c r="EI137" s="184"/>
      <c r="EJ137" s="184"/>
      <c r="EK137" s="184"/>
      <c r="EL137" s="184"/>
      <c r="EM137" s="184"/>
      <c r="EN137" s="184"/>
      <c r="EO137" s="184"/>
      <c r="EP137" s="184"/>
      <c r="EQ137" s="184"/>
      <c r="ER137" s="184"/>
      <c r="ES137" s="184"/>
      <c r="ET137" s="184"/>
      <c r="EU137" s="184"/>
      <c r="EV137" s="184"/>
      <c r="EW137" s="184"/>
      <c r="EX137" s="184"/>
      <c r="EY137" s="184"/>
      <c r="EZ137" s="184"/>
      <c r="FA137" s="184"/>
      <c r="FB137" s="184"/>
      <c r="FC137" s="184"/>
      <c r="FD137" s="184"/>
      <c r="FE137" s="184"/>
      <c r="FF137" s="184"/>
      <c r="FG137" s="184"/>
      <c r="FH137" s="184"/>
      <c r="FI137" s="184"/>
      <c r="FJ137" s="184"/>
      <c r="FK137" s="184"/>
      <c r="FL137" s="184"/>
      <c r="FM137" s="184"/>
      <c r="FN137" s="184"/>
      <c r="FO137" s="184"/>
      <c r="FP137" s="184"/>
      <c r="FQ137" s="184"/>
      <c r="FR137" s="184"/>
      <c r="FS137" s="184"/>
      <c r="FT137" s="184"/>
      <c r="FU137" s="184"/>
      <c r="FV137" s="184"/>
      <c r="FW137" s="184"/>
      <c r="FX137" s="184"/>
      <c r="FY137" s="184"/>
      <c r="FZ137" s="184"/>
      <c r="GA137" s="184"/>
      <c r="GB137" s="184"/>
      <c r="GC137" s="184"/>
      <c r="GD137" s="184"/>
      <c r="GE137" s="184"/>
      <c r="GF137" s="184"/>
      <c r="GG137" s="184"/>
      <c r="GH137" s="184"/>
      <c r="GI137" s="184"/>
    </row>
    <row r="138" spans="1:191" s="186" customFormat="1" ht="15" customHeight="1">
      <c r="A138" s="184"/>
      <c r="B138" s="190"/>
      <c r="C138" s="211"/>
      <c r="D138" s="193"/>
      <c r="E138" s="193"/>
      <c r="F138" s="188"/>
      <c r="G138" s="188"/>
      <c r="H138" s="190"/>
      <c r="I138" s="188"/>
      <c r="J138" s="184"/>
      <c r="K138" s="190"/>
      <c r="L138" s="190"/>
      <c r="M138" s="190"/>
      <c r="N138" s="184"/>
      <c r="O138" s="191"/>
      <c r="P138" s="191"/>
      <c r="Q138" s="183"/>
      <c r="R138" s="183"/>
      <c r="S138" s="183"/>
      <c r="T138" s="184"/>
      <c r="U138" s="184"/>
      <c r="V138" s="188"/>
      <c r="AB138" s="184"/>
      <c r="AC138" s="184"/>
      <c r="AD138" s="184"/>
      <c r="AE138" s="184"/>
      <c r="AF138" s="184"/>
      <c r="AG138" s="184"/>
      <c r="AH138" s="184"/>
      <c r="AI138" s="184"/>
      <c r="AJ138" s="184"/>
      <c r="AK138" s="184"/>
      <c r="AL138" s="184"/>
      <c r="AM138" s="184"/>
      <c r="AN138" s="184"/>
      <c r="AO138" s="184"/>
      <c r="AP138" s="184"/>
      <c r="AQ138" s="184"/>
      <c r="AR138" s="184"/>
      <c r="AS138" s="184"/>
      <c r="AT138" s="184"/>
      <c r="AU138" s="184"/>
      <c r="AV138" s="184"/>
      <c r="AW138" s="184"/>
      <c r="AX138" s="184"/>
      <c r="AY138" s="184"/>
      <c r="AZ138" s="184"/>
      <c r="BA138" s="184"/>
      <c r="BB138" s="184"/>
      <c r="BC138" s="184"/>
      <c r="BD138" s="184"/>
      <c r="BE138" s="184"/>
      <c r="BF138" s="184"/>
      <c r="BG138" s="184"/>
      <c r="BH138" s="184"/>
      <c r="BI138" s="184"/>
      <c r="BJ138" s="184"/>
      <c r="BK138" s="184"/>
      <c r="BL138" s="184"/>
      <c r="BM138" s="184"/>
      <c r="BN138" s="184"/>
      <c r="BO138" s="184"/>
      <c r="BP138" s="184"/>
      <c r="BQ138" s="184"/>
      <c r="BR138" s="184"/>
      <c r="BS138" s="184"/>
      <c r="BT138" s="184"/>
      <c r="BU138" s="184"/>
      <c r="BV138" s="184"/>
      <c r="BW138" s="184"/>
      <c r="BX138" s="184"/>
      <c r="BY138" s="184"/>
      <c r="BZ138" s="184"/>
      <c r="CA138" s="184"/>
      <c r="CB138" s="184"/>
      <c r="CC138" s="184"/>
      <c r="CD138" s="184"/>
      <c r="CE138" s="184"/>
      <c r="CF138" s="184"/>
      <c r="CG138" s="184"/>
      <c r="CH138" s="184"/>
      <c r="CI138" s="184"/>
      <c r="CJ138" s="184"/>
      <c r="CK138" s="184"/>
      <c r="CL138" s="184"/>
      <c r="CM138" s="184"/>
      <c r="CN138" s="184"/>
      <c r="CO138" s="184"/>
      <c r="CP138" s="184"/>
      <c r="CQ138" s="184"/>
      <c r="CR138" s="184"/>
      <c r="CS138" s="184"/>
      <c r="CT138" s="184"/>
      <c r="CU138" s="184"/>
      <c r="CV138" s="184"/>
      <c r="CW138" s="184"/>
      <c r="CX138" s="184"/>
      <c r="CY138" s="184"/>
      <c r="CZ138" s="184"/>
      <c r="DA138" s="184"/>
      <c r="DB138" s="184"/>
      <c r="DC138" s="184"/>
      <c r="DD138" s="184"/>
      <c r="DE138" s="184"/>
      <c r="DF138" s="184"/>
      <c r="DG138" s="184"/>
      <c r="DH138" s="184"/>
      <c r="DI138" s="184"/>
      <c r="DJ138" s="184"/>
      <c r="DK138" s="184"/>
      <c r="DL138" s="184"/>
      <c r="DM138" s="184"/>
      <c r="DN138" s="184"/>
      <c r="DO138" s="184"/>
      <c r="DP138" s="184"/>
      <c r="DQ138" s="184"/>
      <c r="DR138" s="184"/>
      <c r="DS138" s="184"/>
      <c r="DT138" s="184"/>
      <c r="DU138" s="184"/>
      <c r="DV138" s="184"/>
      <c r="DW138" s="184"/>
      <c r="DX138" s="184"/>
      <c r="DY138" s="184"/>
      <c r="DZ138" s="184"/>
      <c r="EA138" s="184"/>
      <c r="EB138" s="184"/>
      <c r="EC138" s="184"/>
      <c r="ED138" s="184"/>
      <c r="EE138" s="184"/>
      <c r="EF138" s="184"/>
      <c r="EG138" s="184"/>
      <c r="EH138" s="184"/>
      <c r="EI138" s="184"/>
      <c r="EJ138" s="184"/>
      <c r="EK138" s="184"/>
      <c r="EL138" s="184"/>
      <c r="EM138" s="184"/>
      <c r="EN138" s="184"/>
      <c r="EO138" s="184"/>
      <c r="EP138" s="184"/>
      <c r="EQ138" s="184"/>
      <c r="ER138" s="184"/>
      <c r="ES138" s="184"/>
      <c r="ET138" s="184"/>
      <c r="EU138" s="184"/>
      <c r="EV138" s="184"/>
      <c r="EW138" s="184"/>
      <c r="EX138" s="184"/>
      <c r="EY138" s="184"/>
      <c r="EZ138" s="184"/>
      <c r="FA138" s="184"/>
      <c r="FB138" s="184"/>
      <c r="FC138" s="184"/>
      <c r="FD138" s="184"/>
      <c r="FE138" s="184"/>
      <c r="FF138" s="184"/>
      <c r="FG138" s="184"/>
      <c r="FH138" s="184"/>
      <c r="FI138" s="184"/>
      <c r="FJ138" s="184"/>
      <c r="FK138" s="184"/>
      <c r="FL138" s="184"/>
      <c r="FM138" s="184"/>
      <c r="FN138" s="184"/>
      <c r="FO138" s="184"/>
      <c r="FP138" s="184"/>
      <c r="FQ138" s="184"/>
      <c r="FR138" s="184"/>
      <c r="FS138" s="184"/>
      <c r="FT138" s="184"/>
      <c r="FU138" s="184"/>
      <c r="FV138" s="184"/>
      <c r="FW138" s="184"/>
      <c r="FX138" s="184"/>
      <c r="FY138" s="184"/>
      <c r="FZ138" s="184"/>
      <c r="GA138" s="184"/>
      <c r="GB138" s="184"/>
      <c r="GC138" s="184"/>
      <c r="GD138" s="184"/>
      <c r="GE138" s="184"/>
      <c r="GF138" s="184"/>
      <c r="GG138" s="184"/>
      <c r="GH138" s="184"/>
      <c r="GI138" s="184"/>
    </row>
    <row r="139" spans="1:191" s="186" customFormat="1" ht="15" customHeight="1">
      <c r="A139" s="184"/>
      <c r="B139" s="190"/>
      <c r="C139" s="211"/>
      <c r="D139" s="193"/>
      <c r="E139" s="193"/>
      <c r="F139" s="188"/>
      <c r="G139" s="188"/>
      <c r="H139" s="190"/>
      <c r="I139" s="188"/>
      <c r="J139" s="184"/>
      <c r="K139" s="190"/>
      <c r="L139" s="190"/>
      <c r="M139" s="190"/>
      <c r="N139" s="184"/>
      <c r="O139" s="191"/>
      <c r="P139" s="191"/>
      <c r="Q139" s="183"/>
      <c r="R139" s="183"/>
      <c r="S139" s="183"/>
      <c r="T139" s="184"/>
      <c r="U139" s="184"/>
      <c r="V139" s="188"/>
      <c r="AB139" s="184"/>
      <c r="AC139" s="184"/>
      <c r="AD139" s="184"/>
      <c r="AE139" s="184"/>
      <c r="AF139" s="184"/>
      <c r="AG139" s="184"/>
      <c r="AH139" s="184"/>
      <c r="AI139" s="184"/>
      <c r="AJ139" s="184"/>
      <c r="AK139" s="184"/>
      <c r="AL139" s="184"/>
      <c r="AM139" s="184"/>
      <c r="AN139" s="184"/>
      <c r="AO139" s="184"/>
      <c r="AP139" s="184"/>
      <c r="AQ139" s="184"/>
      <c r="AR139" s="184"/>
      <c r="AS139" s="184"/>
      <c r="AT139" s="184"/>
      <c r="AU139" s="184"/>
      <c r="AV139" s="184"/>
      <c r="AW139" s="184"/>
      <c r="AX139" s="184"/>
      <c r="AY139" s="184"/>
      <c r="AZ139" s="184"/>
      <c r="BA139" s="184"/>
      <c r="BB139" s="184"/>
      <c r="BC139" s="184"/>
      <c r="BD139" s="184"/>
      <c r="BE139" s="184"/>
      <c r="BF139" s="184"/>
      <c r="BG139" s="184"/>
      <c r="BH139" s="184"/>
      <c r="BI139" s="184"/>
      <c r="BJ139" s="184"/>
      <c r="BK139" s="184"/>
      <c r="BL139" s="184"/>
      <c r="BM139" s="184"/>
      <c r="BN139" s="184"/>
      <c r="BO139" s="184"/>
      <c r="BP139" s="184"/>
      <c r="BQ139" s="184"/>
      <c r="BR139" s="184"/>
      <c r="BS139" s="184"/>
      <c r="BT139" s="184"/>
      <c r="BU139" s="184"/>
      <c r="BV139" s="184"/>
      <c r="BW139" s="184"/>
      <c r="BX139" s="184"/>
      <c r="BY139" s="184"/>
      <c r="BZ139" s="184"/>
      <c r="CA139" s="184"/>
      <c r="CB139" s="184"/>
      <c r="CC139" s="184"/>
      <c r="CD139" s="184"/>
      <c r="CE139" s="184"/>
      <c r="CF139" s="184"/>
      <c r="CG139" s="184"/>
      <c r="CH139" s="184"/>
      <c r="CI139" s="184"/>
      <c r="CJ139" s="184"/>
      <c r="CK139" s="184"/>
      <c r="CL139" s="184"/>
      <c r="CM139" s="184"/>
      <c r="CN139" s="184"/>
      <c r="CO139" s="184"/>
      <c r="CP139" s="184"/>
      <c r="CQ139" s="184"/>
      <c r="CR139" s="184"/>
      <c r="CS139" s="184"/>
      <c r="CT139" s="184"/>
      <c r="CU139" s="184"/>
      <c r="CV139" s="184"/>
      <c r="CW139" s="184"/>
      <c r="CX139" s="184"/>
      <c r="CY139" s="184"/>
      <c r="CZ139" s="184"/>
      <c r="DA139" s="184"/>
      <c r="DB139" s="184"/>
      <c r="DC139" s="184"/>
      <c r="DD139" s="184"/>
      <c r="DE139" s="184"/>
      <c r="DF139" s="184"/>
      <c r="DG139" s="184"/>
      <c r="DH139" s="184"/>
      <c r="DI139" s="184"/>
      <c r="DJ139" s="184"/>
      <c r="DK139" s="184"/>
      <c r="DL139" s="184"/>
      <c r="DM139" s="184"/>
      <c r="DN139" s="184"/>
      <c r="DO139" s="184"/>
      <c r="DP139" s="184"/>
      <c r="DQ139" s="184"/>
      <c r="DR139" s="184"/>
      <c r="DS139" s="184"/>
      <c r="DT139" s="184"/>
      <c r="DU139" s="184"/>
      <c r="DV139" s="184"/>
      <c r="DW139" s="184"/>
      <c r="DX139" s="184"/>
      <c r="DY139" s="184"/>
      <c r="DZ139" s="184"/>
      <c r="EA139" s="184"/>
      <c r="EB139" s="184"/>
      <c r="EC139" s="184"/>
      <c r="ED139" s="184"/>
      <c r="EE139" s="184"/>
      <c r="EF139" s="184"/>
      <c r="EG139" s="184"/>
      <c r="EH139" s="184"/>
      <c r="EI139" s="184"/>
      <c r="EJ139" s="184"/>
      <c r="EK139" s="184"/>
      <c r="EL139" s="184"/>
      <c r="EM139" s="184"/>
      <c r="EN139" s="184"/>
      <c r="EO139" s="184"/>
      <c r="EP139" s="184"/>
      <c r="EQ139" s="184"/>
      <c r="ER139" s="184"/>
      <c r="ES139" s="184"/>
      <c r="ET139" s="184"/>
      <c r="EU139" s="184"/>
      <c r="EV139" s="184"/>
      <c r="EW139" s="184"/>
      <c r="EX139" s="184"/>
      <c r="EY139" s="184"/>
      <c r="EZ139" s="184"/>
      <c r="FA139" s="184"/>
      <c r="FB139" s="184"/>
      <c r="FC139" s="184"/>
      <c r="FD139" s="184"/>
      <c r="FE139" s="184"/>
      <c r="FF139" s="184"/>
      <c r="FG139" s="184"/>
      <c r="FH139" s="184"/>
      <c r="FI139" s="184"/>
      <c r="FJ139" s="184"/>
      <c r="FK139" s="184"/>
      <c r="FL139" s="184"/>
      <c r="FM139" s="184"/>
      <c r="FN139" s="184"/>
      <c r="FO139" s="184"/>
      <c r="FP139" s="184"/>
      <c r="FQ139" s="184"/>
      <c r="FR139" s="184"/>
      <c r="FS139" s="184"/>
      <c r="FT139" s="184"/>
      <c r="FU139" s="184"/>
      <c r="FV139" s="184"/>
      <c r="FW139" s="184"/>
      <c r="FX139" s="184"/>
      <c r="FY139" s="184"/>
      <c r="FZ139" s="184"/>
      <c r="GA139" s="184"/>
      <c r="GB139" s="184"/>
      <c r="GC139" s="184"/>
      <c r="GD139" s="184"/>
      <c r="GE139" s="184"/>
      <c r="GF139" s="184"/>
      <c r="GG139" s="184"/>
      <c r="GH139" s="184"/>
      <c r="GI139" s="184"/>
    </row>
    <row r="140" spans="1:191" s="186" customFormat="1" ht="15" customHeight="1">
      <c r="A140" s="184"/>
      <c r="B140" s="190"/>
      <c r="C140" s="211"/>
      <c r="D140" s="193"/>
      <c r="E140" s="193"/>
      <c r="F140" s="188"/>
      <c r="G140" s="188"/>
      <c r="H140" s="190"/>
      <c r="I140" s="188"/>
      <c r="J140" s="184"/>
      <c r="K140" s="190"/>
      <c r="L140" s="190"/>
      <c r="M140" s="190"/>
      <c r="N140" s="184"/>
      <c r="O140" s="191"/>
      <c r="P140" s="191"/>
      <c r="Q140" s="183"/>
      <c r="R140" s="183"/>
      <c r="S140" s="183"/>
      <c r="T140" s="184"/>
      <c r="U140" s="184"/>
      <c r="V140" s="188"/>
      <c r="AB140" s="184"/>
      <c r="AC140" s="184"/>
      <c r="AD140" s="184"/>
      <c r="AE140" s="184"/>
      <c r="AF140" s="184"/>
      <c r="AG140" s="184"/>
      <c r="AH140" s="184"/>
      <c r="AI140" s="184"/>
      <c r="AJ140" s="184"/>
      <c r="AK140" s="184"/>
      <c r="AL140" s="184"/>
      <c r="AM140" s="184"/>
      <c r="AN140" s="184"/>
      <c r="AO140" s="184"/>
      <c r="AP140" s="184"/>
      <c r="AQ140" s="184"/>
      <c r="AR140" s="184"/>
      <c r="AS140" s="184"/>
      <c r="AT140" s="184"/>
      <c r="AU140" s="184"/>
      <c r="AV140" s="184"/>
      <c r="AW140" s="184"/>
      <c r="AX140" s="184"/>
      <c r="AY140" s="184"/>
      <c r="AZ140" s="184"/>
      <c r="BA140" s="184"/>
      <c r="BB140" s="184"/>
      <c r="BC140" s="184"/>
      <c r="BD140" s="184"/>
      <c r="BE140" s="184"/>
      <c r="BF140" s="184"/>
      <c r="BG140" s="184"/>
      <c r="BH140" s="184"/>
      <c r="BI140" s="184"/>
      <c r="BJ140" s="184"/>
      <c r="BK140" s="184"/>
      <c r="BL140" s="184"/>
      <c r="BM140" s="184"/>
      <c r="BN140" s="184"/>
      <c r="BO140" s="184"/>
      <c r="BP140" s="184"/>
      <c r="BQ140" s="184"/>
      <c r="BR140" s="184"/>
      <c r="BS140" s="184"/>
      <c r="BT140" s="184"/>
      <c r="BU140" s="184"/>
      <c r="BV140" s="184"/>
      <c r="BW140" s="184"/>
      <c r="BX140" s="184"/>
      <c r="BY140" s="184"/>
      <c r="BZ140" s="184"/>
      <c r="CA140" s="184"/>
      <c r="CB140" s="184"/>
      <c r="CC140" s="184"/>
      <c r="CD140" s="184"/>
      <c r="CE140" s="184"/>
      <c r="CF140" s="184"/>
      <c r="CG140" s="184"/>
      <c r="CH140" s="184"/>
      <c r="CI140" s="184"/>
      <c r="CJ140" s="184"/>
      <c r="CK140" s="184"/>
      <c r="CL140" s="184"/>
      <c r="CM140" s="184"/>
      <c r="CN140" s="184"/>
      <c r="CO140" s="184"/>
      <c r="CP140" s="184"/>
      <c r="CQ140" s="184"/>
      <c r="CR140" s="184"/>
      <c r="CS140" s="184"/>
      <c r="CT140" s="184"/>
      <c r="CU140" s="184"/>
      <c r="CV140" s="184"/>
      <c r="CW140" s="184"/>
      <c r="CX140" s="184"/>
      <c r="CY140" s="184"/>
      <c r="CZ140" s="184"/>
      <c r="DA140" s="184"/>
      <c r="DB140" s="184"/>
      <c r="DC140" s="184"/>
      <c r="DD140" s="184"/>
      <c r="DE140" s="184"/>
      <c r="DF140" s="184"/>
      <c r="DG140" s="184"/>
      <c r="DH140" s="184"/>
      <c r="DI140" s="184"/>
      <c r="DJ140" s="184"/>
      <c r="DK140" s="184"/>
      <c r="DL140" s="184"/>
      <c r="DM140" s="184"/>
      <c r="DN140" s="184"/>
      <c r="DO140" s="184"/>
      <c r="DP140" s="184"/>
      <c r="DQ140" s="184"/>
      <c r="DR140" s="184"/>
      <c r="DS140" s="184"/>
      <c r="DT140" s="184"/>
      <c r="DU140" s="184"/>
      <c r="DV140" s="184"/>
      <c r="DW140" s="184"/>
      <c r="DX140" s="184"/>
      <c r="DY140" s="184"/>
      <c r="DZ140" s="184"/>
      <c r="EA140" s="184"/>
      <c r="EB140" s="184"/>
      <c r="EC140" s="184"/>
      <c r="ED140" s="184"/>
      <c r="EE140" s="184"/>
      <c r="EF140" s="184"/>
      <c r="EG140" s="184"/>
      <c r="EH140" s="184"/>
      <c r="EI140" s="184"/>
      <c r="EJ140" s="184"/>
      <c r="EK140" s="184"/>
      <c r="EL140" s="184"/>
      <c r="EM140" s="184"/>
      <c r="EN140" s="184"/>
      <c r="EO140" s="184"/>
      <c r="EP140" s="184"/>
      <c r="EQ140" s="184"/>
      <c r="ER140" s="184"/>
      <c r="ES140" s="184"/>
      <c r="ET140" s="184"/>
      <c r="EU140" s="184"/>
      <c r="EV140" s="184"/>
      <c r="EW140" s="184"/>
      <c r="EX140" s="184"/>
      <c r="EY140" s="184"/>
      <c r="EZ140" s="184"/>
      <c r="FA140" s="184"/>
      <c r="FB140" s="184"/>
      <c r="FC140" s="184"/>
      <c r="FD140" s="184"/>
      <c r="FE140" s="184"/>
      <c r="FF140" s="184"/>
      <c r="FG140" s="184"/>
      <c r="FH140" s="184"/>
      <c r="FI140" s="184"/>
      <c r="FJ140" s="184"/>
      <c r="FK140" s="184"/>
      <c r="FL140" s="184"/>
      <c r="FM140" s="184"/>
      <c r="FN140" s="184"/>
      <c r="FO140" s="184"/>
      <c r="FP140" s="184"/>
      <c r="FQ140" s="184"/>
      <c r="FR140" s="184"/>
      <c r="FS140" s="184"/>
      <c r="FT140" s="184"/>
      <c r="FU140" s="184"/>
      <c r="FV140" s="184"/>
      <c r="FW140" s="184"/>
      <c r="FX140" s="184"/>
      <c r="FY140" s="184"/>
      <c r="FZ140" s="184"/>
      <c r="GA140" s="184"/>
      <c r="GB140" s="184"/>
      <c r="GC140" s="184"/>
      <c r="GD140" s="184"/>
      <c r="GE140" s="184"/>
      <c r="GF140" s="184"/>
      <c r="GG140" s="184"/>
      <c r="GH140" s="184"/>
      <c r="GI140" s="184"/>
    </row>
    <row r="141" spans="1:191" s="186" customFormat="1" ht="15" customHeight="1">
      <c r="A141" s="184"/>
      <c r="B141" s="190"/>
      <c r="C141" s="211"/>
      <c r="D141" s="193"/>
      <c r="E141" s="193"/>
      <c r="F141" s="188"/>
      <c r="G141" s="188"/>
      <c r="H141" s="190"/>
      <c r="I141" s="188"/>
      <c r="J141" s="184"/>
      <c r="K141" s="190"/>
      <c r="L141" s="190"/>
      <c r="M141" s="190"/>
      <c r="N141" s="184"/>
      <c r="O141" s="191"/>
      <c r="P141" s="191"/>
      <c r="Q141" s="183"/>
      <c r="R141" s="183"/>
      <c r="S141" s="183"/>
      <c r="T141" s="184"/>
      <c r="U141" s="184"/>
      <c r="V141" s="188"/>
      <c r="AB141" s="184"/>
      <c r="AC141" s="184"/>
      <c r="AD141" s="184"/>
      <c r="AE141" s="184"/>
      <c r="AF141" s="184"/>
      <c r="AG141" s="184"/>
      <c r="AH141" s="184"/>
      <c r="AI141" s="184"/>
      <c r="AJ141" s="184"/>
      <c r="AK141" s="184"/>
      <c r="AL141" s="184"/>
      <c r="AM141" s="184"/>
      <c r="AN141" s="184"/>
      <c r="AO141" s="184"/>
      <c r="AP141" s="184"/>
      <c r="AQ141" s="184"/>
      <c r="AR141" s="184"/>
      <c r="AS141" s="184"/>
      <c r="AT141" s="184"/>
      <c r="AU141" s="184"/>
      <c r="AV141" s="184"/>
      <c r="AW141" s="184"/>
      <c r="AX141" s="184"/>
      <c r="AY141" s="184"/>
      <c r="AZ141" s="184"/>
      <c r="BA141" s="184"/>
      <c r="BB141" s="184"/>
      <c r="BC141" s="184"/>
      <c r="BD141" s="184"/>
      <c r="BE141" s="184"/>
      <c r="BF141" s="184"/>
      <c r="BG141" s="184"/>
      <c r="BH141" s="184"/>
      <c r="BI141" s="184"/>
      <c r="BJ141" s="184"/>
      <c r="BK141" s="184"/>
      <c r="BL141" s="184"/>
      <c r="BM141" s="184"/>
      <c r="BN141" s="184"/>
      <c r="BO141" s="184"/>
      <c r="BP141" s="184"/>
      <c r="BQ141" s="184"/>
      <c r="BR141" s="184"/>
      <c r="BS141" s="184"/>
      <c r="BT141" s="184"/>
      <c r="BU141" s="184"/>
      <c r="BV141" s="184"/>
      <c r="BW141" s="184"/>
      <c r="BX141" s="184"/>
      <c r="BY141" s="184"/>
      <c r="BZ141" s="184"/>
      <c r="CA141" s="184"/>
      <c r="CB141" s="184"/>
      <c r="CC141" s="184"/>
      <c r="CD141" s="184"/>
      <c r="CE141" s="184"/>
      <c r="CF141" s="184"/>
      <c r="CG141" s="184"/>
      <c r="CH141" s="184"/>
      <c r="CI141" s="184"/>
      <c r="CJ141" s="184"/>
      <c r="CK141" s="184"/>
      <c r="CL141" s="184"/>
      <c r="CM141" s="184"/>
      <c r="CN141" s="184"/>
      <c r="CO141" s="184"/>
      <c r="CP141" s="184"/>
      <c r="CQ141" s="184"/>
      <c r="CR141" s="184"/>
      <c r="CS141" s="184"/>
      <c r="CT141" s="184"/>
      <c r="CU141" s="184"/>
      <c r="CV141" s="184"/>
      <c r="CW141" s="184"/>
      <c r="CX141" s="184"/>
      <c r="CY141" s="184"/>
      <c r="CZ141" s="184"/>
      <c r="DA141" s="184"/>
      <c r="DB141" s="184"/>
      <c r="DC141" s="184"/>
      <c r="DD141" s="184"/>
      <c r="DE141" s="184"/>
      <c r="DF141" s="184"/>
      <c r="DG141" s="184"/>
      <c r="DH141" s="184"/>
      <c r="DI141" s="184"/>
      <c r="DJ141" s="184"/>
      <c r="DK141" s="184"/>
      <c r="DL141" s="184"/>
      <c r="DM141" s="184"/>
      <c r="DN141" s="184"/>
      <c r="DO141" s="184"/>
      <c r="DP141" s="184"/>
      <c r="DQ141" s="184"/>
      <c r="DR141" s="184"/>
      <c r="DS141" s="184"/>
      <c r="DT141" s="184"/>
      <c r="DU141" s="184"/>
      <c r="DV141" s="184"/>
      <c r="DW141" s="184"/>
      <c r="DX141" s="184"/>
      <c r="DY141" s="184"/>
      <c r="DZ141" s="184"/>
      <c r="EA141" s="184"/>
      <c r="EB141" s="184"/>
      <c r="EC141" s="184"/>
      <c r="ED141" s="184"/>
      <c r="EE141" s="184"/>
      <c r="EF141" s="184"/>
      <c r="EG141" s="184"/>
      <c r="EH141" s="184"/>
      <c r="EI141" s="184"/>
      <c r="EJ141" s="184"/>
      <c r="EK141" s="184"/>
      <c r="EL141" s="184"/>
      <c r="EM141" s="184"/>
      <c r="EN141" s="184"/>
      <c r="EO141" s="184"/>
      <c r="EP141" s="184"/>
      <c r="EQ141" s="184"/>
      <c r="ER141" s="184"/>
      <c r="ES141" s="184"/>
      <c r="ET141" s="184"/>
      <c r="EU141" s="184"/>
      <c r="EV141" s="184"/>
      <c r="EW141" s="184"/>
      <c r="EX141" s="184"/>
      <c r="EY141" s="184"/>
      <c r="EZ141" s="184"/>
      <c r="FA141" s="184"/>
      <c r="FB141" s="184"/>
      <c r="FC141" s="184"/>
      <c r="FD141" s="184"/>
      <c r="FE141" s="184"/>
      <c r="FF141" s="184"/>
      <c r="FG141" s="184"/>
      <c r="FH141" s="184"/>
      <c r="FI141" s="184"/>
      <c r="FJ141" s="184"/>
      <c r="FK141" s="184"/>
      <c r="FL141" s="184"/>
      <c r="FM141" s="184"/>
      <c r="FN141" s="184"/>
      <c r="FO141" s="184"/>
      <c r="FP141" s="184"/>
      <c r="FQ141" s="184"/>
      <c r="FR141" s="184"/>
      <c r="FS141" s="184"/>
      <c r="FT141" s="184"/>
      <c r="FU141" s="184"/>
      <c r="FV141" s="184"/>
      <c r="FW141" s="184"/>
      <c r="FX141" s="184"/>
      <c r="FY141" s="184"/>
      <c r="FZ141" s="184"/>
      <c r="GA141" s="184"/>
      <c r="GB141" s="184"/>
      <c r="GC141" s="184"/>
      <c r="GD141" s="184"/>
      <c r="GE141" s="184"/>
      <c r="GF141" s="184"/>
      <c r="GG141" s="184"/>
      <c r="GH141" s="184"/>
      <c r="GI141" s="184"/>
    </row>
    <row r="142" spans="1:191" s="186" customFormat="1" ht="15" customHeight="1">
      <c r="A142" s="184"/>
      <c r="B142" s="190"/>
      <c r="C142" s="211"/>
      <c r="D142" s="193"/>
      <c r="E142" s="193"/>
      <c r="F142" s="188"/>
      <c r="G142" s="188"/>
      <c r="H142" s="190"/>
      <c r="I142" s="188"/>
      <c r="J142" s="184"/>
      <c r="K142" s="190"/>
      <c r="L142" s="190"/>
      <c r="M142" s="190"/>
      <c r="N142" s="184"/>
      <c r="O142" s="191"/>
      <c r="P142" s="191"/>
      <c r="Q142" s="183"/>
      <c r="R142" s="183"/>
      <c r="S142" s="183"/>
      <c r="T142" s="184"/>
      <c r="U142" s="184"/>
      <c r="V142" s="188"/>
      <c r="AB142" s="184"/>
      <c r="AC142" s="184"/>
      <c r="AD142" s="184"/>
      <c r="AE142" s="184"/>
      <c r="AF142" s="184"/>
      <c r="AG142" s="184"/>
      <c r="AH142" s="184"/>
      <c r="AI142" s="184"/>
      <c r="AJ142" s="184"/>
      <c r="AK142" s="184"/>
      <c r="AL142" s="184"/>
      <c r="AM142" s="184"/>
      <c r="AN142" s="184"/>
      <c r="AO142" s="184"/>
      <c r="AP142" s="184"/>
      <c r="AQ142" s="184"/>
      <c r="AR142" s="184"/>
      <c r="AS142" s="184"/>
      <c r="AT142" s="184"/>
      <c r="AU142" s="184"/>
      <c r="AV142" s="184"/>
      <c r="AW142" s="184"/>
      <c r="AX142" s="184"/>
      <c r="AY142" s="184"/>
      <c r="AZ142" s="184"/>
      <c r="BA142" s="184"/>
      <c r="BB142" s="184"/>
      <c r="BC142" s="184"/>
      <c r="BD142" s="184"/>
      <c r="BE142" s="184"/>
      <c r="BF142" s="184"/>
      <c r="BG142" s="184"/>
      <c r="BH142" s="184"/>
      <c r="BI142" s="184"/>
      <c r="BJ142" s="184"/>
      <c r="BK142" s="184"/>
      <c r="BL142" s="184"/>
      <c r="BM142" s="184"/>
      <c r="BN142" s="184"/>
      <c r="BO142" s="184"/>
      <c r="BP142" s="184"/>
      <c r="BQ142" s="184"/>
      <c r="BR142" s="184"/>
      <c r="BS142" s="184"/>
      <c r="BT142" s="184"/>
      <c r="BU142" s="184"/>
      <c r="BV142" s="184"/>
      <c r="BW142" s="184"/>
      <c r="BX142" s="184"/>
      <c r="BY142" s="184"/>
      <c r="BZ142" s="184"/>
      <c r="CA142" s="184"/>
      <c r="CB142" s="184"/>
      <c r="CC142" s="184"/>
      <c r="CD142" s="184"/>
      <c r="CE142" s="184"/>
      <c r="CF142" s="184"/>
      <c r="CG142" s="184"/>
      <c r="CH142" s="184"/>
      <c r="CI142" s="184"/>
      <c r="CJ142" s="184"/>
      <c r="CK142" s="184"/>
      <c r="CL142" s="184"/>
      <c r="CM142" s="184"/>
      <c r="CN142" s="184"/>
      <c r="CO142" s="184"/>
      <c r="CP142" s="184"/>
      <c r="CQ142" s="184"/>
      <c r="CR142" s="184"/>
      <c r="CS142" s="184"/>
      <c r="CT142" s="184"/>
      <c r="CU142" s="184"/>
      <c r="CV142" s="184"/>
      <c r="CW142" s="184"/>
      <c r="CX142" s="184"/>
      <c r="CY142" s="184"/>
      <c r="CZ142" s="184"/>
      <c r="DA142" s="184"/>
      <c r="DB142" s="184"/>
      <c r="DC142" s="184"/>
      <c r="DD142" s="184"/>
      <c r="DE142" s="184"/>
      <c r="DF142" s="184"/>
      <c r="DG142" s="184"/>
      <c r="DH142" s="184"/>
      <c r="DI142" s="184"/>
      <c r="DJ142" s="184"/>
      <c r="DK142" s="184"/>
      <c r="DL142" s="184"/>
      <c r="DM142" s="184"/>
      <c r="DN142" s="184"/>
      <c r="DO142" s="184"/>
      <c r="DP142" s="184"/>
      <c r="DQ142" s="184"/>
      <c r="DR142" s="184"/>
      <c r="DS142" s="184"/>
      <c r="DT142" s="184"/>
      <c r="DU142" s="184"/>
      <c r="DV142" s="184"/>
      <c r="DW142" s="184"/>
      <c r="DX142" s="184"/>
      <c r="DY142" s="184"/>
      <c r="DZ142" s="184"/>
      <c r="EA142" s="184"/>
      <c r="EB142" s="184"/>
      <c r="EC142" s="184"/>
      <c r="ED142" s="184"/>
      <c r="EE142" s="184"/>
      <c r="EF142" s="184"/>
      <c r="EG142" s="184"/>
      <c r="EH142" s="184"/>
      <c r="EI142" s="184"/>
      <c r="EJ142" s="184"/>
      <c r="EK142" s="184"/>
      <c r="EL142" s="184"/>
      <c r="EM142" s="184"/>
      <c r="EN142" s="184"/>
      <c r="EO142" s="184"/>
      <c r="EP142" s="184"/>
      <c r="EQ142" s="184"/>
      <c r="ER142" s="184"/>
      <c r="ES142" s="184"/>
      <c r="ET142" s="184"/>
      <c r="EU142" s="184"/>
      <c r="EV142" s="184"/>
      <c r="EW142" s="184"/>
      <c r="EX142" s="184"/>
      <c r="EY142" s="184"/>
      <c r="EZ142" s="184"/>
      <c r="FA142" s="184"/>
      <c r="FB142" s="184"/>
      <c r="FC142" s="184"/>
      <c r="FD142" s="184"/>
      <c r="FE142" s="184"/>
      <c r="FF142" s="184"/>
      <c r="FG142" s="184"/>
      <c r="FH142" s="184"/>
      <c r="FI142" s="184"/>
      <c r="FJ142" s="184"/>
      <c r="FK142" s="184"/>
      <c r="FL142" s="184"/>
      <c r="FM142" s="184"/>
      <c r="FN142" s="184"/>
      <c r="FO142" s="184"/>
      <c r="FP142" s="184"/>
      <c r="FQ142" s="184"/>
      <c r="FR142" s="184"/>
      <c r="FS142" s="184"/>
      <c r="FT142" s="184"/>
      <c r="FU142" s="184"/>
      <c r="FV142" s="184"/>
      <c r="FW142" s="184"/>
      <c r="FX142" s="184"/>
      <c r="FY142" s="184"/>
      <c r="FZ142" s="184"/>
      <c r="GA142" s="184"/>
      <c r="GB142" s="184"/>
      <c r="GC142" s="184"/>
      <c r="GD142" s="184"/>
      <c r="GE142" s="184"/>
      <c r="GF142" s="184"/>
      <c r="GG142" s="184"/>
      <c r="GH142" s="184"/>
      <c r="GI142" s="184"/>
    </row>
    <row r="143" spans="1:191" s="186" customFormat="1" ht="15" customHeight="1">
      <c r="A143" s="184"/>
      <c r="B143" s="190"/>
      <c r="C143" s="211"/>
      <c r="D143" s="193"/>
      <c r="E143" s="193"/>
      <c r="F143" s="188"/>
      <c r="G143" s="188"/>
      <c r="H143" s="190"/>
      <c r="I143" s="188"/>
      <c r="J143" s="184"/>
      <c r="K143" s="190"/>
      <c r="L143" s="190"/>
      <c r="M143" s="190"/>
      <c r="N143" s="184"/>
      <c r="O143" s="191"/>
      <c r="P143" s="191"/>
      <c r="Q143" s="183"/>
      <c r="R143" s="183"/>
      <c r="S143" s="183"/>
      <c r="T143" s="184"/>
      <c r="U143" s="184"/>
      <c r="V143" s="188"/>
      <c r="AB143" s="184"/>
      <c r="AC143" s="184"/>
      <c r="AD143" s="184"/>
      <c r="AE143" s="184"/>
      <c r="AF143" s="184"/>
      <c r="AG143" s="184"/>
      <c r="AH143" s="184"/>
      <c r="AI143" s="184"/>
      <c r="AJ143" s="184"/>
      <c r="AK143" s="184"/>
      <c r="AL143" s="184"/>
      <c r="AM143" s="184"/>
      <c r="AN143" s="184"/>
      <c r="AO143" s="184"/>
      <c r="AP143" s="184"/>
      <c r="AQ143" s="184"/>
      <c r="AR143" s="184"/>
      <c r="AS143" s="184"/>
      <c r="AT143" s="184"/>
      <c r="AU143" s="184"/>
      <c r="AV143" s="184"/>
      <c r="AW143" s="184"/>
      <c r="AX143" s="184"/>
      <c r="AY143" s="184"/>
      <c r="AZ143" s="184"/>
      <c r="BA143" s="184"/>
      <c r="BB143" s="184"/>
      <c r="BC143" s="184"/>
      <c r="BD143" s="184"/>
      <c r="BE143" s="184"/>
      <c r="BF143" s="184"/>
      <c r="BG143" s="184"/>
      <c r="BH143" s="184"/>
      <c r="BI143" s="184"/>
      <c r="BJ143" s="184"/>
      <c r="BK143" s="184"/>
      <c r="BL143" s="184"/>
      <c r="BM143" s="184"/>
      <c r="BN143" s="184"/>
      <c r="BO143" s="184"/>
      <c r="BP143" s="184"/>
      <c r="BQ143" s="184"/>
      <c r="BR143" s="184"/>
      <c r="BS143" s="184"/>
      <c r="BT143" s="184"/>
      <c r="BU143" s="184"/>
      <c r="BV143" s="184"/>
      <c r="BW143" s="184"/>
      <c r="BX143" s="184"/>
      <c r="BY143" s="184"/>
      <c r="BZ143" s="184"/>
      <c r="CA143" s="184"/>
      <c r="CB143" s="184"/>
      <c r="CC143" s="184"/>
      <c r="CD143" s="184"/>
      <c r="CE143" s="184"/>
      <c r="CF143" s="184"/>
      <c r="CG143" s="184"/>
      <c r="CH143" s="184"/>
      <c r="CI143" s="184"/>
      <c r="CJ143" s="184"/>
      <c r="CK143" s="184"/>
      <c r="CL143" s="184"/>
      <c r="CM143" s="184"/>
      <c r="CN143" s="184"/>
      <c r="CO143" s="184"/>
      <c r="CP143" s="184"/>
      <c r="CQ143" s="184"/>
      <c r="CR143" s="184"/>
      <c r="CS143" s="184"/>
      <c r="CT143" s="184"/>
      <c r="CU143" s="184"/>
      <c r="CV143" s="184"/>
      <c r="CW143" s="184"/>
      <c r="CX143" s="184"/>
      <c r="CY143" s="184"/>
      <c r="CZ143" s="184"/>
      <c r="DA143" s="184"/>
      <c r="DB143" s="184"/>
      <c r="DC143" s="184"/>
      <c r="DD143" s="184"/>
      <c r="DE143" s="184"/>
      <c r="DF143" s="184"/>
      <c r="DG143" s="184"/>
      <c r="DH143" s="184"/>
      <c r="DI143" s="184"/>
      <c r="DJ143" s="184"/>
      <c r="DK143" s="184"/>
      <c r="DL143" s="184"/>
      <c r="DM143" s="184"/>
      <c r="DN143" s="184"/>
      <c r="DO143" s="184"/>
      <c r="DP143" s="184"/>
      <c r="DQ143" s="184"/>
      <c r="DR143" s="184"/>
      <c r="DS143" s="184"/>
      <c r="DT143" s="184"/>
      <c r="DU143" s="184"/>
      <c r="DV143" s="184"/>
      <c r="DW143" s="184"/>
      <c r="DX143" s="184"/>
      <c r="DY143" s="184"/>
      <c r="DZ143" s="184"/>
      <c r="EA143" s="184"/>
      <c r="EB143" s="184"/>
      <c r="EC143" s="184"/>
      <c r="ED143" s="184"/>
      <c r="EE143" s="184"/>
      <c r="EF143" s="184"/>
      <c r="EG143" s="184"/>
      <c r="EH143" s="184"/>
      <c r="EI143" s="184"/>
      <c r="EJ143" s="184"/>
      <c r="EK143" s="184"/>
      <c r="EL143" s="184"/>
      <c r="EM143" s="184"/>
      <c r="EN143" s="184"/>
      <c r="EO143" s="184"/>
      <c r="EP143" s="184"/>
      <c r="EQ143" s="184"/>
      <c r="ER143" s="184"/>
      <c r="ES143" s="184"/>
      <c r="ET143" s="184"/>
      <c r="EU143" s="184"/>
      <c r="EV143" s="184"/>
      <c r="EW143" s="184"/>
      <c r="EX143" s="184"/>
      <c r="EY143" s="184"/>
      <c r="EZ143" s="184"/>
      <c r="FA143" s="184"/>
      <c r="FB143" s="184"/>
      <c r="FC143" s="184"/>
      <c r="FD143" s="184"/>
      <c r="FE143" s="184"/>
      <c r="FF143" s="184"/>
      <c r="FG143" s="184"/>
      <c r="FH143" s="184"/>
      <c r="FI143" s="184"/>
      <c r="FJ143" s="184"/>
      <c r="FK143" s="184"/>
      <c r="FL143" s="184"/>
      <c r="FM143" s="184"/>
      <c r="FN143" s="184"/>
      <c r="FO143" s="184"/>
      <c r="FP143" s="184"/>
      <c r="FQ143" s="184"/>
      <c r="FR143" s="184"/>
      <c r="FS143" s="184"/>
      <c r="FT143" s="184"/>
      <c r="FU143" s="184"/>
      <c r="FV143" s="184"/>
      <c r="FW143" s="184"/>
      <c r="FX143" s="184"/>
      <c r="FY143" s="184"/>
      <c r="FZ143" s="184"/>
      <c r="GA143" s="184"/>
      <c r="GB143" s="184"/>
      <c r="GC143" s="184"/>
      <c r="GD143" s="184"/>
      <c r="GE143" s="184"/>
      <c r="GF143" s="184"/>
      <c r="GG143" s="184"/>
      <c r="GH143" s="184"/>
      <c r="GI143" s="184"/>
    </row>
    <row r="144" spans="1:191" s="186" customFormat="1" ht="15" customHeight="1">
      <c r="A144" s="184"/>
      <c r="B144" s="190"/>
      <c r="C144" s="211"/>
      <c r="D144" s="193"/>
      <c r="E144" s="193"/>
      <c r="F144" s="188"/>
      <c r="G144" s="188"/>
      <c r="H144" s="190"/>
      <c r="I144" s="188"/>
      <c r="J144" s="184"/>
      <c r="K144" s="190"/>
      <c r="L144" s="190"/>
      <c r="M144" s="190"/>
      <c r="N144" s="184"/>
      <c r="O144" s="191"/>
      <c r="P144" s="191"/>
      <c r="Q144" s="183"/>
      <c r="R144" s="183"/>
      <c r="S144" s="183"/>
      <c r="T144" s="184"/>
      <c r="U144" s="184"/>
      <c r="V144" s="188"/>
      <c r="AB144" s="184"/>
      <c r="AC144" s="184"/>
      <c r="AD144" s="184"/>
      <c r="AE144" s="184"/>
      <c r="AF144" s="184"/>
      <c r="AG144" s="184"/>
      <c r="AH144" s="184"/>
      <c r="AI144" s="184"/>
      <c r="AJ144" s="184"/>
      <c r="AK144" s="184"/>
      <c r="AL144" s="184"/>
      <c r="AM144" s="184"/>
      <c r="AN144" s="184"/>
      <c r="AO144" s="184"/>
      <c r="AP144" s="184"/>
      <c r="AQ144" s="184"/>
      <c r="AR144" s="184"/>
      <c r="AS144" s="184"/>
      <c r="AT144" s="184"/>
      <c r="AU144" s="184"/>
      <c r="AV144" s="184"/>
      <c r="AW144" s="184"/>
      <c r="AX144" s="184"/>
      <c r="AY144" s="184"/>
      <c r="AZ144" s="184"/>
      <c r="BA144" s="184"/>
      <c r="BB144" s="184"/>
      <c r="BC144" s="184"/>
      <c r="BD144" s="184"/>
      <c r="BE144" s="184"/>
      <c r="BF144" s="184"/>
      <c r="BG144" s="184"/>
      <c r="BH144" s="184"/>
      <c r="BI144" s="184"/>
      <c r="BJ144" s="184"/>
      <c r="BK144" s="184"/>
      <c r="BL144" s="184"/>
      <c r="BM144" s="184"/>
      <c r="BN144" s="184"/>
      <c r="BO144" s="184"/>
      <c r="BP144" s="184"/>
      <c r="BQ144" s="184"/>
      <c r="BR144" s="184"/>
      <c r="BS144" s="184"/>
      <c r="BT144" s="184"/>
      <c r="BU144" s="184"/>
      <c r="BV144" s="184"/>
      <c r="BW144" s="184"/>
      <c r="BX144" s="184"/>
      <c r="BY144" s="184"/>
      <c r="BZ144" s="184"/>
      <c r="CA144" s="184"/>
      <c r="CB144" s="184"/>
      <c r="CC144" s="184"/>
      <c r="CD144" s="184"/>
      <c r="CE144" s="184"/>
      <c r="CF144" s="184"/>
      <c r="CG144" s="184"/>
      <c r="CH144" s="184"/>
      <c r="CI144" s="184"/>
      <c r="CJ144" s="184"/>
      <c r="CK144" s="184"/>
      <c r="CL144" s="184"/>
      <c r="CM144" s="184"/>
      <c r="CN144" s="184"/>
      <c r="CO144" s="184"/>
      <c r="CP144" s="184"/>
      <c r="CQ144" s="184"/>
      <c r="CR144" s="184"/>
      <c r="CS144" s="184"/>
      <c r="CT144" s="184"/>
      <c r="CU144" s="184"/>
      <c r="CV144" s="184"/>
      <c r="CW144" s="184"/>
      <c r="CX144" s="184"/>
      <c r="CY144" s="184"/>
      <c r="CZ144" s="184"/>
      <c r="DA144" s="184"/>
      <c r="DB144" s="184"/>
      <c r="DC144" s="184"/>
      <c r="DD144" s="184"/>
      <c r="DE144" s="184"/>
      <c r="DF144" s="184"/>
      <c r="DG144" s="184"/>
      <c r="DH144" s="184"/>
      <c r="DI144" s="184"/>
      <c r="DJ144" s="184"/>
      <c r="DK144" s="184"/>
      <c r="DL144" s="184"/>
      <c r="DM144" s="184"/>
      <c r="DN144" s="184"/>
      <c r="DO144" s="184"/>
      <c r="DP144" s="184"/>
      <c r="DQ144" s="184"/>
      <c r="DR144" s="184"/>
      <c r="DS144" s="184"/>
      <c r="DT144" s="184"/>
      <c r="DU144" s="184"/>
      <c r="DV144" s="184"/>
      <c r="DW144" s="184"/>
      <c r="DX144" s="184"/>
      <c r="DY144" s="184"/>
      <c r="DZ144" s="184"/>
      <c r="EA144" s="184"/>
      <c r="EB144" s="184"/>
      <c r="EC144" s="184"/>
      <c r="ED144" s="184"/>
      <c r="EE144" s="184"/>
      <c r="EF144" s="184"/>
      <c r="EG144" s="184"/>
      <c r="EH144" s="184"/>
      <c r="EI144" s="184"/>
      <c r="EJ144" s="184"/>
      <c r="EK144" s="184"/>
      <c r="EL144" s="184"/>
      <c r="EM144" s="184"/>
      <c r="EN144" s="184"/>
      <c r="EO144" s="184"/>
      <c r="EP144" s="184"/>
      <c r="EQ144" s="184"/>
      <c r="ER144" s="184"/>
      <c r="ES144" s="184"/>
      <c r="ET144" s="184"/>
      <c r="EU144" s="184"/>
      <c r="EV144" s="184"/>
      <c r="EW144" s="184"/>
      <c r="EX144" s="184"/>
      <c r="EY144" s="184"/>
      <c r="EZ144" s="184"/>
      <c r="FA144" s="184"/>
      <c r="FB144" s="184"/>
      <c r="FC144" s="184"/>
      <c r="FD144" s="184"/>
      <c r="FE144" s="184"/>
      <c r="FF144" s="184"/>
      <c r="FG144" s="184"/>
      <c r="FH144" s="184"/>
      <c r="FI144" s="184"/>
      <c r="FJ144" s="184"/>
      <c r="FK144" s="184"/>
      <c r="FL144" s="184"/>
      <c r="FM144" s="184"/>
      <c r="FN144" s="184"/>
      <c r="FO144" s="184"/>
      <c r="FP144" s="184"/>
      <c r="FQ144" s="184"/>
      <c r="FR144" s="184"/>
      <c r="FS144" s="184"/>
      <c r="FT144" s="184"/>
      <c r="FU144" s="184"/>
      <c r="FV144" s="184"/>
      <c r="FW144" s="184"/>
      <c r="FX144" s="184"/>
      <c r="FY144" s="184"/>
      <c r="FZ144" s="184"/>
      <c r="GA144" s="184"/>
      <c r="GB144" s="184"/>
      <c r="GC144" s="184"/>
      <c r="GD144" s="184"/>
      <c r="GE144" s="184"/>
      <c r="GF144" s="184"/>
      <c r="GG144" s="184"/>
      <c r="GH144" s="184"/>
      <c r="GI144" s="184"/>
    </row>
    <row r="145" spans="1:191" s="186" customFormat="1" ht="15" customHeight="1">
      <c r="A145" s="184"/>
      <c r="B145" s="190"/>
      <c r="C145" s="211"/>
      <c r="D145" s="193"/>
      <c r="E145" s="193"/>
      <c r="F145" s="188"/>
      <c r="G145" s="188"/>
      <c r="H145" s="190"/>
      <c r="I145" s="188"/>
      <c r="J145" s="184"/>
      <c r="K145" s="190"/>
      <c r="L145" s="190"/>
      <c r="M145" s="190"/>
      <c r="N145" s="184"/>
      <c r="O145" s="191"/>
      <c r="P145" s="191"/>
      <c r="Q145" s="183"/>
      <c r="R145" s="183"/>
      <c r="S145" s="183"/>
      <c r="T145" s="184"/>
      <c r="U145" s="184"/>
      <c r="V145" s="188"/>
      <c r="AB145" s="184"/>
      <c r="AC145" s="184"/>
      <c r="AD145" s="184"/>
      <c r="AE145" s="184"/>
      <c r="AF145" s="184"/>
      <c r="AG145" s="184"/>
      <c r="AH145" s="184"/>
      <c r="AI145" s="184"/>
      <c r="AJ145" s="184"/>
      <c r="AK145" s="184"/>
      <c r="AL145" s="184"/>
      <c r="AM145" s="184"/>
      <c r="AN145" s="184"/>
      <c r="AO145" s="184"/>
      <c r="AP145" s="184"/>
      <c r="AQ145" s="184"/>
      <c r="AR145" s="184"/>
      <c r="AS145" s="184"/>
      <c r="AT145" s="184"/>
      <c r="AU145" s="184"/>
      <c r="AV145" s="184"/>
      <c r="AW145" s="184"/>
      <c r="AX145" s="184"/>
      <c r="AY145" s="184"/>
      <c r="AZ145" s="184"/>
      <c r="BA145" s="184"/>
      <c r="BB145" s="184"/>
      <c r="BC145" s="184"/>
      <c r="BD145" s="184"/>
      <c r="BE145" s="184"/>
      <c r="BF145" s="184"/>
      <c r="BG145" s="184"/>
      <c r="BH145" s="184"/>
      <c r="BI145" s="184"/>
      <c r="BJ145" s="184"/>
      <c r="BK145" s="184"/>
      <c r="BL145" s="184"/>
      <c r="BM145" s="184"/>
      <c r="BN145" s="184"/>
      <c r="BO145" s="184"/>
      <c r="BP145" s="184"/>
      <c r="BQ145" s="184"/>
      <c r="BR145" s="184"/>
      <c r="BS145" s="184"/>
      <c r="BT145" s="184"/>
      <c r="BU145" s="184"/>
      <c r="BV145" s="184"/>
      <c r="BW145" s="184"/>
      <c r="BX145" s="184"/>
      <c r="BY145" s="184"/>
      <c r="BZ145" s="184"/>
      <c r="CA145" s="184"/>
      <c r="CB145" s="184"/>
      <c r="CC145" s="184"/>
      <c r="CD145" s="184"/>
      <c r="CE145" s="184"/>
      <c r="CF145" s="184"/>
      <c r="CG145" s="184"/>
      <c r="CH145" s="184"/>
      <c r="CI145" s="184"/>
      <c r="CJ145" s="184"/>
      <c r="CK145" s="184"/>
      <c r="CL145" s="184"/>
      <c r="CM145" s="184"/>
      <c r="CN145" s="184"/>
      <c r="CO145" s="184"/>
      <c r="CP145" s="184"/>
      <c r="CQ145" s="184"/>
      <c r="CR145" s="184"/>
      <c r="CS145" s="184"/>
      <c r="CT145" s="184"/>
      <c r="CU145" s="184"/>
      <c r="CV145" s="184"/>
      <c r="CW145" s="184"/>
      <c r="CX145" s="184"/>
      <c r="CY145" s="184"/>
      <c r="CZ145" s="184"/>
      <c r="DA145" s="184"/>
      <c r="DB145" s="184"/>
      <c r="DC145" s="184"/>
      <c r="DD145" s="184"/>
      <c r="DE145" s="184"/>
      <c r="DF145" s="184"/>
      <c r="DG145" s="184"/>
      <c r="DH145" s="184"/>
      <c r="DI145" s="184"/>
      <c r="DJ145" s="184"/>
      <c r="DK145" s="184"/>
      <c r="DL145" s="184"/>
      <c r="DM145" s="184"/>
      <c r="DN145" s="184"/>
      <c r="DO145" s="184"/>
      <c r="DP145" s="184"/>
      <c r="DQ145" s="184"/>
      <c r="DR145" s="184"/>
      <c r="DS145" s="184"/>
      <c r="DT145" s="184"/>
      <c r="DU145" s="184"/>
      <c r="DV145" s="184"/>
      <c r="DW145" s="184"/>
      <c r="DX145" s="184"/>
      <c r="DY145" s="184"/>
      <c r="DZ145" s="184"/>
      <c r="EA145" s="184"/>
      <c r="EB145" s="184"/>
      <c r="EC145" s="184"/>
      <c r="ED145" s="184"/>
      <c r="EE145" s="184"/>
      <c r="EF145" s="184"/>
      <c r="EG145" s="184"/>
      <c r="EH145" s="184"/>
      <c r="EI145" s="184"/>
      <c r="EJ145" s="184"/>
      <c r="EK145" s="184"/>
      <c r="EL145" s="184"/>
      <c r="EM145" s="184"/>
      <c r="EN145" s="184"/>
      <c r="EO145" s="184"/>
      <c r="EP145" s="184"/>
      <c r="EQ145" s="184"/>
      <c r="ER145" s="184"/>
      <c r="ES145" s="184"/>
      <c r="ET145" s="184"/>
      <c r="EU145" s="184"/>
      <c r="EV145" s="184"/>
      <c r="EW145" s="184"/>
      <c r="EX145" s="184"/>
      <c r="EY145" s="184"/>
      <c r="EZ145" s="184"/>
      <c r="FA145" s="184"/>
      <c r="FB145" s="184"/>
      <c r="FC145" s="184"/>
      <c r="FD145" s="184"/>
      <c r="FE145" s="184"/>
      <c r="FF145" s="184"/>
      <c r="FG145" s="184"/>
      <c r="FH145" s="184"/>
      <c r="FI145" s="184"/>
      <c r="FJ145" s="184"/>
      <c r="FK145" s="184"/>
      <c r="FL145" s="184"/>
      <c r="FM145" s="184"/>
      <c r="FN145" s="184"/>
      <c r="FO145" s="184"/>
      <c r="FP145" s="184"/>
      <c r="FQ145" s="184"/>
      <c r="FR145" s="184"/>
      <c r="FS145" s="184"/>
      <c r="FT145" s="184"/>
      <c r="FU145" s="184"/>
      <c r="FV145" s="184"/>
      <c r="FW145" s="184"/>
      <c r="FX145" s="184"/>
      <c r="FY145" s="184"/>
      <c r="FZ145" s="184"/>
      <c r="GA145" s="184"/>
      <c r="GB145" s="184"/>
      <c r="GC145" s="184"/>
      <c r="GD145" s="184"/>
      <c r="GE145" s="184"/>
      <c r="GF145" s="184"/>
      <c r="GG145" s="184"/>
      <c r="GH145" s="184"/>
      <c r="GI145" s="184"/>
    </row>
    <row r="146" spans="1:191" s="186" customFormat="1" ht="15" customHeight="1">
      <c r="A146" s="184"/>
      <c r="B146" s="190"/>
      <c r="C146" s="211"/>
      <c r="D146" s="193"/>
      <c r="E146" s="193"/>
      <c r="F146" s="188"/>
      <c r="G146" s="188"/>
      <c r="H146" s="190"/>
      <c r="I146" s="188"/>
      <c r="J146" s="184"/>
      <c r="K146" s="190"/>
      <c r="L146" s="190"/>
      <c r="M146" s="190"/>
      <c r="N146" s="184"/>
      <c r="O146" s="191"/>
      <c r="P146" s="191"/>
      <c r="Q146" s="183"/>
      <c r="R146" s="183"/>
      <c r="S146" s="183"/>
      <c r="T146" s="184"/>
      <c r="U146" s="184"/>
      <c r="V146" s="188"/>
      <c r="AB146" s="184"/>
      <c r="AC146" s="184"/>
      <c r="AD146" s="184"/>
      <c r="AE146" s="184"/>
      <c r="AF146" s="184"/>
      <c r="AG146" s="184"/>
      <c r="AH146" s="184"/>
      <c r="AI146" s="184"/>
      <c r="AJ146" s="184"/>
      <c r="AK146" s="184"/>
      <c r="AL146" s="184"/>
      <c r="AM146" s="184"/>
      <c r="AN146" s="184"/>
      <c r="AO146" s="184"/>
      <c r="AP146" s="184"/>
      <c r="AQ146" s="184"/>
      <c r="AR146" s="184"/>
      <c r="AS146" s="184"/>
      <c r="AT146" s="184"/>
      <c r="AU146" s="184"/>
      <c r="AV146" s="184"/>
      <c r="AW146" s="184"/>
      <c r="AX146" s="184"/>
      <c r="AY146" s="184"/>
      <c r="AZ146" s="184"/>
      <c r="BA146" s="184"/>
      <c r="BB146" s="184"/>
      <c r="BC146" s="184"/>
      <c r="BD146" s="184"/>
      <c r="BE146" s="184"/>
      <c r="BF146" s="184"/>
      <c r="BG146" s="184"/>
      <c r="BH146" s="184"/>
      <c r="BI146" s="184"/>
      <c r="BJ146" s="184"/>
      <c r="BK146" s="184"/>
      <c r="BL146" s="184"/>
      <c r="BM146" s="184"/>
      <c r="BN146" s="184"/>
      <c r="BO146" s="184"/>
      <c r="BP146" s="184"/>
      <c r="BQ146" s="184"/>
      <c r="BR146" s="184"/>
      <c r="BS146" s="184"/>
      <c r="BT146" s="184"/>
      <c r="BU146" s="184"/>
      <c r="BV146" s="184"/>
      <c r="BW146" s="184"/>
      <c r="BX146" s="184"/>
      <c r="BY146" s="184"/>
      <c r="BZ146" s="184"/>
      <c r="CA146" s="184"/>
      <c r="CB146" s="184"/>
      <c r="CC146" s="184"/>
      <c r="CD146" s="184"/>
      <c r="CE146" s="184"/>
      <c r="CF146" s="184"/>
      <c r="CG146" s="184"/>
      <c r="CH146" s="184"/>
      <c r="CI146" s="184"/>
      <c r="CJ146" s="184"/>
      <c r="CK146" s="184"/>
      <c r="CL146" s="184"/>
      <c r="CM146" s="184"/>
      <c r="CN146" s="184"/>
      <c r="CO146" s="184"/>
      <c r="CP146" s="184"/>
      <c r="CQ146" s="184"/>
      <c r="CR146" s="184"/>
      <c r="CS146" s="184"/>
      <c r="CT146" s="184"/>
      <c r="CU146" s="184"/>
      <c r="CV146" s="184"/>
      <c r="CW146" s="184"/>
      <c r="CX146" s="184"/>
      <c r="CY146" s="184"/>
      <c r="CZ146" s="184"/>
      <c r="DA146" s="184"/>
      <c r="DB146" s="184"/>
      <c r="DC146" s="184"/>
      <c r="DD146" s="184"/>
      <c r="DE146" s="184"/>
      <c r="DF146" s="184"/>
      <c r="DG146" s="184"/>
      <c r="DH146" s="184"/>
      <c r="DI146" s="184"/>
      <c r="DJ146" s="184"/>
      <c r="DK146" s="184"/>
      <c r="DL146" s="184"/>
      <c r="DM146" s="184"/>
      <c r="DN146" s="184"/>
      <c r="DO146" s="184"/>
      <c r="DP146" s="184"/>
      <c r="DQ146" s="184"/>
      <c r="DR146" s="184"/>
      <c r="DS146" s="184"/>
      <c r="DT146" s="184"/>
      <c r="DU146" s="184"/>
      <c r="DV146" s="184"/>
      <c r="DW146" s="184"/>
      <c r="DX146" s="184"/>
      <c r="DY146" s="184"/>
      <c r="DZ146" s="184"/>
      <c r="EA146" s="184"/>
      <c r="EB146" s="184"/>
      <c r="EC146" s="184"/>
      <c r="ED146" s="184"/>
      <c r="EE146" s="184"/>
      <c r="EF146" s="184"/>
      <c r="EG146" s="184"/>
      <c r="EH146" s="184"/>
      <c r="EI146" s="184"/>
      <c r="EJ146" s="184"/>
      <c r="EK146" s="184"/>
      <c r="EL146" s="184"/>
      <c r="EM146" s="184"/>
      <c r="EN146" s="184"/>
      <c r="EO146" s="184"/>
      <c r="EP146" s="184"/>
      <c r="EQ146" s="184"/>
      <c r="ER146" s="184"/>
      <c r="ES146" s="184"/>
      <c r="ET146" s="184"/>
      <c r="EU146" s="184"/>
      <c r="EV146" s="184"/>
      <c r="EW146" s="184"/>
      <c r="EX146" s="184"/>
      <c r="EY146" s="184"/>
      <c r="EZ146" s="184"/>
      <c r="FA146" s="184"/>
      <c r="FB146" s="184"/>
      <c r="FC146" s="184"/>
      <c r="FD146" s="184"/>
      <c r="FE146" s="184"/>
      <c r="FF146" s="184"/>
      <c r="FG146" s="184"/>
      <c r="FH146" s="184"/>
      <c r="FI146" s="184"/>
      <c r="FJ146" s="184"/>
      <c r="FK146" s="184"/>
      <c r="FL146" s="184"/>
      <c r="FM146" s="184"/>
      <c r="FN146" s="184"/>
      <c r="FO146" s="184"/>
      <c r="FP146" s="184"/>
      <c r="FQ146" s="184"/>
      <c r="FR146" s="184"/>
      <c r="FS146" s="184"/>
      <c r="FT146" s="184"/>
      <c r="FU146" s="184"/>
      <c r="FV146" s="184"/>
      <c r="FW146" s="184"/>
      <c r="FX146" s="184"/>
      <c r="FY146" s="184"/>
      <c r="FZ146" s="184"/>
      <c r="GA146" s="184"/>
      <c r="GB146" s="184"/>
      <c r="GC146" s="184"/>
      <c r="GD146" s="184"/>
      <c r="GE146" s="184"/>
      <c r="GF146" s="184"/>
      <c r="GG146" s="184"/>
      <c r="GH146" s="184"/>
      <c r="GI146" s="184"/>
    </row>
    <row r="147" spans="1:191" s="186" customFormat="1" ht="15" customHeight="1">
      <c r="A147" s="184"/>
      <c r="B147" s="190"/>
      <c r="C147" s="211"/>
      <c r="D147" s="193"/>
      <c r="E147" s="193"/>
      <c r="F147" s="188"/>
      <c r="G147" s="188"/>
      <c r="H147" s="190"/>
      <c r="I147" s="188"/>
      <c r="J147" s="184"/>
      <c r="K147" s="190"/>
      <c r="L147" s="190"/>
      <c r="M147" s="190"/>
      <c r="N147" s="184"/>
      <c r="O147" s="191"/>
      <c r="P147" s="191"/>
      <c r="Q147" s="183"/>
      <c r="R147" s="183"/>
      <c r="S147" s="183"/>
      <c r="T147" s="184"/>
      <c r="U147" s="184"/>
      <c r="V147" s="188"/>
      <c r="AB147" s="184"/>
      <c r="AC147" s="184"/>
      <c r="AD147" s="184"/>
      <c r="AE147" s="184"/>
      <c r="AF147" s="184"/>
      <c r="AG147" s="184"/>
      <c r="AH147" s="184"/>
      <c r="AI147" s="184"/>
      <c r="AJ147" s="184"/>
      <c r="AK147" s="184"/>
      <c r="AL147" s="184"/>
      <c r="AM147" s="184"/>
      <c r="AN147" s="184"/>
      <c r="AO147" s="184"/>
      <c r="AP147" s="184"/>
      <c r="AQ147" s="184"/>
      <c r="AR147" s="184"/>
      <c r="AS147" s="184"/>
      <c r="AT147" s="184"/>
      <c r="AU147" s="184"/>
      <c r="AV147" s="184"/>
      <c r="AW147" s="184"/>
      <c r="AX147" s="184"/>
      <c r="AY147" s="184"/>
      <c r="AZ147" s="184"/>
      <c r="BA147" s="184"/>
      <c r="BB147" s="184"/>
      <c r="BC147" s="184"/>
      <c r="BD147" s="184"/>
      <c r="BE147" s="184"/>
      <c r="BF147" s="184"/>
      <c r="BG147" s="184"/>
      <c r="BH147" s="184"/>
      <c r="BI147" s="184"/>
      <c r="BJ147" s="184"/>
      <c r="BK147" s="184"/>
      <c r="BL147" s="184"/>
      <c r="BM147" s="184"/>
      <c r="BN147" s="184"/>
      <c r="BO147" s="184"/>
      <c r="BP147" s="184"/>
      <c r="BQ147" s="184"/>
      <c r="BR147" s="184"/>
      <c r="BS147" s="184"/>
      <c r="BT147" s="184"/>
      <c r="BU147" s="184"/>
      <c r="BV147" s="184"/>
      <c r="BW147" s="184"/>
      <c r="BX147" s="184"/>
      <c r="BY147" s="184"/>
      <c r="BZ147" s="184"/>
      <c r="CA147" s="184"/>
      <c r="CB147" s="184"/>
      <c r="CC147" s="184"/>
      <c r="CD147" s="184"/>
      <c r="CE147" s="184"/>
      <c r="CF147" s="184"/>
      <c r="CG147" s="184"/>
      <c r="CH147" s="184"/>
      <c r="CI147" s="184"/>
      <c r="CJ147" s="184"/>
      <c r="CK147" s="184"/>
      <c r="CL147" s="184"/>
      <c r="CM147" s="184"/>
      <c r="CN147" s="184"/>
      <c r="CO147" s="184"/>
      <c r="CP147" s="184"/>
      <c r="CQ147" s="184"/>
      <c r="CR147" s="184"/>
      <c r="CS147" s="184"/>
      <c r="CT147" s="184"/>
      <c r="CU147" s="184"/>
      <c r="CV147" s="184"/>
      <c r="CW147" s="184"/>
      <c r="CX147" s="184"/>
      <c r="CY147" s="184"/>
      <c r="CZ147" s="184"/>
      <c r="DA147" s="184"/>
      <c r="DB147" s="184"/>
      <c r="DC147" s="184"/>
      <c r="DD147" s="184"/>
      <c r="DE147" s="184"/>
      <c r="DF147" s="184"/>
      <c r="DG147" s="184"/>
      <c r="DH147" s="184"/>
      <c r="DI147" s="184"/>
      <c r="DJ147" s="184"/>
      <c r="DK147" s="184"/>
      <c r="DL147" s="184"/>
      <c r="DM147" s="184"/>
      <c r="DN147" s="184"/>
      <c r="DO147" s="184"/>
      <c r="DP147" s="184"/>
      <c r="DQ147" s="184"/>
      <c r="DR147" s="184"/>
      <c r="DS147" s="184"/>
      <c r="DT147" s="184"/>
      <c r="DU147" s="184"/>
      <c r="DV147" s="184"/>
      <c r="DW147" s="184"/>
      <c r="DX147" s="184"/>
      <c r="DY147" s="184"/>
      <c r="DZ147" s="184"/>
      <c r="EA147" s="184"/>
      <c r="EB147" s="184"/>
      <c r="EC147" s="184"/>
      <c r="ED147" s="184"/>
      <c r="EE147" s="184"/>
      <c r="EF147" s="184"/>
      <c r="EG147" s="184"/>
      <c r="EH147" s="184"/>
      <c r="EI147" s="184"/>
      <c r="EJ147" s="184"/>
      <c r="EK147" s="184"/>
      <c r="EL147" s="184"/>
      <c r="EM147" s="184"/>
      <c r="EN147" s="184"/>
      <c r="EO147" s="184"/>
      <c r="EP147" s="184"/>
      <c r="EQ147" s="184"/>
      <c r="ER147" s="184"/>
      <c r="ES147" s="184"/>
      <c r="ET147" s="184"/>
      <c r="EU147" s="184"/>
      <c r="EV147" s="184"/>
      <c r="EW147" s="184"/>
      <c r="EX147" s="184"/>
      <c r="EY147" s="184"/>
      <c r="EZ147" s="184"/>
      <c r="FA147" s="184"/>
      <c r="FB147" s="184"/>
      <c r="FC147" s="184"/>
      <c r="FD147" s="184"/>
      <c r="FE147" s="184"/>
      <c r="FF147" s="184"/>
      <c r="FG147" s="184"/>
      <c r="FH147" s="184"/>
      <c r="FI147" s="184"/>
      <c r="FJ147" s="184"/>
      <c r="FK147" s="184"/>
      <c r="FL147" s="184"/>
      <c r="FM147" s="184"/>
      <c r="FN147" s="184"/>
      <c r="FO147" s="184"/>
      <c r="FP147" s="184"/>
      <c r="FQ147" s="184"/>
      <c r="FR147" s="184"/>
      <c r="FS147" s="184"/>
      <c r="FT147" s="184"/>
      <c r="FU147" s="184"/>
      <c r="FV147" s="184"/>
      <c r="FW147" s="184"/>
      <c r="FX147" s="184"/>
      <c r="FY147" s="184"/>
      <c r="FZ147" s="184"/>
      <c r="GA147" s="184"/>
      <c r="GB147" s="184"/>
      <c r="GC147" s="184"/>
      <c r="GD147" s="184"/>
      <c r="GE147" s="184"/>
      <c r="GF147" s="184"/>
      <c r="GG147" s="184"/>
      <c r="GH147" s="184"/>
      <c r="GI147" s="184"/>
    </row>
    <row r="148" spans="1:191" s="186" customFormat="1" ht="15" customHeight="1">
      <c r="A148" s="184"/>
      <c r="B148" s="190"/>
      <c r="C148" s="211"/>
      <c r="D148" s="193"/>
      <c r="E148" s="193"/>
      <c r="F148" s="188"/>
      <c r="G148" s="188"/>
      <c r="H148" s="190"/>
      <c r="I148" s="188"/>
      <c r="J148" s="184"/>
      <c r="K148" s="190"/>
      <c r="L148" s="190"/>
      <c r="M148" s="190"/>
      <c r="N148" s="184"/>
      <c r="O148" s="191"/>
      <c r="P148" s="191"/>
      <c r="Q148" s="183"/>
      <c r="R148" s="183"/>
      <c r="S148" s="183"/>
      <c r="T148" s="184"/>
      <c r="U148" s="184"/>
      <c r="V148" s="188"/>
      <c r="AB148" s="184"/>
      <c r="AC148" s="184"/>
      <c r="AD148" s="184"/>
      <c r="AE148" s="184"/>
      <c r="AF148" s="184"/>
      <c r="AG148" s="184"/>
      <c r="AH148" s="184"/>
      <c r="AI148" s="184"/>
      <c r="AJ148" s="184"/>
      <c r="AK148" s="184"/>
      <c r="AL148" s="184"/>
      <c r="AM148" s="184"/>
      <c r="AN148" s="184"/>
      <c r="AO148" s="184"/>
      <c r="AP148" s="184"/>
      <c r="AQ148" s="184"/>
      <c r="AR148" s="184"/>
      <c r="AS148" s="184"/>
      <c r="AT148" s="184"/>
      <c r="AU148" s="184"/>
      <c r="AV148" s="184"/>
      <c r="AW148" s="184"/>
      <c r="AX148" s="184"/>
      <c r="AY148" s="184"/>
      <c r="AZ148" s="184"/>
      <c r="BA148" s="184"/>
      <c r="BB148" s="184"/>
      <c r="BC148" s="184"/>
      <c r="BD148" s="184"/>
      <c r="BE148" s="184"/>
      <c r="BF148" s="184"/>
      <c r="BG148" s="184"/>
      <c r="BH148" s="184"/>
      <c r="BI148" s="184"/>
      <c r="BJ148" s="184"/>
      <c r="BK148" s="184"/>
      <c r="BL148" s="184"/>
      <c r="BM148" s="184"/>
      <c r="BN148" s="184"/>
      <c r="BO148" s="184"/>
      <c r="BP148" s="184"/>
      <c r="BQ148" s="184"/>
      <c r="BR148" s="184"/>
      <c r="BS148" s="184"/>
      <c r="BT148" s="184"/>
      <c r="BU148" s="184"/>
      <c r="BV148" s="184"/>
      <c r="BW148" s="184"/>
      <c r="BX148" s="184"/>
      <c r="BY148" s="184"/>
      <c r="BZ148" s="184"/>
      <c r="CA148" s="184"/>
      <c r="CB148" s="184"/>
      <c r="CC148" s="184"/>
      <c r="CD148" s="184"/>
      <c r="CE148" s="184"/>
      <c r="CF148" s="184"/>
      <c r="CG148" s="184"/>
      <c r="CH148" s="184"/>
      <c r="CI148" s="184"/>
      <c r="CJ148" s="184"/>
      <c r="CK148" s="184"/>
      <c r="CL148" s="184"/>
      <c r="CM148" s="184"/>
      <c r="CN148" s="184"/>
      <c r="CO148" s="184"/>
      <c r="CP148" s="184"/>
      <c r="CQ148" s="184"/>
      <c r="CR148" s="184"/>
      <c r="CS148" s="184"/>
      <c r="CT148" s="184"/>
      <c r="CU148" s="184"/>
      <c r="CV148" s="184"/>
      <c r="CW148" s="184"/>
      <c r="CX148" s="184"/>
      <c r="CY148" s="184"/>
      <c r="CZ148" s="184"/>
      <c r="DA148" s="184"/>
      <c r="DB148" s="184"/>
      <c r="DC148" s="184"/>
      <c r="DD148" s="184"/>
      <c r="DE148" s="184"/>
      <c r="DF148" s="184"/>
      <c r="DG148" s="184"/>
      <c r="DH148" s="184"/>
      <c r="DI148" s="184"/>
      <c r="DJ148" s="184"/>
      <c r="DK148" s="184"/>
      <c r="DL148" s="184"/>
      <c r="DM148" s="184"/>
      <c r="DN148" s="184"/>
      <c r="DO148" s="184"/>
      <c r="DP148" s="184"/>
      <c r="DQ148" s="184"/>
      <c r="DR148" s="184"/>
      <c r="DS148" s="184"/>
      <c r="DT148" s="184"/>
      <c r="DU148" s="184"/>
      <c r="DV148" s="184"/>
      <c r="DW148" s="184"/>
      <c r="DX148" s="184"/>
      <c r="DY148" s="184"/>
      <c r="DZ148" s="184"/>
      <c r="EA148" s="184"/>
      <c r="EB148" s="184"/>
      <c r="EC148" s="184"/>
      <c r="ED148" s="184"/>
      <c r="EE148" s="184"/>
      <c r="EF148" s="184"/>
      <c r="EG148" s="184"/>
      <c r="EH148" s="184"/>
      <c r="EI148" s="184"/>
      <c r="EJ148" s="184"/>
      <c r="EK148" s="184"/>
      <c r="EL148" s="184"/>
      <c r="EM148" s="184"/>
      <c r="EN148" s="184"/>
      <c r="EO148" s="184"/>
      <c r="EP148" s="184"/>
      <c r="EQ148" s="184"/>
      <c r="ER148" s="184"/>
      <c r="ES148" s="184"/>
      <c r="ET148" s="184"/>
      <c r="EU148" s="184"/>
      <c r="EV148" s="184"/>
      <c r="EW148" s="184"/>
      <c r="EX148" s="184"/>
      <c r="EY148" s="184"/>
      <c r="EZ148" s="184"/>
      <c r="FA148" s="184"/>
      <c r="FB148" s="184"/>
      <c r="FC148" s="184"/>
      <c r="FD148" s="184"/>
      <c r="FE148" s="184"/>
      <c r="FF148" s="184"/>
      <c r="FG148" s="184"/>
      <c r="FH148" s="184"/>
      <c r="FI148" s="184"/>
      <c r="FJ148" s="184"/>
      <c r="FK148" s="184"/>
      <c r="FL148" s="184"/>
      <c r="FM148" s="184"/>
      <c r="FN148" s="184"/>
      <c r="FO148" s="184"/>
      <c r="FP148" s="184"/>
      <c r="FQ148" s="184"/>
      <c r="FR148" s="184"/>
      <c r="FS148" s="184"/>
      <c r="FT148" s="184"/>
      <c r="FU148" s="184"/>
      <c r="FV148" s="184"/>
      <c r="FW148" s="184"/>
      <c r="FX148" s="184"/>
      <c r="FY148" s="184"/>
      <c r="FZ148" s="184"/>
      <c r="GA148" s="184"/>
      <c r="GB148" s="184"/>
      <c r="GC148" s="184"/>
      <c r="GD148" s="184"/>
      <c r="GE148" s="184"/>
      <c r="GF148" s="184"/>
      <c r="GG148" s="184"/>
      <c r="GH148" s="184"/>
      <c r="GI148" s="184"/>
    </row>
    <row r="149" spans="1:191" s="186" customFormat="1" ht="15" customHeight="1">
      <c r="A149" s="184"/>
      <c r="B149" s="190"/>
      <c r="C149" s="211"/>
      <c r="D149" s="193"/>
      <c r="E149" s="193"/>
      <c r="F149" s="188"/>
      <c r="G149" s="188"/>
      <c r="H149" s="190"/>
      <c r="I149" s="188"/>
      <c r="J149" s="184"/>
      <c r="K149" s="190"/>
      <c r="L149" s="190"/>
      <c r="M149" s="190"/>
      <c r="N149" s="184"/>
      <c r="O149" s="191"/>
      <c r="P149" s="191"/>
      <c r="Q149" s="183"/>
      <c r="R149" s="183"/>
      <c r="S149" s="183"/>
      <c r="T149" s="184"/>
      <c r="U149" s="184"/>
      <c r="V149" s="188"/>
      <c r="AB149" s="184"/>
      <c r="AC149" s="184"/>
      <c r="AD149" s="184"/>
      <c r="AE149" s="184"/>
      <c r="AF149" s="184"/>
      <c r="AG149" s="184"/>
      <c r="AH149" s="184"/>
      <c r="AI149" s="184"/>
      <c r="AJ149" s="184"/>
      <c r="AK149" s="184"/>
      <c r="AL149" s="184"/>
      <c r="AM149" s="184"/>
      <c r="AN149" s="184"/>
      <c r="AO149" s="184"/>
      <c r="AP149" s="184"/>
      <c r="AQ149" s="184"/>
      <c r="AR149" s="184"/>
      <c r="AS149" s="184"/>
      <c r="AT149" s="184"/>
      <c r="AU149" s="184"/>
      <c r="AV149" s="184"/>
      <c r="AW149" s="184"/>
      <c r="AX149" s="184"/>
      <c r="AY149" s="184"/>
      <c r="AZ149" s="184"/>
      <c r="BA149" s="184"/>
      <c r="BB149" s="184"/>
      <c r="BC149" s="184"/>
      <c r="BD149" s="184"/>
      <c r="BE149" s="184"/>
      <c r="BF149" s="184"/>
      <c r="BG149" s="184"/>
      <c r="BH149" s="184"/>
      <c r="BI149" s="184"/>
      <c r="BJ149" s="184"/>
      <c r="BK149" s="184"/>
      <c r="BL149" s="184"/>
      <c r="BM149" s="184"/>
      <c r="BN149" s="184"/>
      <c r="BO149" s="184"/>
      <c r="BP149" s="184"/>
      <c r="BQ149" s="184"/>
      <c r="BR149" s="184"/>
      <c r="BS149" s="184"/>
      <c r="BT149" s="184"/>
      <c r="BU149" s="184"/>
      <c r="BV149" s="184"/>
      <c r="BW149" s="184"/>
      <c r="BX149" s="184"/>
      <c r="BY149" s="184"/>
      <c r="BZ149" s="184"/>
      <c r="CA149" s="184"/>
      <c r="CB149" s="184"/>
      <c r="CC149" s="184"/>
      <c r="CD149" s="184"/>
      <c r="CE149" s="184"/>
      <c r="CF149" s="184"/>
      <c r="CG149" s="184"/>
      <c r="CH149" s="184"/>
      <c r="CI149" s="184"/>
      <c r="CJ149" s="184"/>
      <c r="CK149" s="184"/>
      <c r="CL149" s="184"/>
      <c r="CM149" s="184"/>
      <c r="CN149" s="184"/>
      <c r="CO149" s="184"/>
      <c r="CP149" s="184"/>
      <c r="CQ149" s="184"/>
      <c r="CR149" s="184"/>
      <c r="CS149" s="184"/>
      <c r="CT149" s="184"/>
      <c r="CU149" s="184"/>
      <c r="CV149" s="184"/>
      <c r="CW149" s="184"/>
      <c r="CX149" s="184"/>
      <c r="CY149" s="184"/>
      <c r="CZ149" s="184"/>
      <c r="DA149" s="184"/>
      <c r="DB149" s="184"/>
      <c r="DC149" s="184"/>
      <c r="DD149" s="184"/>
      <c r="DE149" s="184"/>
      <c r="DF149" s="184"/>
      <c r="DG149" s="184"/>
      <c r="DH149" s="184"/>
      <c r="DI149" s="184"/>
      <c r="DJ149" s="184"/>
      <c r="DK149" s="184"/>
      <c r="DL149" s="184"/>
      <c r="DM149" s="184"/>
      <c r="DN149" s="184"/>
      <c r="DO149" s="184"/>
      <c r="DP149" s="184"/>
      <c r="DQ149" s="184"/>
      <c r="DR149" s="184"/>
      <c r="DS149" s="184"/>
      <c r="DT149" s="184"/>
      <c r="DU149" s="184"/>
      <c r="DV149" s="184"/>
      <c r="DW149" s="184"/>
      <c r="DX149" s="184"/>
      <c r="DY149" s="184"/>
      <c r="DZ149" s="184"/>
      <c r="EA149" s="184"/>
      <c r="EB149" s="184"/>
      <c r="EC149" s="184"/>
      <c r="ED149" s="184"/>
      <c r="EE149" s="184"/>
      <c r="EF149" s="184"/>
      <c r="EG149" s="184"/>
      <c r="EH149" s="184"/>
      <c r="EI149" s="184"/>
      <c r="EJ149" s="184"/>
      <c r="EK149" s="184"/>
      <c r="EL149" s="184"/>
      <c r="EM149" s="184"/>
      <c r="EN149" s="184"/>
      <c r="EO149" s="184"/>
      <c r="EP149" s="184"/>
      <c r="EQ149" s="184"/>
      <c r="ER149" s="184"/>
      <c r="ES149" s="184"/>
      <c r="ET149" s="184"/>
      <c r="EU149" s="184"/>
      <c r="EV149" s="184"/>
      <c r="EW149" s="184"/>
      <c r="EX149" s="184"/>
      <c r="EY149" s="184"/>
      <c r="EZ149" s="184"/>
      <c r="FA149" s="184"/>
      <c r="FB149" s="184"/>
      <c r="FC149" s="184"/>
      <c r="FD149" s="184"/>
      <c r="FE149" s="184"/>
      <c r="FF149" s="184"/>
      <c r="FG149" s="184"/>
      <c r="FH149" s="184"/>
      <c r="FI149" s="184"/>
      <c r="FJ149" s="184"/>
      <c r="FK149" s="184"/>
      <c r="FL149" s="184"/>
      <c r="FM149" s="184"/>
      <c r="FN149" s="184"/>
      <c r="FO149" s="184"/>
      <c r="FP149" s="184"/>
      <c r="FQ149" s="184"/>
      <c r="FR149" s="184"/>
      <c r="FS149" s="184"/>
      <c r="FT149" s="184"/>
      <c r="FU149" s="184"/>
      <c r="FV149" s="184"/>
      <c r="FW149" s="184"/>
      <c r="FX149" s="184"/>
      <c r="FY149" s="184"/>
      <c r="FZ149" s="184"/>
      <c r="GA149" s="184"/>
      <c r="GB149" s="184"/>
      <c r="GC149" s="184"/>
      <c r="GD149" s="184"/>
      <c r="GE149" s="184"/>
      <c r="GF149" s="184"/>
      <c r="GG149" s="184"/>
      <c r="GH149" s="184"/>
      <c r="GI149" s="184"/>
    </row>
    <row r="150" spans="1:191" s="186" customFormat="1" ht="15" customHeight="1">
      <c r="A150" s="184"/>
      <c r="B150" s="190"/>
      <c r="C150" s="211"/>
      <c r="D150" s="193"/>
      <c r="E150" s="193"/>
      <c r="F150" s="188"/>
      <c r="G150" s="188"/>
      <c r="H150" s="190"/>
      <c r="I150" s="188"/>
      <c r="J150" s="184"/>
      <c r="K150" s="190"/>
      <c r="L150" s="190"/>
      <c r="M150" s="190"/>
      <c r="N150" s="184"/>
      <c r="O150" s="191"/>
      <c r="P150" s="191"/>
      <c r="Q150" s="183"/>
      <c r="R150" s="183"/>
      <c r="S150" s="183"/>
      <c r="T150" s="184"/>
      <c r="U150" s="184"/>
      <c r="V150" s="188"/>
      <c r="AB150" s="184"/>
      <c r="AC150" s="184"/>
      <c r="AD150" s="184"/>
      <c r="AE150" s="184"/>
      <c r="AF150" s="184"/>
      <c r="AG150" s="184"/>
      <c r="AH150" s="184"/>
      <c r="AI150" s="184"/>
      <c r="AJ150" s="184"/>
      <c r="AK150" s="184"/>
      <c r="AL150" s="184"/>
      <c r="AM150" s="184"/>
      <c r="AN150" s="184"/>
      <c r="AO150" s="184"/>
      <c r="AP150" s="184"/>
      <c r="AQ150" s="184"/>
      <c r="AR150" s="184"/>
      <c r="AS150" s="184"/>
      <c r="AT150" s="184"/>
      <c r="AU150" s="184"/>
      <c r="AV150" s="184"/>
      <c r="AW150" s="184"/>
      <c r="AX150" s="184"/>
      <c r="AY150" s="184"/>
      <c r="AZ150" s="184"/>
      <c r="BA150" s="184"/>
      <c r="BB150" s="184"/>
      <c r="BC150" s="184"/>
      <c r="BD150" s="184"/>
      <c r="BE150" s="184"/>
      <c r="BF150" s="184"/>
      <c r="BG150" s="184"/>
      <c r="BH150" s="184"/>
      <c r="BI150" s="184"/>
      <c r="BJ150" s="184"/>
      <c r="BK150" s="184"/>
      <c r="BL150" s="184"/>
      <c r="BM150" s="184"/>
      <c r="BN150" s="184"/>
      <c r="BO150" s="184"/>
      <c r="BP150" s="184"/>
      <c r="BQ150" s="184"/>
      <c r="BR150" s="184"/>
      <c r="BS150" s="184"/>
      <c r="BT150" s="184"/>
      <c r="BU150" s="184"/>
      <c r="BV150" s="184"/>
      <c r="BW150" s="184"/>
      <c r="BX150" s="184"/>
      <c r="BY150" s="184"/>
      <c r="BZ150" s="184"/>
      <c r="CA150" s="184"/>
      <c r="CB150" s="184"/>
      <c r="CC150" s="184"/>
      <c r="CD150" s="184"/>
      <c r="CE150" s="184"/>
      <c r="CF150" s="184"/>
      <c r="CG150" s="184"/>
      <c r="CH150" s="184"/>
      <c r="CI150" s="184"/>
      <c r="CJ150" s="184"/>
      <c r="CK150" s="184"/>
      <c r="CL150" s="184"/>
      <c r="CM150" s="184"/>
      <c r="CN150" s="184"/>
      <c r="CO150" s="184"/>
      <c r="CP150" s="184"/>
      <c r="CQ150" s="184"/>
      <c r="CR150" s="184"/>
      <c r="CS150" s="184"/>
      <c r="CT150" s="184"/>
      <c r="CU150" s="184"/>
      <c r="CV150" s="184"/>
      <c r="CW150" s="184"/>
      <c r="CX150" s="184"/>
      <c r="CY150" s="184"/>
      <c r="CZ150" s="184"/>
      <c r="DA150" s="184"/>
      <c r="DB150" s="184"/>
      <c r="DC150" s="184"/>
      <c r="DD150" s="184"/>
      <c r="DE150" s="184"/>
      <c r="DF150" s="184"/>
      <c r="DG150" s="184"/>
      <c r="DH150" s="184"/>
      <c r="DI150" s="184"/>
      <c r="DJ150" s="184"/>
      <c r="DK150" s="184"/>
      <c r="DL150" s="184"/>
      <c r="DM150" s="184"/>
      <c r="DN150" s="184"/>
      <c r="DO150" s="184"/>
      <c r="DP150" s="184"/>
      <c r="DQ150" s="184"/>
      <c r="DR150" s="184"/>
      <c r="DS150" s="184"/>
      <c r="DT150" s="184"/>
      <c r="DU150" s="184"/>
      <c r="DV150" s="184"/>
      <c r="DW150" s="184"/>
      <c r="DX150" s="184"/>
      <c r="DY150" s="184"/>
      <c r="DZ150" s="184"/>
      <c r="EA150" s="184"/>
      <c r="EB150" s="184"/>
      <c r="EC150" s="184"/>
      <c r="ED150" s="184"/>
      <c r="EE150" s="184"/>
      <c r="EF150" s="184"/>
      <c r="EG150" s="184"/>
      <c r="EH150" s="184"/>
      <c r="EI150" s="184"/>
      <c r="EJ150" s="184"/>
      <c r="EK150" s="184"/>
      <c r="EL150" s="184"/>
      <c r="EM150" s="184"/>
      <c r="EN150" s="184"/>
      <c r="EO150" s="184"/>
      <c r="EP150" s="184"/>
      <c r="EQ150" s="184"/>
      <c r="ER150" s="184"/>
      <c r="ES150" s="184"/>
      <c r="ET150" s="184"/>
      <c r="EU150" s="184"/>
      <c r="EV150" s="184"/>
      <c r="EW150" s="184"/>
      <c r="EX150" s="184"/>
      <c r="EY150" s="184"/>
      <c r="EZ150" s="184"/>
      <c r="FA150" s="184"/>
      <c r="FB150" s="184"/>
      <c r="FC150" s="184"/>
      <c r="FD150" s="184"/>
      <c r="FE150" s="184"/>
      <c r="FF150" s="184"/>
      <c r="FG150" s="184"/>
      <c r="FH150" s="184"/>
      <c r="FI150" s="184"/>
      <c r="FJ150" s="184"/>
      <c r="FK150" s="184"/>
      <c r="FL150" s="184"/>
      <c r="FM150" s="184"/>
      <c r="FN150" s="184"/>
      <c r="FO150" s="184"/>
      <c r="FP150" s="184"/>
      <c r="FQ150" s="184"/>
      <c r="FR150" s="184"/>
      <c r="FS150" s="184"/>
      <c r="FT150" s="184"/>
      <c r="FU150" s="184"/>
      <c r="FV150" s="184"/>
      <c r="FW150" s="184"/>
      <c r="FX150" s="184"/>
      <c r="FY150" s="184"/>
      <c r="FZ150" s="184"/>
      <c r="GA150" s="184"/>
      <c r="GB150" s="184"/>
      <c r="GC150" s="184"/>
      <c r="GD150" s="184"/>
      <c r="GE150" s="184"/>
      <c r="GF150" s="184"/>
      <c r="GG150" s="184"/>
      <c r="GH150" s="184"/>
      <c r="GI150" s="184"/>
    </row>
    <row r="151" spans="1:191" s="186" customFormat="1" ht="15" customHeight="1">
      <c r="A151" s="184"/>
      <c r="B151" s="190"/>
      <c r="C151" s="211"/>
      <c r="D151" s="193"/>
      <c r="E151" s="193"/>
      <c r="F151" s="188"/>
      <c r="G151" s="188"/>
      <c r="H151" s="190"/>
      <c r="I151" s="188"/>
      <c r="J151" s="184"/>
      <c r="K151" s="190"/>
      <c r="L151" s="190"/>
      <c r="M151" s="190"/>
      <c r="N151" s="184"/>
      <c r="O151" s="191"/>
      <c r="P151" s="191"/>
      <c r="Q151" s="183"/>
      <c r="R151" s="183"/>
      <c r="S151" s="183"/>
      <c r="T151" s="184"/>
      <c r="U151" s="184"/>
      <c r="V151" s="188"/>
      <c r="AB151" s="184"/>
      <c r="AC151" s="184"/>
      <c r="AD151" s="184"/>
      <c r="AE151" s="184"/>
      <c r="AF151" s="184"/>
      <c r="AG151" s="184"/>
      <c r="AH151" s="184"/>
      <c r="AI151" s="184"/>
      <c r="AJ151" s="184"/>
      <c r="AK151" s="184"/>
      <c r="AL151" s="184"/>
      <c r="AM151" s="184"/>
      <c r="AN151" s="184"/>
      <c r="AO151" s="184"/>
      <c r="AP151" s="184"/>
      <c r="AQ151" s="184"/>
      <c r="AR151" s="184"/>
      <c r="AS151" s="184"/>
      <c r="AT151" s="184"/>
      <c r="AU151" s="184"/>
      <c r="AV151" s="184"/>
      <c r="AW151" s="184"/>
      <c r="AX151" s="184"/>
      <c r="AY151" s="184"/>
      <c r="AZ151" s="184"/>
      <c r="BA151" s="184"/>
      <c r="BB151" s="184"/>
      <c r="BC151" s="184"/>
      <c r="BD151" s="184"/>
      <c r="BE151" s="184"/>
      <c r="BF151" s="184"/>
      <c r="BG151" s="184"/>
      <c r="BH151" s="184"/>
      <c r="BI151" s="184"/>
      <c r="BJ151" s="184"/>
      <c r="BK151" s="184"/>
      <c r="BL151" s="184"/>
      <c r="BM151" s="184"/>
      <c r="BN151" s="184"/>
      <c r="BO151" s="184"/>
      <c r="BP151" s="184"/>
      <c r="BQ151" s="184"/>
      <c r="BR151" s="184"/>
      <c r="BS151" s="184"/>
      <c r="BT151" s="184"/>
      <c r="BU151" s="184"/>
      <c r="BV151" s="184"/>
      <c r="BW151" s="184"/>
      <c r="BX151" s="184"/>
      <c r="BY151" s="184"/>
      <c r="BZ151" s="184"/>
      <c r="CA151" s="184"/>
      <c r="CB151" s="184"/>
      <c r="CC151" s="184"/>
      <c r="CD151" s="184"/>
      <c r="CE151" s="184"/>
      <c r="CF151" s="184"/>
      <c r="CG151" s="184"/>
      <c r="CH151" s="184"/>
      <c r="CI151" s="184"/>
      <c r="CJ151" s="184"/>
      <c r="CK151" s="184"/>
      <c r="CL151" s="184"/>
      <c r="CM151" s="184"/>
      <c r="CN151" s="184"/>
      <c r="CO151" s="184"/>
      <c r="CP151" s="184"/>
      <c r="CQ151" s="184"/>
      <c r="CR151" s="184"/>
      <c r="CS151" s="184"/>
      <c r="CT151" s="184"/>
      <c r="CU151" s="184"/>
      <c r="CV151" s="184"/>
      <c r="CW151" s="184"/>
      <c r="CX151" s="184"/>
      <c r="CY151" s="184"/>
      <c r="CZ151" s="184"/>
      <c r="DA151" s="184"/>
      <c r="DB151" s="184"/>
      <c r="DC151" s="184"/>
      <c r="DD151" s="184"/>
      <c r="DE151" s="184"/>
      <c r="DF151" s="184"/>
      <c r="DG151" s="184"/>
      <c r="DH151" s="184"/>
      <c r="DI151" s="184"/>
      <c r="DJ151" s="184"/>
      <c r="DK151" s="184"/>
      <c r="DL151" s="184"/>
      <c r="DM151" s="184"/>
      <c r="DN151" s="184"/>
      <c r="DO151" s="184"/>
      <c r="DP151" s="184"/>
      <c r="DQ151" s="184"/>
      <c r="DR151" s="184"/>
      <c r="DS151" s="184"/>
      <c r="DT151" s="184"/>
      <c r="DU151" s="184"/>
      <c r="DV151" s="184"/>
      <c r="DW151" s="184"/>
      <c r="DX151" s="184"/>
      <c r="DY151" s="184"/>
      <c r="DZ151" s="184"/>
      <c r="EA151" s="184"/>
      <c r="EB151" s="184"/>
      <c r="EC151" s="184"/>
      <c r="ED151" s="184"/>
      <c r="EE151" s="184"/>
      <c r="EF151" s="184"/>
      <c r="EG151" s="184"/>
      <c r="EH151" s="184"/>
      <c r="EI151" s="184"/>
      <c r="EJ151" s="184"/>
      <c r="EK151" s="184"/>
      <c r="EL151" s="184"/>
      <c r="EM151" s="184"/>
      <c r="EN151" s="184"/>
      <c r="EO151" s="184"/>
      <c r="EP151" s="184"/>
      <c r="EQ151" s="184"/>
      <c r="ER151" s="184"/>
      <c r="ES151" s="184"/>
      <c r="ET151" s="184"/>
      <c r="EU151" s="184"/>
      <c r="EV151" s="184"/>
      <c r="EW151" s="184"/>
      <c r="EX151" s="184"/>
      <c r="EY151" s="184"/>
      <c r="EZ151" s="184"/>
      <c r="FA151" s="184"/>
      <c r="FB151" s="184"/>
      <c r="FC151" s="184"/>
      <c r="FD151" s="184"/>
      <c r="FE151" s="184"/>
      <c r="FF151" s="184"/>
      <c r="FG151" s="184"/>
      <c r="FH151" s="184"/>
      <c r="FI151" s="184"/>
      <c r="FJ151" s="184"/>
      <c r="FK151" s="184"/>
      <c r="FL151" s="184"/>
      <c r="FM151" s="184"/>
      <c r="FN151" s="184"/>
      <c r="FO151" s="184"/>
      <c r="FP151" s="184"/>
      <c r="FQ151" s="184"/>
      <c r="FR151" s="184"/>
      <c r="FS151" s="184"/>
      <c r="FT151" s="184"/>
      <c r="FU151" s="184"/>
      <c r="FV151" s="184"/>
      <c r="FW151" s="184"/>
      <c r="FX151" s="184"/>
      <c r="FY151" s="184"/>
      <c r="FZ151" s="184"/>
      <c r="GA151" s="184"/>
      <c r="GB151" s="184"/>
      <c r="GC151" s="184"/>
      <c r="GD151" s="184"/>
      <c r="GE151" s="184"/>
      <c r="GF151" s="184"/>
      <c r="GG151" s="184"/>
      <c r="GH151" s="184"/>
      <c r="GI151" s="184"/>
    </row>
    <row r="152" spans="1:191" s="186" customFormat="1" ht="15" customHeight="1">
      <c r="A152" s="184"/>
      <c r="B152" s="190"/>
      <c r="C152" s="211"/>
      <c r="D152" s="193"/>
      <c r="E152" s="193"/>
      <c r="F152" s="188"/>
      <c r="G152" s="188"/>
      <c r="H152" s="190"/>
      <c r="I152" s="188"/>
      <c r="J152" s="184"/>
      <c r="K152" s="190"/>
      <c r="L152" s="190"/>
      <c r="M152" s="190"/>
      <c r="N152" s="184"/>
      <c r="O152" s="191"/>
      <c r="P152" s="191"/>
      <c r="Q152" s="183"/>
      <c r="R152" s="183"/>
      <c r="S152" s="183"/>
      <c r="T152" s="184"/>
      <c r="U152" s="184"/>
      <c r="V152" s="188"/>
      <c r="AB152" s="184"/>
      <c r="AC152" s="184"/>
      <c r="AD152" s="184"/>
      <c r="AE152" s="184"/>
      <c r="AF152" s="184"/>
      <c r="AG152" s="184"/>
      <c r="AH152" s="184"/>
      <c r="AI152" s="184"/>
      <c r="AJ152" s="184"/>
      <c r="AK152" s="184"/>
      <c r="AL152" s="184"/>
      <c r="AM152" s="184"/>
      <c r="AN152" s="184"/>
      <c r="AO152" s="184"/>
      <c r="AP152" s="184"/>
      <c r="AQ152" s="184"/>
      <c r="AR152" s="184"/>
      <c r="AS152" s="184"/>
      <c r="AT152" s="184"/>
      <c r="AU152" s="184"/>
      <c r="AV152" s="184"/>
      <c r="AW152" s="184"/>
      <c r="AX152" s="184"/>
      <c r="AY152" s="184"/>
      <c r="AZ152" s="184"/>
      <c r="BA152" s="184"/>
      <c r="BB152" s="184"/>
      <c r="BC152" s="184"/>
      <c r="BD152" s="184"/>
      <c r="BE152" s="184"/>
      <c r="BF152" s="184"/>
      <c r="BG152" s="184"/>
      <c r="BH152" s="184"/>
      <c r="BI152" s="184"/>
      <c r="BJ152" s="184"/>
      <c r="BK152" s="184"/>
      <c r="BL152" s="184"/>
      <c r="BM152" s="184"/>
      <c r="BN152" s="184"/>
      <c r="BO152" s="184"/>
      <c r="BP152" s="184"/>
      <c r="BQ152" s="184"/>
      <c r="BR152" s="184"/>
      <c r="BS152" s="184"/>
      <c r="BT152" s="184"/>
      <c r="BU152" s="184"/>
      <c r="BV152" s="184"/>
      <c r="BW152" s="184"/>
      <c r="BX152" s="184"/>
      <c r="BY152" s="184"/>
      <c r="BZ152" s="184"/>
      <c r="CA152" s="184"/>
      <c r="CB152" s="184"/>
      <c r="CC152" s="184"/>
      <c r="CD152" s="184"/>
      <c r="CE152" s="184"/>
      <c r="CF152" s="184"/>
      <c r="CG152" s="184"/>
      <c r="CH152" s="184"/>
      <c r="CI152" s="184"/>
      <c r="CJ152" s="184"/>
      <c r="CK152" s="184"/>
      <c r="CL152" s="184"/>
      <c r="CM152" s="184"/>
      <c r="CN152" s="184"/>
      <c r="CO152" s="184"/>
      <c r="CP152" s="184"/>
      <c r="CQ152" s="184"/>
      <c r="CR152" s="184"/>
      <c r="CS152" s="184"/>
      <c r="CT152" s="184"/>
      <c r="CU152" s="184"/>
      <c r="CV152" s="184"/>
      <c r="CW152" s="184"/>
      <c r="CX152" s="184"/>
      <c r="CY152" s="184"/>
      <c r="CZ152" s="184"/>
      <c r="DA152" s="184"/>
      <c r="DB152" s="184"/>
      <c r="DC152" s="184"/>
      <c r="DD152" s="184"/>
      <c r="DE152" s="184"/>
      <c r="DF152" s="184"/>
      <c r="DG152" s="184"/>
      <c r="DH152" s="184"/>
      <c r="DI152" s="184"/>
      <c r="DJ152" s="184"/>
      <c r="DK152" s="184"/>
      <c r="DL152" s="184"/>
      <c r="DM152" s="184"/>
      <c r="DN152" s="184"/>
      <c r="DO152" s="184"/>
      <c r="DP152" s="184"/>
      <c r="DQ152" s="184"/>
      <c r="DR152" s="184"/>
      <c r="DS152" s="184"/>
      <c r="DT152" s="184"/>
      <c r="DU152" s="184"/>
      <c r="DV152" s="184"/>
      <c r="DW152" s="184"/>
      <c r="DX152" s="184"/>
      <c r="DY152" s="184"/>
      <c r="DZ152" s="184"/>
      <c r="EA152" s="184"/>
      <c r="EB152" s="184"/>
      <c r="EC152" s="184"/>
      <c r="ED152" s="184"/>
      <c r="EE152" s="184"/>
      <c r="EF152" s="184"/>
      <c r="EG152" s="184"/>
      <c r="EH152" s="184"/>
      <c r="EI152" s="184"/>
      <c r="EJ152" s="184"/>
      <c r="EK152" s="184"/>
      <c r="EL152" s="184"/>
      <c r="EM152" s="184"/>
      <c r="EN152" s="184"/>
      <c r="EO152" s="184"/>
      <c r="EP152" s="184"/>
      <c r="EQ152" s="184"/>
      <c r="ER152" s="184"/>
      <c r="ES152" s="184"/>
      <c r="ET152" s="184"/>
      <c r="EU152" s="184"/>
      <c r="EV152" s="184"/>
      <c r="EW152" s="184"/>
      <c r="EX152" s="184"/>
      <c r="EY152" s="184"/>
      <c r="EZ152" s="184"/>
      <c r="FA152" s="184"/>
      <c r="FB152" s="184"/>
      <c r="FC152" s="184"/>
      <c r="FD152" s="184"/>
      <c r="FE152" s="184"/>
      <c r="FF152" s="184"/>
      <c r="FG152" s="184"/>
      <c r="FH152" s="184"/>
      <c r="FI152" s="184"/>
      <c r="FJ152" s="184"/>
      <c r="FK152" s="184"/>
      <c r="FL152" s="184"/>
      <c r="FM152" s="184"/>
      <c r="FN152" s="184"/>
      <c r="FO152" s="184"/>
      <c r="FP152" s="184"/>
      <c r="FQ152" s="184"/>
      <c r="FR152" s="184"/>
      <c r="FS152" s="184"/>
      <c r="FT152" s="184"/>
      <c r="FU152" s="184"/>
      <c r="FV152" s="184"/>
      <c r="FW152" s="184"/>
      <c r="FX152" s="184"/>
      <c r="FY152" s="184"/>
      <c r="FZ152" s="184"/>
      <c r="GA152" s="184"/>
      <c r="GB152" s="184"/>
      <c r="GC152" s="184"/>
      <c r="GD152" s="184"/>
      <c r="GE152" s="184"/>
      <c r="GF152" s="184"/>
      <c r="GG152" s="184"/>
      <c r="GH152" s="184"/>
      <c r="GI152" s="184"/>
    </row>
    <row r="153" spans="1:191" s="186" customFormat="1" ht="15" customHeight="1">
      <c r="A153" s="184"/>
      <c r="B153" s="190"/>
      <c r="C153" s="211"/>
      <c r="D153" s="193"/>
      <c r="E153" s="193"/>
      <c r="F153" s="188"/>
      <c r="G153" s="188"/>
      <c r="H153" s="190"/>
      <c r="I153" s="188"/>
      <c r="J153" s="184"/>
      <c r="K153" s="190"/>
      <c r="L153" s="190"/>
      <c r="M153" s="190"/>
      <c r="N153" s="184"/>
      <c r="O153" s="191"/>
      <c r="P153" s="191"/>
      <c r="Q153" s="183"/>
      <c r="R153" s="183"/>
      <c r="S153" s="183"/>
      <c r="T153" s="184"/>
      <c r="U153" s="184"/>
      <c r="V153" s="188"/>
      <c r="AB153" s="184"/>
      <c r="AC153" s="184"/>
      <c r="AD153" s="184"/>
      <c r="AE153" s="184"/>
      <c r="AF153" s="184"/>
      <c r="AG153" s="184"/>
      <c r="AH153" s="184"/>
      <c r="AI153" s="184"/>
      <c r="AJ153" s="184"/>
      <c r="AK153" s="184"/>
      <c r="AL153" s="184"/>
      <c r="AM153" s="184"/>
      <c r="AN153" s="184"/>
      <c r="AO153" s="184"/>
      <c r="AP153" s="184"/>
      <c r="AQ153" s="184"/>
      <c r="AR153" s="184"/>
      <c r="AS153" s="184"/>
      <c r="AT153" s="184"/>
      <c r="AU153" s="184"/>
      <c r="AV153" s="184"/>
      <c r="AW153" s="184"/>
      <c r="AX153" s="184"/>
      <c r="AY153" s="184"/>
      <c r="AZ153" s="184"/>
      <c r="BA153" s="184"/>
      <c r="BB153" s="184"/>
      <c r="BC153" s="184"/>
      <c r="BD153" s="184"/>
      <c r="BE153" s="184"/>
      <c r="BF153" s="184"/>
      <c r="BG153" s="184"/>
      <c r="BH153" s="184"/>
      <c r="BI153" s="184"/>
      <c r="BJ153" s="184"/>
      <c r="BK153" s="184"/>
      <c r="BL153" s="184"/>
      <c r="BM153" s="184"/>
      <c r="BN153" s="184"/>
      <c r="BO153" s="184"/>
      <c r="BP153" s="184"/>
      <c r="BQ153" s="184"/>
      <c r="BR153" s="184"/>
      <c r="BS153" s="184"/>
      <c r="BT153" s="184"/>
      <c r="BU153" s="184"/>
      <c r="BV153" s="184"/>
      <c r="BW153" s="184"/>
      <c r="BX153" s="184"/>
      <c r="BY153" s="184"/>
      <c r="BZ153" s="184"/>
      <c r="CA153" s="184"/>
      <c r="CB153" s="184"/>
      <c r="CC153" s="184"/>
      <c r="CD153" s="184"/>
      <c r="CE153" s="184"/>
      <c r="CF153" s="184"/>
      <c r="CG153" s="184"/>
      <c r="CH153" s="184"/>
      <c r="CI153" s="184"/>
      <c r="CJ153" s="184"/>
      <c r="CK153" s="184"/>
      <c r="CL153" s="184"/>
      <c r="CM153" s="184"/>
      <c r="CN153" s="184"/>
      <c r="CO153" s="184"/>
      <c r="CP153" s="184"/>
      <c r="CQ153" s="184"/>
      <c r="CR153" s="184"/>
      <c r="CS153" s="184"/>
      <c r="CT153" s="184"/>
      <c r="CU153" s="184"/>
      <c r="CV153" s="184"/>
      <c r="CW153" s="184"/>
      <c r="CX153" s="184"/>
      <c r="CY153" s="184"/>
      <c r="CZ153" s="184"/>
      <c r="DA153" s="184"/>
      <c r="DB153" s="184"/>
      <c r="DC153" s="184"/>
      <c r="DD153" s="184"/>
      <c r="DE153" s="184"/>
      <c r="DF153" s="184"/>
      <c r="DG153" s="184"/>
      <c r="DH153" s="184"/>
      <c r="DI153" s="184"/>
      <c r="DJ153" s="184"/>
      <c r="DK153" s="184"/>
      <c r="DL153" s="184"/>
      <c r="DM153" s="184"/>
      <c r="DN153" s="184"/>
      <c r="DO153" s="184"/>
      <c r="DP153" s="184"/>
      <c r="DQ153" s="184"/>
      <c r="DR153" s="184"/>
      <c r="DS153" s="184"/>
      <c r="DT153" s="184"/>
      <c r="DU153" s="184"/>
      <c r="DV153" s="184"/>
      <c r="DW153" s="184"/>
      <c r="DX153" s="184"/>
      <c r="DY153" s="184"/>
      <c r="DZ153" s="184"/>
      <c r="EA153" s="184"/>
      <c r="EB153" s="184"/>
      <c r="EC153" s="184"/>
      <c r="ED153" s="184"/>
      <c r="EE153" s="184"/>
      <c r="EF153" s="184"/>
      <c r="EG153" s="184"/>
      <c r="EH153" s="184"/>
      <c r="EI153" s="184"/>
      <c r="EJ153" s="184"/>
      <c r="EK153" s="184"/>
      <c r="EL153" s="184"/>
      <c r="EM153" s="184"/>
      <c r="EN153" s="184"/>
      <c r="EO153" s="184"/>
      <c r="EP153" s="184"/>
      <c r="EQ153" s="184"/>
      <c r="ER153" s="184"/>
      <c r="ES153" s="184"/>
      <c r="ET153" s="184"/>
      <c r="EU153" s="184"/>
      <c r="EV153" s="184"/>
      <c r="EW153" s="184"/>
      <c r="EX153" s="184"/>
      <c r="EY153" s="184"/>
      <c r="EZ153" s="184"/>
      <c r="FA153" s="184"/>
      <c r="FB153" s="184"/>
      <c r="FC153" s="184"/>
      <c r="FD153" s="184"/>
      <c r="FE153" s="184"/>
      <c r="FF153" s="184"/>
      <c r="FG153" s="184"/>
      <c r="FH153" s="184"/>
      <c r="FI153" s="184"/>
      <c r="FJ153" s="184"/>
      <c r="FK153" s="184"/>
      <c r="FL153" s="184"/>
      <c r="FM153" s="184"/>
      <c r="FN153" s="184"/>
      <c r="FO153" s="184"/>
      <c r="FP153" s="184"/>
      <c r="FQ153" s="184"/>
      <c r="FR153" s="184"/>
      <c r="FS153" s="184"/>
      <c r="FT153" s="184"/>
      <c r="FU153" s="184"/>
      <c r="FV153" s="184"/>
      <c r="FW153" s="184"/>
      <c r="FX153" s="184"/>
      <c r="FY153" s="184"/>
      <c r="FZ153" s="184"/>
      <c r="GA153" s="184"/>
      <c r="GB153" s="184"/>
      <c r="GC153" s="184"/>
      <c r="GD153" s="184"/>
      <c r="GE153" s="184"/>
      <c r="GF153" s="184"/>
      <c r="GG153" s="184"/>
      <c r="GH153" s="184"/>
      <c r="GI153" s="184"/>
    </row>
    <row r="154" spans="1:191" s="186" customFormat="1" ht="15" customHeight="1">
      <c r="A154" s="184"/>
      <c r="B154" s="190"/>
      <c r="C154" s="211"/>
      <c r="D154" s="193"/>
      <c r="E154" s="193"/>
      <c r="F154" s="188"/>
      <c r="G154" s="188"/>
      <c r="H154" s="190"/>
      <c r="I154" s="188"/>
      <c r="J154" s="184"/>
      <c r="K154" s="190"/>
      <c r="L154" s="190"/>
      <c r="M154" s="190"/>
      <c r="N154" s="184"/>
      <c r="O154" s="191"/>
      <c r="P154" s="191"/>
      <c r="Q154" s="183"/>
      <c r="R154" s="183"/>
      <c r="S154" s="183"/>
      <c r="T154" s="184"/>
      <c r="U154" s="184"/>
      <c r="V154" s="188"/>
      <c r="AB154" s="184"/>
      <c r="AC154" s="184"/>
      <c r="AD154" s="184"/>
      <c r="AE154" s="184"/>
      <c r="AF154" s="184"/>
      <c r="AG154" s="184"/>
      <c r="AH154" s="184"/>
      <c r="AI154" s="184"/>
      <c r="AJ154" s="184"/>
      <c r="AK154" s="184"/>
      <c r="AL154" s="184"/>
      <c r="AM154" s="184"/>
      <c r="AN154" s="184"/>
      <c r="AO154" s="184"/>
      <c r="AP154" s="184"/>
      <c r="AQ154" s="184"/>
      <c r="AR154" s="184"/>
      <c r="AS154" s="184"/>
      <c r="AT154" s="184"/>
      <c r="AU154" s="184"/>
      <c r="AV154" s="184"/>
      <c r="AW154" s="184"/>
      <c r="AX154" s="184"/>
      <c r="AY154" s="184"/>
      <c r="AZ154" s="184"/>
      <c r="BA154" s="184"/>
      <c r="BB154" s="184"/>
      <c r="BC154" s="184"/>
      <c r="BD154" s="184"/>
      <c r="BE154" s="184"/>
      <c r="BF154" s="184"/>
      <c r="BG154" s="184"/>
      <c r="BH154" s="184"/>
      <c r="BI154" s="184"/>
      <c r="BJ154" s="184"/>
      <c r="BK154" s="184"/>
      <c r="BL154" s="184"/>
      <c r="BM154" s="184"/>
      <c r="BN154" s="184"/>
      <c r="BO154" s="184"/>
      <c r="BP154" s="184"/>
      <c r="BQ154" s="184"/>
      <c r="BR154" s="184"/>
      <c r="BS154" s="184"/>
      <c r="BT154" s="184"/>
      <c r="BU154" s="184"/>
      <c r="BV154" s="184"/>
      <c r="BW154" s="184"/>
      <c r="BX154" s="184"/>
      <c r="BY154" s="184"/>
      <c r="BZ154" s="184"/>
      <c r="CA154" s="184"/>
      <c r="CB154" s="184"/>
      <c r="CC154" s="184"/>
      <c r="CD154" s="184"/>
      <c r="CE154" s="184"/>
      <c r="CF154" s="184"/>
      <c r="CG154" s="184"/>
      <c r="CH154" s="184"/>
      <c r="CI154" s="184"/>
      <c r="CJ154" s="184"/>
      <c r="CK154" s="184"/>
      <c r="CL154" s="184"/>
      <c r="CM154" s="184"/>
      <c r="CN154" s="184"/>
      <c r="CO154" s="184"/>
      <c r="CP154" s="184"/>
      <c r="CQ154" s="184"/>
      <c r="CR154" s="184"/>
      <c r="CS154" s="184"/>
      <c r="CT154" s="184"/>
      <c r="CU154" s="184"/>
      <c r="CV154" s="184"/>
      <c r="CW154" s="184"/>
      <c r="CX154" s="184"/>
      <c r="CY154" s="184"/>
      <c r="CZ154" s="184"/>
      <c r="DA154" s="184"/>
      <c r="DB154" s="184"/>
      <c r="DC154" s="184"/>
      <c r="DD154" s="184"/>
      <c r="DE154" s="184"/>
      <c r="DF154" s="184"/>
      <c r="DG154" s="184"/>
      <c r="DH154" s="184"/>
      <c r="DI154" s="184"/>
      <c r="DJ154" s="184"/>
      <c r="DK154" s="184"/>
      <c r="DL154" s="184"/>
      <c r="DM154" s="184"/>
      <c r="DN154" s="184"/>
      <c r="DO154" s="184"/>
      <c r="DP154" s="184"/>
      <c r="DQ154" s="184"/>
      <c r="DR154" s="184"/>
      <c r="DS154" s="184"/>
      <c r="DT154" s="184"/>
      <c r="DU154" s="184"/>
      <c r="DV154" s="184"/>
      <c r="DW154" s="184"/>
      <c r="DX154" s="184"/>
      <c r="DY154" s="184"/>
      <c r="DZ154" s="184"/>
      <c r="EA154" s="184"/>
      <c r="EB154" s="184"/>
      <c r="EC154" s="184"/>
      <c r="ED154" s="184"/>
      <c r="EE154" s="184"/>
      <c r="EF154" s="184"/>
      <c r="EG154" s="184"/>
      <c r="EH154" s="184"/>
      <c r="EI154" s="184"/>
      <c r="EJ154" s="184"/>
      <c r="EK154" s="184"/>
      <c r="EL154" s="184"/>
      <c r="EM154" s="184"/>
      <c r="EN154" s="184"/>
      <c r="EO154" s="184"/>
      <c r="EP154" s="184"/>
      <c r="EQ154" s="184"/>
      <c r="ER154" s="184"/>
      <c r="ES154" s="184"/>
      <c r="ET154" s="184"/>
      <c r="EU154" s="184"/>
      <c r="EV154" s="184"/>
      <c r="EW154" s="184"/>
      <c r="EX154" s="184"/>
      <c r="EY154" s="184"/>
      <c r="EZ154" s="184"/>
      <c r="FA154" s="184"/>
      <c r="FB154" s="184"/>
      <c r="FC154" s="184"/>
      <c r="FD154" s="184"/>
      <c r="FE154" s="184"/>
      <c r="FF154" s="184"/>
      <c r="FG154" s="184"/>
      <c r="FH154" s="184"/>
      <c r="FI154" s="184"/>
      <c r="FJ154" s="184"/>
      <c r="FK154" s="184"/>
      <c r="FL154" s="184"/>
      <c r="FM154" s="184"/>
      <c r="FN154" s="184"/>
      <c r="FO154" s="184"/>
      <c r="FP154" s="184"/>
      <c r="FQ154" s="184"/>
      <c r="FR154" s="184"/>
      <c r="FS154" s="184"/>
      <c r="FT154" s="184"/>
      <c r="FU154" s="184"/>
      <c r="FV154" s="184"/>
      <c r="FW154" s="184"/>
      <c r="FX154" s="184"/>
      <c r="FY154" s="184"/>
      <c r="FZ154" s="184"/>
      <c r="GA154" s="184"/>
      <c r="GB154" s="184"/>
      <c r="GC154" s="184"/>
      <c r="GD154" s="184"/>
      <c r="GE154" s="184"/>
      <c r="GF154" s="184"/>
      <c r="GG154" s="184"/>
      <c r="GH154" s="184"/>
      <c r="GI154" s="184"/>
    </row>
    <row r="155" spans="1:191" s="186" customFormat="1" ht="15" customHeight="1">
      <c r="A155" s="184"/>
      <c r="B155" s="190"/>
      <c r="C155" s="211"/>
      <c r="D155" s="193"/>
      <c r="E155" s="193"/>
      <c r="F155" s="188"/>
      <c r="G155" s="188"/>
      <c r="H155" s="190"/>
      <c r="I155" s="188"/>
      <c r="J155" s="184"/>
      <c r="K155" s="190"/>
      <c r="L155" s="190"/>
      <c r="M155" s="190"/>
      <c r="N155" s="184"/>
      <c r="O155" s="191"/>
      <c r="P155" s="191"/>
      <c r="Q155" s="183"/>
      <c r="R155" s="183"/>
      <c r="S155" s="183"/>
      <c r="T155" s="184"/>
      <c r="U155" s="184"/>
      <c r="V155" s="188"/>
      <c r="AB155" s="184"/>
      <c r="AC155" s="184"/>
      <c r="AD155" s="184"/>
      <c r="AE155" s="184"/>
      <c r="AF155" s="184"/>
      <c r="AG155" s="184"/>
      <c r="AH155" s="184"/>
      <c r="AI155" s="184"/>
      <c r="AJ155" s="184"/>
      <c r="AK155" s="184"/>
      <c r="AL155" s="184"/>
      <c r="AM155" s="184"/>
      <c r="AN155" s="184"/>
      <c r="AO155" s="184"/>
      <c r="AP155" s="184"/>
      <c r="AQ155" s="184"/>
      <c r="AR155" s="184"/>
      <c r="AS155" s="184"/>
      <c r="AT155" s="184"/>
      <c r="AU155" s="184"/>
      <c r="AV155" s="184"/>
      <c r="AW155" s="184"/>
      <c r="AX155" s="184"/>
      <c r="AY155" s="184"/>
      <c r="AZ155" s="184"/>
      <c r="BA155" s="184"/>
      <c r="BB155" s="184"/>
      <c r="BC155" s="184"/>
      <c r="BD155" s="184"/>
      <c r="BE155" s="184"/>
      <c r="BF155" s="184"/>
      <c r="BG155" s="184"/>
      <c r="BH155" s="184"/>
      <c r="BI155" s="184"/>
      <c r="BJ155" s="184"/>
      <c r="BK155" s="184"/>
      <c r="BL155" s="184"/>
      <c r="BM155" s="184"/>
      <c r="BN155" s="184"/>
      <c r="BO155" s="184"/>
      <c r="BP155" s="184"/>
      <c r="BQ155" s="184"/>
      <c r="BR155" s="184"/>
      <c r="BS155" s="184"/>
      <c r="BT155" s="184"/>
      <c r="BU155" s="184"/>
      <c r="BV155" s="184"/>
      <c r="BW155" s="184"/>
      <c r="BX155" s="184"/>
      <c r="BY155" s="184"/>
      <c r="BZ155" s="184"/>
      <c r="CA155" s="184"/>
      <c r="CB155" s="184"/>
      <c r="CC155" s="184"/>
      <c r="CD155" s="184"/>
      <c r="CE155" s="184"/>
      <c r="CF155" s="184"/>
      <c r="CG155" s="184"/>
      <c r="CH155" s="184"/>
      <c r="CI155" s="184"/>
      <c r="CJ155" s="184"/>
      <c r="CK155" s="184"/>
      <c r="CL155" s="184"/>
      <c r="CM155" s="184"/>
      <c r="CN155" s="184"/>
      <c r="CO155" s="184"/>
      <c r="CP155" s="184"/>
      <c r="CQ155" s="184"/>
      <c r="CR155" s="184"/>
      <c r="CS155" s="184"/>
      <c r="CT155" s="184"/>
      <c r="CU155" s="184"/>
      <c r="CV155" s="184"/>
      <c r="CW155" s="184"/>
      <c r="CX155" s="184"/>
      <c r="CY155" s="184"/>
      <c r="CZ155" s="184"/>
      <c r="DA155" s="184"/>
      <c r="DB155" s="184"/>
      <c r="DC155" s="184"/>
      <c r="DD155" s="184"/>
      <c r="DE155" s="184"/>
      <c r="DF155" s="184"/>
      <c r="DG155" s="184"/>
      <c r="DH155" s="184"/>
      <c r="DI155" s="184"/>
      <c r="DJ155" s="184"/>
      <c r="DK155" s="184"/>
      <c r="DL155" s="184"/>
      <c r="DM155" s="184"/>
      <c r="DN155" s="184"/>
      <c r="DO155" s="184"/>
      <c r="DP155" s="184"/>
      <c r="DQ155" s="184"/>
      <c r="DR155" s="184"/>
      <c r="DS155" s="184"/>
      <c r="DT155" s="184"/>
      <c r="DU155" s="184"/>
      <c r="DV155" s="184"/>
      <c r="DW155" s="184"/>
      <c r="DX155" s="184"/>
      <c r="DY155" s="184"/>
      <c r="DZ155" s="184"/>
      <c r="EA155" s="184"/>
      <c r="EB155" s="184"/>
      <c r="EC155" s="184"/>
      <c r="ED155" s="184"/>
      <c r="EE155" s="184"/>
      <c r="EF155" s="184"/>
      <c r="EG155" s="184"/>
      <c r="EH155" s="184"/>
      <c r="EI155" s="184"/>
      <c r="EJ155" s="184"/>
      <c r="EK155" s="184"/>
      <c r="EL155" s="184"/>
      <c r="EM155" s="184"/>
      <c r="EN155" s="184"/>
      <c r="EO155" s="184"/>
      <c r="EP155" s="184"/>
      <c r="EQ155" s="184"/>
      <c r="ER155" s="184"/>
      <c r="ES155" s="184"/>
      <c r="ET155" s="184"/>
      <c r="EU155" s="184"/>
      <c r="EV155" s="184"/>
      <c r="EW155" s="184"/>
      <c r="EX155" s="184"/>
      <c r="EY155" s="184"/>
      <c r="EZ155" s="184"/>
      <c r="FA155" s="184"/>
      <c r="FB155" s="184"/>
      <c r="FC155" s="184"/>
      <c r="FD155" s="184"/>
      <c r="FE155" s="184"/>
      <c r="FF155" s="184"/>
      <c r="FG155" s="184"/>
      <c r="FH155" s="184"/>
      <c r="FI155" s="184"/>
      <c r="FJ155" s="184"/>
      <c r="FK155" s="184"/>
      <c r="FL155" s="184"/>
      <c r="FM155" s="184"/>
      <c r="FN155" s="184"/>
      <c r="FO155" s="184"/>
      <c r="FP155" s="184"/>
      <c r="FQ155" s="184"/>
      <c r="FR155" s="184"/>
      <c r="FS155" s="184"/>
      <c r="FT155" s="184"/>
      <c r="FU155" s="184"/>
      <c r="FV155" s="184"/>
      <c r="FW155" s="184"/>
      <c r="FX155" s="184"/>
      <c r="FY155" s="184"/>
      <c r="FZ155" s="184"/>
      <c r="GA155" s="184"/>
      <c r="GB155" s="184"/>
      <c r="GC155" s="184"/>
      <c r="GD155" s="184"/>
      <c r="GE155" s="184"/>
      <c r="GF155" s="184"/>
      <c r="GG155" s="184"/>
      <c r="GH155" s="184"/>
      <c r="GI155" s="184"/>
    </row>
    <row r="156" spans="1:191" s="186" customFormat="1" ht="15" customHeight="1">
      <c r="A156" s="184"/>
      <c r="B156" s="190"/>
      <c r="C156" s="211"/>
      <c r="D156" s="193"/>
      <c r="E156" s="193"/>
      <c r="F156" s="188"/>
      <c r="G156" s="188"/>
      <c r="H156" s="190"/>
      <c r="I156" s="188"/>
      <c r="J156" s="184"/>
      <c r="K156" s="190"/>
      <c r="L156" s="190"/>
      <c r="M156" s="190"/>
      <c r="N156" s="184"/>
      <c r="O156" s="191"/>
      <c r="P156" s="191"/>
      <c r="Q156" s="183"/>
      <c r="R156" s="183"/>
      <c r="S156" s="183"/>
      <c r="T156" s="184"/>
      <c r="U156" s="184"/>
      <c r="V156" s="188"/>
      <c r="AB156" s="184"/>
      <c r="AC156" s="184"/>
      <c r="AD156" s="184"/>
      <c r="AE156" s="184"/>
      <c r="AF156" s="184"/>
      <c r="AG156" s="184"/>
      <c r="AH156" s="184"/>
      <c r="AI156" s="184"/>
      <c r="AJ156" s="184"/>
      <c r="AK156" s="184"/>
      <c r="AL156" s="184"/>
      <c r="AM156" s="184"/>
      <c r="AN156" s="184"/>
      <c r="AO156" s="184"/>
      <c r="AP156" s="184"/>
      <c r="AQ156" s="184"/>
      <c r="AR156" s="184"/>
      <c r="AS156" s="184"/>
      <c r="AT156" s="184"/>
      <c r="AU156" s="184"/>
      <c r="AV156" s="184"/>
      <c r="AW156" s="184"/>
      <c r="AX156" s="184"/>
      <c r="AY156" s="184"/>
      <c r="AZ156" s="184"/>
      <c r="BA156" s="184"/>
      <c r="BB156" s="184"/>
      <c r="BC156" s="184"/>
      <c r="BD156" s="184"/>
      <c r="BE156" s="184"/>
      <c r="BF156" s="184"/>
      <c r="BG156" s="184"/>
      <c r="BH156" s="184"/>
      <c r="BI156" s="184"/>
      <c r="BJ156" s="184"/>
      <c r="BK156" s="184"/>
      <c r="BL156" s="184"/>
      <c r="BM156" s="184"/>
      <c r="BN156" s="184"/>
      <c r="BO156" s="184"/>
      <c r="BP156" s="184"/>
      <c r="BQ156" s="184"/>
      <c r="BR156" s="184"/>
      <c r="BS156" s="184"/>
      <c r="BT156" s="184"/>
      <c r="BU156" s="184"/>
      <c r="BV156" s="184"/>
      <c r="BW156" s="184"/>
      <c r="BX156" s="184"/>
      <c r="BY156" s="184"/>
      <c r="BZ156" s="184"/>
      <c r="CA156" s="184"/>
      <c r="CB156" s="184"/>
      <c r="CC156" s="184"/>
      <c r="CD156" s="184"/>
      <c r="CE156" s="184"/>
      <c r="CF156" s="184"/>
      <c r="CG156" s="184"/>
      <c r="CH156" s="184"/>
      <c r="CI156" s="184"/>
      <c r="CJ156" s="184"/>
      <c r="CK156" s="184"/>
      <c r="CL156" s="184"/>
      <c r="CM156" s="184"/>
      <c r="CN156" s="184"/>
      <c r="CO156" s="184"/>
      <c r="CP156" s="184"/>
      <c r="CQ156" s="184"/>
      <c r="CR156" s="184"/>
      <c r="CS156" s="184"/>
      <c r="CT156" s="184"/>
      <c r="CU156" s="184"/>
      <c r="CV156" s="184"/>
      <c r="CW156" s="184"/>
      <c r="CX156" s="184"/>
      <c r="CY156" s="184"/>
      <c r="CZ156" s="184"/>
      <c r="DA156" s="184"/>
      <c r="DB156" s="184"/>
      <c r="DC156" s="184"/>
      <c r="DD156" s="184"/>
      <c r="DE156" s="184"/>
      <c r="DF156" s="184"/>
      <c r="DG156" s="184"/>
      <c r="DH156" s="184"/>
      <c r="DI156" s="184"/>
      <c r="DJ156" s="184"/>
      <c r="DK156" s="184"/>
      <c r="DL156" s="184"/>
      <c r="DM156" s="184"/>
      <c r="DN156" s="184"/>
      <c r="DO156" s="184"/>
      <c r="DP156" s="184"/>
      <c r="DQ156" s="184"/>
      <c r="DR156" s="184"/>
      <c r="DS156" s="184"/>
      <c r="DT156" s="184"/>
      <c r="DU156" s="184"/>
      <c r="DV156" s="184"/>
      <c r="DW156" s="184"/>
      <c r="DX156" s="184"/>
      <c r="DY156" s="184"/>
      <c r="DZ156" s="184"/>
      <c r="EA156" s="184"/>
      <c r="EB156" s="184"/>
      <c r="EC156" s="184"/>
      <c r="ED156" s="184"/>
      <c r="EE156" s="184"/>
      <c r="EF156" s="184"/>
      <c r="EG156" s="184"/>
      <c r="EH156" s="184"/>
      <c r="EI156" s="184"/>
      <c r="EJ156" s="184"/>
      <c r="EK156" s="184"/>
      <c r="EL156" s="184"/>
      <c r="EM156" s="184"/>
      <c r="EN156" s="184"/>
      <c r="EO156" s="184"/>
      <c r="EP156" s="184"/>
      <c r="EQ156" s="184"/>
      <c r="ER156" s="184"/>
      <c r="ES156" s="184"/>
      <c r="ET156" s="184"/>
      <c r="EU156" s="184"/>
      <c r="EV156" s="184"/>
      <c r="EW156" s="184"/>
      <c r="EX156" s="184"/>
      <c r="EY156" s="184"/>
      <c r="EZ156" s="184"/>
      <c r="FA156" s="184"/>
      <c r="FB156" s="184"/>
      <c r="FC156" s="184"/>
      <c r="FD156" s="184"/>
      <c r="FE156" s="184"/>
      <c r="FF156" s="184"/>
      <c r="FG156" s="184"/>
      <c r="FH156" s="184"/>
      <c r="FI156" s="184"/>
      <c r="FJ156" s="184"/>
      <c r="FK156" s="184"/>
      <c r="FL156" s="184"/>
      <c r="FM156" s="184"/>
      <c r="FN156" s="184"/>
      <c r="FO156" s="184"/>
      <c r="FP156" s="184"/>
      <c r="FQ156" s="184"/>
      <c r="FR156" s="184"/>
      <c r="FS156" s="184"/>
      <c r="FT156" s="184"/>
      <c r="FU156" s="184"/>
      <c r="FV156" s="184"/>
      <c r="FW156" s="184"/>
      <c r="FX156" s="184"/>
      <c r="FY156" s="184"/>
      <c r="FZ156" s="184"/>
      <c r="GA156" s="184"/>
      <c r="GB156" s="184"/>
      <c r="GC156" s="184"/>
      <c r="GD156" s="184"/>
      <c r="GE156" s="184"/>
      <c r="GF156" s="184"/>
      <c r="GG156" s="184"/>
      <c r="GH156" s="184"/>
      <c r="GI156" s="184"/>
    </row>
    <row r="157" spans="1:191" s="186" customFormat="1" ht="15" customHeight="1">
      <c r="A157" s="184"/>
      <c r="B157" s="190"/>
      <c r="C157" s="211"/>
      <c r="D157" s="193"/>
      <c r="E157" s="193"/>
      <c r="F157" s="188"/>
      <c r="G157" s="188"/>
      <c r="H157" s="190"/>
      <c r="I157" s="188"/>
      <c r="J157" s="184"/>
      <c r="K157" s="190"/>
      <c r="L157" s="190"/>
      <c r="M157" s="190"/>
      <c r="N157" s="184"/>
      <c r="O157" s="191"/>
      <c r="P157" s="191"/>
      <c r="Q157" s="183"/>
      <c r="R157" s="183"/>
      <c r="S157" s="183"/>
      <c r="T157" s="184"/>
      <c r="U157" s="184"/>
      <c r="V157" s="188"/>
      <c r="AB157" s="184"/>
      <c r="AC157" s="184"/>
      <c r="AD157" s="184"/>
      <c r="AE157" s="184"/>
      <c r="AF157" s="184"/>
      <c r="AG157" s="184"/>
      <c r="AH157" s="184"/>
      <c r="AI157" s="184"/>
      <c r="AJ157" s="184"/>
      <c r="AK157" s="184"/>
      <c r="AL157" s="184"/>
      <c r="AM157" s="184"/>
      <c r="AN157" s="184"/>
      <c r="AO157" s="184"/>
      <c r="AP157" s="184"/>
      <c r="AQ157" s="184"/>
      <c r="AR157" s="184"/>
      <c r="AS157" s="184"/>
      <c r="AT157" s="184"/>
      <c r="AU157" s="184"/>
      <c r="AV157" s="184"/>
      <c r="AW157" s="184"/>
      <c r="AX157" s="184"/>
      <c r="AY157" s="184"/>
      <c r="AZ157" s="184"/>
      <c r="BA157" s="184"/>
      <c r="BB157" s="184"/>
      <c r="BC157" s="184"/>
      <c r="BD157" s="184"/>
      <c r="BE157" s="184"/>
      <c r="BF157" s="184"/>
      <c r="BG157" s="184"/>
      <c r="BH157" s="184"/>
      <c r="BI157" s="184"/>
      <c r="BJ157" s="184"/>
      <c r="BK157" s="184"/>
      <c r="BL157" s="184"/>
      <c r="BM157" s="184"/>
      <c r="BN157" s="184"/>
      <c r="BO157" s="184"/>
      <c r="BP157" s="184"/>
      <c r="BQ157" s="184"/>
      <c r="BR157" s="184"/>
      <c r="BS157" s="184"/>
      <c r="BT157" s="184"/>
      <c r="BU157" s="184"/>
      <c r="BV157" s="184"/>
      <c r="BW157" s="184"/>
      <c r="BX157" s="184"/>
      <c r="BY157" s="184"/>
      <c r="BZ157" s="184"/>
      <c r="CA157" s="184"/>
      <c r="CB157" s="184"/>
      <c r="CC157" s="184"/>
      <c r="CD157" s="184"/>
      <c r="CE157" s="184"/>
      <c r="CF157" s="184"/>
      <c r="CG157" s="184"/>
      <c r="CH157" s="184"/>
      <c r="CI157" s="184"/>
      <c r="CJ157" s="184"/>
      <c r="CK157" s="184"/>
      <c r="CL157" s="184"/>
      <c r="CM157" s="184"/>
      <c r="CN157" s="184"/>
      <c r="CO157" s="184"/>
      <c r="CP157" s="184"/>
      <c r="CQ157" s="184"/>
      <c r="CR157" s="184"/>
      <c r="CS157" s="184"/>
      <c r="CT157" s="184"/>
      <c r="CU157" s="184"/>
      <c r="CV157" s="184"/>
      <c r="CW157" s="184"/>
      <c r="CX157" s="184"/>
      <c r="CY157" s="184"/>
      <c r="CZ157" s="184"/>
      <c r="DA157" s="184"/>
      <c r="DB157" s="184"/>
      <c r="DC157" s="184"/>
      <c r="DD157" s="184"/>
      <c r="DE157" s="184"/>
      <c r="DF157" s="184"/>
      <c r="DG157" s="184"/>
      <c r="DH157" s="184"/>
      <c r="DI157" s="184"/>
      <c r="DJ157" s="184"/>
      <c r="DK157" s="184"/>
      <c r="DL157" s="184"/>
      <c r="DM157" s="184"/>
      <c r="DN157" s="184"/>
      <c r="DO157" s="184"/>
      <c r="DP157" s="184"/>
      <c r="DQ157" s="184"/>
      <c r="DR157" s="184"/>
      <c r="DS157" s="184"/>
      <c r="DT157" s="184"/>
      <c r="DU157" s="184"/>
      <c r="DV157" s="184"/>
      <c r="DW157" s="184"/>
      <c r="DX157" s="184"/>
      <c r="DY157" s="184"/>
      <c r="DZ157" s="184"/>
      <c r="EA157" s="184"/>
      <c r="EB157" s="184"/>
      <c r="EC157" s="184"/>
      <c r="ED157" s="184"/>
      <c r="EE157" s="184"/>
      <c r="EF157" s="184"/>
      <c r="EG157" s="184"/>
      <c r="EH157" s="184"/>
      <c r="EI157" s="184"/>
      <c r="EJ157" s="184"/>
      <c r="EK157" s="184"/>
      <c r="EL157" s="184"/>
      <c r="EM157" s="184"/>
      <c r="EN157" s="184"/>
      <c r="EO157" s="184"/>
      <c r="EP157" s="184"/>
      <c r="EQ157" s="184"/>
      <c r="ER157" s="184"/>
      <c r="ES157" s="184"/>
      <c r="ET157" s="184"/>
      <c r="EU157" s="184"/>
      <c r="EV157" s="184"/>
      <c r="EW157" s="184"/>
      <c r="EX157" s="184"/>
      <c r="EY157" s="184"/>
      <c r="EZ157" s="184"/>
      <c r="FA157" s="184"/>
      <c r="FB157" s="184"/>
      <c r="FC157" s="184"/>
      <c r="FD157" s="184"/>
      <c r="FE157" s="184"/>
      <c r="FF157" s="184"/>
      <c r="FG157" s="184"/>
      <c r="FH157" s="184"/>
      <c r="FI157" s="184"/>
      <c r="FJ157" s="184"/>
      <c r="FK157" s="184"/>
      <c r="FL157" s="184"/>
      <c r="FM157" s="184"/>
      <c r="FN157" s="184"/>
      <c r="FO157" s="184"/>
      <c r="FP157" s="184"/>
      <c r="FQ157" s="184"/>
      <c r="FR157" s="184"/>
      <c r="FS157" s="184"/>
      <c r="FT157" s="184"/>
      <c r="FU157" s="184"/>
      <c r="FV157" s="184"/>
      <c r="FW157" s="184"/>
      <c r="FX157" s="184"/>
      <c r="FY157" s="184"/>
      <c r="FZ157" s="184"/>
      <c r="GA157" s="184"/>
      <c r="GB157" s="184"/>
      <c r="GC157" s="184"/>
      <c r="GD157" s="184"/>
      <c r="GE157" s="184"/>
      <c r="GF157" s="184"/>
      <c r="GG157" s="184"/>
      <c r="GH157" s="184"/>
      <c r="GI157" s="184"/>
    </row>
    <row r="158" spans="1:191" s="186" customFormat="1" ht="15" customHeight="1">
      <c r="A158" s="184"/>
      <c r="B158" s="190"/>
      <c r="C158" s="211"/>
      <c r="D158" s="193"/>
      <c r="E158" s="193"/>
      <c r="F158" s="188"/>
      <c r="G158" s="188"/>
      <c r="H158" s="190"/>
      <c r="I158" s="188"/>
      <c r="J158" s="184"/>
      <c r="K158" s="190"/>
      <c r="L158" s="190"/>
      <c r="M158" s="190"/>
      <c r="N158" s="184"/>
      <c r="O158" s="191"/>
      <c r="P158" s="191"/>
      <c r="Q158" s="183"/>
      <c r="R158" s="183"/>
      <c r="S158" s="183"/>
      <c r="T158" s="184"/>
      <c r="U158" s="184"/>
      <c r="V158" s="188"/>
      <c r="AB158" s="184"/>
      <c r="AC158" s="184"/>
      <c r="AD158" s="184"/>
      <c r="AE158" s="184"/>
      <c r="AF158" s="184"/>
      <c r="AG158" s="184"/>
      <c r="AH158" s="184"/>
      <c r="AI158" s="184"/>
      <c r="AJ158" s="184"/>
      <c r="AK158" s="184"/>
      <c r="AL158" s="184"/>
      <c r="AM158" s="184"/>
      <c r="AN158" s="184"/>
      <c r="AO158" s="184"/>
      <c r="AP158" s="184"/>
      <c r="AQ158" s="184"/>
      <c r="AR158" s="184"/>
      <c r="AS158" s="184"/>
      <c r="AT158" s="184"/>
      <c r="AU158" s="184"/>
      <c r="AV158" s="184"/>
      <c r="AW158" s="184"/>
      <c r="AX158" s="184"/>
      <c r="AY158" s="184"/>
      <c r="AZ158" s="184"/>
      <c r="BA158" s="184"/>
      <c r="BB158" s="184"/>
      <c r="BC158" s="184"/>
      <c r="BD158" s="184"/>
      <c r="BE158" s="184"/>
      <c r="BF158" s="184"/>
      <c r="BG158" s="184"/>
      <c r="BH158" s="184"/>
      <c r="BI158" s="184"/>
      <c r="BJ158" s="184"/>
      <c r="BK158" s="184"/>
      <c r="BL158" s="184"/>
      <c r="BM158" s="184"/>
      <c r="BN158" s="184"/>
      <c r="BO158" s="184"/>
      <c r="BP158" s="184"/>
      <c r="BQ158" s="184"/>
      <c r="BR158" s="184"/>
      <c r="BS158" s="184"/>
      <c r="BT158" s="184"/>
      <c r="BU158" s="184"/>
      <c r="BV158" s="184"/>
      <c r="BW158" s="184"/>
      <c r="BX158" s="184"/>
      <c r="BY158" s="184"/>
      <c r="BZ158" s="184"/>
      <c r="CA158" s="184"/>
      <c r="CB158" s="184"/>
      <c r="CC158" s="184"/>
      <c r="CD158" s="184"/>
      <c r="CE158" s="184"/>
      <c r="CF158" s="184"/>
      <c r="CG158" s="184"/>
      <c r="CH158" s="184"/>
      <c r="CI158" s="184"/>
      <c r="CJ158" s="184"/>
      <c r="CK158" s="184"/>
      <c r="CL158" s="184"/>
      <c r="CM158" s="184"/>
      <c r="CN158" s="184"/>
      <c r="CO158" s="184"/>
      <c r="CP158" s="184"/>
      <c r="CQ158" s="184"/>
      <c r="CR158" s="184"/>
      <c r="CS158" s="184"/>
      <c r="CT158" s="184"/>
      <c r="CU158" s="184"/>
      <c r="CV158" s="184"/>
      <c r="CW158" s="184"/>
      <c r="CX158" s="184"/>
      <c r="CY158" s="184"/>
      <c r="CZ158" s="184"/>
      <c r="DA158" s="184"/>
      <c r="DB158" s="184"/>
      <c r="DC158" s="184"/>
      <c r="DD158" s="184"/>
      <c r="DE158" s="184"/>
      <c r="DF158" s="184"/>
      <c r="DG158" s="184"/>
      <c r="DH158" s="184"/>
      <c r="DI158" s="184"/>
      <c r="DJ158" s="184"/>
      <c r="DK158" s="184"/>
      <c r="DL158" s="184"/>
      <c r="DM158" s="184"/>
      <c r="DN158" s="184"/>
      <c r="DO158" s="184"/>
      <c r="DP158" s="184"/>
      <c r="DQ158" s="184"/>
      <c r="DR158" s="184"/>
      <c r="DS158" s="184"/>
      <c r="DT158" s="184"/>
      <c r="DU158" s="184"/>
      <c r="DV158" s="184"/>
      <c r="DW158" s="184"/>
      <c r="DX158" s="184"/>
      <c r="DY158" s="184"/>
      <c r="DZ158" s="184"/>
      <c r="EA158" s="184"/>
      <c r="EB158" s="184"/>
      <c r="EC158" s="184"/>
      <c r="ED158" s="184"/>
      <c r="EE158" s="184"/>
      <c r="EF158" s="184"/>
      <c r="EG158" s="184"/>
      <c r="EH158" s="184"/>
      <c r="EI158" s="184"/>
      <c r="EJ158" s="184"/>
      <c r="EK158" s="184"/>
      <c r="EL158" s="184"/>
      <c r="EM158" s="184"/>
      <c r="EN158" s="184"/>
      <c r="EO158" s="184"/>
      <c r="EP158" s="184"/>
      <c r="EQ158" s="184"/>
      <c r="ER158" s="184"/>
      <c r="ES158" s="184"/>
      <c r="ET158" s="184"/>
      <c r="EU158" s="184"/>
      <c r="EV158" s="184"/>
      <c r="EW158" s="184"/>
      <c r="EX158" s="184"/>
      <c r="EY158" s="184"/>
      <c r="EZ158" s="184"/>
      <c r="FA158" s="184"/>
      <c r="FB158" s="184"/>
      <c r="FC158" s="184"/>
      <c r="FD158" s="184"/>
      <c r="FE158" s="184"/>
      <c r="FF158" s="184"/>
      <c r="FG158" s="184"/>
      <c r="FH158" s="184"/>
      <c r="FI158" s="184"/>
      <c r="FJ158" s="184"/>
      <c r="FK158" s="184"/>
      <c r="FL158" s="184"/>
      <c r="FM158" s="184"/>
      <c r="FN158" s="184"/>
      <c r="FO158" s="184"/>
      <c r="FP158" s="184"/>
      <c r="FQ158" s="184"/>
      <c r="FR158" s="184"/>
      <c r="FS158" s="184"/>
      <c r="FT158" s="184"/>
      <c r="FU158" s="184"/>
      <c r="FV158" s="184"/>
      <c r="FW158" s="184"/>
      <c r="FX158" s="184"/>
      <c r="FY158" s="184"/>
      <c r="FZ158" s="184"/>
      <c r="GA158" s="184"/>
      <c r="GB158" s="184"/>
      <c r="GC158" s="184"/>
      <c r="GD158" s="184"/>
      <c r="GE158" s="184"/>
      <c r="GF158" s="184"/>
      <c r="GG158" s="184"/>
      <c r="GH158" s="184"/>
      <c r="GI158" s="184"/>
    </row>
    <row r="159" spans="1:191" s="186" customFormat="1" ht="15" customHeight="1">
      <c r="A159" s="184"/>
      <c r="B159" s="190"/>
      <c r="C159" s="211"/>
      <c r="D159" s="193"/>
      <c r="E159" s="193"/>
      <c r="F159" s="188"/>
      <c r="G159" s="188"/>
      <c r="H159" s="190"/>
      <c r="I159" s="188"/>
      <c r="J159" s="184"/>
      <c r="K159" s="190"/>
      <c r="L159" s="190"/>
      <c r="M159" s="190"/>
      <c r="N159" s="184"/>
      <c r="O159" s="191"/>
      <c r="P159" s="191"/>
      <c r="Q159" s="183"/>
      <c r="R159" s="183"/>
      <c r="S159" s="183"/>
      <c r="T159" s="184"/>
      <c r="U159" s="184"/>
      <c r="V159" s="188"/>
      <c r="AB159" s="184"/>
      <c r="AC159" s="184"/>
      <c r="AD159" s="184"/>
      <c r="AE159" s="184"/>
      <c r="AF159" s="184"/>
      <c r="AG159" s="184"/>
      <c r="AH159" s="184"/>
      <c r="AI159" s="184"/>
      <c r="AJ159" s="184"/>
      <c r="AK159" s="184"/>
      <c r="AL159" s="184"/>
      <c r="AM159" s="184"/>
      <c r="AN159" s="184"/>
      <c r="AO159" s="184"/>
      <c r="AP159" s="184"/>
      <c r="AQ159" s="184"/>
      <c r="AR159" s="184"/>
      <c r="AS159" s="184"/>
      <c r="AT159" s="184"/>
      <c r="AU159" s="184"/>
      <c r="AV159" s="184"/>
      <c r="AW159" s="184"/>
      <c r="AX159" s="184"/>
      <c r="AY159" s="184"/>
      <c r="AZ159" s="184"/>
      <c r="BA159" s="184"/>
      <c r="BB159" s="184"/>
      <c r="BC159" s="184"/>
      <c r="BD159" s="184"/>
      <c r="BE159" s="184"/>
      <c r="BF159" s="184"/>
      <c r="BG159" s="184"/>
      <c r="BH159" s="184"/>
      <c r="BI159" s="184"/>
      <c r="BJ159" s="184"/>
      <c r="BK159" s="184"/>
      <c r="BL159" s="184"/>
      <c r="BM159" s="184"/>
      <c r="BN159" s="184"/>
      <c r="BO159" s="184"/>
      <c r="BP159" s="184"/>
      <c r="BQ159" s="184"/>
      <c r="BR159" s="184"/>
      <c r="BS159" s="184"/>
      <c r="BT159" s="184"/>
      <c r="BU159" s="184"/>
      <c r="BV159" s="184"/>
      <c r="BW159" s="184"/>
      <c r="BX159" s="184"/>
      <c r="BY159" s="184"/>
      <c r="BZ159" s="184"/>
      <c r="CA159" s="184"/>
      <c r="CB159" s="184"/>
      <c r="CC159" s="184"/>
      <c r="CD159" s="184"/>
      <c r="CE159" s="184"/>
      <c r="CF159" s="184"/>
      <c r="CG159" s="184"/>
      <c r="CH159" s="184"/>
      <c r="CI159" s="184"/>
      <c r="CJ159" s="184"/>
      <c r="CK159" s="184"/>
      <c r="CL159" s="184"/>
      <c r="CM159" s="184"/>
      <c r="CN159" s="184"/>
      <c r="CO159" s="184"/>
      <c r="CP159" s="184"/>
      <c r="CQ159" s="184"/>
      <c r="CR159" s="184"/>
      <c r="CS159" s="184"/>
      <c r="CT159" s="184"/>
      <c r="CU159" s="184"/>
      <c r="CV159" s="184"/>
      <c r="CW159" s="184"/>
      <c r="CX159" s="184"/>
      <c r="CY159" s="184"/>
      <c r="CZ159" s="184"/>
      <c r="DA159" s="184"/>
      <c r="DB159" s="184"/>
      <c r="DC159" s="184"/>
      <c r="DD159" s="184"/>
      <c r="DE159" s="184"/>
      <c r="DF159" s="184"/>
      <c r="DG159" s="184"/>
      <c r="DH159" s="184"/>
      <c r="DI159" s="184"/>
      <c r="DJ159" s="184"/>
      <c r="DK159" s="184"/>
      <c r="DL159" s="184"/>
      <c r="DM159" s="184"/>
      <c r="DN159" s="184"/>
      <c r="DO159" s="184"/>
      <c r="DP159" s="184"/>
      <c r="DQ159" s="184"/>
      <c r="DR159" s="184"/>
      <c r="DS159" s="184"/>
      <c r="DT159" s="184"/>
      <c r="DU159" s="184"/>
      <c r="DV159" s="184"/>
      <c r="DW159" s="184"/>
      <c r="DX159" s="184"/>
      <c r="DY159" s="184"/>
      <c r="DZ159" s="184"/>
      <c r="EA159" s="184"/>
      <c r="EB159" s="184"/>
      <c r="EC159" s="184"/>
      <c r="ED159" s="184"/>
      <c r="EE159" s="184"/>
      <c r="EF159" s="184"/>
      <c r="EG159" s="184"/>
      <c r="EH159" s="184"/>
      <c r="EI159" s="184"/>
      <c r="EJ159" s="184"/>
      <c r="EK159" s="184"/>
      <c r="EL159" s="184"/>
      <c r="EM159" s="184"/>
      <c r="EN159" s="184"/>
      <c r="EO159" s="184"/>
      <c r="EP159" s="184"/>
      <c r="EQ159" s="184"/>
      <c r="ER159" s="184"/>
      <c r="ES159" s="184"/>
      <c r="ET159" s="184"/>
      <c r="EU159" s="184"/>
      <c r="EV159" s="184"/>
      <c r="EW159" s="184"/>
      <c r="EX159" s="184"/>
      <c r="EY159" s="184"/>
      <c r="EZ159" s="184"/>
      <c r="FA159" s="184"/>
      <c r="FB159" s="184"/>
      <c r="FC159" s="184"/>
      <c r="FD159" s="184"/>
      <c r="FE159" s="184"/>
      <c r="FF159" s="184"/>
      <c r="FG159" s="184"/>
      <c r="FH159" s="184"/>
      <c r="FI159" s="184"/>
      <c r="FJ159" s="184"/>
      <c r="FK159" s="184"/>
      <c r="FL159" s="184"/>
      <c r="FM159" s="184"/>
      <c r="FN159" s="184"/>
      <c r="FO159" s="184"/>
      <c r="FP159" s="184"/>
      <c r="FQ159" s="184"/>
      <c r="FR159" s="184"/>
      <c r="FS159" s="184"/>
      <c r="FT159" s="184"/>
      <c r="FU159" s="184"/>
      <c r="FV159" s="184"/>
      <c r="FW159" s="184"/>
      <c r="FX159" s="184"/>
      <c r="FY159" s="184"/>
      <c r="FZ159" s="184"/>
      <c r="GA159" s="184"/>
      <c r="GB159" s="184"/>
      <c r="GC159" s="184"/>
      <c r="GD159" s="184"/>
      <c r="GE159" s="184"/>
      <c r="GF159" s="184"/>
      <c r="GG159" s="184"/>
      <c r="GH159" s="184"/>
      <c r="GI159" s="184"/>
    </row>
    <row r="160" spans="1:191" s="186" customFormat="1" ht="15" customHeight="1">
      <c r="A160" s="184"/>
      <c r="B160" s="190"/>
      <c r="C160" s="211"/>
      <c r="D160" s="193"/>
      <c r="E160" s="193"/>
      <c r="F160" s="188"/>
      <c r="G160" s="188"/>
      <c r="H160" s="190"/>
      <c r="I160" s="188"/>
      <c r="J160" s="184"/>
      <c r="K160" s="190"/>
      <c r="L160" s="190"/>
      <c r="M160" s="190"/>
      <c r="N160" s="184"/>
      <c r="O160" s="191"/>
      <c r="P160" s="191"/>
      <c r="Q160" s="183"/>
      <c r="R160" s="183"/>
      <c r="S160" s="183"/>
      <c r="T160" s="184"/>
      <c r="U160" s="184"/>
      <c r="V160" s="188"/>
      <c r="AB160" s="184"/>
      <c r="AC160" s="184"/>
      <c r="AD160" s="184"/>
      <c r="AE160" s="184"/>
      <c r="AF160" s="184"/>
      <c r="AG160" s="184"/>
      <c r="AH160" s="184"/>
      <c r="AI160" s="184"/>
      <c r="AJ160" s="184"/>
      <c r="AK160" s="184"/>
      <c r="AL160" s="184"/>
      <c r="AM160" s="184"/>
      <c r="AN160" s="184"/>
      <c r="AO160" s="184"/>
      <c r="AP160" s="184"/>
      <c r="AQ160" s="184"/>
      <c r="AR160" s="184"/>
      <c r="AS160" s="184"/>
      <c r="AT160" s="184"/>
      <c r="AU160" s="184"/>
      <c r="AV160" s="184"/>
      <c r="AW160" s="184"/>
      <c r="AX160" s="184"/>
      <c r="AY160" s="184"/>
      <c r="AZ160" s="184"/>
      <c r="BA160" s="184"/>
      <c r="BB160" s="184"/>
      <c r="BC160" s="184"/>
      <c r="BD160" s="184"/>
      <c r="BE160" s="184"/>
      <c r="BF160" s="184"/>
      <c r="BG160" s="184"/>
      <c r="BH160" s="184"/>
      <c r="BI160" s="184"/>
      <c r="BJ160" s="184"/>
      <c r="BK160" s="184"/>
      <c r="BL160" s="184"/>
      <c r="BM160" s="184"/>
      <c r="BN160" s="184"/>
      <c r="BO160" s="184"/>
      <c r="BP160" s="184"/>
      <c r="BQ160" s="184"/>
      <c r="BR160" s="184"/>
      <c r="BS160" s="184"/>
      <c r="BT160" s="184"/>
      <c r="BU160" s="184"/>
      <c r="BV160" s="184"/>
      <c r="BW160" s="184"/>
      <c r="BX160" s="184"/>
      <c r="BY160" s="184"/>
      <c r="BZ160" s="184"/>
      <c r="CA160" s="184"/>
      <c r="CB160" s="184"/>
      <c r="CC160" s="184"/>
      <c r="CD160" s="184"/>
      <c r="CE160" s="184"/>
      <c r="CF160" s="184"/>
      <c r="CG160" s="184"/>
      <c r="CH160" s="184"/>
      <c r="CI160" s="184"/>
      <c r="CJ160" s="184"/>
      <c r="CK160" s="184"/>
      <c r="CL160" s="184"/>
      <c r="CM160" s="184"/>
      <c r="CN160" s="184"/>
      <c r="CO160" s="184"/>
      <c r="CP160" s="184"/>
      <c r="CQ160" s="184"/>
      <c r="CR160" s="184"/>
      <c r="CS160" s="184"/>
      <c r="CT160" s="184"/>
      <c r="CU160" s="184"/>
      <c r="CV160" s="184"/>
      <c r="CW160" s="184"/>
      <c r="CX160" s="184"/>
      <c r="CY160" s="184"/>
      <c r="CZ160" s="184"/>
      <c r="DA160" s="184"/>
      <c r="DB160" s="184"/>
      <c r="DC160" s="184"/>
      <c r="DD160" s="184"/>
      <c r="DE160" s="184"/>
      <c r="DF160" s="184"/>
      <c r="DG160" s="184"/>
      <c r="DH160" s="184"/>
      <c r="DI160" s="184"/>
      <c r="DJ160" s="184"/>
      <c r="DK160" s="184"/>
      <c r="DL160" s="184"/>
      <c r="DM160" s="184"/>
      <c r="DN160" s="184"/>
      <c r="DO160" s="184"/>
      <c r="DP160" s="184"/>
      <c r="DQ160" s="184"/>
      <c r="DR160" s="184"/>
      <c r="DS160" s="184"/>
      <c r="DT160" s="184"/>
      <c r="DU160" s="184"/>
      <c r="DV160" s="184"/>
      <c r="DW160" s="184"/>
      <c r="DX160" s="184"/>
      <c r="DY160" s="184"/>
      <c r="DZ160" s="184"/>
      <c r="EA160" s="184"/>
      <c r="EB160" s="184"/>
      <c r="EC160" s="184"/>
      <c r="ED160" s="184"/>
      <c r="EE160" s="184"/>
      <c r="EF160" s="184"/>
      <c r="EG160" s="184"/>
      <c r="EH160" s="184"/>
      <c r="EI160" s="184"/>
      <c r="EJ160" s="184"/>
      <c r="EK160" s="184"/>
      <c r="EL160" s="184"/>
      <c r="EM160" s="184"/>
      <c r="EN160" s="184"/>
      <c r="EO160" s="184"/>
      <c r="EP160" s="184"/>
      <c r="EQ160" s="184"/>
      <c r="ER160" s="184"/>
      <c r="ES160" s="184"/>
      <c r="ET160" s="184"/>
      <c r="EU160" s="184"/>
      <c r="EV160" s="184"/>
      <c r="EW160" s="184"/>
      <c r="EX160" s="184"/>
      <c r="EY160" s="184"/>
      <c r="EZ160" s="184"/>
      <c r="FA160" s="184"/>
      <c r="FB160" s="184"/>
      <c r="FC160" s="184"/>
      <c r="FD160" s="184"/>
      <c r="FE160" s="184"/>
      <c r="FF160" s="184"/>
      <c r="FG160" s="184"/>
      <c r="FH160" s="184"/>
      <c r="FI160" s="184"/>
      <c r="FJ160" s="184"/>
      <c r="FK160" s="184"/>
      <c r="FL160" s="184"/>
      <c r="FM160" s="184"/>
      <c r="FN160" s="184"/>
      <c r="FO160" s="184"/>
      <c r="FP160" s="184"/>
      <c r="FQ160" s="184"/>
      <c r="FR160" s="184"/>
      <c r="FS160" s="184"/>
      <c r="FT160" s="184"/>
      <c r="FU160" s="184"/>
      <c r="FV160" s="184"/>
      <c r="FW160" s="184"/>
      <c r="FX160" s="184"/>
      <c r="FY160" s="184"/>
      <c r="FZ160" s="184"/>
      <c r="GA160" s="184"/>
      <c r="GB160" s="184"/>
      <c r="GC160" s="184"/>
      <c r="GD160" s="184"/>
      <c r="GE160" s="184"/>
      <c r="GF160" s="184"/>
      <c r="GG160" s="184"/>
      <c r="GH160" s="184"/>
      <c r="GI160" s="184"/>
    </row>
    <row r="161" spans="1:191" s="186" customFormat="1" ht="15" customHeight="1">
      <c r="A161" s="184"/>
      <c r="B161" s="190"/>
      <c r="C161" s="211"/>
      <c r="D161" s="193"/>
      <c r="E161" s="193"/>
      <c r="F161" s="188"/>
      <c r="G161" s="188"/>
      <c r="H161" s="190"/>
      <c r="I161" s="188"/>
      <c r="J161" s="184"/>
      <c r="K161" s="190"/>
      <c r="L161" s="190"/>
      <c r="M161" s="190"/>
      <c r="N161" s="184"/>
      <c r="O161" s="191"/>
      <c r="P161" s="191"/>
      <c r="Q161" s="183"/>
      <c r="R161" s="183"/>
      <c r="S161" s="183"/>
      <c r="T161" s="184"/>
      <c r="U161" s="184"/>
      <c r="V161" s="188"/>
      <c r="AB161" s="184"/>
      <c r="AC161" s="184"/>
      <c r="AD161" s="184"/>
      <c r="AE161" s="184"/>
      <c r="AF161" s="184"/>
      <c r="AG161" s="184"/>
      <c r="AH161" s="184"/>
      <c r="AI161" s="184"/>
      <c r="AJ161" s="184"/>
      <c r="AK161" s="184"/>
      <c r="AL161" s="184"/>
      <c r="AM161" s="184"/>
      <c r="AN161" s="184"/>
      <c r="AO161" s="184"/>
      <c r="AP161" s="184"/>
      <c r="AQ161" s="184"/>
      <c r="AR161" s="184"/>
      <c r="AS161" s="184"/>
      <c r="AT161" s="184"/>
      <c r="AU161" s="184"/>
      <c r="AV161" s="184"/>
      <c r="AW161" s="184"/>
      <c r="AX161" s="184"/>
      <c r="AY161" s="184"/>
      <c r="AZ161" s="184"/>
      <c r="BA161" s="184"/>
      <c r="BB161" s="184"/>
      <c r="BC161" s="184"/>
      <c r="BD161" s="184"/>
      <c r="BE161" s="184"/>
      <c r="BF161" s="184"/>
      <c r="BG161" s="184"/>
      <c r="BH161" s="184"/>
      <c r="BI161" s="184"/>
      <c r="BJ161" s="184"/>
      <c r="BK161" s="184"/>
      <c r="BL161" s="184"/>
      <c r="BM161" s="184"/>
      <c r="BN161" s="184"/>
      <c r="BO161" s="184"/>
      <c r="BP161" s="184"/>
      <c r="BQ161" s="184"/>
      <c r="BR161" s="184"/>
      <c r="BS161" s="184"/>
      <c r="BT161" s="184"/>
      <c r="BU161" s="184"/>
      <c r="BV161" s="184"/>
      <c r="BW161" s="184"/>
      <c r="BX161" s="184"/>
      <c r="BY161" s="184"/>
      <c r="BZ161" s="184"/>
      <c r="CA161" s="184"/>
      <c r="CB161" s="184"/>
      <c r="CC161" s="184"/>
      <c r="CD161" s="184"/>
      <c r="CE161" s="184"/>
      <c r="CF161" s="184"/>
      <c r="CG161" s="184"/>
      <c r="CH161" s="184"/>
      <c r="CI161" s="184"/>
      <c r="CJ161" s="184"/>
      <c r="CK161" s="184"/>
      <c r="CL161" s="184"/>
      <c r="CM161" s="184"/>
      <c r="CN161" s="184"/>
      <c r="CO161" s="184"/>
      <c r="CP161" s="184"/>
      <c r="CQ161" s="184"/>
      <c r="CR161" s="184"/>
      <c r="CS161" s="184"/>
      <c r="CT161" s="184"/>
      <c r="CU161" s="184"/>
      <c r="CV161" s="184"/>
      <c r="CW161" s="184"/>
      <c r="CX161" s="184"/>
      <c r="CY161" s="184"/>
      <c r="CZ161" s="184"/>
      <c r="DA161" s="184"/>
      <c r="DB161" s="184"/>
      <c r="DC161" s="184"/>
      <c r="DD161" s="184"/>
      <c r="DE161" s="184"/>
      <c r="DF161" s="184"/>
      <c r="DG161" s="184"/>
      <c r="DH161" s="184"/>
      <c r="DI161" s="184"/>
      <c r="DJ161" s="184"/>
      <c r="DK161" s="184"/>
      <c r="DL161" s="184"/>
      <c r="DM161" s="184"/>
      <c r="DN161" s="184"/>
      <c r="DO161" s="184"/>
      <c r="DP161" s="184"/>
      <c r="DQ161" s="184"/>
      <c r="DR161" s="184"/>
      <c r="DS161" s="184"/>
      <c r="DT161" s="184"/>
      <c r="DU161" s="184"/>
      <c r="DV161" s="184"/>
      <c r="DW161" s="184"/>
      <c r="DX161" s="184"/>
      <c r="DY161" s="184"/>
      <c r="DZ161" s="184"/>
      <c r="EA161" s="184"/>
      <c r="EB161" s="184"/>
      <c r="EC161" s="184"/>
      <c r="ED161" s="184"/>
      <c r="EE161" s="184"/>
      <c r="EF161" s="184"/>
      <c r="EG161" s="184"/>
      <c r="EH161" s="184"/>
      <c r="EI161" s="184"/>
      <c r="EJ161" s="184"/>
      <c r="EK161" s="184"/>
      <c r="EL161" s="184"/>
      <c r="EM161" s="184"/>
      <c r="EN161" s="184"/>
      <c r="EO161" s="184"/>
      <c r="EP161" s="184"/>
      <c r="EQ161" s="184"/>
      <c r="ER161" s="184"/>
      <c r="ES161" s="184"/>
      <c r="ET161" s="184"/>
      <c r="EU161" s="184"/>
      <c r="EV161" s="184"/>
      <c r="EW161" s="184"/>
      <c r="EX161" s="184"/>
      <c r="EY161" s="184"/>
      <c r="EZ161" s="184"/>
      <c r="FA161" s="184"/>
      <c r="FB161" s="184"/>
      <c r="FC161" s="184"/>
      <c r="FD161" s="184"/>
      <c r="FE161" s="184"/>
      <c r="FF161" s="184"/>
      <c r="FG161" s="184"/>
      <c r="FH161" s="184"/>
      <c r="FI161" s="184"/>
      <c r="FJ161" s="184"/>
      <c r="FK161" s="184"/>
      <c r="FL161" s="184"/>
      <c r="FM161" s="184"/>
      <c r="FN161" s="184"/>
      <c r="FO161" s="184"/>
      <c r="FP161" s="184"/>
      <c r="FQ161" s="184"/>
      <c r="FR161" s="184"/>
      <c r="FS161" s="184"/>
      <c r="FT161" s="184"/>
      <c r="FU161" s="184"/>
      <c r="FV161" s="184"/>
      <c r="FW161" s="184"/>
      <c r="FX161" s="184"/>
      <c r="FY161" s="184"/>
      <c r="FZ161" s="184"/>
      <c r="GA161" s="184"/>
      <c r="GB161" s="184"/>
      <c r="GC161" s="184"/>
      <c r="GD161" s="184"/>
      <c r="GE161" s="184"/>
      <c r="GF161" s="184"/>
      <c r="GG161" s="184"/>
      <c r="GH161" s="184"/>
      <c r="GI161" s="184"/>
    </row>
    <row r="162" spans="1:191" s="186" customFormat="1" ht="15" customHeight="1">
      <c r="A162" s="184"/>
      <c r="B162" s="190"/>
      <c r="C162" s="211"/>
      <c r="D162" s="193"/>
      <c r="E162" s="193"/>
      <c r="F162" s="188"/>
      <c r="G162" s="188"/>
      <c r="H162" s="190"/>
      <c r="I162" s="188"/>
      <c r="J162" s="184"/>
      <c r="K162" s="190"/>
      <c r="L162" s="190"/>
      <c r="M162" s="190"/>
      <c r="N162" s="184"/>
      <c r="O162" s="191"/>
      <c r="P162" s="191"/>
      <c r="Q162" s="183"/>
      <c r="R162" s="183"/>
      <c r="S162" s="183"/>
      <c r="T162" s="184"/>
      <c r="U162" s="184"/>
      <c r="V162" s="188"/>
      <c r="AB162" s="184"/>
      <c r="AC162" s="184"/>
      <c r="AD162" s="184"/>
      <c r="AE162" s="184"/>
      <c r="AF162" s="184"/>
      <c r="AG162" s="184"/>
      <c r="AH162" s="184"/>
      <c r="AI162" s="184"/>
      <c r="AJ162" s="184"/>
      <c r="AK162" s="184"/>
      <c r="AL162" s="184"/>
      <c r="AM162" s="184"/>
      <c r="AN162" s="184"/>
      <c r="AO162" s="184"/>
      <c r="AP162" s="184"/>
      <c r="AQ162" s="184"/>
      <c r="AR162" s="184"/>
      <c r="AS162" s="184"/>
      <c r="AT162" s="184"/>
      <c r="AU162" s="184"/>
      <c r="AV162" s="184"/>
      <c r="AW162" s="184"/>
      <c r="AX162" s="184"/>
      <c r="AY162" s="184"/>
      <c r="AZ162" s="184"/>
      <c r="BA162" s="184"/>
      <c r="BB162" s="184"/>
      <c r="BC162" s="184"/>
      <c r="BD162" s="184"/>
      <c r="BE162" s="184"/>
      <c r="BF162" s="184"/>
      <c r="BG162" s="184"/>
      <c r="BH162" s="184"/>
      <c r="BI162" s="184"/>
      <c r="BJ162" s="184"/>
      <c r="BK162" s="184"/>
      <c r="BL162" s="184"/>
      <c r="BM162" s="184"/>
      <c r="BN162" s="184"/>
      <c r="BO162" s="184"/>
      <c r="BP162" s="184"/>
      <c r="BQ162" s="184"/>
      <c r="BR162" s="184"/>
      <c r="BS162" s="184"/>
      <c r="BT162" s="184"/>
      <c r="BU162" s="184"/>
      <c r="BV162" s="184"/>
      <c r="BW162" s="184"/>
      <c r="BX162" s="184"/>
      <c r="BY162" s="184"/>
      <c r="BZ162" s="184"/>
      <c r="CA162" s="184"/>
      <c r="CB162" s="184"/>
      <c r="CC162" s="184"/>
      <c r="CD162" s="184"/>
      <c r="CE162" s="184"/>
      <c r="CF162" s="184"/>
      <c r="CG162" s="184"/>
      <c r="CH162" s="184"/>
      <c r="CI162" s="184"/>
      <c r="CJ162" s="184"/>
      <c r="CK162" s="184"/>
      <c r="CL162" s="184"/>
      <c r="CM162" s="184"/>
      <c r="CN162" s="184"/>
      <c r="CO162" s="184"/>
      <c r="CP162" s="184"/>
      <c r="CQ162" s="184"/>
      <c r="CR162" s="184"/>
      <c r="CS162" s="184"/>
      <c r="CT162" s="184"/>
      <c r="CU162" s="184"/>
      <c r="CV162" s="184"/>
      <c r="CW162" s="184"/>
      <c r="CX162" s="184"/>
      <c r="CY162" s="184"/>
      <c r="CZ162" s="184"/>
      <c r="DA162" s="184"/>
      <c r="DB162" s="184"/>
      <c r="DC162" s="184"/>
      <c r="DD162" s="184"/>
      <c r="DE162" s="184"/>
      <c r="DF162" s="184"/>
      <c r="DG162" s="184"/>
      <c r="DH162" s="184"/>
      <c r="DI162" s="184"/>
      <c r="DJ162" s="184"/>
      <c r="DK162" s="184"/>
      <c r="DL162" s="184"/>
      <c r="DM162" s="184"/>
      <c r="DN162" s="184"/>
      <c r="DO162" s="184"/>
      <c r="DP162" s="184"/>
      <c r="DQ162" s="184"/>
      <c r="DR162" s="184"/>
      <c r="DS162" s="184"/>
      <c r="DT162" s="184"/>
      <c r="DU162" s="184"/>
      <c r="DV162" s="184"/>
      <c r="DW162" s="184"/>
      <c r="DX162" s="184"/>
      <c r="DY162" s="184"/>
      <c r="DZ162" s="184"/>
      <c r="EA162" s="184"/>
      <c r="EB162" s="184"/>
      <c r="EC162" s="184"/>
      <c r="ED162" s="184"/>
      <c r="EE162" s="184"/>
      <c r="EF162" s="184"/>
      <c r="EG162" s="184"/>
      <c r="EH162" s="184"/>
      <c r="EI162" s="184"/>
      <c r="EJ162" s="184"/>
      <c r="EK162" s="184"/>
      <c r="EL162" s="184"/>
      <c r="EM162" s="184"/>
      <c r="EN162" s="184"/>
      <c r="EO162" s="184"/>
      <c r="EP162" s="184"/>
      <c r="EQ162" s="184"/>
      <c r="ER162" s="184"/>
      <c r="ES162" s="184"/>
      <c r="ET162" s="184"/>
      <c r="EU162" s="184"/>
      <c r="EV162" s="184"/>
      <c r="EW162" s="184"/>
      <c r="EX162" s="184"/>
      <c r="EY162" s="184"/>
      <c r="EZ162" s="184"/>
      <c r="FA162" s="184"/>
      <c r="FB162" s="184"/>
      <c r="FC162" s="184"/>
      <c r="FD162" s="184"/>
      <c r="FE162" s="184"/>
      <c r="FF162" s="184"/>
      <c r="FG162" s="184"/>
      <c r="FH162" s="184"/>
      <c r="FI162" s="184"/>
      <c r="FJ162" s="184"/>
      <c r="FK162" s="184"/>
      <c r="FL162" s="184"/>
      <c r="FM162" s="184"/>
      <c r="FN162" s="184"/>
      <c r="FO162" s="184"/>
      <c r="FP162" s="184"/>
      <c r="FQ162" s="184"/>
      <c r="FR162" s="184"/>
      <c r="FS162" s="184"/>
      <c r="FT162" s="184"/>
      <c r="FU162" s="184"/>
      <c r="FV162" s="184"/>
      <c r="FW162" s="184"/>
      <c r="FX162" s="184"/>
      <c r="FY162" s="184"/>
      <c r="FZ162" s="184"/>
      <c r="GA162" s="184"/>
      <c r="GB162" s="184"/>
      <c r="GC162" s="184"/>
      <c r="GD162" s="184"/>
      <c r="GE162" s="184"/>
      <c r="GF162" s="184"/>
      <c r="GG162" s="184"/>
      <c r="GH162" s="184"/>
      <c r="GI162" s="184"/>
    </row>
    <row r="163" spans="1:191" s="186" customFormat="1" ht="15" customHeight="1">
      <c r="A163" s="184"/>
      <c r="B163" s="190"/>
      <c r="C163" s="211"/>
      <c r="D163" s="193"/>
      <c r="E163" s="193"/>
      <c r="F163" s="188"/>
      <c r="G163" s="188"/>
      <c r="H163" s="190"/>
      <c r="I163" s="188"/>
      <c r="J163" s="184"/>
      <c r="K163" s="190"/>
      <c r="L163" s="190"/>
      <c r="M163" s="190"/>
      <c r="N163" s="184"/>
      <c r="O163" s="191"/>
      <c r="P163" s="191"/>
      <c r="Q163" s="183"/>
      <c r="R163" s="183"/>
      <c r="S163" s="183"/>
      <c r="T163" s="184"/>
      <c r="U163" s="184"/>
      <c r="V163" s="188"/>
      <c r="AB163" s="184"/>
      <c r="AC163" s="184"/>
      <c r="AD163" s="184"/>
      <c r="AE163" s="184"/>
      <c r="AF163" s="184"/>
      <c r="AG163" s="184"/>
      <c r="AH163" s="184"/>
      <c r="AI163" s="184"/>
      <c r="AJ163" s="184"/>
      <c r="AK163" s="184"/>
      <c r="AL163" s="184"/>
      <c r="AM163" s="184"/>
      <c r="AN163" s="184"/>
      <c r="AO163" s="184"/>
      <c r="AP163" s="184"/>
      <c r="AQ163" s="184"/>
      <c r="AR163" s="184"/>
      <c r="AS163" s="184"/>
      <c r="AT163" s="184"/>
      <c r="AU163" s="184"/>
      <c r="AV163" s="184"/>
      <c r="AW163" s="184"/>
      <c r="AX163" s="184"/>
      <c r="AY163" s="184"/>
      <c r="AZ163" s="184"/>
      <c r="BA163" s="184"/>
      <c r="BB163" s="184"/>
      <c r="BC163" s="184"/>
      <c r="BD163" s="184"/>
      <c r="BE163" s="184"/>
      <c r="BF163" s="184"/>
      <c r="BG163" s="184"/>
      <c r="BH163" s="184"/>
      <c r="BI163" s="184"/>
      <c r="BJ163" s="184"/>
      <c r="BK163" s="184"/>
      <c r="BL163" s="184"/>
      <c r="BM163" s="184"/>
      <c r="BN163" s="184"/>
      <c r="BO163" s="184"/>
      <c r="BP163" s="184"/>
      <c r="BQ163" s="184"/>
      <c r="BR163" s="184"/>
      <c r="BS163" s="184"/>
      <c r="BT163" s="184"/>
      <c r="BU163" s="184"/>
      <c r="BV163" s="184"/>
      <c r="BW163" s="184"/>
      <c r="BX163" s="184"/>
      <c r="BY163" s="184"/>
      <c r="BZ163" s="184"/>
      <c r="CA163" s="184"/>
      <c r="CB163" s="184"/>
      <c r="CC163" s="184"/>
      <c r="CD163" s="184"/>
      <c r="CE163" s="184"/>
      <c r="CF163" s="184"/>
      <c r="CG163" s="184"/>
      <c r="CH163" s="184"/>
      <c r="CI163" s="184"/>
      <c r="CJ163" s="184"/>
      <c r="CK163" s="184"/>
      <c r="CL163" s="184"/>
      <c r="CM163" s="184"/>
      <c r="CN163" s="184"/>
      <c r="CO163" s="184"/>
      <c r="CP163" s="184"/>
      <c r="CQ163" s="184"/>
      <c r="CR163" s="184"/>
      <c r="CS163" s="184"/>
      <c r="CT163" s="184"/>
      <c r="CU163" s="184"/>
      <c r="CV163" s="184"/>
      <c r="CW163" s="184"/>
      <c r="CX163" s="184"/>
      <c r="CY163" s="184"/>
      <c r="CZ163" s="184"/>
      <c r="DA163" s="184"/>
      <c r="DB163" s="184"/>
      <c r="DC163" s="184"/>
      <c r="DD163" s="184"/>
      <c r="DE163" s="184"/>
      <c r="DF163" s="184"/>
      <c r="DG163" s="184"/>
      <c r="DH163" s="184"/>
      <c r="DI163" s="184"/>
      <c r="DJ163" s="184"/>
      <c r="DK163" s="184"/>
      <c r="DL163" s="184"/>
      <c r="DM163" s="184"/>
      <c r="DN163" s="184"/>
      <c r="DO163" s="184"/>
      <c r="DP163" s="184"/>
      <c r="DQ163" s="184"/>
      <c r="DR163" s="184"/>
      <c r="DS163" s="184"/>
      <c r="DT163" s="184"/>
      <c r="DU163" s="184"/>
      <c r="DV163" s="184"/>
      <c r="DW163" s="184"/>
      <c r="DX163" s="184"/>
      <c r="DY163" s="184"/>
      <c r="DZ163" s="184"/>
      <c r="EA163" s="184"/>
      <c r="EB163" s="184"/>
      <c r="EC163" s="184"/>
      <c r="ED163" s="184"/>
      <c r="EE163" s="184"/>
      <c r="EF163" s="184"/>
      <c r="EG163" s="184"/>
      <c r="EH163" s="184"/>
      <c r="EI163" s="184"/>
      <c r="EJ163" s="184"/>
      <c r="EK163" s="184"/>
      <c r="EL163" s="184"/>
      <c r="EM163" s="184"/>
      <c r="EN163" s="184"/>
      <c r="EO163" s="184"/>
      <c r="EP163" s="184"/>
      <c r="EQ163" s="184"/>
      <c r="ER163" s="184"/>
      <c r="ES163" s="184"/>
      <c r="ET163" s="184"/>
      <c r="EU163" s="184"/>
      <c r="EV163" s="184"/>
      <c r="EW163" s="184"/>
      <c r="EX163" s="184"/>
      <c r="EY163" s="184"/>
      <c r="EZ163" s="184"/>
      <c r="FA163" s="184"/>
      <c r="FB163" s="184"/>
      <c r="FC163" s="184"/>
      <c r="FD163" s="184"/>
      <c r="FE163" s="184"/>
      <c r="FF163" s="184"/>
      <c r="FG163" s="184"/>
      <c r="FH163" s="184"/>
      <c r="FI163" s="184"/>
      <c r="FJ163" s="184"/>
      <c r="FK163" s="184"/>
      <c r="FL163" s="184"/>
      <c r="FM163" s="184"/>
      <c r="FN163" s="184"/>
      <c r="FO163" s="184"/>
      <c r="FP163" s="184"/>
      <c r="FQ163" s="184"/>
      <c r="FR163" s="184"/>
      <c r="FS163" s="184"/>
      <c r="FT163" s="184"/>
      <c r="FU163" s="184"/>
      <c r="FV163" s="184"/>
      <c r="FW163" s="184"/>
      <c r="FX163" s="184"/>
      <c r="FY163" s="184"/>
      <c r="FZ163" s="184"/>
      <c r="GA163" s="184"/>
      <c r="GB163" s="184"/>
      <c r="GC163" s="184"/>
      <c r="GD163" s="184"/>
      <c r="GE163" s="184"/>
      <c r="GF163" s="184"/>
      <c r="GG163" s="184"/>
      <c r="GH163" s="184"/>
      <c r="GI163" s="184"/>
    </row>
    <row r="164" spans="1:191" s="186" customFormat="1" ht="15" customHeight="1">
      <c r="A164" s="184"/>
      <c r="B164" s="190"/>
      <c r="C164" s="211"/>
      <c r="D164" s="193"/>
      <c r="E164" s="193"/>
      <c r="F164" s="188"/>
      <c r="G164" s="188"/>
      <c r="H164" s="190"/>
      <c r="I164" s="188"/>
      <c r="J164" s="184"/>
      <c r="K164" s="190"/>
      <c r="L164" s="190"/>
      <c r="M164" s="190"/>
      <c r="N164" s="184"/>
      <c r="O164" s="191"/>
      <c r="P164" s="191"/>
      <c r="Q164" s="183"/>
      <c r="R164" s="183"/>
      <c r="S164" s="183"/>
      <c r="T164" s="184"/>
      <c r="U164" s="184"/>
      <c r="V164" s="188"/>
      <c r="AB164" s="184"/>
      <c r="AC164" s="184"/>
      <c r="AD164" s="184"/>
      <c r="AE164" s="184"/>
      <c r="AF164" s="184"/>
      <c r="AG164" s="184"/>
      <c r="AH164" s="184"/>
      <c r="AI164" s="184"/>
      <c r="AJ164" s="184"/>
      <c r="AK164" s="184"/>
      <c r="AL164" s="184"/>
      <c r="AM164" s="184"/>
      <c r="AN164" s="184"/>
      <c r="AO164" s="184"/>
      <c r="AP164" s="184"/>
      <c r="AQ164" s="184"/>
      <c r="AR164" s="184"/>
      <c r="AS164" s="184"/>
      <c r="AT164" s="184"/>
      <c r="AU164" s="184"/>
      <c r="AV164" s="184"/>
      <c r="AW164" s="184"/>
      <c r="AX164" s="184"/>
      <c r="AY164" s="184"/>
      <c r="AZ164" s="184"/>
      <c r="BA164" s="184"/>
      <c r="BB164" s="184"/>
      <c r="BC164" s="184"/>
      <c r="BD164" s="184"/>
      <c r="BE164" s="184"/>
      <c r="BF164" s="184"/>
      <c r="BG164" s="184"/>
      <c r="BH164" s="184"/>
      <c r="BI164" s="184"/>
      <c r="BJ164" s="184"/>
      <c r="BK164" s="184"/>
      <c r="BL164" s="184"/>
      <c r="BM164" s="184"/>
      <c r="BN164" s="184"/>
      <c r="BO164" s="184"/>
      <c r="BP164" s="184"/>
      <c r="BQ164" s="184"/>
      <c r="BR164" s="184"/>
      <c r="BS164" s="184"/>
      <c r="BT164" s="184"/>
      <c r="BU164" s="184"/>
      <c r="BV164" s="184"/>
      <c r="BW164" s="184"/>
      <c r="BX164" s="184"/>
      <c r="BY164" s="184"/>
      <c r="BZ164" s="184"/>
      <c r="CA164" s="184"/>
      <c r="CB164" s="184"/>
      <c r="CC164" s="184"/>
      <c r="CD164" s="184"/>
      <c r="CE164" s="184"/>
      <c r="CF164" s="184"/>
      <c r="CG164" s="184"/>
      <c r="CH164" s="184"/>
      <c r="CI164" s="184"/>
      <c r="CJ164" s="184"/>
      <c r="CK164" s="184"/>
      <c r="CL164" s="184"/>
      <c r="CM164" s="184"/>
      <c r="CN164" s="184"/>
      <c r="CO164" s="184"/>
      <c r="CP164" s="184"/>
      <c r="CQ164" s="184"/>
      <c r="CR164" s="184"/>
      <c r="CS164" s="184"/>
      <c r="CT164" s="184"/>
      <c r="CU164" s="184"/>
      <c r="CV164" s="184"/>
      <c r="CW164" s="184"/>
      <c r="CX164" s="184"/>
      <c r="CY164" s="184"/>
      <c r="CZ164" s="184"/>
      <c r="DA164" s="184"/>
      <c r="DB164" s="184"/>
      <c r="DC164" s="184"/>
      <c r="DD164" s="184"/>
      <c r="DE164" s="184"/>
      <c r="DF164" s="184"/>
      <c r="DG164" s="184"/>
      <c r="DH164" s="184"/>
      <c r="DI164" s="184"/>
      <c r="DJ164" s="184"/>
      <c r="DK164" s="184"/>
      <c r="DL164" s="184"/>
      <c r="DM164" s="184"/>
      <c r="DN164" s="184"/>
      <c r="DO164" s="184"/>
      <c r="DP164" s="184"/>
      <c r="DQ164" s="184"/>
      <c r="DR164" s="184"/>
      <c r="DS164" s="184"/>
      <c r="DT164" s="184"/>
      <c r="DU164" s="184"/>
      <c r="DV164" s="184"/>
      <c r="DW164" s="184"/>
      <c r="DX164" s="184"/>
      <c r="DY164" s="184"/>
      <c r="DZ164" s="184"/>
      <c r="EA164" s="184"/>
      <c r="EB164" s="184"/>
      <c r="EC164" s="184"/>
      <c r="ED164" s="184"/>
      <c r="EE164" s="184"/>
      <c r="EF164" s="184"/>
      <c r="EG164" s="184"/>
      <c r="EH164" s="184"/>
      <c r="EI164" s="184"/>
      <c r="EJ164" s="184"/>
      <c r="EK164" s="184"/>
      <c r="EL164" s="184"/>
      <c r="EM164" s="184"/>
      <c r="EN164" s="184"/>
      <c r="EO164" s="184"/>
      <c r="EP164" s="184"/>
      <c r="EQ164" s="184"/>
      <c r="ER164" s="184"/>
      <c r="ES164" s="184"/>
      <c r="ET164" s="184"/>
      <c r="EU164" s="184"/>
      <c r="EV164" s="184"/>
      <c r="EW164" s="184"/>
      <c r="EX164" s="184"/>
      <c r="EY164" s="184"/>
      <c r="EZ164" s="184"/>
      <c r="FA164" s="184"/>
      <c r="FB164" s="184"/>
      <c r="FC164" s="184"/>
      <c r="FD164" s="184"/>
      <c r="FE164" s="184"/>
      <c r="FF164" s="184"/>
      <c r="FG164" s="184"/>
      <c r="FH164" s="184"/>
      <c r="FI164" s="184"/>
      <c r="FJ164" s="184"/>
      <c r="FK164" s="184"/>
      <c r="FL164" s="184"/>
      <c r="FM164" s="184"/>
      <c r="FN164" s="184"/>
      <c r="FO164" s="184"/>
      <c r="FP164" s="184"/>
      <c r="FQ164" s="184"/>
      <c r="FR164" s="184"/>
      <c r="FS164" s="184"/>
      <c r="FT164" s="184"/>
      <c r="FU164" s="184"/>
      <c r="FV164" s="184"/>
      <c r="FW164" s="184"/>
      <c r="FX164" s="184"/>
      <c r="FY164" s="184"/>
      <c r="FZ164" s="184"/>
      <c r="GA164" s="184"/>
      <c r="GB164" s="184"/>
      <c r="GC164" s="184"/>
      <c r="GD164" s="184"/>
      <c r="GE164" s="184"/>
      <c r="GF164" s="184"/>
      <c r="GG164" s="184"/>
      <c r="GH164" s="184"/>
      <c r="GI164" s="184"/>
    </row>
    <row r="165" spans="1:191" s="186" customFormat="1" ht="15" customHeight="1">
      <c r="A165" s="184"/>
      <c r="B165" s="190"/>
      <c r="C165" s="211"/>
      <c r="D165" s="193"/>
      <c r="E165" s="193"/>
      <c r="F165" s="188"/>
      <c r="G165" s="188"/>
      <c r="H165" s="190"/>
      <c r="I165" s="188"/>
      <c r="J165" s="184"/>
      <c r="K165" s="190"/>
      <c r="L165" s="190"/>
      <c r="M165" s="190"/>
      <c r="N165" s="184"/>
      <c r="O165" s="191"/>
      <c r="P165" s="191"/>
      <c r="Q165" s="183"/>
      <c r="R165" s="183"/>
      <c r="S165" s="183"/>
      <c r="T165" s="184"/>
      <c r="U165" s="184"/>
      <c r="V165" s="188"/>
      <c r="AB165" s="184"/>
      <c r="AC165" s="184"/>
      <c r="AD165" s="184"/>
      <c r="AE165" s="184"/>
      <c r="AF165" s="184"/>
      <c r="AG165" s="184"/>
      <c r="AH165" s="184"/>
      <c r="AI165" s="184"/>
      <c r="AJ165" s="184"/>
      <c r="AK165" s="184"/>
      <c r="AL165" s="184"/>
      <c r="AM165" s="184"/>
      <c r="AN165" s="184"/>
      <c r="AO165" s="184"/>
      <c r="AP165" s="184"/>
      <c r="AQ165" s="184"/>
      <c r="AR165" s="184"/>
      <c r="AS165" s="184"/>
      <c r="AT165" s="184"/>
      <c r="AU165" s="184"/>
      <c r="AV165" s="184"/>
      <c r="AW165" s="184"/>
      <c r="AX165" s="184"/>
      <c r="AY165" s="184"/>
      <c r="AZ165" s="184"/>
      <c r="BA165" s="184"/>
      <c r="BB165" s="184"/>
      <c r="BC165" s="184"/>
      <c r="BD165" s="184"/>
      <c r="BE165" s="184"/>
      <c r="BF165" s="184"/>
      <c r="BG165" s="184"/>
      <c r="BH165" s="184"/>
      <c r="BI165" s="184"/>
      <c r="BJ165" s="184"/>
      <c r="BK165" s="184"/>
      <c r="BL165" s="184"/>
      <c r="BM165" s="184"/>
      <c r="BN165" s="184"/>
      <c r="BO165" s="184"/>
      <c r="BP165" s="184"/>
      <c r="BQ165" s="184"/>
      <c r="BR165" s="184"/>
      <c r="BS165" s="184"/>
      <c r="BT165" s="184"/>
      <c r="BU165" s="184"/>
      <c r="BV165" s="184"/>
      <c r="BW165" s="184"/>
      <c r="BX165" s="184"/>
      <c r="BY165" s="184"/>
      <c r="BZ165" s="184"/>
      <c r="CA165" s="184"/>
      <c r="CB165" s="184"/>
      <c r="CC165" s="184"/>
      <c r="CD165" s="184"/>
      <c r="CE165" s="184"/>
      <c r="CF165" s="184"/>
      <c r="CG165" s="184"/>
      <c r="CH165" s="184"/>
      <c r="CI165" s="184"/>
      <c r="CJ165" s="184"/>
      <c r="CK165" s="184"/>
      <c r="CL165" s="184"/>
      <c r="CM165" s="184"/>
      <c r="CN165" s="184"/>
      <c r="CO165" s="184"/>
      <c r="CP165" s="184"/>
      <c r="CQ165" s="184"/>
      <c r="CR165" s="184"/>
      <c r="CS165" s="184"/>
      <c r="CT165" s="184"/>
      <c r="CU165" s="184"/>
      <c r="CV165" s="184"/>
      <c r="CW165" s="184"/>
      <c r="CX165" s="184"/>
      <c r="CY165" s="184"/>
      <c r="CZ165" s="184"/>
      <c r="DA165" s="184"/>
      <c r="DB165" s="184"/>
      <c r="DC165" s="184"/>
      <c r="DD165" s="184"/>
      <c r="DE165" s="184"/>
      <c r="DF165" s="184"/>
      <c r="DG165" s="184"/>
      <c r="DH165" s="184"/>
      <c r="DI165" s="184"/>
      <c r="DJ165" s="184"/>
      <c r="DK165" s="184"/>
      <c r="DL165" s="184"/>
      <c r="DM165" s="184"/>
      <c r="DN165" s="184"/>
      <c r="DO165" s="184"/>
      <c r="DP165" s="184"/>
      <c r="DQ165" s="184"/>
      <c r="DR165" s="184"/>
      <c r="DS165" s="184"/>
      <c r="DT165" s="184"/>
      <c r="DU165" s="184"/>
      <c r="DV165" s="184"/>
      <c r="DW165" s="184"/>
      <c r="DX165" s="184"/>
      <c r="DY165" s="184"/>
      <c r="DZ165" s="184"/>
      <c r="EA165" s="184"/>
      <c r="EB165" s="184"/>
      <c r="EC165" s="184"/>
      <c r="ED165" s="184"/>
      <c r="EE165" s="184"/>
      <c r="EF165" s="184"/>
      <c r="EG165" s="184"/>
      <c r="EH165" s="184"/>
      <c r="EI165" s="184"/>
      <c r="EJ165" s="184"/>
      <c r="EK165" s="184"/>
      <c r="EL165" s="184"/>
      <c r="EM165" s="184"/>
      <c r="EN165" s="184"/>
      <c r="EO165" s="184"/>
      <c r="EP165" s="184"/>
      <c r="EQ165" s="184"/>
      <c r="ER165" s="184"/>
      <c r="ES165" s="184"/>
      <c r="ET165" s="184"/>
      <c r="EU165" s="184"/>
      <c r="EV165" s="184"/>
      <c r="EW165" s="184"/>
      <c r="EX165" s="184"/>
      <c r="EY165" s="184"/>
      <c r="EZ165" s="184"/>
      <c r="FA165" s="184"/>
      <c r="FB165" s="184"/>
      <c r="FC165" s="184"/>
      <c r="FD165" s="184"/>
      <c r="FE165" s="184"/>
      <c r="FF165" s="184"/>
      <c r="FG165" s="184"/>
      <c r="FH165" s="184"/>
      <c r="FI165" s="184"/>
      <c r="FJ165" s="184"/>
      <c r="FK165" s="184"/>
      <c r="FL165" s="184"/>
      <c r="FM165" s="184"/>
      <c r="FN165" s="184"/>
      <c r="FO165" s="184"/>
      <c r="FP165" s="184"/>
      <c r="FQ165" s="184"/>
      <c r="FR165" s="184"/>
      <c r="FS165" s="184"/>
      <c r="FT165" s="184"/>
      <c r="FU165" s="184"/>
      <c r="FV165" s="184"/>
      <c r="FW165" s="184"/>
      <c r="FX165" s="184"/>
      <c r="FY165" s="184"/>
      <c r="FZ165" s="184"/>
      <c r="GA165" s="184"/>
      <c r="GB165" s="184"/>
      <c r="GC165" s="184"/>
      <c r="GD165" s="184"/>
      <c r="GE165" s="184"/>
      <c r="GF165" s="184"/>
      <c r="GG165" s="184"/>
      <c r="GH165" s="184"/>
      <c r="GI165" s="184"/>
    </row>
    <row r="166" spans="1:191" s="186" customFormat="1" ht="15" customHeight="1">
      <c r="A166" s="184"/>
      <c r="B166" s="190"/>
      <c r="C166" s="211"/>
      <c r="D166" s="193"/>
      <c r="E166" s="193"/>
      <c r="F166" s="188"/>
      <c r="G166" s="188"/>
      <c r="H166" s="190"/>
      <c r="I166" s="188"/>
      <c r="J166" s="184"/>
      <c r="K166" s="190"/>
      <c r="L166" s="190"/>
      <c r="M166" s="190"/>
      <c r="N166" s="184"/>
      <c r="O166" s="191"/>
      <c r="P166" s="191"/>
      <c r="Q166" s="183"/>
      <c r="R166" s="183"/>
      <c r="S166" s="183"/>
      <c r="T166" s="184"/>
      <c r="U166" s="184"/>
      <c r="V166" s="188"/>
      <c r="AB166" s="184"/>
      <c r="AC166" s="184"/>
      <c r="AD166" s="184"/>
      <c r="AE166" s="184"/>
      <c r="AF166" s="184"/>
      <c r="AG166" s="184"/>
      <c r="AH166" s="184"/>
      <c r="AI166" s="184"/>
      <c r="AJ166" s="184"/>
      <c r="AK166" s="184"/>
      <c r="AL166" s="184"/>
      <c r="AM166" s="184"/>
      <c r="AN166" s="184"/>
      <c r="AO166" s="184"/>
      <c r="AP166" s="184"/>
      <c r="AQ166" s="184"/>
      <c r="AR166" s="184"/>
      <c r="AS166" s="184"/>
      <c r="AT166" s="184"/>
      <c r="AU166" s="184"/>
      <c r="AV166" s="184"/>
      <c r="AW166" s="184"/>
      <c r="AX166" s="184"/>
      <c r="AY166" s="184"/>
      <c r="AZ166" s="184"/>
      <c r="BA166" s="184"/>
      <c r="BB166" s="184"/>
      <c r="BC166" s="184"/>
      <c r="BD166" s="184"/>
      <c r="BE166" s="184"/>
      <c r="BF166" s="184"/>
      <c r="BG166" s="184"/>
      <c r="BH166" s="184"/>
      <c r="BI166" s="184"/>
      <c r="BJ166" s="184"/>
      <c r="BK166" s="184"/>
      <c r="BL166" s="184"/>
      <c r="BM166" s="184"/>
      <c r="BN166" s="184"/>
      <c r="BO166" s="184"/>
      <c r="BP166" s="184"/>
      <c r="BQ166" s="184"/>
      <c r="BR166" s="184"/>
      <c r="BS166" s="184"/>
      <c r="BT166" s="184"/>
      <c r="BU166" s="184"/>
      <c r="BV166" s="184"/>
      <c r="BW166" s="184"/>
      <c r="BX166" s="184"/>
      <c r="BY166" s="184"/>
      <c r="BZ166" s="184"/>
      <c r="CA166" s="184"/>
      <c r="CB166" s="184"/>
      <c r="CC166" s="184"/>
      <c r="CD166" s="184"/>
      <c r="CE166" s="184"/>
      <c r="CF166" s="184"/>
      <c r="CG166" s="184"/>
      <c r="CH166" s="184"/>
      <c r="CI166" s="184"/>
      <c r="CJ166" s="184"/>
      <c r="CK166" s="184"/>
      <c r="CL166" s="184"/>
      <c r="CM166" s="184"/>
      <c r="CN166" s="184"/>
      <c r="CO166" s="184"/>
      <c r="CP166" s="184"/>
      <c r="CQ166" s="184"/>
      <c r="CR166" s="184"/>
      <c r="CS166" s="184"/>
      <c r="CT166" s="184"/>
      <c r="CU166" s="184"/>
      <c r="CV166" s="184"/>
      <c r="CW166" s="184"/>
      <c r="CX166" s="184"/>
      <c r="CY166" s="184"/>
      <c r="CZ166" s="184"/>
      <c r="DA166" s="184"/>
      <c r="DB166" s="184"/>
      <c r="DC166" s="184"/>
      <c r="DD166" s="184"/>
      <c r="DE166" s="184"/>
      <c r="DF166" s="184"/>
      <c r="DG166" s="184"/>
      <c r="DH166" s="184"/>
      <c r="DI166" s="184"/>
      <c r="DJ166" s="184"/>
      <c r="DK166" s="184"/>
      <c r="DL166" s="184"/>
      <c r="DM166" s="184"/>
      <c r="DN166" s="184"/>
      <c r="DO166" s="184"/>
      <c r="DP166" s="184"/>
      <c r="DQ166" s="184"/>
      <c r="DR166" s="184"/>
      <c r="DS166" s="184"/>
      <c r="DT166" s="184"/>
      <c r="DU166" s="184"/>
      <c r="DV166" s="184"/>
      <c r="DW166" s="184"/>
      <c r="DX166" s="184"/>
      <c r="DY166" s="184"/>
      <c r="DZ166" s="184"/>
      <c r="EA166" s="184"/>
      <c r="EB166" s="184"/>
      <c r="EC166" s="184"/>
      <c r="ED166" s="184"/>
      <c r="EE166" s="184"/>
      <c r="EF166" s="184"/>
      <c r="EG166" s="184"/>
      <c r="EH166" s="184"/>
      <c r="EI166" s="184"/>
      <c r="EJ166" s="184"/>
      <c r="EK166" s="184"/>
      <c r="EL166" s="184"/>
      <c r="EM166" s="184"/>
      <c r="EN166" s="184"/>
      <c r="EO166" s="184"/>
      <c r="EP166" s="184"/>
      <c r="EQ166" s="184"/>
      <c r="ER166" s="184"/>
      <c r="ES166" s="184"/>
      <c r="ET166" s="184"/>
      <c r="EU166" s="184"/>
      <c r="EV166" s="184"/>
      <c r="EW166" s="184"/>
      <c r="EX166" s="184"/>
      <c r="EY166" s="184"/>
      <c r="EZ166" s="184"/>
      <c r="FA166" s="184"/>
      <c r="FB166" s="184"/>
      <c r="FC166" s="184"/>
      <c r="FD166" s="184"/>
      <c r="FE166" s="184"/>
      <c r="FF166" s="184"/>
      <c r="FG166" s="184"/>
      <c r="FH166" s="184"/>
      <c r="FI166" s="184"/>
      <c r="FJ166" s="184"/>
      <c r="FK166" s="184"/>
      <c r="FL166" s="184"/>
      <c r="FM166" s="184"/>
      <c r="FN166" s="184"/>
      <c r="FO166" s="184"/>
      <c r="FP166" s="184"/>
      <c r="FQ166" s="184"/>
      <c r="FR166" s="184"/>
      <c r="FS166" s="184"/>
      <c r="FT166" s="184"/>
      <c r="FU166" s="184"/>
      <c r="FV166" s="184"/>
      <c r="FW166" s="184"/>
      <c r="FX166" s="184"/>
      <c r="FY166" s="184"/>
      <c r="FZ166" s="184"/>
      <c r="GA166" s="184"/>
      <c r="GB166" s="184"/>
      <c r="GC166" s="184"/>
      <c r="GD166" s="184"/>
      <c r="GE166" s="184"/>
      <c r="GF166" s="184"/>
      <c r="GG166" s="184"/>
      <c r="GH166" s="184"/>
      <c r="GI166" s="184"/>
    </row>
    <row r="167" spans="1:191" s="186" customFormat="1" ht="15" customHeight="1">
      <c r="A167" s="184"/>
      <c r="B167" s="190"/>
      <c r="C167" s="211"/>
      <c r="D167" s="193"/>
      <c r="E167" s="193"/>
      <c r="F167" s="188"/>
      <c r="G167" s="188"/>
      <c r="H167" s="190"/>
      <c r="I167" s="188"/>
      <c r="J167" s="184"/>
      <c r="K167" s="190"/>
      <c r="L167" s="190"/>
      <c r="M167" s="190"/>
      <c r="N167" s="184"/>
      <c r="O167" s="191"/>
      <c r="P167" s="191"/>
      <c r="Q167" s="183"/>
      <c r="R167" s="183"/>
      <c r="S167" s="183"/>
      <c r="T167" s="184"/>
      <c r="U167" s="184"/>
      <c r="V167" s="188"/>
      <c r="AB167" s="184"/>
      <c r="AC167" s="184"/>
      <c r="AD167" s="184"/>
      <c r="AE167" s="184"/>
      <c r="AF167" s="184"/>
      <c r="AG167" s="184"/>
      <c r="AH167" s="184"/>
      <c r="AI167" s="184"/>
      <c r="AJ167" s="184"/>
      <c r="AK167" s="184"/>
      <c r="AL167" s="184"/>
      <c r="AM167" s="184"/>
      <c r="AN167" s="184"/>
      <c r="AO167" s="184"/>
      <c r="AP167" s="184"/>
      <c r="AQ167" s="184"/>
      <c r="AR167" s="184"/>
      <c r="AS167" s="184"/>
      <c r="AT167" s="184"/>
      <c r="AU167" s="184"/>
      <c r="AV167" s="184"/>
      <c r="AW167" s="184"/>
      <c r="AX167" s="184"/>
      <c r="AY167" s="184"/>
      <c r="AZ167" s="184"/>
      <c r="BA167" s="184"/>
      <c r="BB167" s="184"/>
      <c r="BC167" s="184"/>
      <c r="BD167" s="184"/>
      <c r="BE167" s="184"/>
      <c r="BF167" s="184"/>
      <c r="BG167" s="184"/>
      <c r="BH167" s="184"/>
      <c r="BI167" s="184"/>
      <c r="BJ167" s="184"/>
      <c r="BK167" s="184"/>
      <c r="BL167" s="184"/>
      <c r="BM167" s="184"/>
      <c r="BN167" s="184"/>
      <c r="BO167" s="184"/>
      <c r="BP167" s="184"/>
      <c r="BQ167" s="184"/>
      <c r="BR167" s="184"/>
      <c r="BS167" s="184"/>
      <c r="BT167" s="184"/>
      <c r="BU167" s="184"/>
      <c r="BV167" s="184"/>
      <c r="BW167" s="184"/>
      <c r="BX167" s="184"/>
      <c r="BY167" s="184"/>
      <c r="BZ167" s="184"/>
      <c r="CA167" s="184"/>
      <c r="CB167" s="184"/>
      <c r="CC167" s="184"/>
      <c r="CD167" s="184"/>
      <c r="CE167" s="184"/>
      <c r="CF167" s="184"/>
      <c r="CG167" s="184"/>
      <c r="CH167" s="184"/>
      <c r="CI167" s="184"/>
      <c r="CJ167" s="184"/>
      <c r="CK167" s="184"/>
      <c r="CL167" s="184"/>
      <c r="CM167" s="184"/>
      <c r="CN167" s="184"/>
      <c r="CO167" s="184"/>
      <c r="CP167" s="184"/>
      <c r="CQ167" s="184"/>
      <c r="CR167" s="184"/>
      <c r="CS167" s="184"/>
      <c r="CT167" s="184"/>
      <c r="CU167" s="184"/>
      <c r="CV167" s="184"/>
      <c r="CW167" s="184"/>
      <c r="CX167" s="184"/>
      <c r="CY167" s="184"/>
      <c r="CZ167" s="184"/>
      <c r="DA167" s="184"/>
      <c r="DB167" s="184"/>
      <c r="DC167" s="184"/>
      <c r="DD167" s="184"/>
      <c r="DE167" s="184"/>
      <c r="DF167" s="184"/>
      <c r="DG167" s="184"/>
      <c r="DH167" s="184"/>
      <c r="DI167" s="184"/>
      <c r="DJ167" s="184"/>
      <c r="DK167" s="184"/>
      <c r="DL167" s="184"/>
      <c r="DM167" s="184"/>
      <c r="DN167" s="184"/>
      <c r="DO167" s="184"/>
      <c r="DP167" s="184"/>
      <c r="DQ167" s="184"/>
      <c r="DR167" s="184"/>
      <c r="DS167" s="184"/>
      <c r="DT167" s="184"/>
      <c r="DU167" s="184"/>
      <c r="DV167" s="184"/>
      <c r="DW167" s="184"/>
      <c r="DX167" s="184"/>
      <c r="DY167" s="184"/>
      <c r="DZ167" s="184"/>
      <c r="EA167" s="184"/>
      <c r="EB167" s="184"/>
      <c r="EC167" s="184"/>
      <c r="ED167" s="184"/>
      <c r="EE167" s="184"/>
      <c r="EF167" s="184"/>
      <c r="EG167" s="184"/>
      <c r="EH167" s="184"/>
      <c r="EI167" s="184"/>
      <c r="EJ167" s="184"/>
      <c r="EK167" s="184"/>
      <c r="EL167" s="184"/>
      <c r="EM167" s="184"/>
      <c r="EN167" s="184"/>
      <c r="EO167" s="184"/>
      <c r="EP167" s="184"/>
      <c r="EQ167" s="184"/>
      <c r="ER167" s="184"/>
      <c r="ES167" s="184"/>
      <c r="ET167" s="184"/>
      <c r="EU167" s="184"/>
      <c r="EV167" s="184"/>
      <c r="EW167" s="184"/>
      <c r="EX167" s="184"/>
      <c r="EY167" s="184"/>
      <c r="EZ167" s="184"/>
      <c r="FA167" s="184"/>
      <c r="FB167" s="184"/>
      <c r="FC167" s="184"/>
      <c r="FD167" s="184"/>
      <c r="FE167" s="184"/>
      <c r="FF167" s="184"/>
      <c r="FG167" s="184"/>
      <c r="FH167" s="184"/>
      <c r="FI167" s="184"/>
      <c r="FJ167" s="184"/>
      <c r="FK167" s="184"/>
      <c r="FL167" s="184"/>
      <c r="FM167" s="184"/>
      <c r="FN167" s="184"/>
      <c r="FO167" s="184"/>
      <c r="FP167" s="184"/>
      <c r="FQ167" s="184"/>
      <c r="FR167" s="184"/>
      <c r="FS167" s="184"/>
      <c r="FT167" s="184"/>
      <c r="FU167" s="184"/>
      <c r="FV167" s="184"/>
      <c r="FW167" s="184"/>
      <c r="FX167" s="184"/>
      <c r="FY167" s="184"/>
      <c r="FZ167" s="184"/>
      <c r="GA167" s="184"/>
      <c r="GB167" s="184"/>
      <c r="GC167" s="184"/>
      <c r="GD167" s="184"/>
      <c r="GE167" s="184"/>
      <c r="GF167" s="184"/>
      <c r="GG167" s="184"/>
      <c r="GH167" s="184"/>
      <c r="GI167" s="184"/>
    </row>
    <row r="168" spans="1:191" s="186" customFormat="1" ht="15" customHeight="1">
      <c r="A168" s="184"/>
      <c r="B168" s="190"/>
      <c r="C168" s="211"/>
      <c r="D168" s="193"/>
      <c r="E168" s="193"/>
      <c r="F168" s="188"/>
      <c r="G168" s="188"/>
      <c r="H168" s="190"/>
      <c r="I168" s="188"/>
      <c r="J168" s="184"/>
      <c r="K168" s="190"/>
      <c r="L168" s="190"/>
      <c r="M168" s="190"/>
      <c r="N168" s="184"/>
      <c r="O168" s="191"/>
      <c r="P168" s="191"/>
      <c r="Q168" s="183"/>
      <c r="R168" s="183"/>
      <c r="S168" s="183"/>
      <c r="T168" s="184"/>
      <c r="U168" s="184"/>
      <c r="V168" s="188"/>
      <c r="AB168" s="184"/>
      <c r="AC168" s="184"/>
      <c r="AD168" s="184"/>
      <c r="AE168" s="184"/>
      <c r="AF168" s="184"/>
      <c r="AG168" s="184"/>
      <c r="AH168" s="184"/>
      <c r="AI168" s="184"/>
      <c r="AJ168" s="184"/>
      <c r="AK168" s="184"/>
      <c r="AL168" s="184"/>
      <c r="AM168" s="184"/>
      <c r="AN168" s="184"/>
      <c r="AO168" s="184"/>
      <c r="AP168" s="184"/>
      <c r="AQ168" s="184"/>
      <c r="AR168" s="184"/>
      <c r="AS168" s="184"/>
      <c r="AT168" s="184"/>
      <c r="AU168" s="184"/>
      <c r="AV168" s="184"/>
      <c r="AW168" s="184"/>
      <c r="AX168" s="184"/>
      <c r="AY168" s="184"/>
      <c r="AZ168" s="184"/>
      <c r="BA168" s="184"/>
      <c r="BB168" s="184"/>
      <c r="BC168" s="184"/>
      <c r="BD168" s="184"/>
      <c r="BE168" s="184"/>
      <c r="BF168" s="184"/>
      <c r="BG168" s="184"/>
      <c r="BH168" s="184"/>
      <c r="BI168" s="184"/>
      <c r="BJ168" s="184"/>
      <c r="BK168" s="184"/>
      <c r="BL168" s="184"/>
      <c r="BM168" s="184"/>
      <c r="BN168" s="184"/>
      <c r="BO168" s="184"/>
      <c r="BP168" s="184"/>
      <c r="BQ168" s="184"/>
      <c r="BR168" s="184"/>
      <c r="BS168" s="184"/>
      <c r="BT168" s="184"/>
      <c r="BU168" s="184"/>
      <c r="BV168" s="184"/>
      <c r="BW168" s="184"/>
      <c r="BX168" s="184"/>
      <c r="BY168" s="184"/>
      <c r="BZ168" s="184"/>
      <c r="CA168" s="184"/>
      <c r="CB168" s="184"/>
      <c r="CC168" s="184"/>
      <c r="CD168" s="184"/>
      <c r="CE168" s="184"/>
      <c r="CF168" s="184"/>
      <c r="CG168" s="184"/>
      <c r="CH168" s="184"/>
      <c r="CI168" s="184"/>
      <c r="CJ168" s="184"/>
      <c r="CK168" s="184"/>
      <c r="CL168" s="184"/>
      <c r="CM168" s="184"/>
      <c r="CN168" s="184"/>
      <c r="CO168" s="184"/>
      <c r="CP168" s="184"/>
      <c r="CQ168" s="184"/>
      <c r="CR168" s="184"/>
      <c r="CS168" s="184"/>
      <c r="CT168" s="184"/>
      <c r="CU168" s="184"/>
      <c r="CV168" s="184"/>
      <c r="CW168" s="184"/>
      <c r="CX168" s="184"/>
      <c r="CY168" s="184"/>
      <c r="CZ168" s="184"/>
      <c r="DA168" s="184"/>
      <c r="DB168" s="184"/>
      <c r="DC168" s="184"/>
      <c r="DD168" s="184"/>
      <c r="DE168" s="184"/>
      <c r="DF168" s="184"/>
      <c r="DG168" s="184"/>
      <c r="DH168" s="184"/>
      <c r="DI168" s="184"/>
      <c r="DJ168" s="184"/>
      <c r="DK168" s="184"/>
      <c r="DL168" s="184"/>
      <c r="DM168" s="184"/>
      <c r="DN168" s="184"/>
      <c r="DO168" s="184"/>
      <c r="DP168" s="184"/>
      <c r="DQ168" s="184"/>
      <c r="DR168" s="184"/>
      <c r="DS168" s="184"/>
      <c r="DT168" s="184"/>
      <c r="DU168" s="184"/>
      <c r="DV168" s="184"/>
      <c r="DW168" s="184"/>
      <c r="DX168" s="184"/>
      <c r="DY168" s="184"/>
      <c r="DZ168" s="184"/>
      <c r="EA168" s="184"/>
      <c r="EB168" s="184"/>
      <c r="EC168" s="184"/>
      <c r="ED168" s="184"/>
      <c r="EE168" s="184"/>
      <c r="EF168" s="184"/>
      <c r="EG168" s="184"/>
      <c r="EH168" s="184"/>
      <c r="EI168" s="184"/>
      <c r="EJ168" s="184"/>
      <c r="EK168" s="184"/>
      <c r="EL168" s="184"/>
      <c r="EM168" s="184"/>
      <c r="EN168" s="184"/>
      <c r="EO168" s="184"/>
      <c r="EP168" s="184"/>
      <c r="EQ168" s="184"/>
      <c r="ER168" s="184"/>
      <c r="ES168" s="184"/>
      <c r="ET168" s="184"/>
      <c r="EU168" s="184"/>
      <c r="EV168" s="184"/>
      <c r="EW168" s="184"/>
      <c r="EX168" s="184"/>
      <c r="EY168" s="184"/>
      <c r="EZ168" s="184"/>
      <c r="FA168" s="184"/>
      <c r="FB168" s="184"/>
      <c r="FC168" s="184"/>
      <c r="FD168" s="184"/>
      <c r="FE168" s="184"/>
      <c r="FF168" s="184"/>
      <c r="FG168" s="184"/>
      <c r="FH168" s="184"/>
      <c r="FI168" s="184"/>
      <c r="FJ168" s="184"/>
      <c r="FK168" s="184"/>
      <c r="FL168" s="184"/>
      <c r="FM168" s="184"/>
      <c r="FN168" s="184"/>
      <c r="FO168" s="184"/>
      <c r="FP168" s="184"/>
      <c r="FQ168" s="184"/>
      <c r="FR168" s="184"/>
      <c r="FS168" s="184"/>
      <c r="FT168" s="184"/>
      <c r="FU168" s="184"/>
      <c r="FV168" s="184"/>
      <c r="FW168" s="184"/>
      <c r="FX168" s="184"/>
      <c r="FY168" s="184"/>
      <c r="FZ168" s="184"/>
      <c r="GA168" s="184"/>
      <c r="GB168" s="184"/>
      <c r="GC168" s="184"/>
      <c r="GD168" s="184"/>
      <c r="GE168" s="184"/>
      <c r="GF168" s="184"/>
      <c r="GG168" s="184"/>
      <c r="GH168" s="184"/>
      <c r="GI168" s="184"/>
    </row>
    <row r="169" spans="1:191" s="186" customFormat="1" ht="15" customHeight="1">
      <c r="A169" s="184"/>
      <c r="B169" s="190"/>
      <c r="C169" s="211"/>
      <c r="D169" s="193"/>
      <c r="E169" s="193"/>
      <c r="F169" s="188"/>
      <c r="G169" s="188"/>
      <c r="H169" s="190"/>
      <c r="I169" s="188"/>
      <c r="J169" s="184"/>
      <c r="K169" s="190"/>
      <c r="L169" s="190"/>
      <c r="M169" s="190"/>
      <c r="N169" s="184"/>
      <c r="O169" s="191"/>
      <c r="P169" s="191"/>
      <c r="Q169" s="183"/>
      <c r="R169" s="183"/>
      <c r="S169" s="183"/>
      <c r="T169" s="184"/>
      <c r="U169" s="184"/>
      <c r="V169" s="188"/>
      <c r="AB169" s="184"/>
      <c r="AC169" s="184"/>
      <c r="AD169" s="184"/>
      <c r="AE169" s="184"/>
      <c r="AF169" s="184"/>
      <c r="AG169" s="184"/>
      <c r="AH169" s="184"/>
      <c r="AI169" s="184"/>
      <c r="AJ169" s="184"/>
      <c r="AK169" s="184"/>
      <c r="AL169" s="184"/>
      <c r="AM169" s="184"/>
      <c r="AN169" s="184"/>
      <c r="AO169" s="184"/>
      <c r="AP169" s="184"/>
      <c r="AQ169" s="184"/>
      <c r="AR169" s="184"/>
      <c r="AS169" s="184"/>
      <c r="AT169" s="184"/>
      <c r="AU169" s="184"/>
      <c r="AV169" s="184"/>
      <c r="AW169" s="184"/>
      <c r="AX169" s="184"/>
      <c r="AY169" s="184"/>
      <c r="AZ169" s="184"/>
      <c r="BA169" s="184"/>
      <c r="BB169" s="184"/>
      <c r="BC169" s="184"/>
      <c r="BD169" s="184"/>
      <c r="BE169" s="184"/>
      <c r="BF169" s="184"/>
      <c r="BG169" s="184"/>
      <c r="BH169" s="184"/>
      <c r="BI169" s="184"/>
      <c r="BJ169" s="184"/>
      <c r="BK169" s="184"/>
      <c r="BL169" s="184"/>
      <c r="BM169" s="184"/>
      <c r="BN169" s="184"/>
      <c r="BO169" s="184"/>
      <c r="BP169" s="184"/>
      <c r="BQ169" s="184"/>
      <c r="BR169" s="184"/>
      <c r="BS169" s="184"/>
      <c r="BT169" s="184"/>
      <c r="BU169" s="184"/>
      <c r="BV169" s="184"/>
      <c r="BW169" s="184"/>
      <c r="BX169" s="184"/>
      <c r="BY169" s="184"/>
      <c r="BZ169" s="184"/>
      <c r="CA169" s="184"/>
      <c r="CB169" s="184"/>
      <c r="CC169" s="184"/>
      <c r="CD169" s="184"/>
      <c r="CE169" s="184"/>
      <c r="CF169" s="184"/>
      <c r="CG169" s="184"/>
      <c r="CH169" s="184"/>
      <c r="CI169" s="184"/>
      <c r="CJ169" s="184"/>
      <c r="CK169" s="184"/>
      <c r="CL169" s="184"/>
      <c r="CM169" s="184"/>
      <c r="CN169" s="184"/>
      <c r="CO169" s="184"/>
      <c r="CP169" s="184"/>
      <c r="CQ169" s="184"/>
      <c r="CR169" s="184"/>
      <c r="CS169" s="184"/>
      <c r="CT169" s="184"/>
      <c r="CU169" s="184"/>
      <c r="CV169" s="184"/>
      <c r="CW169" s="184"/>
      <c r="CX169" s="184"/>
      <c r="CY169" s="184"/>
      <c r="CZ169" s="184"/>
      <c r="DA169" s="184"/>
      <c r="DB169" s="184"/>
      <c r="DC169" s="184"/>
      <c r="DD169" s="184"/>
      <c r="DE169" s="184"/>
      <c r="DF169" s="184"/>
      <c r="DG169" s="184"/>
      <c r="DH169" s="184"/>
      <c r="DI169" s="184"/>
      <c r="DJ169" s="184"/>
      <c r="DK169" s="184"/>
      <c r="DL169" s="184"/>
      <c r="DM169" s="184"/>
      <c r="DN169" s="184"/>
      <c r="DO169" s="184"/>
      <c r="DP169" s="184"/>
      <c r="DQ169" s="184"/>
      <c r="DR169" s="184"/>
      <c r="DS169" s="184"/>
      <c r="DT169" s="184"/>
      <c r="DU169" s="184"/>
      <c r="DV169" s="184"/>
      <c r="DW169" s="184"/>
      <c r="DX169" s="184"/>
      <c r="DY169" s="184"/>
      <c r="DZ169" s="184"/>
      <c r="EA169" s="184"/>
      <c r="EB169" s="184"/>
      <c r="EC169" s="184"/>
      <c r="ED169" s="184"/>
      <c r="EE169" s="184"/>
      <c r="EF169" s="184"/>
      <c r="EG169" s="184"/>
      <c r="EH169" s="184"/>
      <c r="EI169" s="184"/>
      <c r="EJ169" s="184"/>
      <c r="EK169" s="184"/>
      <c r="EL169" s="184"/>
      <c r="EM169" s="184"/>
      <c r="EN169" s="184"/>
      <c r="EO169" s="184"/>
      <c r="EP169" s="184"/>
      <c r="EQ169" s="184"/>
      <c r="ER169" s="184"/>
      <c r="ES169" s="184"/>
      <c r="ET169" s="184"/>
      <c r="EU169" s="184"/>
      <c r="EV169" s="184"/>
      <c r="EW169" s="184"/>
      <c r="EX169" s="184"/>
      <c r="EY169" s="184"/>
      <c r="EZ169" s="184"/>
      <c r="FA169" s="184"/>
      <c r="FB169" s="184"/>
      <c r="FC169" s="184"/>
      <c r="FD169" s="184"/>
      <c r="FE169" s="184"/>
      <c r="FF169" s="184"/>
      <c r="FG169" s="184"/>
      <c r="FH169" s="184"/>
      <c r="FI169" s="184"/>
      <c r="FJ169" s="184"/>
      <c r="FK169" s="184"/>
      <c r="FL169" s="184"/>
      <c r="FM169" s="184"/>
      <c r="FN169" s="184"/>
      <c r="FO169" s="184"/>
      <c r="FP169" s="184"/>
      <c r="FQ169" s="184"/>
      <c r="FR169" s="184"/>
      <c r="FS169" s="184"/>
      <c r="FT169" s="184"/>
      <c r="FU169" s="184"/>
      <c r="FV169" s="184"/>
      <c r="FW169" s="184"/>
      <c r="FX169" s="184"/>
      <c r="FY169" s="184"/>
      <c r="FZ169" s="184"/>
      <c r="GA169" s="184"/>
      <c r="GB169" s="184"/>
      <c r="GC169" s="184"/>
      <c r="GD169" s="184"/>
      <c r="GE169" s="184"/>
      <c r="GF169" s="184"/>
      <c r="GG169" s="184"/>
      <c r="GH169" s="184"/>
      <c r="GI169" s="184"/>
    </row>
    <row r="170" spans="1:191" s="186" customFormat="1" ht="15" customHeight="1">
      <c r="A170" s="184"/>
      <c r="B170" s="190"/>
      <c r="C170" s="211"/>
      <c r="D170" s="193"/>
      <c r="E170" s="193"/>
      <c r="F170" s="188"/>
      <c r="G170" s="188"/>
      <c r="H170" s="190"/>
      <c r="I170" s="188"/>
      <c r="J170" s="184"/>
      <c r="K170" s="190"/>
      <c r="L170" s="190"/>
      <c r="M170" s="190"/>
      <c r="N170" s="184"/>
      <c r="O170" s="191"/>
      <c r="P170" s="191"/>
      <c r="Q170" s="183"/>
      <c r="R170" s="183"/>
      <c r="S170" s="183"/>
      <c r="T170" s="184"/>
      <c r="U170" s="184"/>
      <c r="V170" s="188"/>
      <c r="AB170" s="184"/>
      <c r="AC170" s="184"/>
      <c r="AD170" s="184"/>
      <c r="AE170" s="184"/>
      <c r="AF170" s="184"/>
      <c r="AG170" s="184"/>
      <c r="AH170" s="184"/>
      <c r="AI170" s="184"/>
      <c r="AJ170" s="184"/>
      <c r="AK170" s="184"/>
      <c r="AL170" s="184"/>
      <c r="AM170" s="184"/>
      <c r="AN170" s="184"/>
      <c r="AO170" s="184"/>
      <c r="AP170" s="184"/>
      <c r="AQ170" s="184"/>
      <c r="AR170" s="184"/>
      <c r="AS170" s="184"/>
      <c r="AT170" s="184"/>
      <c r="AU170" s="184"/>
      <c r="AV170" s="184"/>
      <c r="AW170" s="184"/>
      <c r="AX170" s="184"/>
      <c r="AY170" s="184"/>
      <c r="AZ170" s="184"/>
      <c r="BA170" s="184"/>
      <c r="BB170" s="184"/>
      <c r="BC170" s="184"/>
      <c r="BD170" s="184"/>
      <c r="BE170" s="184"/>
      <c r="BF170" s="184"/>
      <c r="BG170" s="184"/>
      <c r="BH170" s="184"/>
      <c r="BI170" s="184"/>
      <c r="BJ170" s="184"/>
      <c r="BK170" s="184"/>
      <c r="BL170" s="184"/>
      <c r="BM170" s="184"/>
      <c r="BN170" s="184"/>
      <c r="BO170" s="184"/>
      <c r="BP170" s="184"/>
      <c r="BQ170" s="184"/>
      <c r="BR170" s="184"/>
      <c r="BS170" s="184"/>
      <c r="BT170" s="184"/>
      <c r="BU170" s="184"/>
      <c r="BV170" s="184"/>
      <c r="BW170" s="184"/>
      <c r="BX170" s="184"/>
      <c r="BY170" s="184"/>
      <c r="BZ170" s="184"/>
      <c r="CA170" s="184"/>
      <c r="CB170" s="184"/>
      <c r="CC170" s="184"/>
      <c r="CD170" s="184"/>
      <c r="CE170" s="184"/>
      <c r="CF170" s="184"/>
      <c r="CG170" s="184"/>
      <c r="CH170" s="184"/>
      <c r="CI170" s="184"/>
      <c r="CJ170" s="184"/>
      <c r="CK170" s="184"/>
      <c r="CL170" s="184"/>
      <c r="CM170" s="184"/>
      <c r="CN170" s="184"/>
      <c r="CO170" s="184"/>
      <c r="CP170" s="184"/>
      <c r="CQ170" s="184"/>
      <c r="CR170" s="184"/>
      <c r="CS170" s="184"/>
      <c r="CT170" s="184"/>
      <c r="CU170" s="184"/>
      <c r="CV170" s="184"/>
      <c r="CW170" s="184"/>
      <c r="CX170" s="184"/>
      <c r="CY170" s="184"/>
      <c r="CZ170" s="184"/>
      <c r="DA170" s="184"/>
      <c r="DB170" s="184"/>
      <c r="DC170" s="184"/>
      <c r="DD170" s="184"/>
      <c r="DE170" s="184"/>
      <c r="DF170" s="184"/>
      <c r="DG170" s="184"/>
      <c r="DH170" s="184"/>
      <c r="DI170" s="184"/>
      <c r="DJ170" s="184"/>
      <c r="DK170" s="184"/>
      <c r="DL170" s="184"/>
      <c r="DM170" s="184"/>
      <c r="DN170" s="184"/>
      <c r="DO170" s="184"/>
      <c r="DP170" s="184"/>
      <c r="DQ170" s="184"/>
      <c r="DR170" s="184"/>
      <c r="DS170" s="184"/>
      <c r="DT170" s="184"/>
      <c r="DU170" s="184"/>
      <c r="DV170" s="184"/>
      <c r="DW170" s="184"/>
      <c r="DX170" s="184"/>
      <c r="DY170" s="184"/>
      <c r="DZ170" s="184"/>
      <c r="EA170" s="184"/>
      <c r="EB170" s="184"/>
      <c r="EC170" s="184"/>
      <c r="ED170" s="184"/>
      <c r="EE170" s="184"/>
      <c r="EF170" s="184"/>
      <c r="EG170" s="184"/>
      <c r="EH170" s="184"/>
      <c r="EI170" s="184"/>
      <c r="EJ170" s="184"/>
      <c r="EK170" s="184"/>
      <c r="EL170" s="184"/>
      <c r="EM170" s="184"/>
      <c r="EN170" s="184"/>
      <c r="EO170" s="184"/>
      <c r="EP170" s="184"/>
      <c r="EQ170" s="184"/>
      <c r="ER170" s="184"/>
      <c r="ES170" s="184"/>
      <c r="ET170" s="184"/>
      <c r="EU170" s="184"/>
      <c r="EV170" s="184"/>
      <c r="EW170" s="184"/>
      <c r="EX170" s="184"/>
      <c r="EY170" s="184"/>
      <c r="EZ170" s="184"/>
      <c r="FA170" s="184"/>
      <c r="FB170" s="184"/>
      <c r="FC170" s="184"/>
      <c r="FD170" s="184"/>
      <c r="FE170" s="184"/>
      <c r="FF170" s="184"/>
      <c r="FG170" s="184"/>
      <c r="FH170" s="184"/>
      <c r="FI170" s="184"/>
      <c r="FJ170" s="184"/>
      <c r="FK170" s="184"/>
      <c r="FL170" s="184"/>
      <c r="FM170" s="184"/>
      <c r="FN170" s="184"/>
      <c r="FO170" s="184"/>
      <c r="FP170" s="184"/>
      <c r="FQ170" s="184"/>
      <c r="FR170" s="184"/>
      <c r="FS170" s="184"/>
      <c r="FT170" s="184"/>
      <c r="FU170" s="184"/>
      <c r="FV170" s="184"/>
      <c r="FW170" s="184"/>
      <c r="FX170" s="184"/>
      <c r="FY170" s="184"/>
      <c r="FZ170" s="184"/>
      <c r="GA170" s="184"/>
      <c r="GB170" s="184"/>
      <c r="GC170" s="184"/>
      <c r="GD170" s="184"/>
      <c r="GE170" s="184"/>
      <c r="GF170" s="184"/>
      <c r="GG170" s="184"/>
      <c r="GH170" s="184"/>
      <c r="GI170" s="184"/>
    </row>
    <row r="171" spans="1:191" s="186" customFormat="1" ht="15" customHeight="1">
      <c r="A171" s="184"/>
      <c r="B171" s="190"/>
      <c r="C171" s="211"/>
      <c r="D171" s="193"/>
      <c r="E171" s="193"/>
      <c r="F171" s="188"/>
      <c r="G171" s="188"/>
      <c r="H171" s="190"/>
      <c r="I171" s="188"/>
      <c r="J171" s="184"/>
      <c r="K171" s="190"/>
      <c r="L171" s="190"/>
      <c r="M171" s="190"/>
      <c r="N171" s="184"/>
      <c r="O171" s="191"/>
      <c r="P171" s="191"/>
      <c r="Q171" s="183"/>
      <c r="R171" s="183"/>
      <c r="S171" s="183"/>
      <c r="T171" s="184"/>
      <c r="U171" s="184"/>
      <c r="V171" s="188"/>
      <c r="AB171" s="184"/>
      <c r="AC171" s="184"/>
      <c r="AD171" s="184"/>
      <c r="AE171" s="184"/>
      <c r="AF171" s="184"/>
      <c r="AG171" s="184"/>
      <c r="AH171" s="184"/>
      <c r="AI171" s="184"/>
      <c r="AJ171" s="184"/>
      <c r="AK171" s="184"/>
      <c r="AL171" s="184"/>
      <c r="AM171" s="184"/>
      <c r="AN171" s="184"/>
      <c r="AO171" s="184"/>
      <c r="AP171" s="184"/>
      <c r="AQ171" s="184"/>
      <c r="AR171" s="184"/>
      <c r="AS171" s="184"/>
      <c r="AT171" s="184"/>
      <c r="AU171" s="184"/>
      <c r="AV171" s="184"/>
      <c r="AW171" s="184"/>
      <c r="AX171" s="184"/>
      <c r="AY171" s="184"/>
      <c r="AZ171" s="184"/>
      <c r="BA171" s="184"/>
      <c r="BB171" s="184"/>
      <c r="BC171" s="184"/>
      <c r="BD171" s="184"/>
      <c r="BE171" s="184"/>
      <c r="BF171" s="184"/>
      <c r="BG171" s="184"/>
      <c r="BH171" s="184"/>
      <c r="BI171" s="184"/>
      <c r="BJ171" s="184"/>
      <c r="BK171" s="184"/>
      <c r="BL171" s="184"/>
      <c r="BM171" s="184"/>
      <c r="BN171" s="184"/>
      <c r="BO171" s="184"/>
      <c r="BP171" s="184"/>
      <c r="BQ171" s="184"/>
      <c r="BR171" s="184"/>
      <c r="BS171" s="184"/>
      <c r="BT171" s="184"/>
      <c r="BU171" s="184"/>
      <c r="BV171" s="184"/>
      <c r="BW171" s="184"/>
      <c r="BX171" s="184"/>
      <c r="BY171" s="184"/>
      <c r="BZ171" s="184"/>
      <c r="CA171" s="184"/>
      <c r="CB171" s="184"/>
      <c r="CC171" s="184"/>
      <c r="CD171" s="184"/>
      <c r="CE171" s="184"/>
      <c r="CF171" s="184"/>
      <c r="CG171" s="184"/>
      <c r="CH171" s="184"/>
      <c r="CI171" s="184"/>
      <c r="CJ171" s="184"/>
      <c r="CK171" s="184"/>
      <c r="CL171" s="184"/>
      <c r="CM171" s="184"/>
      <c r="CN171" s="184"/>
      <c r="CO171" s="184"/>
      <c r="CP171" s="184"/>
      <c r="CQ171" s="184"/>
      <c r="CR171" s="184"/>
      <c r="CS171" s="184"/>
      <c r="CT171" s="184"/>
      <c r="CU171" s="184"/>
      <c r="CV171" s="184"/>
      <c r="CW171" s="184"/>
      <c r="CX171" s="184"/>
      <c r="CY171" s="184"/>
      <c r="CZ171" s="184"/>
      <c r="DA171" s="184"/>
      <c r="DB171" s="184"/>
      <c r="DC171" s="184"/>
      <c r="DD171" s="184"/>
      <c r="DE171" s="184"/>
      <c r="DF171" s="184"/>
      <c r="DG171" s="184"/>
      <c r="DH171" s="184"/>
      <c r="DI171" s="184"/>
      <c r="DJ171" s="184"/>
      <c r="DK171" s="184"/>
      <c r="DL171" s="184"/>
      <c r="DM171" s="184"/>
      <c r="DN171" s="184"/>
      <c r="DO171" s="184"/>
      <c r="DP171" s="184"/>
      <c r="DQ171" s="184"/>
      <c r="DR171" s="184"/>
      <c r="DS171" s="184"/>
      <c r="DT171" s="184"/>
      <c r="DU171" s="184"/>
      <c r="DV171" s="184"/>
      <c r="DW171" s="184"/>
      <c r="DX171" s="184"/>
      <c r="DY171" s="184"/>
      <c r="DZ171" s="184"/>
      <c r="EA171" s="184"/>
      <c r="EB171" s="184"/>
      <c r="EC171" s="184"/>
      <c r="ED171" s="184"/>
      <c r="EE171" s="184"/>
      <c r="EF171" s="184"/>
      <c r="EG171" s="184"/>
      <c r="EH171" s="184"/>
      <c r="EI171" s="184"/>
      <c r="EJ171" s="184"/>
      <c r="EK171" s="184"/>
      <c r="EL171" s="184"/>
      <c r="EM171" s="184"/>
      <c r="EN171" s="184"/>
      <c r="EO171" s="184"/>
      <c r="EP171" s="184"/>
      <c r="EQ171" s="184"/>
      <c r="ER171" s="184"/>
      <c r="ES171" s="184"/>
      <c r="ET171" s="184"/>
      <c r="EU171" s="184"/>
      <c r="EV171" s="184"/>
      <c r="EW171" s="184"/>
      <c r="EX171" s="184"/>
      <c r="EY171" s="184"/>
      <c r="EZ171" s="184"/>
      <c r="FA171" s="184"/>
      <c r="FB171" s="184"/>
      <c r="FC171" s="184"/>
      <c r="FD171" s="184"/>
      <c r="FE171" s="184"/>
      <c r="FF171" s="184"/>
      <c r="FG171" s="184"/>
      <c r="FH171" s="184"/>
      <c r="FI171" s="184"/>
      <c r="FJ171" s="184"/>
      <c r="FK171" s="184"/>
      <c r="FL171" s="184"/>
      <c r="FM171" s="184"/>
      <c r="FN171" s="184"/>
      <c r="FO171" s="184"/>
      <c r="FP171" s="184"/>
      <c r="FQ171" s="184"/>
      <c r="FR171" s="184"/>
      <c r="FS171" s="184"/>
      <c r="FT171" s="184"/>
      <c r="FU171" s="184"/>
      <c r="FV171" s="184"/>
      <c r="FW171" s="184"/>
      <c r="FX171" s="184"/>
      <c r="FY171" s="184"/>
      <c r="FZ171" s="184"/>
      <c r="GA171" s="184"/>
      <c r="GB171" s="184"/>
      <c r="GC171" s="184"/>
      <c r="GD171" s="184"/>
      <c r="GE171" s="184"/>
      <c r="GF171" s="184"/>
      <c r="GG171" s="184"/>
      <c r="GH171" s="184"/>
      <c r="GI171" s="184"/>
    </row>
    <row r="172" spans="1:191" s="186" customFormat="1" ht="15" customHeight="1">
      <c r="A172" s="184"/>
      <c r="B172" s="190"/>
      <c r="C172" s="211"/>
      <c r="D172" s="193"/>
      <c r="E172" s="193"/>
      <c r="F172" s="188"/>
      <c r="G172" s="188"/>
      <c r="H172" s="190"/>
      <c r="I172" s="188"/>
      <c r="J172" s="184"/>
      <c r="K172" s="190"/>
      <c r="L172" s="190"/>
      <c r="M172" s="190"/>
      <c r="N172" s="184"/>
      <c r="O172" s="191"/>
      <c r="P172" s="191"/>
      <c r="Q172" s="183"/>
      <c r="R172" s="183"/>
      <c r="S172" s="183"/>
      <c r="T172" s="184"/>
      <c r="U172" s="184"/>
      <c r="V172" s="188"/>
      <c r="AB172" s="184"/>
      <c r="AC172" s="184"/>
      <c r="AD172" s="184"/>
      <c r="AE172" s="184"/>
      <c r="AF172" s="184"/>
      <c r="AG172" s="184"/>
      <c r="AH172" s="184"/>
      <c r="AI172" s="184"/>
      <c r="AJ172" s="184"/>
      <c r="AK172" s="184"/>
      <c r="AL172" s="184"/>
      <c r="AM172" s="184"/>
      <c r="AN172" s="184"/>
      <c r="AO172" s="184"/>
      <c r="AP172" s="184"/>
      <c r="AQ172" s="184"/>
      <c r="AR172" s="184"/>
      <c r="AS172" s="184"/>
      <c r="AT172" s="184"/>
      <c r="AU172" s="184"/>
      <c r="AV172" s="184"/>
      <c r="AW172" s="184"/>
      <c r="AX172" s="184"/>
      <c r="AY172" s="184"/>
      <c r="AZ172" s="184"/>
      <c r="BA172" s="184"/>
      <c r="BB172" s="184"/>
      <c r="BC172" s="184"/>
      <c r="BD172" s="184"/>
      <c r="BE172" s="184"/>
      <c r="BF172" s="184"/>
      <c r="BG172" s="184"/>
      <c r="BH172" s="184"/>
      <c r="BI172" s="184"/>
      <c r="BJ172" s="184"/>
      <c r="BK172" s="184"/>
      <c r="BL172" s="184"/>
      <c r="BM172" s="184"/>
      <c r="BN172" s="184"/>
      <c r="BO172" s="184"/>
      <c r="BP172" s="184"/>
      <c r="BQ172" s="184"/>
      <c r="BR172" s="184"/>
      <c r="BS172" s="184"/>
      <c r="BT172" s="184"/>
      <c r="BU172" s="184"/>
      <c r="BV172" s="184"/>
      <c r="BW172" s="184"/>
      <c r="BX172" s="184"/>
      <c r="BY172" s="184"/>
      <c r="BZ172" s="184"/>
      <c r="CA172" s="184"/>
      <c r="CB172" s="184"/>
      <c r="CC172" s="184"/>
      <c r="CD172" s="184"/>
      <c r="CE172" s="184"/>
      <c r="CF172" s="184"/>
      <c r="CG172" s="184"/>
      <c r="CH172" s="184"/>
      <c r="CI172" s="184"/>
      <c r="CJ172" s="184"/>
      <c r="CK172" s="184"/>
      <c r="CL172" s="184"/>
      <c r="CM172" s="184"/>
      <c r="CN172" s="184"/>
      <c r="CO172" s="184"/>
      <c r="CP172" s="184"/>
      <c r="CQ172" s="184"/>
      <c r="CR172" s="184"/>
      <c r="CS172" s="184"/>
      <c r="CT172" s="184"/>
      <c r="CU172" s="184"/>
      <c r="CV172" s="184"/>
      <c r="CW172" s="184"/>
      <c r="CX172" s="184"/>
      <c r="CY172" s="184"/>
      <c r="CZ172" s="184"/>
      <c r="DA172" s="184"/>
      <c r="DB172" s="184"/>
      <c r="DC172" s="184"/>
      <c r="DD172" s="184"/>
      <c r="DE172" s="184"/>
      <c r="DF172" s="184"/>
      <c r="DG172" s="184"/>
      <c r="DH172" s="184"/>
      <c r="DI172" s="184"/>
      <c r="DJ172" s="184"/>
      <c r="DK172" s="184"/>
      <c r="DL172" s="184"/>
      <c r="DM172" s="184"/>
      <c r="DN172" s="184"/>
      <c r="DO172" s="184"/>
      <c r="DP172" s="184"/>
      <c r="DQ172" s="184"/>
      <c r="DR172" s="184"/>
      <c r="DS172" s="184"/>
      <c r="DT172" s="184"/>
      <c r="DU172" s="184"/>
      <c r="DV172" s="184"/>
      <c r="DW172" s="184"/>
      <c r="DX172" s="184"/>
      <c r="DY172" s="184"/>
      <c r="DZ172" s="184"/>
      <c r="EA172" s="184"/>
      <c r="EB172" s="184"/>
      <c r="EC172" s="184"/>
      <c r="ED172" s="184"/>
      <c r="EE172" s="184"/>
      <c r="EF172" s="184"/>
      <c r="EG172" s="184"/>
      <c r="EH172" s="184"/>
      <c r="EI172" s="184"/>
      <c r="EJ172" s="184"/>
      <c r="EK172" s="184"/>
      <c r="EL172" s="184"/>
      <c r="EM172" s="184"/>
      <c r="EN172" s="184"/>
      <c r="EO172" s="184"/>
      <c r="EP172" s="184"/>
      <c r="EQ172" s="184"/>
      <c r="ER172" s="184"/>
      <c r="ES172" s="184"/>
      <c r="ET172" s="184"/>
      <c r="EU172" s="184"/>
      <c r="EV172" s="184"/>
      <c r="EW172" s="184"/>
      <c r="EX172" s="184"/>
      <c r="EY172" s="184"/>
      <c r="EZ172" s="184"/>
      <c r="FA172" s="184"/>
      <c r="FB172" s="184"/>
      <c r="FC172" s="184"/>
      <c r="FD172" s="184"/>
      <c r="FE172" s="184"/>
      <c r="FF172" s="184"/>
      <c r="FG172" s="184"/>
      <c r="FH172" s="184"/>
      <c r="FI172" s="184"/>
      <c r="FJ172" s="184"/>
      <c r="FK172" s="184"/>
      <c r="FL172" s="184"/>
      <c r="FM172" s="184"/>
      <c r="FN172" s="184"/>
      <c r="FO172" s="184"/>
      <c r="FP172" s="184"/>
      <c r="FQ172" s="184"/>
      <c r="FR172" s="184"/>
      <c r="FS172" s="184"/>
      <c r="FT172" s="184"/>
      <c r="FU172" s="184"/>
      <c r="FV172" s="184"/>
      <c r="FW172" s="184"/>
      <c r="FX172" s="184"/>
      <c r="FY172" s="184"/>
      <c r="FZ172" s="184"/>
      <c r="GA172" s="184"/>
      <c r="GB172" s="184"/>
      <c r="GC172" s="184"/>
      <c r="GD172" s="184"/>
      <c r="GE172" s="184"/>
      <c r="GF172" s="184"/>
      <c r="GG172" s="184"/>
      <c r="GH172" s="184"/>
      <c r="GI172" s="184"/>
    </row>
    <row r="173" spans="1:191" s="186" customFormat="1" ht="15" customHeight="1">
      <c r="A173" s="184"/>
      <c r="B173" s="190"/>
      <c r="C173" s="211"/>
      <c r="D173" s="193"/>
      <c r="E173" s="193"/>
      <c r="F173" s="188"/>
      <c r="G173" s="188"/>
      <c r="H173" s="190"/>
      <c r="I173" s="188"/>
      <c r="J173" s="184"/>
      <c r="K173" s="190"/>
      <c r="L173" s="190"/>
      <c r="M173" s="190"/>
      <c r="N173" s="184"/>
      <c r="O173" s="191"/>
      <c r="P173" s="191"/>
      <c r="Q173" s="183"/>
      <c r="R173" s="183"/>
      <c r="S173" s="183"/>
      <c r="T173" s="184"/>
      <c r="U173" s="184"/>
      <c r="V173" s="188"/>
      <c r="AB173" s="184"/>
      <c r="AC173" s="184"/>
      <c r="AD173" s="184"/>
      <c r="AE173" s="184"/>
      <c r="AF173" s="184"/>
      <c r="AG173" s="184"/>
      <c r="AH173" s="184"/>
      <c r="AI173" s="184"/>
      <c r="AJ173" s="184"/>
      <c r="AK173" s="184"/>
      <c r="AL173" s="184"/>
      <c r="AM173" s="184"/>
      <c r="AN173" s="184"/>
      <c r="AO173" s="184"/>
      <c r="AP173" s="184"/>
      <c r="AQ173" s="184"/>
      <c r="AR173" s="184"/>
      <c r="AS173" s="184"/>
      <c r="AT173" s="184"/>
      <c r="AU173" s="184"/>
      <c r="AV173" s="184"/>
      <c r="AW173" s="184"/>
      <c r="AX173" s="184"/>
      <c r="AY173" s="184"/>
      <c r="AZ173" s="184"/>
      <c r="BA173" s="184"/>
      <c r="BB173" s="184"/>
      <c r="BC173" s="184"/>
      <c r="BD173" s="184"/>
      <c r="BE173" s="184"/>
      <c r="BF173" s="184"/>
      <c r="BG173" s="184"/>
      <c r="BH173" s="184"/>
      <c r="BI173" s="184"/>
      <c r="BJ173" s="184"/>
      <c r="BK173" s="184"/>
      <c r="BL173" s="184"/>
      <c r="BM173" s="184"/>
      <c r="BN173" s="184"/>
      <c r="BO173" s="184"/>
      <c r="BP173" s="184"/>
      <c r="BQ173" s="184"/>
      <c r="BR173" s="184"/>
      <c r="BS173" s="184"/>
      <c r="BT173" s="184"/>
      <c r="BU173" s="184"/>
      <c r="BV173" s="184"/>
      <c r="BW173" s="184"/>
      <c r="BX173" s="184"/>
      <c r="BY173" s="184"/>
      <c r="BZ173" s="184"/>
      <c r="CA173" s="184"/>
      <c r="CB173" s="184"/>
      <c r="CC173" s="184"/>
      <c r="CD173" s="184"/>
      <c r="CE173" s="184"/>
      <c r="CF173" s="184"/>
      <c r="CG173" s="184"/>
      <c r="CH173" s="184"/>
      <c r="CI173" s="184"/>
      <c r="CJ173" s="184"/>
      <c r="CK173" s="184"/>
      <c r="CL173" s="184"/>
      <c r="CM173" s="184"/>
      <c r="CN173" s="184"/>
      <c r="CO173" s="184"/>
      <c r="CP173" s="184"/>
      <c r="CQ173" s="184"/>
      <c r="CR173" s="184"/>
      <c r="CS173" s="184"/>
      <c r="CT173" s="184"/>
      <c r="CU173" s="184"/>
      <c r="CV173" s="184"/>
      <c r="CW173" s="184"/>
      <c r="CX173" s="184"/>
      <c r="CY173" s="184"/>
      <c r="CZ173" s="184"/>
      <c r="DA173" s="184"/>
      <c r="DB173" s="184"/>
      <c r="DC173" s="184"/>
      <c r="DD173" s="184"/>
      <c r="DE173" s="184"/>
      <c r="DF173" s="184"/>
      <c r="DG173" s="184"/>
      <c r="DH173" s="184"/>
      <c r="DI173" s="184"/>
      <c r="DJ173" s="184"/>
      <c r="DK173" s="184"/>
      <c r="DL173" s="184"/>
      <c r="DM173" s="184"/>
      <c r="DN173" s="184"/>
      <c r="DO173" s="184"/>
      <c r="DP173" s="184"/>
      <c r="DQ173" s="184"/>
      <c r="DR173" s="184"/>
      <c r="DS173" s="184"/>
      <c r="DT173" s="184"/>
      <c r="DU173" s="184"/>
      <c r="DV173" s="184"/>
      <c r="DW173" s="184"/>
      <c r="DX173" s="184"/>
      <c r="DY173" s="184"/>
      <c r="DZ173" s="184"/>
      <c r="EA173" s="184"/>
      <c r="EB173" s="184"/>
      <c r="EC173" s="184"/>
      <c r="ED173" s="184"/>
      <c r="EE173" s="184"/>
      <c r="EF173" s="184"/>
      <c r="EG173" s="184"/>
      <c r="EH173" s="184"/>
      <c r="EI173" s="184"/>
      <c r="EJ173" s="184"/>
      <c r="EK173" s="184"/>
      <c r="EL173" s="184"/>
      <c r="EM173" s="184"/>
      <c r="EN173" s="184"/>
      <c r="EO173" s="184"/>
      <c r="EP173" s="184"/>
      <c r="EQ173" s="184"/>
      <c r="ER173" s="184"/>
      <c r="ES173" s="184"/>
      <c r="ET173" s="184"/>
      <c r="EU173" s="184"/>
      <c r="EV173" s="184"/>
      <c r="EW173" s="184"/>
      <c r="EX173" s="184"/>
      <c r="EY173" s="184"/>
      <c r="EZ173" s="184"/>
      <c r="FA173" s="184"/>
      <c r="FB173" s="184"/>
      <c r="FC173" s="184"/>
      <c r="FD173" s="184"/>
      <c r="FE173" s="184"/>
      <c r="FF173" s="184"/>
      <c r="FG173" s="184"/>
      <c r="FH173" s="184"/>
      <c r="FI173" s="184"/>
      <c r="FJ173" s="184"/>
      <c r="FK173" s="184"/>
      <c r="FL173" s="184"/>
      <c r="FM173" s="184"/>
      <c r="FN173" s="184"/>
      <c r="FO173" s="184"/>
      <c r="FP173" s="184"/>
      <c r="FQ173" s="184"/>
      <c r="FR173" s="184"/>
      <c r="FS173" s="184"/>
      <c r="FT173" s="184"/>
      <c r="FU173" s="184"/>
      <c r="FV173" s="184"/>
      <c r="FW173" s="184"/>
      <c r="FX173" s="184"/>
      <c r="FY173" s="184"/>
      <c r="FZ173" s="184"/>
      <c r="GA173" s="184"/>
      <c r="GB173" s="184"/>
      <c r="GC173" s="184"/>
      <c r="GD173" s="184"/>
      <c r="GE173" s="184"/>
      <c r="GF173" s="184"/>
      <c r="GG173" s="184"/>
      <c r="GH173" s="184"/>
      <c r="GI173" s="184"/>
    </row>
    <row r="174" spans="1:191" s="186" customFormat="1" ht="15" customHeight="1">
      <c r="A174" s="184"/>
      <c r="B174" s="190"/>
      <c r="C174" s="211"/>
      <c r="D174" s="193"/>
      <c r="E174" s="193"/>
      <c r="F174" s="188"/>
      <c r="G174" s="188"/>
      <c r="H174" s="190"/>
      <c r="I174" s="188"/>
      <c r="J174" s="184"/>
      <c r="K174" s="190"/>
      <c r="L174" s="190"/>
      <c r="M174" s="190"/>
      <c r="N174" s="184"/>
      <c r="O174" s="191"/>
      <c r="P174" s="191"/>
      <c r="Q174" s="183"/>
      <c r="R174" s="183"/>
      <c r="S174" s="183"/>
      <c r="T174" s="184"/>
      <c r="U174" s="184"/>
      <c r="V174" s="188"/>
      <c r="AB174" s="184"/>
      <c r="AC174" s="184"/>
      <c r="AD174" s="184"/>
      <c r="AE174" s="184"/>
      <c r="AF174" s="184"/>
      <c r="AG174" s="184"/>
      <c r="AH174" s="184"/>
      <c r="AI174" s="184"/>
      <c r="AJ174" s="184"/>
      <c r="AK174" s="184"/>
      <c r="AL174" s="184"/>
      <c r="AM174" s="184"/>
      <c r="AN174" s="184"/>
      <c r="AO174" s="184"/>
      <c r="AP174" s="184"/>
      <c r="AQ174" s="184"/>
      <c r="AR174" s="184"/>
      <c r="AS174" s="184"/>
      <c r="AT174" s="184"/>
      <c r="AU174" s="184"/>
      <c r="AV174" s="184"/>
      <c r="AW174" s="184"/>
      <c r="AX174" s="184"/>
      <c r="AY174" s="184"/>
      <c r="AZ174" s="184"/>
      <c r="BA174" s="184"/>
      <c r="BB174" s="184"/>
      <c r="BC174" s="184"/>
      <c r="BD174" s="184"/>
      <c r="BE174" s="184"/>
      <c r="BF174" s="184"/>
      <c r="BG174" s="184"/>
      <c r="BH174" s="184"/>
      <c r="BI174" s="184"/>
      <c r="BJ174" s="184"/>
      <c r="BK174" s="184"/>
      <c r="BL174" s="184"/>
      <c r="BM174" s="184"/>
      <c r="BN174" s="184"/>
      <c r="BO174" s="184"/>
      <c r="BP174" s="184"/>
      <c r="BQ174" s="184"/>
      <c r="BR174" s="184"/>
      <c r="BS174" s="184"/>
      <c r="BT174" s="184"/>
      <c r="BU174" s="184"/>
      <c r="BV174" s="184"/>
      <c r="BW174" s="184"/>
      <c r="BX174" s="184"/>
      <c r="BY174" s="184"/>
      <c r="BZ174" s="184"/>
      <c r="CA174" s="184"/>
      <c r="CB174" s="184"/>
      <c r="CC174" s="184"/>
      <c r="CD174" s="184"/>
      <c r="CE174" s="184"/>
      <c r="CF174" s="184"/>
      <c r="CG174" s="184"/>
      <c r="CH174" s="184"/>
      <c r="CI174" s="184"/>
      <c r="CJ174" s="184"/>
      <c r="CK174" s="184"/>
      <c r="CL174" s="184"/>
      <c r="CM174" s="184"/>
      <c r="CN174" s="184"/>
      <c r="CO174" s="184"/>
      <c r="CP174" s="184"/>
      <c r="CQ174" s="184"/>
      <c r="CR174" s="184"/>
      <c r="CS174" s="184"/>
      <c r="CT174" s="184"/>
      <c r="CU174" s="184"/>
      <c r="CV174" s="184"/>
      <c r="CW174" s="184"/>
      <c r="CX174" s="184"/>
      <c r="CY174" s="184"/>
      <c r="CZ174" s="184"/>
      <c r="DA174" s="184"/>
      <c r="DB174" s="184"/>
      <c r="DC174" s="184"/>
      <c r="DD174" s="184"/>
      <c r="DE174" s="184"/>
      <c r="DF174" s="184"/>
      <c r="DG174" s="184"/>
      <c r="DH174" s="184"/>
      <c r="DI174" s="184"/>
      <c r="DJ174" s="184"/>
      <c r="DK174" s="184"/>
      <c r="DL174" s="184"/>
      <c r="DM174" s="184"/>
      <c r="DN174" s="184"/>
      <c r="DO174" s="184"/>
      <c r="DP174" s="184"/>
      <c r="DQ174" s="184"/>
      <c r="DR174" s="184"/>
      <c r="DS174" s="184"/>
      <c r="DT174" s="184"/>
      <c r="DU174" s="184"/>
      <c r="DV174" s="184"/>
      <c r="DW174" s="184"/>
      <c r="DX174" s="184"/>
      <c r="DY174" s="184"/>
      <c r="DZ174" s="184"/>
      <c r="EA174" s="184"/>
      <c r="EB174" s="184"/>
      <c r="EC174" s="184"/>
      <c r="ED174" s="184"/>
      <c r="EE174" s="184"/>
      <c r="EF174" s="184"/>
      <c r="EG174" s="184"/>
      <c r="EH174" s="184"/>
      <c r="EI174" s="184"/>
      <c r="EJ174" s="184"/>
      <c r="EK174" s="184"/>
      <c r="EL174" s="184"/>
      <c r="EM174" s="184"/>
      <c r="EN174" s="184"/>
      <c r="EO174" s="184"/>
      <c r="EP174" s="184"/>
      <c r="EQ174" s="184"/>
      <c r="ER174" s="184"/>
      <c r="ES174" s="184"/>
      <c r="ET174" s="184"/>
      <c r="EU174" s="184"/>
      <c r="EV174" s="184"/>
      <c r="EW174" s="184"/>
      <c r="EX174" s="184"/>
      <c r="EY174" s="184"/>
      <c r="EZ174" s="184"/>
      <c r="FA174" s="184"/>
      <c r="FB174" s="184"/>
      <c r="FC174" s="184"/>
      <c r="FD174" s="184"/>
      <c r="FE174" s="184"/>
      <c r="FF174" s="184"/>
      <c r="FG174" s="184"/>
      <c r="FH174" s="184"/>
      <c r="FI174" s="184"/>
      <c r="FJ174" s="184"/>
      <c r="FK174" s="184"/>
      <c r="FL174" s="184"/>
      <c r="FM174" s="184"/>
      <c r="FN174" s="184"/>
      <c r="FO174" s="184"/>
      <c r="FP174" s="184"/>
      <c r="FQ174" s="184"/>
      <c r="FR174" s="184"/>
      <c r="FS174" s="184"/>
      <c r="FT174" s="184"/>
      <c r="FU174" s="184"/>
      <c r="FV174" s="184"/>
      <c r="FW174" s="184"/>
      <c r="FX174" s="184"/>
      <c r="FY174" s="184"/>
      <c r="FZ174" s="184"/>
      <c r="GA174" s="184"/>
      <c r="GB174" s="184"/>
      <c r="GC174" s="184"/>
      <c r="GD174" s="184"/>
      <c r="GE174" s="184"/>
      <c r="GF174" s="184"/>
      <c r="GG174" s="184"/>
      <c r="GH174" s="184"/>
      <c r="GI174" s="184"/>
    </row>
    <row r="175" spans="1:191" s="186" customFormat="1" ht="15" customHeight="1">
      <c r="A175" s="184"/>
      <c r="B175" s="190"/>
      <c r="C175" s="211"/>
      <c r="D175" s="193"/>
      <c r="E175" s="193"/>
      <c r="F175" s="188"/>
      <c r="G175" s="188"/>
      <c r="H175" s="190"/>
      <c r="I175" s="188"/>
      <c r="J175" s="184"/>
      <c r="K175" s="190"/>
      <c r="L175" s="190"/>
      <c r="M175" s="190"/>
      <c r="N175" s="184"/>
      <c r="O175" s="191"/>
      <c r="P175" s="191"/>
      <c r="Q175" s="183"/>
      <c r="R175" s="183"/>
      <c r="S175" s="183"/>
      <c r="T175" s="184"/>
      <c r="U175" s="184"/>
      <c r="V175" s="188"/>
      <c r="AB175" s="184"/>
      <c r="AC175" s="184"/>
      <c r="AD175" s="184"/>
      <c r="AE175" s="184"/>
      <c r="AF175" s="184"/>
      <c r="AG175" s="184"/>
      <c r="AH175" s="184"/>
      <c r="AI175" s="184"/>
      <c r="AJ175" s="184"/>
      <c r="AK175" s="184"/>
      <c r="AL175" s="184"/>
      <c r="AM175" s="184"/>
      <c r="AN175" s="184"/>
      <c r="AO175" s="184"/>
      <c r="AP175" s="184"/>
      <c r="AQ175" s="184"/>
      <c r="AR175" s="184"/>
      <c r="AS175" s="184"/>
      <c r="AT175" s="184"/>
      <c r="AU175" s="184"/>
      <c r="AV175" s="184"/>
      <c r="AW175" s="184"/>
      <c r="AX175" s="184"/>
      <c r="AY175" s="184"/>
      <c r="AZ175" s="184"/>
      <c r="BA175" s="184"/>
      <c r="BB175" s="184"/>
      <c r="BC175" s="184"/>
      <c r="BD175" s="184"/>
      <c r="BE175" s="184"/>
      <c r="BF175" s="184"/>
      <c r="BG175" s="184"/>
      <c r="BH175" s="184"/>
      <c r="BI175" s="184"/>
      <c r="BJ175" s="184"/>
      <c r="BK175" s="184"/>
      <c r="BL175" s="184"/>
      <c r="BM175" s="184"/>
      <c r="BN175" s="184"/>
      <c r="BO175" s="184"/>
      <c r="BP175" s="184"/>
      <c r="BQ175" s="184"/>
      <c r="BR175" s="184"/>
      <c r="BS175" s="184"/>
      <c r="BT175" s="184"/>
      <c r="BU175" s="184"/>
      <c r="BV175" s="184"/>
      <c r="BW175" s="184"/>
      <c r="BX175" s="184"/>
      <c r="BY175" s="184"/>
      <c r="BZ175" s="184"/>
      <c r="CA175" s="184"/>
      <c r="CB175" s="184"/>
      <c r="CC175" s="184"/>
      <c r="CD175" s="184"/>
      <c r="CE175" s="184"/>
      <c r="CF175" s="184"/>
      <c r="CG175" s="184"/>
      <c r="CH175" s="184"/>
      <c r="CI175" s="184"/>
      <c r="CJ175" s="184"/>
      <c r="CK175" s="184"/>
      <c r="CL175" s="184"/>
      <c r="CM175" s="184"/>
      <c r="CN175" s="184"/>
      <c r="CO175" s="184"/>
      <c r="CP175" s="184"/>
      <c r="CQ175" s="184"/>
      <c r="CR175" s="184"/>
      <c r="CS175" s="184"/>
      <c r="CT175" s="184"/>
      <c r="CU175" s="184"/>
      <c r="CV175" s="184"/>
      <c r="CW175" s="184"/>
      <c r="CX175" s="184"/>
      <c r="CY175" s="184"/>
      <c r="CZ175" s="184"/>
      <c r="DA175" s="184"/>
      <c r="DB175" s="184"/>
      <c r="DC175" s="184"/>
      <c r="DD175" s="184"/>
      <c r="DE175" s="184"/>
      <c r="DF175" s="184"/>
      <c r="DG175" s="184"/>
      <c r="DH175" s="184"/>
      <c r="DI175" s="184"/>
      <c r="DJ175" s="184"/>
      <c r="DK175" s="184"/>
      <c r="DL175" s="184"/>
      <c r="DM175" s="184"/>
      <c r="DN175" s="184"/>
      <c r="DO175" s="184"/>
      <c r="DP175" s="184"/>
      <c r="DQ175" s="184"/>
      <c r="DR175" s="184"/>
      <c r="DS175" s="184"/>
      <c r="DT175" s="184"/>
      <c r="DU175" s="184"/>
      <c r="DV175" s="184"/>
      <c r="DW175" s="184"/>
      <c r="DX175" s="184"/>
      <c r="DY175" s="184"/>
      <c r="DZ175" s="184"/>
      <c r="EA175" s="184"/>
      <c r="EB175" s="184"/>
      <c r="EC175" s="184"/>
      <c r="ED175" s="184"/>
      <c r="EE175" s="184"/>
      <c r="EF175" s="184"/>
      <c r="EG175" s="184"/>
      <c r="EH175" s="184"/>
      <c r="EI175" s="184"/>
      <c r="EJ175" s="184"/>
      <c r="EK175" s="184"/>
      <c r="EL175" s="184"/>
      <c r="EM175" s="184"/>
      <c r="EN175" s="184"/>
      <c r="EO175" s="184"/>
      <c r="EP175" s="184"/>
      <c r="EQ175" s="184"/>
      <c r="ER175" s="184"/>
      <c r="ES175" s="184"/>
      <c r="ET175" s="184"/>
      <c r="EU175" s="184"/>
      <c r="EV175" s="184"/>
      <c r="EW175" s="184"/>
      <c r="EX175" s="184"/>
      <c r="EY175" s="184"/>
      <c r="EZ175" s="184"/>
      <c r="FA175" s="184"/>
      <c r="FB175" s="184"/>
      <c r="FC175" s="184"/>
      <c r="FD175" s="184"/>
      <c r="FE175" s="184"/>
      <c r="FF175" s="184"/>
      <c r="FG175" s="184"/>
      <c r="FH175" s="184"/>
      <c r="FI175" s="184"/>
      <c r="FJ175" s="184"/>
      <c r="FK175" s="184"/>
      <c r="FL175" s="184"/>
      <c r="FM175" s="184"/>
      <c r="FN175" s="184"/>
      <c r="FO175" s="184"/>
      <c r="FP175" s="184"/>
      <c r="FQ175" s="184"/>
      <c r="FR175" s="184"/>
      <c r="FS175" s="184"/>
      <c r="FT175" s="184"/>
      <c r="FU175" s="184"/>
      <c r="FV175" s="184"/>
      <c r="FW175" s="184"/>
      <c r="FX175" s="184"/>
      <c r="FY175" s="184"/>
      <c r="FZ175" s="184"/>
      <c r="GA175" s="184"/>
      <c r="GB175" s="184"/>
      <c r="GC175" s="184"/>
      <c r="GD175" s="184"/>
      <c r="GE175" s="184"/>
      <c r="GF175" s="184"/>
      <c r="GG175" s="184"/>
      <c r="GH175" s="184"/>
      <c r="GI175" s="184"/>
    </row>
    <row r="176" spans="1:191" s="186" customFormat="1" ht="15" customHeight="1">
      <c r="A176" s="184"/>
      <c r="B176" s="190"/>
      <c r="C176" s="211"/>
      <c r="D176" s="193"/>
      <c r="E176" s="193"/>
      <c r="F176" s="188"/>
      <c r="G176" s="188"/>
      <c r="H176" s="190"/>
      <c r="I176" s="188"/>
      <c r="J176" s="184"/>
      <c r="K176" s="190"/>
      <c r="L176" s="190"/>
      <c r="M176" s="190"/>
      <c r="N176" s="184"/>
      <c r="O176" s="191"/>
      <c r="P176" s="191"/>
      <c r="Q176" s="183"/>
      <c r="R176" s="183"/>
      <c r="S176" s="183"/>
      <c r="T176" s="184"/>
      <c r="U176" s="184"/>
      <c r="V176" s="188"/>
      <c r="AB176" s="184"/>
      <c r="AC176" s="184"/>
      <c r="AD176" s="184"/>
      <c r="AE176" s="184"/>
      <c r="AF176" s="184"/>
      <c r="AG176" s="184"/>
      <c r="AH176" s="184"/>
      <c r="AI176" s="184"/>
      <c r="AJ176" s="184"/>
      <c r="AK176" s="184"/>
      <c r="AL176" s="184"/>
      <c r="AM176" s="184"/>
      <c r="AN176" s="184"/>
      <c r="AO176" s="184"/>
      <c r="AP176" s="184"/>
      <c r="AQ176" s="184"/>
      <c r="AR176" s="184"/>
      <c r="AS176" s="184"/>
      <c r="AT176" s="184"/>
      <c r="AU176" s="184"/>
      <c r="AV176" s="184"/>
      <c r="AW176" s="184"/>
      <c r="AX176" s="184"/>
      <c r="AY176" s="184"/>
      <c r="AZ176" s="184"/>
      <c r="BA176" s="184"/>
      <c r="BB176" s="184"/>
      <c r="BC176" s="184"/>
      <c r="BD176" s="184"/>
      <c r="BE176" s="184"/>
      <c r="BF176" s="184"/>
      <c r="BG176" s="184"/>
      <c r="BH176" s="184"/>
      <c r="BI176" s="184"/>
      <c r="BJ176" s="184"/>
      <c r="BK176" s="184"/>
      <c r="BL176" s="184"/>
      <c r="BM176" s="184"/>
      <c r="BN176" s="184"/>
      <c r="BO176" s="184"/>
      <c r="BP176" s="184"/>
      <c r="BQ176" s="184"/>
      <c r="BR176" s="184"/>
      <c r="BS176" s="184"/>
      <c r="BT176" s="184"/>
      <c r="BU176" s="184"/>
      <c r="BV176" s="184"/>
      <c r="BW176" s="184"/>
      <c r="BX176" s="184"/>
      <c r="BY176" s="184"/>
      <c r="BZ176" s="184"/>
      <c r="CA176" s="184"/>
      <c r="CB176" s="184"/>
      <c r="CC176" s="184"/>
      <c r="CD176" s="184"/>
      <c r="CE176" s="184"/>
      <c r="CF176" s="184"/>
      <c r="CG176" s="184"/>
      <c r="CH176" s="184"/>
      <c r="CI176" s="184"/>
      <c r="CJ176" s="184"/>
      <c r="CK176" s="184"/>
      <c r="CL176" s="184"/>
      <c r="CM176" s="184"/>
      <c r="CN176" s="184"/>
      <c r="CO176" s="184"/>
      <c r="CP176" s="184"/>
      <c r="CQ176" s="184"/>
      <c r="CR176" s="184"/>
      <c r="CS176" s="184"/>
      <c r="CT176" s="184"/>
      <c r="CU176" s="184"/>
      <c r="CV176" s="184"/>
      <c r="CW176" s="184"/>
      <c r="CX176" s="184"/>
      <c r="CY176" s="184"/>
      <c r="CZ176" s="184"/>
      <c r="DA176" s="184"/>
      <c r="DB176" s="184"/>
      <c r="DC176" s="184"/>
      <c r="DD176" s="184"/>
      <c r="DE176" s="184"/>
      <c r="DF176" s="184"/>
      <c r="DG176" s="184"/>
      <c r="DH176" s="184"/>
      <c r="DI176" s="184"/>
      <c r="DJ176" s="184"/>
      <c r="DK176" s="184"/>
      <c r="DL176" s="184"/>
      <c r="DM176" s="184"/>
      <c r="DN176" s="184"/>
      <c r="DO176" s="184"/>
      <c r="DP176" s="184"/>
      <c r="DQ176" s="184"/>
      <c r="DR176" s="184"/>
      <c r="DS176" s="184"/>
      <c r="DT176" s="184"/>
      <c r="DU176" s="184"/>
      <c r="DV176" s="184"/>
      <c r="DW176" s="184"/>
      <c r="DX176" s="184"/>
      <c r="DY176" s="184"/>
      <c r="DZ176" s="184"/>
      <c r="EA176" s="184"/>
      <c r="EB176" s="184"/>
      <c r="EC176" s="184"/>
      <c r="ED176" s="184"/>
      <c r="EE176" s="184"/>
      <c r="EF176" s="184"/>
      <c r="EG176" s="184"/>
      <c r="EH176" s="184"/>
      <c r="EI176" s="184"/>
      <c r="EJ176" s="184"/>
      <c r="EK176" s="184"/>
      <c r="EL176" s="184"/>
      <c r="EM176" s="184"/>
      <c r="EN176" s="184"/>
      <c r="EO176" s="184"/>
      <c r="EP176" s="184"/>
      <c r="EQ176" s="184"/>
      <c r="ER176" s="184"/>
      <c r="ES176" s="184"/>
      <c r="ET176" s="184"/>
      <c r="EU176" s="184"/>
      <c r="EV176" s="184"/>
      <c r="EW176" s="184"/>
      <c r="EX176" s="184"/>
      <c r="EY176" s="184"/>
      <c r="EZ176" s="184"/>
      <c r="FA176" s="184"/>
      <c r="FB176" s="184"/>
      <c r="FC176" s="184"/>
      <c r="FD176" s="184"/>
      <c r="FE176" s="184"/>
      <c r="FF176" s="184"/>
      <c r="FG176" s="184"/>
      <c r="FH176" s="184"/>
      <c r="FI176" s="184"/>
      <c r="FJ176" s="184"/>
      <c r="FK176" s="184"/>
      <c r="FL176" s="184"/>
      <c r="FM176" s="184"/>
      <c r="FN176" s="184"/>
      <c r="FO176" s="184"/>
      <c r="FP176" s="184"/>
      <c r="FQ176" s="184"/>
      <c r="FR176" s="184"/>
      <c r="FS176" s="184"/>
      <c r="FT176" s="184"/>
      <c r="FU176" s="184"/>
      <c r="FV176" s="184"/>
      <c r="FW176" s="184"/>
      <c r="FX176" s="184"/>
      <c r="FY176" s="184"/>
      <c r="FZ176" s="184"/>
      <c r="GA176" s="184"/>
      <c r="GB176" s="184"/>
      <c r="GC176" s="184"/>
      <c r="GD176" s="184"/>
      <c r="GE176" s="184"/>
      <c r="GF176" s="184"/>
      <c r="GG176" s="184"/>
      <c r="GH176" s="184"/>
      <c r="GI176" s="184"/>
    </row>
    <row r="177" spans="1:191" s="186" customFormat="1" ht="15" customHeight="1">
      <c r="A177" s="184"/>
      <c r="B177" s="190"/>
      <c r="C177" s="211"/>
      <c r="D177" s="193"/>
      <c r="E177" s="193"/>
      <c r="F177" s="188"/>
      <c r="G177" s="188"/>
      <c r="H177" s="190"/>
      <c r="I177" s="188"/>
      <c r="J177" s="184"/>
      <c r="K177" s="190"/>
      <c r="L177" s="190"/>
      <c r="M177" s="190"/>
      <c r="N177" s="184"/>
      <c r="O177" s="191"/>
      <c r="P177" s="191"/>
      <c r="Q177" s="183"/>
      <c r="R177" s="183"/>
      <c r="S177" s="183"/>
      <c r="T177" s="184"/>
      <c r="U177" s="184"/>
      <c r="V177" s="188"/>
      <c r="AB177" s="184"/>
      <c r="AC177" s="184"/>
      <c r="AD177" s="184"/>
      <c r="AE177" s="184"/>
      <c r="AF177" s="184"/>
      <c r="AG177" s="184"/>
      <c r="AH177" s="184"/>
      <c r="AI177" s="184"/>
      <c r="AJ177" s="184"/>
      <c r="AK177" s="184"/>
      <c r="AL177" s="184"/>
      <c r="AM177" s="184"/>
      <c r="AN177" s="184"/>
      <c r="AO177" s="184"/>
      <c r="AP177" s="184"/>
      <c r="AQ177" s="184"/>
      <c r="AR177" s="184"/>
      <c r="AS177" s="184"/>
      <c r="AT177" s="184"/>
      <c r="AU177" s="184"/>
      <c r="AV177" s="184"/>
      <c r="AW177" s="184"/>
      <c r="AX177" s="184"/>
      <c r="AY177" s="184"/>
      <c r="AZ177" s="184"/>
      <c r="BA177" s="184"/>
      <c r="BB177" s="184"/>
      <c r="BC177" s="184"/>
      <c r="BD177" s="184"/>
      <c r="BE177" s="184"/>
      <c r="BF177" s="184"/>
      <c r="BG177" s="184"/>
      <c r="BH177" s="184"/>
      <c r="BI177" s="184"/>
      <c r="BJ177" s="184"/>
      <c r="BK177" s="184"/>
      <c r="BL177" s="184"/>
      <c r="BM177" s="184"/>
      <c r="BN177" s="184"/>
      <c r="BO177" s="184"/>
      <c r="BP177" s="184"/>
      <c r="BQ177" s="184"/>
      <c r="BR177" s="184"/>
      <c r="BS177" s="184"/>
      <c r="BT177" s="184"/>
      <c r="BU177" s="184"/>
      <c r="BV177" s="184"/>
      <c r="BW177" s="184"/>
      <c r="BX177" s="184"/>
      <c r="BY177" s="184"/>
      <c r="BZ177" s="184"/>
      <c r="CA177" s="184"/>
      <c r="CB177" s="184"/>
      <c r="CC177" s="184"/>
      <c r="CD177" s="184"/>
      <c r="CE177" s="184"/>
      <c r="CF177" s="184"/>
      <c r="CG177" s="184"/>
      <c r="CH177" s="184"/>
      <c r="CI177" s="184"/>
      <c r="CJ177" s="184"/>
      <c r="CK177" s="184"/>
      <c r="CL177" s="184"/>
      <c r="CM177" s="184"/>
      <c r="CN177" s="184"/>
      <c r="CO177" s="184"/>
      <c r="CP177" s="184"/>
      <c r="CQ177" s="184"/>
      <c r="CR177" s="184"/>
      <c r="CS177" s="184"/>
      <c r="CT177" s="184"/>
      <c r="CU177" s="184"/>
      <c r="CV177" s="184"/>
      <c r="CW177" s="184"/>
      <c r="CX177" s="184"/>
      <c r="CY177" s="184"/>
      <c r="CZ177" s="184"/>
      <c r="DA177" s="184"/>
      <c r="DB177" s="184"/>
      <c r="DC177" s="184"/>
      <c r="DD177" s="184"/>
      <c r="DE177" s="184"/>
      <c r="DF177" s="184"/>
      <c r="DG177" s="184"/>
      <c r="DH177" s="184"/>
      <c r="DI177" s="184"/>
      <c r="DJ177" s="184"/>
      <c r="DK177" s="184"/>
      <c r="DL177" s="184"/>
      <c r="DM177" s="184"/>
      <c r="DN177" s="184"/>
      <c r="DO177" s="184"/>
      <c r="DP177" s="184"/>
      <c r="DQ177" s="184"/>
      <c r="DR177" s="184"/>
      <c r="DS177" s="184"/>
      <c r="DT177" s="184"/>
      <c r="DU177" s="184"/>
      <c r="DV177" s="184"/>
      <c r="DW177" s="184"/>
      <c r="DX177" s="184"/>
      <c r="DY177" s="184"/>
      <c r="DZ177" s="184"/>
      <c r="EA177" s="184"/>
      <c r="EB177" s="184"/>
      <c r="EC177" s="184"/>
      <c r="ED177" s="184"/>
      <c r="EE177" s="184"/>
      <c r="EF177" s="184"/>
      <c r="EG177" s="184"/>
      <c r="EH177" s="184"/>
      <c r="EI177" s="184"/>
      <c r="EJ177" s="184"/>
      <c r="EK177" s="184"/>
      <c r="EL177" s="184"/>
      <c r="EM177" s="184"/>
      <c r="EN177" s="184"/>
      <c r="EO177" s="184"/>
      <c r="EP177" s="184"/>
      <c r="EQ177" s="184"/>
      <c r="ER177" s="184"/>
      <c r="ES177" s="184"/>
      <c r="ET177" s="184"/>
      <c r="EU177" s="184"/>
      <c r="EV177" s="184"/>
      <c r="EW177" s="184"/>
      <c r="EX177" s="184"/>
      <c r="EY177" s="184"/>
      <c r="EZ177" s="184"/>
      <c r="FA177" s="184"/>
      <c r="FB177" s="184"/>
      <c r="FC177" s="184"/>
      <c r="FD177" s="184"/>
      <c r="FE177" s="184"/>
      <c r="FF177" s="184"/>
      <c r="FG177" s="184"/>
      <c r="FH177" s="184"/>
      <c r="FI177" s="184"/>
      <c r="FJ177" s="184"/>
      <c r="FK177" s="184"/>
      <c r="FL177" s="184"/>
      <c r="FM177" s="184"/>
      <c r="FN177" s="184"/>
      <c r="FO177" s="184"/>
      <c r="FP177" s="184"/>
      <c r="FQ177" s="184"/>
      <c r="FR177" s="184"/>
      <c r="FS177" s="184"/>
      <c r="FT177" s="184"/>
      <c r="FU177" s="184"/>
      <c r="FV177" s="184"/>
      <c r="FW177" s="184"/>
      <c r="FX177" s="184"/>
      <c r="FY177" s="184"/>
      <c r="FZ177" s="184"/>
      <c r="GA177" s="184"/>
      <c r="GB177" s="184"/>
      <c r="GC177" s="184"/>
      <c r="GD177" s="184"/>
      <c r="GE177" s="184"/>
      <c r="GF177" s="184"/>
      <c r="GG177" s="184"/>
      <c r="GH177" s="184"/>
      <c r="GI177" s="184"/>
    </row>
    <row r="178" spans="1:191" s="186" customFormat="1" ht="15" customHeight="1">
      <c r="A178" s="184"/>
      <c r="B178" s="190"/>
      <c r="C178" s="211"/>
      <c r="D178" s="193"/>
      <c r="E178" s="193"/>
      <c r="F178" s="188"/>
      <c r="G178" s="188"/>
      <c r="H178" s="190"/>
      <c r="I178" s="188"/>
      <c r="J178" s="184"/>
      <c r="K178" s="190"/>
      <c r="L178" s="190"/>
      <c r="M178" s="190"/>
      <c r="N178" s="184"/>
      <c r="O178" s="191"/>
      <c r="P178" s="191"/>
      <c r="Q178" s="183"/>
      <c r="R178" s="183"/>
      <c r="S178" s="183"/>
      <c r="T178" s="184"/>
      <c r="U178" s="184"/>
      <c r="V178" s="188"/>
      <c r="AB178" s="184"/>
      <c r="AC178" s="184"/>
      <c r="AD178" s="184"/>
      <c r="AE178" s="184"/>
      <c r="AF178" s="184"/>
      <c r="AG178" s="184"/>
      <c r="AH178" s="184"/>
      <c r="AI178" s="184"/>
      <c r="AJ178" s="184"/>
      <c r="AK178" s="184"/>
      <c r="AL178" s="184"/>
      <c r="AM178" s="184"/>
      <c r="AN178" s="184"/>
      <c r="AO178" s="184"/>
      <c r="AP178" s="184"/>
      <c r="AQ178" s="184"/>
      <c r="AR178" s="184"/>
      <c r="AS178" s="184"/>
      <c r="AT178" s="184"/>
      <c r="AU178" s="184"/>
      <c r="AV178" s="184"/>
      <c r="AW178" s="184"/>
      <c r="AX178" s="184"/>
      <c r="AY178" s="184"/>
      <c r="AZ178" s="184"/>
      <c r="BA178" s="184"/>
      <c r="BB178" s="184"/>
      <c r="BC178" s="184"/>
      <c r="BD178" s="184"/>
      <c r="BE178" s="184"/>
      <c r="BF178" s="184"/>
      <c r="BG178" s="184"/>
      <c r="BH178" s="184"/>
      <c r="BI178" s="184"/>
      <c r="BJ178" s="184"/>
      <c r="BK178" s="184"/>
      <c r="BL178" s="184"/>
      <c r="BM178" s="184"/>
      <c r="BN178" s="184"/>
      <c r="BO178" s="184"/>
      <c r="BP178" s="184"/>
      <c r="BQ178" s="184"/>
      <c r="BR178" s="184"/>
      <c r="BS178" s="184"/>
      <c r="BT178" s="184"/>
      <c r="BU178" s="184"/>
      <c r="BV178" s="184"/>
      <c r="BW178" s="184"/>
      <c r="BX178" s="184"/>
      <c r="BY178" s="184"/>
      <c r="BZ178" s="184"/>
      <c r="CA178" s="184"/>
      <c r="CB178" s="184"/>
      <c r="CC178" s="184"/>
      <c r="CD178" s="184"/>
      <c r="CE178" s="184"/>
      <c r="CF178" s="184"/>
      <c r="CG178" s="184"/>
      <c r="CH178" s="184"/>
      <c r="CI178" s="184"/>
      <c r="CJ178" s="184"/>
      <c r="CK178" s="184"/>
      <c r="CL178" s="184"/>
      <c r="CM178" s="184"/>
      <c r="CN178" s="184"/>
      <c r="CO178" s="184"/>
      <c r="CP178" s="184"/>
      <c r="CQ178" s="184"/>
      <c r="CR178" s="184"/>
      <c r="CS178" s="184"/>
      <c r="CT178" s="184"/>
      <c r="CU178" s="184"/>
      <c r="CV178" s="184"/>
      <c r="CW178" s="184"/>
      <c r="CX178" s="184"/>
      <c r="CY178" s="184"/>
      <c r="CZ178" s="184"/>
      <c r="DA178" s="184"/>
      <c r="DB178" s="184"/>
      <c r="DC178" s="184"/>
      <c r="DD178" s="184"/>
      <c r="DE178" s="184"/>
      <c r="DF178" s="184"/>
      <c r="DG178" s="184"/>
      <c r="DH178" s="184"/>
      <c r="DI178" s="184"/>
      <c r="DJ178" s="184"/>
      <c r="DK178" s="184"/>
      <c r="DL178" s="184"/>
      <c r="DM178" s="184"/>
      <c r="DN178" s="184"/>
      <c r="DO178" s="184"/>
      <c r="DP178" s="184"/>
      <c r="DQ178" s="184"/>
      <c r="DR178" s="184"/>
      <c r="DS178" s="184"/>
      <c r="DT178" s="184"/>
      <c r="DU178" s="184"/>
      <c r="DV178" s="184"/>
      <c r="DW178" s="184"/>
      <c r="DX178" s="184"/>
      <c r="DY178" s="184"/>
      <c r="DZ178" s="184"/>
      <c r="EA178" s="184"/>
      <c r="EB178" s="184"/>
      <c r="EC178" s="184"/>
      <c r="ED178" s="184"/>
      <c r="EE178" s="184"/>
      <c r="EF178" s="184"/>
      <c r="EG178" s="184"/>
      <c r="EH178" s="184"/>
      <c r="EI178" s="184"/>
      <c r="EJ178" s="184"/>
      <c r="EK178" s="184"/>
      <c r="EL178" s="184"/>
      <c r="EM178" s="184"/>
      <c r="EN178" s="184"/>
      <c r="EO178" s="184"/>
      <c r="EP178" s="184"/>
      <c r="EQ178" s="184"/>
      <c r="ER178" s="184"/>
      <c r="ES178" s="184"/>
      <c r="ET178" s="184"/>
      <c r="EU178" s="184"/>
      <c r="EV178" s="184"/>
      <c r="EW178" s="184"/>
      <c r="EX178" s="184"/>
      <c r="EY178" s="184"/>
      <c r="EZ178" s="184"/>
      <c r="FA178" s="184"/>
      <c r="FB178" s="184"/>
      <c r="FC178" s="184"/>
      <c r="FD178" s="184"/>
      <c r="FE178" s="184"/>
      <c r="FF178" s="184"/>
      <c r="FG178" s="184"/>
      <c r="FH178" s="184"/>
      <c r="FI178" s="184"/>
      <c r="FJ178" s="184"/>
      <c r="FK178" s="184"/>
      <c r="FL178" s="184"/>
      <c r="FM178" s="184"/>
      <c r="FN178" s="184"/>
      <c r="FO178" s="184"/>
      <c r="FP178" s="184"/>
      <c r="FQ178" s="184"/>
      <c r="FR178" s="184"/>
      <c r="FS178" s="184"/>
      <c r="FT178" s="184"/>
      <c r="FU178" s="184"/>
      <c r="FV178" s="184"/>
      <c r="FW178" s="184"/>
      <c r="FX178" s="184"/>
      <c r="FY178" s="184"/>
      <c r="FZ178" s="184"/>
      <c r="GA178" s="184"/>
      <c r="GB178" s="184"/>
      <c r="GC178" s="184"/>
      <c r="GD178" s="184"/>
      <c r="GE178" s="184"/>
      <c r="GF178" s="184"/>
      <c r="GG178" s="184"/>
      <c r="GH178" s="184"/>
      <c r="GI178" s="184"/>
    </row>
    <row r="179" spans="1:191" s="186" customFormat="1" ht="15" customHeight="1">
      <c r="A179" s="184"/>
      <c r="B179" s="190"/>
      <c r="C179" s="211"/>
      <c r="D179" s="193"/>
      <c r="E179" s="193"/>
      <c r="F179" s="188"/>
      <c r="G179" s="188"/>
      <c r="H179" s="190"/>
      <c r="I179" s="188"/>
      <c r="J179" s="184"/>
      <c r="K179" s="190"/>
      <c r="L179" s="190"/>
      <c r="M179" s="190"/>
      <c r="N179" s="184"/>
      <c r="O179" s="191"/>
      <c r="P179" s="191"/>
      <c r="Q179" s="183"/>
      <c r="R179" s="183"/>
      <c r="S179" s="183"/>
      <c r="T179" s="184"/>
      <c r="U179" s="184"/>
      <c r="V179" s="188"/>
      <c r="AB179" s="184"/>
      <c r="AC179" s="184"/>
      <c r="AD179" s="184"/>
      <c r="AE179" s="184"/>
      <c r="AF179" s="184"/>
      <c r="AG179" s="184"/>
      <c r="AH179" s="184"/>
      <c r="AI179" s="184"/>
      <c r="AJ179" s="184"/>
      <c r="AK179" s="184"/>
      <c r="AL179" s="184"/>
      <c r="AM179" s="184"/>
      <c r="AN179" s="184"/>
      <c r="AO179" s="184"/>
      <c r="AP179" s="184"/>
      <c r="AQ179" s="184"/>
      <c r="AR179" s="184"/>
      <c r="AS179" s="184"/>
      <c r="AT179" s="184"/>
      <c r="AU179" s="184"/>
      <c r="AV179" s="184"/>
      <c r="AW179" s="184"/>
      <c r="AX179" s="184"/>
      <c r="AY179" s="184"/>
      <c r="AZ179" s="184"/>
      <c r="BA179" s="184"/>
      <c r="BB179" s="184"/>
      <c r="BC179" s="184"/>
      <c r="BD179" s="184"/>
      <c r="BE179" s="184"/>
      <c r="BF179" s="184"/>
      <c r="BG179" s="184"/>
      <c r="BH179" s="184"/>
      <c r="BI179" s="184"/>
      <c r="BJ179" s="184"/>
      <c r="BK179" s="184"/>
      <c r="BL179" s="184"/>
      <c r="BM179" s="184"/>
      <c r="BN179" s="184"/>
      <c r="BO179" s="184"/>
      <c r="BP179" s="184"/>
      <c r="BQ179" s="184"/>
      <c r="BR179" s="184"/>
      <c r="BS179" s="184"/>
      <c r="BT179" s="184"/>
      <c r="BU179" s="184"/>
      <c r="BV179" s="184"/>
      <c r="BW179" s="184"/>
      <c r="BX179" s="184"/>
      <c r="BY179" s="184"/>
      <c r="BZ179" s="184"/>
      <c r="CA179" s="184"/>
      <c r="CB179" s="184"/>
      <c r="CC179" s="184"/>
      <c r="CD179" s="184"/>
      <c r="CE179" s="184"/>
      <c r="CF179" s="184"/>
      <c r="CG179" s="184"/>
      <c r="CH179" s="184"/>
      <c r="CI179" s="184"/>
      <c r="CJ179" s="184"/>
      <c r="CK179" s="184"/>
      <c r="CL179" s="184"/>
      <c r="CM179" s="184"/>
      <c r="CN179" s="184"/>
      <c r="CO179" s="184"/>
      <c r="CP179" s="184"/>
      <c r="CQ179" s="184"/>
      <c r="CR179" s="184"/>
      <c r="CS179" s="184"/>
      <c r="CT179" s="184"/>
      <c r="CU179" s="184"/>
      <c r="CV179" s="184"/>
      <c r="CW179" s="184"/>
      <c r="CX179" s="184"/>
      <c r="CY179" s="184"/>
      <c r="CZ179" s="184"/>
      <c r="DA179" s="184"/>
      <c r="DB179" s="184"/>
      <c r="DC179" s="184"/>
      <c r="DD179" s="184"/>
      <c r="DE179" s="184"/>
      <c r="DF179" s="184"/>
      <c r="DG179" s="184"/>
      <c r="DH179" s="184"/>
      <c r="DI179" s="184"/>
      <c r="DJ179" s="184"/>
      <c r="DK179" s="184"/>
      <c r="DL179" s="184"/>
      <c r="DM179" s="184"/>
      <c r="DN179" s="184"/>
      <c r="DO179" s="184"/>
      <c r="DP179" s="184"/>
      <c r="DQ179" s="184"/>
      <c r="DR179" s="184"/>
      <c r="DS179" s="184"/>
      <c r="DT179" s="184"/>
      <c r="DU179" s="184"/>
      <c r="DV179" s="184"/>
      <c r="DW179" s="184"/>
      <c r="DX179" s="184"/>
      <c r="DY179" s="184"/>
      <c r="DZ179" s="184"/>
      <c r="EA179" s="184"/>
      <c r="EB179" s="184"/>
      <c r="EC179" s="184"/>
      <c r="ED179" s="184"/>
      <c r="EE179" s="184"/>
      <c r="EF179" s="184"/>
      <c r="EG179" s="184"/>
      <c r="EH179" s="184"/>
      <c r="EI179" s="184"/>
      <c r="EJ179" s="184"/>
      <c r="EK179" s="184"/>
      <c r="EL179" s="184"/>
      <c r="EM179" s="184"/>
      <c r="EN179" s="184"/>
      <c r="EO179" s="184"/>
      <c r="EP179" s="184"/>
      <c r="EQ179" s="184"/>
      <c r="ER179" s="184"/>
      <c r="ES179" s="184"/>
      <c r="ET179" s="184"/>
      <c r="EU179" s="184"/>
      <c r="EV179" s="184"/>
      <c r="EW179" s="184"/>
      <c r="EX179" s="184"/>
      <c r="EY179" s="184"/>
      <c r="EZ179" s="184"/>
      <c r="FA179" s="184"/>
      <c r="FB179" s="184"/>
      <c r="FC179" s="184"/>
      <c r="FD179" s="184"/>
      <c r="FE179" s="184"/>
      <c r="FF179" s="184"/>
      <c r="FG179" s="184"/>
      <c r="FH179" s="184"/>
      <c r="FI179" s="184"/>
      <c r="FJ179" s="184"/>
      <c r="FK179" s="184"/>
      <c r="FL179" s="184"/>
      <c r="FM179" s="184"/>
      <c r="FN179" s="184"/>
      <c r="FO179" s="184"/>
      <c r="FP179" s="184"/>
      <c r="FQ179" s="184"/>
      <c r="FR179" s="184"/>
      <c r="FS179" s="184"/>
      <c r="FT179" s="184"/>
      <c r="FU179" s="184"/>
      <c r="FV179" s="184"/>
      <c r="FW179" s="184"/>
      <c r="FX179" s="184"/>
      <c r="FY179" s="184"/>
      <c r="FZ179" s="184"/>
      <c r="GA179" s="184"/>
      <c r="GB179" s="184"/>
      <c r="GC179" s="184"/>
      <c r="GD179" s="184"/>
      <c r="GE179" s="184"/>
      <c r="GF179" s="184"/>
      <c r="GG179" s="184"/>
      <c r="GH179" s="184"/>
      <c r="GI179" s="184"/>
    </row>
    <row r="180" spans="1:191" s="186" customFormat="1" ht="15" customHeight="1">
      <c r="A180" s="184"/>
      <c r="B180" s="190"/>
      <c r="C180" s="211"/>
      <c r="D180" s="193"/>
      <c r="E180" s="193"/>
      <c r="F180" s="188"/>
      <c r="G180" s="188"/>
      <c r="H180" s="190"/>
      <c r="I180" s="188"/>
      <c r="J180" s="184"/>
      <c r="K180" s="190"/>
      <c r="L180" s="190"/>
      <c r="M180" s="190"/>
      <c r="N180" s="184"/>
      <c r="O180" s="191"/>
      <c r="P180" s="191"/>
      <c r="Q180" s="183"/>
      <c r="R180" s="183"/>
      <c r="S180" s="183"/>
      <c r="T180" s="184"/>
      <c r="U180" s="184"/>
      <c r="V180" s="188"/>
      <c r="AB180" s="184"/>
      <c r="AC180" s="184"/>
      <c r="AD180" s="184"/>
      <c r="AE180" s="184"/>
      <c r="AF180" s="184"/>
      <c r="AG180" s="184"/>
      <c r="AH180" s="184"/>
      <c r="AI180" s="184"/>
      <c r="AJ180" s="184"/>
      <c r="AK180" s="184"/>
      <c r="AL180" s="184"/>
      <c r="AM180" s="184"/>
      <c r="AN180" s="184"/>
      <c r="AO180" s="184"/>
      <c r="AP180" s="184"/>
      <c r="AQ180" s="184"/>
      <c r="AR180" s="184"/>
      <c r="AS180" s="184"/>
      <c r="AT180" s="184"/>
      <c r="AU180" s="184"/>
      <c r="AV180" s="184"/>
      <c r="AW180" s="184"/>
      <c r="AX180" s="184"/>
      <c r="AY180" s="184"/>
      <c r="AZ180" s="184"/>
      <c r="BA180" s="184"/>
      <c r="BB180" s="184"/>
      <c r="BC180" s="184"/>
      <c r="BD180" s="184"/>
      <c r="BE180" s="184"/>
      <c r="BF180" s="184"/>
      <c r="BG180" s="184"/>
      <c r="BH180" s="184"/>
      <c r="BI180" s="184"/>
      <c r="BJ180" s="184"/>
      <c r="BK180" s="184"/>
      <c r="BL180" s="184"/>
      <c r="BM180" s="184"/>
      <c r="BN180" s="184"/>
      <c r="BO180" s="184"/>
      <c r="BP180" s="184"/>
      <c r="BQ180" s="184"/>
      <c r="BR180" s="184"/>
      <c r="BS180" s="184"/>
      <c r="BT180" s="184"/>
      <c r="BU180" s="184"/>
      <c r="BV180" s="184"/>
      <c r="BW180" s="184"/>
      <c r="BX180" s="184"/>
      <c r="BY180" s="184"/>
      <c r="BZ180" s="184"/>
      <c r="CA180" s="184"/>
      <c r="CB180" s="184"/>
      <c r="CC180" s="184"/>
      <c r="CD180" s="184"/>
      <c r="CE180" s="184"/>
      <c r="CF180" s="184"/>
      <c r="CG180" s="184"/>
      <c r="CH180" s="184"/>
      <c r="CI180" s="184"/>
      <c r="CJ180" s="184"/>
      <c r="CK180" s="184"/>
      <c r="CL180" s="184"/>
      <c r="CM180" s="184"/>
      <c r="CN180" s="184"/>
      <c r="CO180" s="184"/>
      <c r="CP180" s="184"/>
      <c r="CQ180" s="184"/>
      <c r="CR180" s="184"/>
      <c r="CS180" s="184"/>
      <c r="CT180" s="184"/>
      <c r="CU180" s="184"/>
      <c r="CV180" s="184"/>
      <c r="CW180" s="184"/>
      <c r="CX180" s="184"/>
      <c r="CY180" s="184"/>
      <c r="CZ180" s="184"/>
      <c r="DA180" s="184"/>
      <c r="DB180" s="184"/>
      <c r="DC180" s="184"/>
      <c r="DD180" s="184"/>
      <c r="DE180" s="184"/>
      <c r="DF180" s="184"/>
      <c r="DG180" s="184"/>
      <c r="DH180" s="184"/>
      <c r="DI180" s="184"/>
      <c r="DJ180" s="184"/>
      <c r="DK180" s="184"/>
      <c r="DL180" s="184"/>
      <c r="DM180" s="184"/>
      <c r="DN180" s="184"/>
      <c r="DO180" s="184"/>
      <c r="DP180" s="184"/>
      <c r="DQ180" s="184"/>
      <c r="DR180" s="184"/>
      <c r="DS180" s="184"/>
      <c r="DT180" s="184"/>
      <c r="DU180" s="184"/>
      <c r="DV180" s="184"/>
      <c r="DW180" s="184"/>
      <c r="DX180" s="184"/>
      <c r="DY180" s="184"/>
      <c r="DZ180" s="184"/>
      <c r="EA180" s="184"/>
      <c r="EB180" s="184"/>
      <c r="EC180" s="184"/>
      <c r="ED180" s="184"/>
      <c r="EE180" s="184"/>
      <c r="EF180" s="184"/>
      <c r="EG180" s="184"/>
      <c r="EH180" s="184"/>
      <c r="EI180" s="184"/>
      <c r="EJ180" s="184"/>
      <c r="EK180" s="184"/>
      <c r="EL180" s="184"/>
      <c r="EM180" s="184"/>
      <c r="EN180" s="184"/>
      <c r="EO180" s="184"/>
      <c r="EP180" s="184"/>
      <c r="EQ180" s="184"/>
      <c r="ER180" s="184"/>
      <c r="ES180" s="184"/>
      <c r="ET180" s="184"/>
      <c r="EU180" s="184"/>
      <c r="EV180" s="184"/>
      <c r="EW180" s="184"/>
      <c r="EX180" s="184"/>
      <c r="EY180" s="184"/>
      <c r="EZ180" s="184"/>
      <c r="FA180" s="184"/>
      <c r="FB180" s="184"/>
      <c r="FC180" s="184"/>
      <c r="FD180" s="184"/>
      <c r="FE180" s="184"/>
      <c r="FF180" s="184"/>
      <c r="FG180" s="184"/>
      <c r="FH180" s="184"/>
      <c r="FI180" s="184"/>
      <c r="FJ180" s="184"/>
      <c r="FK180" s="184"/>
      <c r="FL180" s="184"/>
      <c r="FM180" s="184"/>
      <c r="FN180" s="184"/>
      <c r="FO180" s="184"/>
      <c r="FP180" s="184"/>
      <c r="FQ180" s="184"/>
      <c r="FR180" s="184"/>
      <c r="FS180" s="184"/>
      <c r="FT180" s="184"/>
      <c r="FU180" s="184"/>
      <c r="FV180" s="184"/>
      <c r="FW180" s="184"/>
      <c r="FX180" s="184"/>
      <c r="FY180" s="184"/>
      <c r="FZ180" s="184"/>
      <c r="GA180" s="184"/>
      <c r="GB180" s="184"/>
      <c r="GC180" s="184"/>
      <c r="GD180" s="184"/>
      <c r="GE180" s="184"/>
      <c r="GF180" s="184"/>
      <c r="GG180" s="184"/>
      <c r="GH180" s="184"/>
      <c r="GI180" s="184"/>
    </row>
    <row r="181" spans="1:191" s="186" customFormat="1" ht="15" customHeight="1">
      <c r="A181" s="184"/>
      <c r="B181" s="190"/>
      <c r="C181" s="211"/>
      <c r="D181" s="193"/>
      <c r="E181" s="193"/>
      <c r="F181" s="188"/>
      <c r="G181" s="188"/>
      <c r="H181" s="190"/>
      <c r="I181" s="188"/>
      <c r="J181" s="184"/>
      <c r="K181" s="190"/>
      <c r="L181" s="190"/>
      <c r="M181" s="190"/>
      <c r="N181" s="184"/>
      <c r="O181" s="191"/>
      <c r="P181" s="191"/>
      <c r="Q181" s="183"/>
      <c r="R181" s="183"/>
      <c r="S181" s="183"/>
      <c r="T181" s="184"/>
      <c r="U181" s="184"/>
      <c r="V181" s="188"/>
      <c r="AB181" s="184"/>
      <c r="AC181" s="184"/>
      <c r="AD181" s="184"/>
      <c r="AE181" s="184"/>
      <c r="AF181" s="184"/>
      <c r="AG181" s="184"/>
      <c r="AH181" s="184"/>
      <c r="AI181" s="184"/>
      <c r="AJ181" s="184"/>
      <c r="AK181" s="184"/>
      <c r="AL181" s="184"/>
      <c r="AM181" s="184"/>
      <c r="AN181" s="184"/>
      <c r="AO181" s="184"/>
      <c r="AP181" s="184"/>
      <c r="AQ181" s="184"/>
      <c r="AR181" s="184"/>
      <c r="AS181" s="184"/>
      <c r="AT181" s="184"/>
      <c r="AU181" s="184"/>
      <c r="AV181" s="184"/>
      <c r="AW181" s="184"/>
      <c r="AX181" s="184"/>
      <c r="AY181" s="184"/>
      <c r="AZ181" s="184"/>
      <c r="BA181" s="184"/>
      <c r="BB181" s="184"/>
      <c r="BC181" s="184"/>
      <c r="BD181" s="184"/>
      <c r="BE181" s="184"/>
      <c r="BF181" s="184"/>
      <c r="BG181" s="184"/>
      <c r="BH181" s="184"/>
      <c r="BI181" s="184"/>
      <c r="BJ181" s="184"/>
      <c r="BK181" s="184"/>
      <c r="BL181" s="184"/>
      <c r="BM181" s="184"/>
      <c r="BN181" s="184"/>
      <c r="BO181" s="184"/>
      <c r="BP181" s="184"/>
      <c r="BQ181" s="184"/>
      <c r="BR181" s="184"/>
      <c r="BS181" s="184"/>
      <c r="BT181" s="184"/>
      <c r="BU181" s="184"/>
      <c r="BV181" s="184"/>
      <c r="BW181" s="184"/>
      <c r="BX181" s="184"/>
      <c r="BY181" s="184"/>
      <c r="BZ181" s="184"/>
      <c r="CA181" s="184"/>
      <c r="CB181" s="184"/>
      <c r="CC181" s="184"/>
      <c r="CD181" s="184"/>
      <c r="CE181" s="184"/>
      <c r="CF181" s="184"/>
      <c r="CG181" s="184"/>
      <c r="CH181" s="184"/>
      <c r="CI181" s="184"/>
      <c r="CJ181" s="184"/>
      <c r="CK181" s="184"/>
      <c r="CL181" s="184"/>
      <c r="CM181" s="184"/>
      <c r="CN181" s="184"/>
      <c r="CO181" s="184"/>
      <c r="CP181" s="184"/>
      <c r="CQ181" s="184"/>
      <c r="CR181" s="184"/>
      <c r="CS181" s="184"/>
      <c r="CT181" s="184"/>
      <c r="CU181" s="184"/>
      <c r="CV181" s="184"/>
      <c r="CW181" s="184"/>
      <c r="CX181" s="184"/>
      <c r="CY181" s="184"/>
      <c r="CZ181" s="184"/>
      <c r="DA181" s="184"/>
      <c r="DB181" s="184"/>
      <c r="DC181" s="184"/>
      <c r="DD181" s="184"/>
      <c r="DE181" s="184"/>
      <c r="DF181" s="184"/>
      <c r="DG181" s="184"/>
      <c r="DH181" s="184"/>
      <c r="DI181" s="184"/>
      <c r="DJ181" s="184"/>
      <c r="DK181" s="184"/>
      <c r="DL181" s="184"/>
      <c r="DM181" s="184"/>
      <c r="DN181" s="184"/>
      <c r="DO181" s="184"/>
      <c r="DP181" s="184"/>
      <c r="DQ181" s="184"/>
      <c r="DR181" s="184"/>
      <c r="DS181" s="184"/>
      <c r="DT181" s="184"/>
      <c r="DU181" s="184"/>
      <c r="DV181" s="184"/>
      <c r="DW181" s="184"/>
      <c r="DX181" s="184"/>
      <c r="DY181" s="184"/>
      <c r="DZ181" s="184"/>
      <c r="EA181" s="184"/>
      <c r="EB181" s="184"/>
      <c r="EC181" s="184"/>
      <c r="ED181" s="184"/>
      <c r="EE181" s="184"/>
      <c r="EF181" s="184"/>
      <c r="EG181" s="184"/>
      <c r="EH181" s="184"/>
      <c r="EI181" s="184"/>
      <c r="EJ181" s="184"/>
      <c r="EK181" s="184"/>
      <c r="EL181" s="184"/>
      <c r="EM181" s="184"/>
      <c r="EN181" s="184"/>
      <c r="EO181" s="184"/>
      <c r="EP181" s="184"/>
      <c r="EQ181" s="184"/>
      <c r="ER181" s="184"/>
      <c r="ES181" s="184"/>
      <c r="ET181" s="184"/>
      <c r="EU181" s="184"/>
      <c r="EV181" s="184"/>
      <c r="EW181" s="184"/>
      <c r="EX181" s="184"/>
      <c r="EY181" s="184"/>
      <c r="EZ181" s="184"/>
      <c r="FA181" s="184"/>
      <c r="FB181" s="184"/>
      <c r="FC181" s="184"/>
      <c r="FD181" s="184"/>
      <c r="FE181" s="184"/>
      <c r="FF181" s="184"/>
      <c r="FG181" s="184"/>
      <c r="FH181" s="184"/>
      <c r="FI181" s="184"/>
      <c r="FJ181" s="184"/>
      <c r="FK181" s="184"/>
      <c r="FL181" s="184"/>
      <c r="FM181" s="184"/>
      <c r="FN181" s="184"/>
      <c r="FO181" s="184"/>
      <c r="FP181" s="184"/>
      <c r="FQ181" s="184"/>
      <c r="FR181" s="184"/>
      <c r="FS181" s="184"/>
      <c r="FT181" s="184"/>
      <c r="FU181" s="184"/>
      <c r="FV181" s="184"/>
      <c r="FW181" s="184"/>
      <c r="FX181" s="184"/>
      <c r="FY181" s="184"/>
      <c r="FZ181" s="184"/>
      <c r="GA181" s="184"/>
      <c r="GB181" s="184"/>
      <c r="GC181" s="184"/>
      <c r="GD181" s="184"/>
      <c r="GE181" s="184"/>
      <c r="GF181" s="184"/>
      <c r="GG181" s="184"/>
      <c r="GH181" s="184"/>
      <c r="GI181" s="184"/>
    </row>
    <row r="182" spans="1:191" s="186" customFormat="1" ht="15" customHeight="1">
      <c r="A182" s="184"/>
      <c r="B182" s="190"/>
      <c r="C182" s="211"/>
      <c r="D182" s="193"/>
      <c r="E182" s="193"/>
      <c r="F182" s="188"/>
      <c r="G182" s="188"/>
      <c r="H182" s="190"/>
      <c r="I182" s="188"/>
      <c r="J182" s="184"/>
      <c r="K182" s="190"/>
      <c r="L182" s="190"/>
      <c r="M182" s="190"/>
      <c r="N182" s="184"/>
      <c r="O182" s="191"/>
      <c r="P182" s="191"/>
      <c r="Q182" s="183"/>
      <c r="R182" s="183"/>
      <c r="S182" s="183"/>
      <c r="T182" s="184"/>
      <c r="U182" s="184"/>
      <c r="V182" s="188"/>
      <c r="AB182" s="184"/>
      <c r="AC182" s="184"/>
      <c r="AD182" s="184"/>
      <c r="AE182" s="184"/>
      <c r="AF182" s="184"/>
      <c r="AG182" s="184"/>
      <c r="AH182" s="184"/>
      <c r="AI182" s="184"/>
      <c r="AJ182" s="184"/>
      <c r="AK182" s="184"/>
      <c r="AL182" s="184"/>
      <c r="AM182" s="184"/>
      <c r="AN182" s="184"/>
      <c r="AO182" s="184"/>
      <c r="AP182" s="184"/>
      <c r="AQ182" s="184"/>
      <c r="AR182" s="184"/>
      <c r="AS182" s="184"/>
      <c r="AT182" s="184"/>
      <c r="AU182" s="184"/>
      <c r="AV182" s="184"/>
      <c r="AW182" s="184"/>
      <c r="AX182" s="184"/>
      <c r="AY182" s="184"/>
      <c r="AZ182" s="184"/>
      <c r="BA182" s="184"/>
      <c r="BB182" s="184"/>
      <c r="BC182" s="184"/>
      <c r="BD182" s="184"/>
      <c r="BE182" s="184"/>
      <c r="BF182" s="184"/>
      <c r="BG182" s="184"/>
      <c r="BH182" s="184"/>
      <c r="BI182" s="184"/>
      <c r="BJ182" s="184"/>
      <c r="BK182" s="184"/>
      <c r="BL182" s="184"/>
      <c r="BM182" s="184"/>
      <c r="BN182" s="184"/>
      <c r="BO182" s="184"/>
      <c r="BP182" s="184"/>
      <c r="BQ182" s="184"/>
      <c r="BR182" s="184"/>
      <c r="BS182" s="184"/>
      <c r="BT182" s="184"/>
      <c r="BU182" s="184"/>
      <c r="BV182" s="184"/>
      <c r="BW182" s="184"/>
      <c r="BX182" s="184"/>
      <c r="BY182" s="184"/>
      <c r="BZ182" s="184"/>
      <c r="CA182" s="184"/>
      <c r="CB182" s="184"/>
      <c r="CC182" s="184"/>
      <c r="CD182" s="184"/>
      <c r="CE182" s="184"/>
      <c r="CF182" s="184"/>
      <c r="CG182" s="184"/>
      <c r="CH182" s="184"/>
      <c r="CI182" s="184"/>
      <c r="CJ182" s="184"/>
      <c r="CK182" s="184"/>
      <c r="CL182" s="184"/>
      <c r="CM182" s="184"/>
      <c r="CN182" s="184"/>
      <c r="CO182" s="184"/>
      <c r="CP182" s="184"/>
      <c r="CQ182" s="184"/>
      <c r="CR182" s="184"/>
      <c r="CS182" s="184"/>
      <c r="CT182" s="184"/>
      <c r="CU182" s="184"/>
      <c r="CV182" s="184"/>
      <c r="CW182" s="184"/>
      <c r="CX182" s="184"/>
      <c r="CY182" s="184"/>
      <c r="CZ182" s="184"/>
      <c r="DA182" s="184"/>
      <c r="DB182" s="184"/>
      <c r="DC182" s="184"/>
      <c r="DD182" s="184"/>
      <c r="DE182" s="184"/>
      <c r="DF182" s="184"/>
      <c r="DG182" s="184"/>
      <c r="DH182" s="184"/>
      <c r="DI182" s="184"/>
      <c r="DJ182" s="184"/>
      <c r="DK182" s="184"/>
      <c r="DL182" s="184"/>
      <c r="DM182" s="184"/>
      <c r="DN182" s="184"/>
      <c r="DO182" s="184"/>
      <c r="DP182" s="184"/>
      <c r="DQ182" s="184"/>
      <c r="DR182" s="184"/>
      <c r="DS182" s="184"/>
      <c r="DT182" s="184"/>
      <c r="DU182" s="184"/>
      <c r="DV182" s="184"/>
      <c r="DW182" s="184"/>
      <c r="DX182" s="184"/>
      <c r="DY182" s="184"/>
      <c r="DZ182" s="184"/>
      <c r="EA182" s="184"/>
      <c r="EB182" s="184"/>
      <c r="EC182" s="184"/>
      <c r="ED182" s="184"/>
      <c r="EE182" s="184"/>
      <c r="EF182" s="184"/>
      <c r="EG182" s="184"/>
      <c r="EH182" s="184"/>
      <c r="EI182" s="184"/>
      <c r="EJ182" s="184"/>
      <c r="EK182" s="184"/>
      <c r="EL182" s="184"/>
      <c r="EM182" s="184"/>
      <c r="EN182" s="184"/>
      <c r="EO182" s="184"/>
      <c r="EP182" s="184"/>
      <c r="EQ182" s="184"/>
      <c r="ER182" s="184"/>
      <c r="ES182" s="184"/>
      <c r="ET182" s="184"/>
      <c r="EU182" s="184"/>
      <c r="EV182" s="184"/>
      <c r="EW182" s="184"/>
      <c r="EX182" s="184"/>
      <c r="EY182" s="184"/>
      <c r="EZ182" s="184"/>
      <c r="FA182" s="184"/>
      <c r="FB182" s="184"/>
      <c r="FC182" s="184"/>
      <c r="FD182" s="184"/>
      <c r="FE182" s="184"/>
      <c r="FF182" s="184"/>
      <c r="FG182" s="184"/>
      <c r="FH182" s="184"/>
      <c r="FI182" s="184"/>
      <c r="FJ182" s="184"/>
      <c r="FK182" s="184"/>
      <c r="FL182" s="184"/>
      <c r="FM182" s="184"/>
      <c r="FN182" s="184"/>
      <c r="FO182" s="184"/>
      <c r="FP182" s="184"/>
      <c r="FQ182" s="184"/>
      <c r="FR182" s="184"/>
      <c r="FS182" s="184"/>
      <c r="FT182" s="184"/>
      <c r="FU182" s="184"/>
      <c r="FV182" s="184"/>
      <c r="FW182" s="184"/>
      <c r="FX182" s="184"/>
      <c r="FY182" s="184"/>
      <c r="FZ182" s="184"/>
      <c r="GA182" s="184"/>
      <c r="GB182" s="184"/>
      <c r="GC182" s="184"/>
      <c r="GD182" s="184"/>
      <c r="GE182" s="184"/>
      <c r="GF182" s="184"/>
      <c r="GG182" s="184"/>
      <c r="GH182" s="184"/>
      <c r="GI182" s="184"/>
    </row>
    <row r="183" spans="1:191" s="186" customFormat="1" ht="15" customHeight="1">
      <c r="A183" s="184"/>
      <c r="B183" s="190"/>
      <c r="C183" s="211"/>
      <c r="D183" s="193"/>
      <c r="E183" s="193"/>
      <c r="F183" s="188"/>
      <c r="G183" s="188"/>
      <c r="H183" s="190"/>
      <c r="I183" s="188"/>
      <c r="J183" s="184"/>
      <c r="K183" s="190"/>
      <c r="L183" s="190"/>
      <c r="M183" s="190"/>
      <c r="N183" s="184"/>
      <c r="O183" s="191"/>
      <c r="P183" s="191"/>
      <c r="Q183" s="183"/>
      <c r="R183" s="183"/>
      <c r="S183" s="183"/>
      <c r="T183" s="184"/>
      <c r="U183" s="184"/>
      <c r="V183" s="188"/>
      <c r="AB183" s="184"/>
      <c r="AC183" s="184"/>
      <c r="AD183" s="184"/>
      <c r="AE183" s="184"/>
      <c r="AF183" s="184"/>
      <c r="AG183" s="184"/>
      <c r="AH183" s="184"/>
      <c r="AI183" s="184"/>
      <c r="AJ183" s="184"/>
      <c r="AK183" s="184"/>
      <c r="AL183" s="184"/>
      <c r="AM183" s="184"/>
      <c r="AN183" s="184"/>
      <c r="AO183" s="184"/>
      <c r="AP183" s="184"/>
      <c r="AQ183" s="184"/>
      <c r="AR183" s="184"/>
      <c r="AS183" s="184"/>
      <c r="AT183" s="184"/>
      <c r="AU183" s="184"/>
      <c r="AV183" s="184"/>
      <c r="AW183" s="184"/>
      <c r="AX183" s="184"/>
      <c r="AY183" s="184"/>
      <c r="AZ183" s="184"/>
      <c r="BA183" s="184"/>
      <c r="BB183" s="184"/>
      <c r="BC183" s="184"/>
      <c r="BD183" s="184"/>
      <c r="BE183" s="184"/>
      <c r="BF183" s="184"/>
      <c r="BG183" s="184"/>
      <c r="BH183" s="184"/>
      <c r="BI183" s="184"/>
      <c r="BJ183" s="184"/>
      <c r="BK183" s="184"/>
      <c r="BL183" s="184"/>
      <c r="BM183" s="184"/>
      <c r="BN183" s="184"/>
      <c r="BO183" s="184"/>
      <c r="BP183" s="184"/>
      <c r="BQ183" s="184"/>
      <c r="BR183" s="184"/>
      <c r="BS183" s="184"/>
      <c r="BT183" s="184"/>
      <c r="BU183" s="184"/>
      <c r="BV183" s="184"/>
      <c r="BW183" s="184"/>
      <c r="BX183" s="184"/>
      <c r="BY183" s="184"/>
      <c r="BZ183" s="184"/>
      <c r="CA183" s="184"/>
      <c r="CB183" s="184"/>
      <c r="CC183" s="184"/>
      <c r="CD183" s="184"/>
      <c r="CE183" s="184"/>
      <c r="CF183" s="184"/>
      <c r="CG183" s="184"/>
      <c r="CH183" s="184"/>
      <c r="CI183" s="184"/>
      <c r="CJ183" s="184"/>
      <c r="CK183" s="184"/>
      <c r="CL183" s="184"/>
      <c r="CM183" s="184"/>
      <c r="CN183" s="184"/>
      <c r="CO183" s="184"/>
      <c r="CP183" s="184"/>
      <c r="CQ183" s="184"/>
      <c r="CR183" s="184"/>
      <c r="CS183" s="184"/>
      <c r="CT183" s="184"/>
      <c r="CU183" s="184"/>
      <c r="CV183" s="184"/>
      <c r="CW183" s="184"/>
      <c r="CX183" s="184"/>
      <c r="CY183" s="184"/>
      <c r="CZ183" s="184"/>
      <c r="DA183" s="184"/>
      <c r="DB183" s="184"/>
      <c r="DC183" s="184"/>
      <c r="DD183" s="184"/>
      <c r="DE183" s="184"/>
      <c r="DF183" s="184"/>
      <c r="DG183" s="184"/>
      <c r="DH183" s="184"/>
      <c r="DI183" s="184"/>
      <c r="DJ183" s="184"/>
      <c r="DK183" s="184"/>
      <c r="DL183" s="184"/>
      <c r="DM183" s="184"/>
      <c r="DN183" s="184"/>
      <c r="DO183" s="184"/>
      <c r="DP183" s="184"/>
      <c r="DQ183" s="184"/>
      <c r="DR183" s="184"/>
      <c r="DS183" s="184"/>
      <c r="DT183" s="184"/>
      <c r="DU183" s="184"/>
      <c r="DV183" s="184"/>
      <c r="DW183" s="184"/>
      <c r="DX183" s="184"/>
      <c r="DY183" s="184"/>
      <c r="DZ183" s="184"/>
      <c r="EA183" s="184"/>
      <c r="EB183" s="184"/>
      <c r="EC183" s="184"/>
      <c r="ED183" s="184"/>
      <c r="EE183" s="184"/>
      <c r="EF183" s="184"/>
      <c r="EG183" s="184"/>
      <c r="EH183" s="184"/>
      <c r="EI183" s="184"/>
      <c r="EJ183" s="184"/>
      <c r="EK183" s="184"/>
      <c r="EL183" s="184"/>
      <c r="EM183" s="184"/>
      <c r="EN183" s="184"/>
      <c r="EO183" s="184"/>
      <c r="EP183" s="184"/>
      <c r="EQ183" s="184"/>
      <c r="ER183" s="184"/>
      <c r="ES183" s="184"/>
      <c r="ET183" s="184"/>
      <c r="EU183" s="184"/>
      <c r="EV183" s="184"/>
      <c r="EW183" s="184"/>
      <c r="EX183" s="184"/>
      <c r="EY183" s="184"/>
      <c r="EZ183" s="184"/>
      <c r="FA183" s="184"/>
      <c r="FB183" s="184"/>
      <c r="FC183" s="184"/>
      <c r="FD183" s="184"/>
      <c r="FE183" s="184"/>
      <c r="FF183" s="184"/>
      <c r="FG183" s="184"/>
      <c r="FH183" s="184"/>
      <c r="FI183" s="184"/>
      <c r="FJ183" s="184"/>
      <c r="FK183" s="184"/>
      <c r="FL183" s="184"/>
      <c r="FM183" s="184"/>
      <c r="FN183" s="184"/>
      <c r="FO183" s="184"/>
      <c r="FP183" s="184"/>
      <c r="FQ183" s="184"/>
      <c r="FR183" s="184"/>
      <c r="FS183" s="184"/>
      <c r="FT183" s="184"/>
      <c r="FU183" s="184"/>
      <c r="FV183" s="184"/>
      <c r="FW183" s="184"/>
      <c r="FX183" s="184"/>
      <c r="FY183" s="184"/>
      <c r="FZ183" s="184"/>
      <c r="GA183" s="184"/>
      <c r="GB183" s="184"/>
      <c r="GC183" s="184"/>
      <c r="GD183" s="184"/>
      <c r="GE183" s="184"/>
      <c r="GF183" s="184"/>
      <c r="GG183" s="184"/>
      <c r="GH183" s="184"/>
      <c r="GI183" s="184"/>
    </row>
    <row r="184" spans="1:191" s="186" customFormat="1" ht="15" customHeight="1">
      <c r="A184" s="184"/>
      <c r="B184" s="190"/>
      <c r="C184" s="211"/>
      <c r="D184" s="193"/>
      <c r="E184" s="193"/>
      <c r="F184" s="188"/>
      <c r="G184" s="188"/>
      <c r="H184" s="190"/>
      <c r="I184" s="188"/>
      <c r="J184" s="184"/>
      <c r="K184" s="190"/>
      <c r="L184" s="190"/>
      <c r="M184" s="190"/>
      <c r="N184" s="184"/>
      <c r="O184" s="191"/>
      <c r="P184" s="191"/>
      <c r="Q184" s="183"/>
      <c r="R184" s="183"/>
      <c r="S184" s="183"/>
      <c r="T184" s="184"/>
      <c r="U184" s="184"/>
      <c r="V184" s="188"/>
      <c r="AB184" s="184"/>
      <c r="AC184" s="184"/>
      <c r="AD184" s="184"/>
      <c r="AE184" s="184"/>
      <c r="AF184" s="184"/>
      <c r="AG184" s="184"/>
      <c r="AH184" s="184"/>
      <c r="AI184" s="184"/>
      <c r="AJ184" s="184"/>
      <c r="AK184" s="184"/>
      <c r="AL184" s="184"/>
      <c r="AM184" s="184"/>
      <c r="AN184" s="184"/>
      <c r="AO184" s="184"/>
      <c r="AP184" s="184"/>
      <c r="AQ184" s="184"/>
      <c r="AR184" s="184"/>
      <c r="AS184" s="184"/>
      <c r="AT184" s="184"/>
      <c r="AU184" s="184"/>
      <c r="AV184" s="184"/>
      <c r="AW184" s="184"/>
      <c r="AX184" s="184"/>
      <c r="AY184" s="184"/>
      <c r="AZ184" s="184"/>
      <c r="BA184" s="184"/>
      <c r="BB184" s="184"/>
      <c r="BC184" s="184"/>
      <c r="BD184" s="184"/>
      <c r="BE184" s="184"/>
      <c r="BF184" s="184"/>
      <c r="BG184" s="184"/>
      <c r="BH184" s="184"/>
      <c r="BI184" s="184"/>
      <c r="BJ184" s="184"/>
      <c r="BK184" s="184"/>
      <c r="BL184" s="184"/>
      <c r="BM184" s="184"/>
      <c r="BN184" s="184"/>
      <c r="BO184" s="184"/>
      <c r="BP184" s="184"/>
      <c r="BQ184" s="184"/>
      <c r="BR184" s="184"/>
      <c r="BS184" s="184"/>
      <c r="BT184" s="184"/>
      <c r="BU184" s="184"/>
      <c r="BV184" s="184"/>
      <c r="BW184" s="184"/>
      <c r="BX184" s="184"/>
      <c r="BY184" s="184"/>
      <c r="BZ184" s="184"/>
      <c r="CA184" s="184"/>
      <c r="CB184" s="184"/>
      <c r="CC184" s="184"/>
      <c r="CD184" s="184"/>
      <c r="CE184" s="184"/>
      <c r="CF184" s="184"/>
      <c r="CG184" s="184"/>
      <c r="CH184" s="184"/>
      <c r="CI184" s="184"/>
      <c r="CJ184" s="184"/>
      <c r="CK184" s="184"/>
      <c r="CL184" s="184"/>
      <c r="CM184" s="184"/>
      <c r="CN184" s="184"/>
      <c r="CO184" s="184"/>
      <c r="CP184" s="184"/>
      <c r="CQ184" s="184"/>
      <c r="CR184" s="184"/>
      <c r="CS184" s="184"/>
      <c r="CT184" s="184"/>
      <c r="CU184" s="184"/>
      <c r="CV184" s="184"/>
      <c r="CW184" s="184"/>
      <c r="CX184" s="184"/>
      <c r="CY184" s="184"/>
      <c r="CZ184" s="184"/>
      <c r="DA184" s="184"/>
      <c r="DB184" s="184"/>
      <c r="DC184" s="184"/>
      <c r="DD184" s="184"/>
      <c r="DE184" s="184"/>
      <c r="DF184" s="184"/>
      <c r="DG184" s="184"/>
      <c r="DH184" s="184"/>
      <c r="DI184" s="184"/>
      <c r="DJ184" s="184"/>
      <c r="DK184" s="184"/>
      <c r="DL184" s="184"/>
      <c r="DM184" s="184"/>
      <c r="DN184" s="184"/>
      <c r="DO184" s="184"/>
      <c r="DP184" s="184"/>
      <c r="DQ184" s="184"/>
      <c r="DR184" s="184"/>
      <c r="DS184" s="184"/>
      <c r="DT184" s="184"/>
      <c r="DU184" s="184"/>
      <c r="DV184" s="184"/>
      <c r="DW184" s="184"/>
      <c r="DX184" s="184"/>
      <c r="DY184" s="184"/>
      <c r="DZ184" s="184"/>
      <c r="EA184" s="184"/>
      <c r="EB184" s="184"/>
      <c r="EC184" s="184"/>
      <c r="ED184" s="184"/>
      <c r="EE184" s="184"/>
      <c r="EF184" s="184"/>
      <c r="EG184" s="184"/>
      <c r="EH184" s="184"/>
      <c r="EI184" s="184"/>
      <c r="EJ184" s="184"/>
      <c r="EK184" s="184"/>
      <c r="EL184" s="184"/>
      <c r="EM184" s="184"/>
      <c r="EN184" s="184"/>
      <c r="EO184" s="184"/>
      <c r="EP184" s="184"/>
      <c r="EQ184" s="184"/>
      <c r="ER184" s="184"/>
      <c r="ES184" s="184"/>
      <c r="ET184" s="184"/>
      <c r="EU184" s="184"/>
      <c r="EV184" s="184"/>
      <c r="EW184" s="184"/>
      <c r="EX184" s="184"/>
      <c r="EY184" s="184"/>
      <c r="EZ184" s="184"/>
      <c r="FA184" s="184"/>
      <c r="FB184" s="184"/>
      <c r="FC184" s="184"/>
      <c r="FD184" s="184"/>
      <c r="FE184" s="184"/>
      <c r="FF184" s="184"/>
      <c r="FG184" s="184"/>
      <c r="FH184" s="184"/>
      <c r="FI184" s="184"/>
      <c r="FJ184" s="184"/>
      <c r="FK184" s="184"/>
      <c r="FL184" s="184"/>
      <c r="FM184" s="184"/>
      <c r="FN184" s="184"/>
      <c r="FO184" s="184"/>
      <c r="FP184" s="184"/>
      <c r="FQ184" s="184"/>
      <c r="FR184" s="184"/>
      <c r="FS184" s="184"/>
      <c r="FT184" s="184"/>
      <c r="FU184" s="184"/>
      <c r="FV184" s="184"/>
      <c r="FW184" s="184"/>
      <c r="FX184" s="184"/>
      <c r="FY184" s="184"/>
      <c r="FZ184" s="184"/>
      <c r="GA184" s="184"/>
      <c r="GB184" s="184"/>
      <c r="GC184" s="184"/>
      <c r="GD184" s="184"/>
      <c r="GE184" s="184"/>
      <c r="GF184" s="184"/>
      <c r="GG184" s="184"/>
      <c r="GH184" s="184"/>
      <c r="GI184" s="184"/>
    </row>
    <row r="185" spans="1:191" s="186" customFormat="1" ht="15" customHeight="1">
      <c r="A185" s="184"/>
      <c r="B185" s="190"/>
      <c r="C185" s="211"/>
      <c r="D185" s="193"/>
      <c r="E185" s="193"/>
      <c r="F185" s="188"/>
      <c r="G185" s="188"/>
      <c r="H185" s="190"/>
      <c r="I185" s="188"/>
      <c r="J185" s="184"/>
      <c r="K185" s="190"/>
      <c r="L185" s="190"/>
      <c r="M185" s="190"/>
      <c r="N185" s="184"/>
      <c r="O185" s="191"/>
      <c r="P185" s="191"/>
      <c r="Q185" s="183"/>
      <c r="R185" s="183"/>
      <c r="S185" s="183"/>
      <c r="T185" s="184"/>
      <c r="U185" s="184"/>
      <c r="V185" s="188"/>
      <c r="AB185" s="184"/>
      <c r="AC185" s="184"/>
      <c r="AD185" s="184"/>
      <c r="AE185" s="184"/>
      <c r="AF185" s="184"/>
      <c r="AG185" s="184"/>
      <c r="AH185" s="184"/>
      <c r="AI185" s="184"/>
      <c r="AJ185" s="184"/>
      <c r="AK185" s="184"/>
      <c r="AL185" s="184"/>
      <c r="AM185" s="184"/>
      <c r="AN185" s="184"/>
      <c r="AO185" s="184"/>
      <c r="AP185" s="184"/>
      <c r="AQ185" s="184"/>
      <c r="AR185" s="184"/>
      <c r="AS185" s="184"/>
      <c r="AT185" s="184"/>
      <c r="AU185" s="184"/>
      <c r="AV185" s="184"/>
      <c r="AW185" s="184"/>
      <c r="AX185" s="184"/>
      <c r="AY185" s="184"/>
      <c r="AZ185" s="184"/>
      <c r="BA185" s="184"/>
      <c r="BB185" s="184"/>
      <c r="BC185" s="184"/>
      <c r="BD185" s="184"/>
      <c r="BE185" s="184"/>
      <c r="BF185" s="184"/>
      <c r="BG185" s="184"/>
      <c r="BH185" s="184"/>
      <c r="BI185" s="184"/>
      <c r="BJ185" s="184"/>
      <c r="BK185" s="184"/>
      <c r="BL185" s="184"/>
      <c r="BM185" s="184"/>
      <c r="BN185" s="184"/>
      <c r="BO185" s="184"/>
      <c r="BP185" s="184"/>
      <c r="BQ185" s="184"/>
      <c r="BR185" s="184"/>
      <c r="BS185" s="184"/>
      <c r="BT185" s="184"/>
      <c r="BU185" s="184"/>
      <c r="BV185" s="184"/>
      <c r="BW185" s="184"/>
      <c r="BX185" s="184"/>
      <c r="BY185" s="184"/>
      <c r="BZ185" s="184"/>
      <c r="CA185" s="184"/>
      <c r="CB185" s="184"/>
      <c r="CC185" s="184"/>
      <c r="CD185" s="184"/>
      <c r="CE185" s="184"/>
      <c r="CF185" s="184"/>
      <c r="CG185" s="184"/>
      <c r="CH185" s="184"/>
      <c r="CI185" s="184"/>
      <c r="CJ185" s="184"/>
      <c r="CK185" s="184"/>
      <c r="CL185" s="184"/>
      <c r="CM185" s="184"/>
      <c r="CN185" s="184"/>
      <c r="CO185" s="184"/>
      <c r="CP185" s="184"/>
      <c r="CQ185" s="184"/>
      <c r="CR185" s="184"/>
      <c r="CS185" s="184"/>
      <c r="CT185" s="184"/>
      <c r="CU185" s="184"/>
      <c r="CV185" s="184"/>
      <c r="CW185" s="184"/>
      <c r="CX185" s="184"/>
      <c r="CY185" s="184"/>
      <c r="CZ185" s="184"/>
      <c r="DA185" s="184"/>
      <c r="DB185" s="184"/>
      <c r="DC185" s="184"/>
      <c r="DD185" s="184"/>
      <c r="DE185" s="184"/>
      <c r="DF185" s="184"/>
      <c r="DG185" s="184"/>
      <c r="DH185" s="184"/>
      <c r="DI185" s="184"/>
      <c r="DJ185" s="184"/>
      <c r="DK185" s="184"/>
      <c r="DL185" s="184"/>
      <c r="DM185" s="184"/>
      <c r="DN185" s="184"/>
      <c r="DO185" s="184"/>
      <c r="DP185" s="184"/>
      <c r="DQ185" s="184"/>
      <c r="DR185" s="184"/>
      <c r="DS185" s="184"/>
      <c r="DT185" s="184"/>
      <c r="DU185" s="184"/>
      <c r="DV185" s="184"/>
      <c r="DW185" s="184"/>
      <c r="DX185" s="184"/>
      <c r="DY185" s="184"/>
      <c r="DZ185" s="184"/>
      <c r="EA185" s="184"/>
      <c r="EB185" s="184"/>
      <c r="EC185" s="184"/>
      <c r="ED185" s="184"/>
      <c r="EE185" s="184"/>
      <c r="EF185" s="184"/>
      <c r="EG185" s="184"/>
      <c r="EH185" s="184"/>
      <c r="EI185" s="184"/>
      <c r="EJ185" s="184"/>
      <c r="EK185" s="184"/>
      <c r="EL185" s="184"/>
      <c r="EM185" s="184"/>
      <c r="EN185" s="184"/>
      <c r="EO185" s="184"/>
      <c r="EP185" s="184"/>
      <c r="EQ185" s="184"/>
      <c r="ER185" s="184"/>
      <c r="ES185" s="184"/>
      <c r="ET185" s="184"/>
      <c r="EU185" s="184"/>
      <c r="EV185" s="184"/>
      <c r="EW185" s="184"/>
      <c r="EX185" s="184"/>
      <c r="EY185" s="184"/>
      <c r="EZ185" s="184"/>
      <c r="FA185" s="184"/>
      <c r="FB185" s="184"/>
      <c r="FC185" s="184"/>
      <c r="FD185" s="184"/>
      <c r="FE185" s="184"/>
      <c r="FF185" s="184"/>
      <c r="FG185" s="184"/>
      <c r="FH185" s="184"/>
      <c r="FI185" s="184"/>
      <c r="FJ185" s="184"/>
      <c r="FK185" s="184"/>
      <c r="FL185" s="184"/>
      <c r="FM185" s="184"/>
      <c r="FN185" s="184"/>
      <c r="FO185" s="184"/>
      <c r="FP185" s="184"/>
      <c r="FQ185" s="184"/>
      <c r="FR185" s="184"/>
      <c r="FS185" s="184"/>
      <c r="FT185" s="184"/>
      <c r="FU185" s="184"/>
      <c r="FV185" s="184"/>
      <c r="FW185" s="184"/>
      <c r="FX185" s="184"/>
      <c r="FY185" s="184"/>
      <c r="FZ185" s="184"/>
      <c r="GA185" s="184"/>
      <c r="GB185" s="184"/>
      <c r="GC185" s="184"/>
      <c r="GD185" s="184"/>
      <c r="GE185" s="184"/>
      <c r="GF185" s="184"/>
      <c r="GG185" s="184"/>
      <c r="GH185" s="184"/>
      <c r="GI185" s="184"/>
    </row>
    <row r="186" spans="1:191" s="186" customFormat="1" ht="15" customHeight="1">
      <c r="A186" s="184"/>
      <c r="B186" s="190"/>
      <c r="C186" s="211"/>
      <c r="D186" s="193"/>
      <c r="E186" s="193"/>
      <c r="F186" s="188"/>
      <c r="G186" s="188"/>
      <c r="H186" s="190"/>
      <c r="I186" s="188"/>
      <c r="J186" s="184"/>
      <c r="K186" s="190"/>
      <c r="L186" s="190"/>
      <c r="M186" s="190"/>
      <c r="N186" s="184"/>
      <c r="O186" s="191"/>
      <c r="P186" s="191"/>
      <c r="Q186" s="183"/>
      <c r="R186" s="183"/>
      <c r="S186" s="183"/>
      <c r="T186" s="184"/>
      <c r="U186" s="184"/>
      <c r="V186" s="188"/>
      <c r="AB186" s="184"/>
      <c r="AC186" s="184"/>
      <c r="AD186" s="184"/>
      <c r="AE186" s="184"/>
      <c r="AF186" s="184"/>
      <c r="AG186" s="184"/>
      <c r="AH186" s="184"/>
      <c r="AI186" s="184"/>
      <c r="AJ186" s="184"/>
      <c r="AK186" s="184"/>
      <c r="AL186" s="184"/>
      <c r="AM186" s="184"/>
      <c r="AN186" s="184"/>
      <c r="AO186" s="184"/>
      <c r="AP186" s="184"/>
      <c r="AQ186" s="184"/>
      <c r="AR186" s="184"/>
      <c r="AS186" s="184"/>
      <c r="AT186" s="184"/>
      <c r="AU186" s="184"/>
      <c r="AV186" s="184"/>
      <c r="AW186" s="184"/>
      <c r="AX186" s="184"/>
      <c r="AY186" s="184"/>
      <c r="AZ186" s="184"/>
      <c r="BA186" s="184"/>
      <c r="BB186" s="184"/>
      <c r="BC186" s="184"/>
      <c r="BD186" s="184"/>
      <c r="BE186" s="184"/>
      <c r="BF186" s="184"/>
      <c r="BG186" s="184"/>
      <c r="BH186" s="184"/>
      <c r="BI186" s="184"/>
      <c r="BJ186" s="184"/>
      <c r="BK186" s="184"/>
      <c r="BL186" s="184"/>
      <c r="BM186" s="184"/>
      <c r="BN186" s="184"/>
      <c r="BO186" s="184"/>
      <c r="BP186" s="184"/>
      <c r="BQ186" s="184"/>
      <c r="BR186" s="184"/>
      <c r="BS186" s="184"/>
      <c r="BT186" s="184"/>
      <c r="BU186" s="184"/>
      <c r="BV186" s="184"/>
      <c r="BW186" s="184"/>
      <c r="BX186" s="184"/>
      <c r="BY186" s="184"/>
      <c r="BZ186" s="184"/>
      <c r="CA186" s="184"/>
      <c r="CB186" s="184"/>
      <c r="CC186" s="184"/>
      <c r="CD186" s="184"/>
      <c r="CE186" s="184"/>
      <c r="CF186" s="184"/>
      <c r="CG186" s="184"/>
      <c r="CH186" s="184"/>
      <c r="CI186" s="184"/>
      <c r="CJ186" s="184"/>
      <c r="CK186" s="184"/>
      <c r="CL186" s="184"/>
      <c r="CM186" s="184"/>
      <c r="CN186" s="184"/>
      <c r="CO186" s="184"/>
      <c r="CP186" s="184"/>
      <c r="CQ186" s="184"/>
      <c r="CR186" s="184"/>
      <c r="CS186" s="184"/>
      <c r="CT186" s="184"/>
      <c r="CU186" s="184"/>
      <c r="CV186" s="184"/>
      <c r="CW186" s="184"/>
      <c r="CX186" s="184"/>
      <c r="CY186" s="184"/>
      <c r="CZ186" s="184"/>
      <c r="DA186" s="184"/>
      <c r="DB186" s="184"/>
      <c r="DC186" s="184"/>
      <c r="DD186" s="184"/>
      <c r="DE186" s="184"/>
      <c r="DF186" s="184"/>
      <c r="DG186" s="184"/>
      <c r="DH186" s="184"/>
      <c r="DI186" s="184"/>
      <c r="DJ186" s="184"/>
      <c r="DK186" s="184"/>
      <c r="DL186" s="184"/>
      <c r="DM186" s="184"/>
      <c r="DN186" s="184"/>
      <c r="DO186" s="184"/>
      <c r="DP186" s="184"/>
      <c r="DQ186" s="184"/>
      <c r="DR186" s="184"/>
      <c r="DS186" s="184"/>
      <c r="DT186" s="184"/>
      <c r="DU186" s="184"/>
      <c r="DV186" s="184"/>
      <c r="DW186" s="184"/>
      <c r="DX186" s="184"/>
      <c r="DY186" s="184"/>
      <c r="DZ186" s="184"/>
      <c r="EA186" s="184"/>
      <c r="EB186" s="184"/>
      <c r="EC186" s="184"/>
      <c r="ED186" s="184"/>
      <c r="EE186" s="184"/>
      <c r="EF186" s="184"/>
      <c r="EG186" s="184"/>
      <c r="EH186" s="184"/>
      <c r="EI186" s="184"/>
      <c r="EJ186" s="184"/>
      <c r="EK186" s="184"/>
      <c r="EL186" s="184"/>
      <c r="EM186" s="184"/>
      <c r="EN186" s="184"/>
      <c r="EO186" s="184"/>
      <c r="EP186" s="184"/>
      <c r="EQ186" s="184"/>
      <c r="ER186" s="184"/>
      <c r="ES186" s="184"/>
      <c r="ET186" s="184"/>
      <c r="EU186" s="184"/>
      <c r="EV186" s="184"/>
      <c r="EW186" s="184"/>
      <c r="EX186" s="184"/>
      <c r="EY186" s="184"/>
      <c r="EZ186" s="184"/>
      <c r="FA186" s="184"/>
      <c r="FB186" s="184"/>
      <c r="FC186" s="184"/>
      <c r="FD186" s="184"/>
      <c r="FE186" s="184"/>
      <c r="FF186" s="184"/>
      <c r="FG186" s="184"/>
      <c r="FH186" s="184"/>
      <c r="FI186" s="184"/>
      <c r="FJ186" s="184"/>
      <c r="FK186" s="184"/>
      <c r="FL186" s="184"/>
      <c r="FM186" s="184"/>
      <c r="FN186" s="184"/>
      <c r="FO186" s="184"/>
      <c r="FP186" s="184"/>
      <c r="FQ186" s="184"/>
      <c r="FR186" s="184"/>
      <c r="FS186" s="184"/>
      <c r="FT186" s="184"/>
      <c r="FU186" s="184"/>
      <c r="FV186" s="184"/>
      <c r="FW186" s="184"/>
      <c r="FX186" s="184"/>
      <c r="FY186" s="184"/>
      <c r="FZ186" s="184"/>
      <c r="GA186" s="184"/>
      <c r="GB186" s="184"/>
      <c r="GC186" s="184"/>
      <c r="GD186" s="184"/>
      <c r="GE186" s="184"/>
      <c r="GF186" s="184"/>
      <c r="GG186" s="184"/>
      <c r="GH186" s="184"/>
      <c r="GI186" s="184"/>
    </row>
    <row r="187" spans="1:191" s="186" customFormat="1" ht="15" customHeight="1">
      <c r="A187" s="184"/>
      <c r="B187" s="190"/>
      <c r="C187" s="211"/>
      <c r="D187" s="193"/>
      <c r="E187" s="193"/>
      <c r="F187" s="188"/>
      <c r="G187" s="188"/>
      <c r="H187" s="190"/>
      <c r="I187" s="188"/>
      <c r="J187" s="184"/>
      <c r="K187" s="190"/>
      <c r="L187" s="190"/>
      <c r="M187" s="190"/>
      <c r="N187" s="184"/>
      <c r="O187" s="191"/>
      <c r="P187" s="191"/>
      <c r="Q187" s="183"/>
      <c r="R187" s="183"/>
      <c r="S187" s="183"/>
      <c r="T187" s="184"/>
      <c r="U187" s="184"/>
      <c r="V187" s="188"/>
      <c r="AB187" s="184"/>
      <c r="AC187" s="184"/>
      <c r="AD187" s="184"/>
      <c r="AE187" s="184"/>
      <c r="AF187" s="184"/>
      <c r="AG187" s="184"/>
      <c r="AH187" s="184"/>
      <c r="AI187" s="184"/>
      <c r="AJ187" s="184"/>
      <c r="AK187" s="184"/>
      <c r="AL187" s="184"/>
      <c r="AM187" s="184"/>
      <c r="AN187" s="184"/>
      <c r="AO187" s="184"/>
      <c r="AP187" s="184"/>
      <c r="AQ187" s="184"/>
      <c r="AR187" s="184"/>
      <c r="AS187" s="184"/>
      <c r="AT187" s="184"/>
      <c r="AU187" s="184"/>
      <c r="AV187" s="184"/>
      <c r="AW187" s="184"/>
      <c r="AX187" s="184"/>
      <c r="AY187" s="184"/>
      <c r="AZ187" s="184"/>
      <c r="BA187" s="184"/>
      <c r="BB187" s="184"/>
      <c r="BC187" s="184"/>
      <c r="BD187" s="184"/>
      <c r="BE187" s="184"/>
      <c r="BF187" s="184"/>
      <c r="BG187" s="184"/>
      <c r="BH187" s="184"/>
      <c r="BI187" s="184"/>
      <c r="BJ187" s="184"/>
      <c r="BK187" s="184"/>
      <c r="BL187" s="184"/>
      <c r="BM187" s="184"/>
      <c r="BN187" s="184"/>
      <c r="BO187" s="184"/>
      <c r="BP187" s="184"/>
      <c r="BQ187" s="184"/>
      <c r="BR187" s="184"/>
      <c r="BS187" s="184"/>
      <c r="BT187" s="184"/>
      <c r="BU187" s="184"/>
      <c r="BV187" s="184"/>
      <c r="BW187" s="184"/>
      <c r="BX187" s="184"/>
      <c r="BY187" s="184"/>
      <c r="BZ187" s="184"/>
      <c r="CA187" s="184"/>
      <c r="CB187" s="184"/>
      <c r="CC187" s="184"/>
      <c r="CD187" s="184"/>
      <c r="CE187" s="184"/>
      <c r="CF187" s="184"/>
      <c r="CG187" s="184"/>
      <c r="CH187" s="184"/>
      <c r="CI187" s="184"/>
      <c r="CJ187" s="184"/>
      <c r="CK187" s="184"/>
      <c r="CL187" s="184"/>
      <c r="CM187" s="184"/>
      <c r="CN187" s="184"/>
      <c r="CO187" s="184"/>
      <c r="CP187" s="184"/>
      <c r="CQ187" s="184"/>
      <c r="CR187" s="184"/>
      <c r="CS187" s="184"/>
      <c r="CT187" s="184"/>
      <c r="CU187" s="184"/>
      <c r="CV187" s="184"/>
      <c r="CW187" s="184"/>
      <c r="CX187" s="184"/>
      <c r="CY187" s="184"/>
      <c r="CZ187" s="184"/>
      <c r="DA187" s="184"/>
      <c r="DB187" s="184"/>
      <c r="DC187" s="184"/>
      <c r="DD187" s="184"/>
      <c r="DE187" s="184"/>
      <c r="DF187" s="184"/>
      <c r="DG187" s="184"/>
      <c r="DH187" s="184"/>
      <c r="DI187" s="184"/>
      <c r="DJ187" s="184"/>
      <c r="DK187" s="184"/>
      <c r="DL187" s="184"/>
      <c r="DM187" s="184"/>
      <c r="DN187" s="184"/>
      <c r="DO187" s="184"/>
      <c r="DP187" s="184"/>
      <c r="DQ187" s="184"/>
      <c r="DR187" s="184"/>
      <c r="DS187" s="184"/>
      <c r="DT187" s="184"/>
      <c r="DU187" s="184"/>
      <c r="DV187" s="184"/>
      <c r="DW187" s="184"/>
      <c r="DX187" s="184"/>
      <c r="DY187" s="184"/>
      <c r="DZ187" s="184"/>
      <c r="EA187" s="184"/>
      <c r="EB187" s="184"/>
      <c r="EC187" s="184"/>
      <c r="ED187" s="184"/>
      <c r="EE187" s="184"/>
      <c r="EF187" s="184"/>
      <c r="EG187" s="184"/>
      <c r="EH187" s="184"/>
      <c r="EI187" s="184"/>
      <c r="EJ187" s="184"/>
      <c r="EK187" s="184"/>
      <c r="EL187" s="184"/>
      <c r="EM187" s="184"/>
      <c r="EN187" s="184"/>
      <c r="EO187" s="184"/>
      <c r="EP187" s="184"/>
      <c r="EQ187" s="184"/>
      <c r="ER187" s="184"/>
      <c r="ES187" s="184"/>
      <c r="ET187" s="184"/>
      <c r="EU187" s="184"/>
      <c r="EV187" s="184"/>
      <c r="EW187" s="184"/>
      <c r="EX187" s="184"/>
      <c r="EY187" s="184"/>
      <c r="EZ187" s="184"/>
      <c r="FA187" s="184"/>
      <c r="FB187" s="184"/>
      <c r="FC187" s="184"/>
      <c r="FD187" s="184"/>
      <c r="FE187" s="184"/>
      <c r="FF187" s="184"/>
      <c r="FG187" s="184"/>
      <c r="FH187" s="184"/>
      <c r="FI187" s="184"/>
      <c r="FJ187" s="184"/>
      <c r="FK187" s="184"/>
      <c r="FL187" s="184"/>
      <c r="FM187" s="184"/>
      <c r="FN187" s="184"/>
      <c r="FO187" s="184"/>
      <c r="FP187" s="184"/>
      <c r="FQ187" s="184"/>
      <c r="FR187" s="184"/>
      <c r="FS187" s="184"/>
      <c r="FT187" s="184"/>
      <c r="FU187" s="184"/>
      <c r="FV187" s="184"/>
      <c r="FW187" s="184"/>
      <c r="FX187" s="184"/>
      <c r="FY187" s="184"/>
      <c r="FZ187" s="184"/>
      <c r="GA187" s="184"/>
      <c r="GB187" s="184"/>
      <c r="GC187" s="184"/>
      <c r="GD187" s="184"/>
      <c r="GE187" s="184"/>
      <c r="GF187" s="184"/>
      <c r="GG187" s="184"/>
      <c r="GH187" s="184"/>
      <c r="GI187" s="184"/>
    </row>
    <row r="188" spans="1:191" s="186" customFormat="1" ht="15" customHeight="1">
      <c r="A188" s="184"/>
      <c r="B188" s="190"/>
      <c r="C188" s="211"/>
      <c r="D188" s="193"/>
      <c r="E188" s="193"/>
      <c r="F188" s="188"/>
      <c r="G188" s="188"/>
      <c r="H188" s="190"/>
      <c r="I188" s="188"/>
      <c r="J188" s="184"/>
      <c r="K188" s="190"/>
      <c r="L188" s="190"/>
      <c r="M188" s="190"/>
      <c r="N188" s="184"/>
      <c r="O188" s="191"/>
      <c r="P188" s="191"/>
      <c r="Q188" s="183"/>
      <c r="R188" s="183"/>
      <c r="S188" s="183"/>
      <c r="T188" s="184"/>
      <c r="U188" s="184"/>
      <c r="V188" s="188"/>
      <c r="AB188" s="184"/>
      <c r="AC188" s="184"/>
      <c r="AD188" s="184"/>
      <c r="AE188" s="184"/>
      <c r="AF188" s="184"/>
      <c r="AG188" s="184"/>
      <c r="AH188" s="184"/>
      <c r="AI188" s="184"/>
      <c r="AJ188" s="184"/>
      <c r="AK188" s="184"/>
      <c r="AL188" s="184"/>
      <c r="AM188" s="184"/>
      <c r="AN188" s="184"/>
      <c r="AO188" s="184"/>
      <c r="AP188" s="184"/>
      <c r="AQ188" s="184"/>
      <c r="AR188" s="184"/>
      <c r="AS188" s="184"/>
      <c r="AT188" s="184"/>
      <c r="AU188" s="184"/>
      <c r="AV188" s="184"/>
      <c r="AW188" s="184"/>
      <c r="AX188" s="184"/>
      <c r="AY188" s="184"/>
      <c r="AZ188" s="184"/>
      <c r="BA188" s="184"/>
      <c r="BB188" s="184"/>
      <c r="BC188" s="184"/>
      <c r="BD188" s="184"/>
      <c r="BE188" s="184"/>
      <c r="BF188" s="184"/>
      <c r="BG188" s="184"/>
      <c r="BH188" s="184"/>
      <c r="BI188" s="184"/>
      <c r="BJ188" s="184"/>
      <c r="BK188" s="184"/>
      <c r="BL188" s="184"/>
      <c r="BM188" s="184"/>
      <c r="BN188" s="184"/>
      <c r="BO188" s="184"/>
      <c r="BP188" s="184"/>
      <c r="BQ188" s="184"/>
      <c r="BR188" s="184"/>
      <c r="BS188" s="184"/>
      <c r="BT188" s="184"/>
      <c r="BU188" s="184"/>
      <c r="BV188" s="184"/>
      <c r="BW188" s="184"/>
      <c r="BX188" s="184"/>
      <c r="BY188" s="184"/>
      <c r="BZ188" s="184"/>
      <c r="CA188" s="184"/>
      <c r="CB188" s="184"/>
      <c r="CC188" s="184"/>
      <c r="CD188" s="184"/>
      <c r="CE188" s="184"/>
      <c r="CF188" s="184"/>
      <c r="CG188" s="184"/>
      <c r="CH188" s="184"/>
      <c r="CI188" s="184"/>
      <c r="CJ188" s="184"/>
      <c r="CK188" s="184"/>
      <c r="CL188" s="184"/>
      <c r="CM188" s="184"/>
      <c r="CN188" s="184"/>
      <c r="CO188" s="184"/>
      <c r="CP188" s="184"/>
      <c r="CQ188" s="184"/>
      <c r="CR188" s="184"/>
      <c r="CS188" s="184"/>
      <c r="CT188" s="184"/>
      <c r="CU188" s="184"/>
      <c r="CV188" s="184"/>
      <c r="CW188" s="184"/>
      <c r="CX188" s="184"/>
      <c r="CY188" s="184"/>
      <c r="CZ188" s="184"/>
      <c r="DA188" s="184"/>
      <c r="DB188" s="184"/>
      <c r="DC188" s="184"/>
      <c r="DD188" s="184"/>
      <c r="DE188" s="184"/>
      <c r="DF188" s="184"/>
      <c r="DG188" s="184"/>
      <c r="DH188" s="184"/>
      <c r="DI188" s="184"/>
      <c r="DJ188" s="184"/>
      <c r="DK188" s="184"/>
      <c r="DL188" s="184"/>
      <c r="DM188" s="184"/>
      <c r="DN188" s="184"/>
      <c r="DO188" s="184"/>
      <c r="DP188" s="184"/>
      <c r="DQ188" s="184"/>
      <c r="DR188" s="184"/>
      <c r="DS188" s="184"/>
      <c r="DT188" s="184"/>
      <c r="DU188" s="184"/>
      <c r="DV188" s="184"/>
      <c r="DW188" s="184"/>
      <c r="DX188" s="184"/>
      <c r="DY188" s="184"/>
      <c r="DZ188" s="184"/>
      <c r="EA188" s="184"/>
      <c r="EB188" s="184"/>
      <c r="EC188" s="184"/>
      <c r="ED188" s="184"/>
      <c r="EE188" s="184"/>
      <c r="EF188" s="184"/>
      <c r="EG188" s="184"/>
      <c r="EH188" s="184"/>
      <c r="EI188" s="184"/>
      <c r="EJ188" s="184"/>
      <c r="EK188" s="184"/>
      <c r="EL188" s="184"/>
      <c r="EM188" s="184"/>
      <c r="EN188" s="184"/>
      <c r="EO188" s="184"/>
      <c r="EP188" s="184"/>
      <c r="EQ188" s="184"/>
      <c r="ER188" s="184"/>
      <c r="ES188" s="184"/>
      <c r="ET188" s="184"/>
      <c r="EU188" s="184"/>
      <c r="EV188" s="184"/>
      <c r="EW188" s="184"/>
      <c r="EX188" s="184"/>
      <c r="EY188" s="184"/>
      <c r="EZ188" s="184"/>
      <c r="FA188" s="184"/>
      <c r="FB188" s="184"/>
      <c r="FC188" s="184"/>
      <c r="FD188" s="184"/>
      <c r="FE188" s="184"/>
      <c r="FF188" s="184"/>
      <c r="FG188" s="184"/>
      <c r="FH188" s="184"/>
      <c r="FI188" s="184"/>
      <c r="FJ188" s="184"/>
      <c r="FK188" s="184"/>
      <c r="FL188" s="184"/>
      <c r="FM188" s="184"/>
      <c r="FN188" s="184"/>
      <c r="FO188" s="184"/>
      <c r="FP188" s="184"/>
      <c r="FQ188" s="184"/>
      <c r="FR188" s="184"/>
      <c r="FS188" s="184"/>
      <c r="FT188" s="184"/>
      <c r="FU188" s="184"/>
      <c r="FV188" s="184"/>
      <c r="FW188" s="184"/>
      <c r="FX188" s="184"/>
      <c r="FY188" s="184"/>
      <c r="FZ188" s="184"/>
      <c r="GA188" s="184"/>
      <c r="GB188" s="184"/>
      <c r="GC188" s="184"/>
      <c r="GD188" s="184"/>
      <c r="GE188" s="184"/>
      <c r="GF188" s="184"/>
      <c r="GG188" s="184"/>
      <c r="GH188" s="184"/>
      <c r="GI188" s="184"/>
    </row>
    <row r="189" spans="1:191" s="186" customFormat="1" ht="15" customHeight="1">
      <c r="A189" s="184"/>
      <c r="B189" s="190"/>
      <c r="C189" s="211"/>
      <c r="D189" s="193"/>
      <c r="E189" s="193"/>
      <c r="F189" s="188"/>
      <c r="G189" s="188"/>
      <c r="H189" s="190"/>
      <c r="I189" s="188"/>
      <c r="J189" s="184"/>
      <c r="K189" s="190"/>
      <c r="L189" s="190"/>
      <c r="M189" s="190"/>
      <c r="N189" s="184"/>
      <c r="O189" s="191"/>
      <c r="P189" s="191"/>
      <c r="Q189" s="183"/>
      <c r="R189" s="183"/>
      <c r="S189" s="183"/>
      <c r="T189" s="184"/>
      <c r="U189" s="184"/>
      <c r="V189" s="188"/>
      <c r="AB189" s="184"/>
      <c r="AC189" s="184"/>
      <c r="AD189" s="184"/>
      <c r="AE189" s="184"/>
      <c r="AF189" s="184"/>
      <c r="AG189" s="184"/>
      <c r="AH189" s="184"/>
      <c r="AI189" s="184"/>
      <c r="AJ189" s="184"/>
      <c r="AK189" s="184"/>
      <c r="AL189" s="184"/>
      <c r="AM189" s="184"/>
      <c r="AN189" s="184"/>
      <c r="AO189" s="184"/>
      <c r="AP189" s="184"/>
      <c r="AQ189" s="184"/>
      <c r="AR189" s="184"/>
      <c r="AS189" s="184"/>
      <c r="AT189" s="184"/>
      <c r="AU189" s="184"/>
      <c r="AV189" s="184"/>
      <c r="AW189" s="184"/>
      <c r="AX189" s="184"/>
      <c r="AY189" s="184"/>
      <c r="AZ189" s="184"/>
      <c r="BA189" s="184"/>
      <c r="BB189" s="184"/>
      <c r="BC189" s="184"/>
      <c r="BD189" s="184"/>
      <c r="BE189" s="184"/>
      <c r="BF189" s="184"/>
      <c r="BG189" s="184"/>
      <c r="BH189" s="184"/>
      <c r="BI189" s="184"/>
      <c r="BJ189" s="184"/>
      <c r="BK189" s="184"/>
      <c r="BL189" s="184"/>
      <c r="BM189" s="184"/>
      <c r="BN189" s="184"/>
      <c r="BO189" s="184"/>
      <c r="BP189" s="184"/>
      <c r="BQ189" s="184"/>
      <c r="BR189" s="184"/>
      <c r="BS189" s="184"/>
      <c r="BT189" s="184"/>
      <c r="BU189" s="184"/>
      <c r="BV189" s="184"/>
      <c r="BW189" s="184"/>
      <c r="BX189" s="184"/>
      <c r="BY189" s="184"/>
      <c r="BZ189" s="184"/>
      <c r="CA189" s="184"/>
      <c r="CB189" s="184"/>
      <c r="CC189" s="184"/>
      <c r="CD189" s="184"/>
      <c r="CE189" s="184"/>
      <c r="CF189" s="184"/>
      <c r="CG189" s="184"/>
      <c r="CH189" s="184"/>
      <c r="CI189" s="184"/>
      <c r="CJ189" s="184"/>
      <c r="CK189" s="184"/>
      <c r="CL189" s="184"/>
      <c r="CM189" s="184"/>
      <c r="CN189" s="184"/>
      <c r="CO189" s="184"/>
      <c r="CP189" s="184"/>
      <c r="CQ189" s="184"/>
      <c r="CR189" s="184"/>
      <c r="CS189" s="184"/>
      <c r="CT189" s="184"/>
      <c r="CU189" s="184"/>
      <c r="CV189" s="184"/>
      <c r="CW189" s="184"/>
      <c r="CX189" s="184"/>
      <c r="CY189" s="184"/>
      <c r="CZ189" s="184"/>
      <c r="DA189" s="184"/>
      <c r="DB189" s="184"/>
      <c r="DC189" s="184"/>
      <c r="DD189" s="184"/>
      <c r="DE189" s="184"/>
      <c r="DF189" s="184"/>
      <c r="DG189" s="184"/>
      <c r="DH189" s="184"/>
      <c r="DI189" s="184"/>
      <c r="DJ189" s="184"/>
      <c r="DK189" s="184"/>
      <c r="DL189" s="184"/>
      <c r="DM189" s="184"/>
      <c r="DN189" s="184"/>
      <c r="DO189" s="184"/>
      <c r="DP189" s="184"/>
      <c r="DQ189" s="184"/>
      <c r="DR189" s="184"/>
      <c r="DS189" s="184"/>
      <c r="DT189" s="184"/>
      <c r="DU189" s="184"/>
      <c r="DV189" s="184"/>
      <c r="DW189" s="184"/>
      <c r="DX189" s="184"/>
      <c r="DY189" s="184"/>
      <c r="DZ189" s="184"/>
      <c r="EA189" s="184"/>
      <c r="EB189" s="184"/>
      <c r="EC189" s="184"/>
      <c r="ED189" s="184"/>
      <c r="EE189" s="184"/>
      <c r="EF189" s="184"/>
      <c r="EG189" s="184"/>
      <c r="EH189" s="184"/>
      <c r="EI189" s="184"/>
      <c r="EJ189" s="184"/>
      <c r="EK189" s="184"/>
      <c r="EL189" s="184"/>
      <c r="EM189" s="184"/>
      <c r="EN189" s="184"/>
      <c r="EO189" s="184"/>
      <c r="EP189" s="184"/>
      <c r="EQ189" s="184"/>
      <c r="ER189" s="184"/>
      <c r="ES189" s="184"/>
      <c r="ET189" s="184"/>
      <c r="EU189" s="184"/>
      <c r="EV189" s="184"/>
      <c r="EW189" s="184"/>
      <c r="EX189" s="184"/>
      <c r="EY189" s="184"/>
      <c r="EZ189" s="184"/>
      <c r="FA189" s="184"/>
      <c r="FB189" s="184"/>
      <c r="FC189" s="184"/>
      <c r="FD189" s="184"/>
      <c r="FE189" s="184"/>
      <c r="FF189" s="184"/>
      <c r="FG189" s="184"/>
      <c r="FH189" s="184"/>
      <c r="FI189" s="184"/>
      <c r="FJ189" s="184"/>
      <c r="FK189" s="184"/>
      <c r="FL189" s="184"/>
      <c r="FM189" s="184"/>
      <c r="FN189" s="184"/>
      <c r="FO189" s="184"/>
      <c r="FP189" s="184"/>
      <c r="FQ189" s="184"/>
      <c r="FR189" s="184"/>
      <c r="FS189" s="184"/>
      <c r="FT189" s="184"/>
      <c r="FU189" s="184"/>
      <c r="FV189" s="184"/>
      <c r="FW189" s="184"/>
      <c r="FX189" s="184"/>
      <c r="FY189" s="184"/>
      <c r="FZ189" s="184"/>
      <c r="GA189" s="184"/>
      <c r="GB189" s="184"/>
      <c r="GC189" s="184"/>
      <c r="GD189" s="184"/>
      <c r="GE189" s="184"/>
      <c r="GF189" s="184"/>
      <c r="GG189" s="184"/>
      <c r="GH189" s="184"/>
      <c r="GI189" s="184"/>
    </row>
    <row r="190" spans="1:191" s="186" customFormat="1" ht="15" customHeight="1">
      <c r="A190" s="184"/>
      <c r="B190" s="190"/>
      <c r="C190" s="211"/>
      <c r="D190" s="193"/>
      <c r="E190" s="193"/>
      <c r="F190" s="188"/>
      <c r="G190" s="188"/>
      <c r="H190" s="190"/>
      <c r="I190" s="188"/>
      <c r="J190" s="184"/>
      <c r="K190" s="190"/>
      <c r="L190" s="190"/>
      <c r="M190" s="190"/>
      <c r="N190" s="184"/>
      <c r="O190" s="191"/>
      <c r="P190" s="191"/>
      <c r="Q190" s="183"/>
      <c r="R190" s="183"/>
      <c r="S190" s="183"/>
      <c r="T190" s="184"/>
      <c r="U190" s="184"/>
      <c r="V190" s="188"/>
      <c r="AB190" s="184"/>
      <c r="AC190" s="184"/>
      <c r="AD190" s="184"/>
      <c r="AE190" s="184"/>
      <c r="AF190" s="184"/>
      <c r="AG190" s="184"/>
      <c r="AH190" s="184"/>
      <c r="AI190" s="184"/>
      <c r="AJ190" s="184"/>
      <c r="AK190" s="184"/>
      <c r="AL190" s="184"/>
      <c r="AM190" s="184"/>
      <c r="AN190" s="184"/>
      <c r="AO190" s="184"/>
      <c r="AP190" s="184"/>
      <c r="AQ190" s="184"/>
      <c r="AR190" s="184"/>
      <c r="AS190" s="184"/>
      <c r="AT190" s="184"/>
      <c r="AU190" s="184"/>
      <c r="AV190" s="184"/>
      <c r="AW190" s="184"/>
      <c r="AX190" s="184"/>
      <c r="AY190" s="184"/>
      <c r="AZ190" s="184"/>
      <c r="BA190" s="184"/>
      <c r="BB190" s="184"/>
      <c r="BC190" s="184"/>
      <c r="BD190" s="184"/>
      <c r="BE190" s="184"/>
      <c r="BF190" s="184"/>
      <c r="BG190" s="184"/>
      <c r="BH190" s="184"/>
      <c r="BI190" s="184"/>
      <c r="BJ190" s="184"/>
      <c r="BK190" s="184"/>
      <c r="BL190" s="184"/>
      <c r="BM190" s="184"/>
      <c r="BN190" s="184"/>
      <c r="BO190" s="184"/>
      <c r="BP190" s="184"/>
      <c r="BQ190" s="184"/>
      <c r="BR190" s="184"/>
      <c r="BS190" s="184"/>
      <c r="BT190" s="184"/>
      <c r="BU190" s="184"/>
      <c r="BV190" s="184"/>
      <c r="BW190" s="184"/>
      <c r="BX190" s="184"/>
      <c r="BY190" s="184"/>
      <c r="BZ190" s="184"/>
      <c r="CA190" s="184"/>
      <c r="CB190" s="184"/>
      <c r="CC190" s="184"/>
      <c r="CD190" s="184"/>
      <c r="CE190" s="184"/>
      <c r="CF190" s="184"/>
      <c r="CG190" s="184"/>
      <c r="CH190" s="184"/>
      <c r="CI190" s="184"/>
      <c r="CJ190" s="184"/>
      <c r="CK190" s="184"/>
      <c r="CL190" s="184"/>
      <c r="CM190" s="184"/>
      <c r="CN190" s="184"/>
      <c r="CO190" s="184"/>
      <c r="CP190" s="184"/>
      <c r="CQ190" s="184"/>
      <c r="CR190" s="184"/>
      <c r="CS190" s="184"/>
      <c r="CT190" s="184"/>
      <c r="CU190" s="184"/>
      <c r="CV190" s="184"/>
      <c r="CW190" s="184"/>
      <c r="CX190" s="184"/>
      <c r="CY190" s="184"/>
      <c r="CZ190" s="184"/>
      <c r="DA190" s="184"/>
      <c r="DB190" s="184"/>
      <c r="DC190" s="184"/>
      <c r="DD190" s="184"/>
      <c r="DE190" s="184"/>
      <c r="DF190" s="184"/>
      <c r="DG190" s="184"/>
      <c r="DH190" s="184"/>
      <c r="DI190" s="184"/>
      <c r="DJ190" s="184"/>
      <c r="DK190" s="184"/>
      <c r="DL190" s="184"/>
      <c r="DM190" s="184"/>
      <c r="DN190" s="184"/>
      <c r="DO190" s="184"/>
      <c r="DP190" s="184"/>
      <c r="DQ190" s="184"/>
      <c r="DR190" s="184"/>
      <c r="DS190" s="184"/>
      <c r="DT190" s="184"/>
      <c r="DU190" s="184"/>
      <c r="DV190" s="184"/>
      <c r="DW190" s="184"/>
      <c r="DX190" s="184"/>
      <c r="DY190" s="184"/>
      <c r="DZ190" s="184"/>
      <c r="EA190" s="184"/>
      <c r="EB190" s="184"/>
      <c r="EC190" s="184"/>
      <c r="ED190" s="184"/>
      <c r="EE190" s="184"/>
      <c r="EF190" s="184"/>
      <c r="EG190" s="184"/>
      <c r="EH190" s="184"/>
      <c r="EI190" s="184"/>
      <c r="EJ190" s="184"/>
      <c r="EK190" s="184"/>
      <c r="EL190" s="184"/>
      <c r="EM190" s="184"/>
      <c r="EN190" s="184"/>
      <c r="EO190" s="184"/>
      <c r="EP190" s="184"/>
      <c r="EQ190" s="184"/>
      <c r="ER190" s="184"/>
      <c r="ES190" s="184"/>
      <c r="ET190" s="184"/>
      <c r="EU190" s="184"/>
      <c r="EV190" s="184"/>
      <c r="EW190" s="184"/>
      <c r="EX190" s="184"/>
      <c r="EY190" s="184"/>
      <c r="EZ190" s="184"/>
      <c r="FA190" s="184"/>
      <c r="FB190" s="184"/>
      <c r="FC190" s="184"/>
      <c r="FD190" s="184"/>
      <c r="FE190" s="184"/>
      <c r="FF190" s="184"/>
      <c r="FG190" s="184"/>
      <c r="FH190" s="184"/>
      <c r="FI190" s="184"/>
      <c r="FJ190" s="184"/>
      <c r="FK190" s="184"/>
      <c r="FL190" s="184"/>
      <c r="FM190" s="184"/>
      <c r="FN190" s="184"/>
      <c r="FO190" s="184"/>
      <c r="FP190" s="184"/>
      <c r="FQ190" s="184"/>
      <c r="FR190" s="184"/>
      <c r="FS190" s="184"/>
      <c r="FT190" s="184"/>
      <c r="FU190" s="184"/>
      <c r="FV190" s="184"/>
      <c r="FW190" s="184"/>
      <c r="FX190" s="184"/>
      <c r="FY190" s="184"/>
      <c r="FZ190" s="184"/>
      <c r="GA190" s="184"/>
      <c r="GB190" s="184"/>
      <c r="GC190" s="184"/>
      <c r="GD190" s="184"/>
      <c r="GE190" s="184"/>
      <c r="GF190" s="184"/>
      <c r="GG190" s="184"/>
      <c r="GH190" s="184"/>
      <c r="GI190" s="184"/>
    </row>
    <row r="191" spans="1:191" s="186" customFormat="1" ht="15" customHeight="1">
      <c r="A191" s="184"/>
      <c r="B191" s="190"/>
      <c r="C191" s="211"/>
      <c r="D191" s="193"/>
      <c r="E191" s="193"/>
      <c r="F191" s="188"/>
      <c r="G191" s="188"/>
      <c r="H191" s="190"/>
      <c r="I191" s="188"/>
      <c r="J191" s="184"/>
      <c r="K191" s="190"/>
      <c r="L191" s="190"/>
      <c r="M191" s="190"/>
      <c r="N191" s="184"/>
      <c r="O191" s="191"/>
      <c r="P191" s="191"/>
      <c r="Q191" s="183"/>
      <c r="R191" s="183"/>
      <c r="S191" s="183"/>
      <c r="T191" s="184"/>
      <c r="U191" s="184"/>
      <c r="V191" s="188"/>
      <c r="AB191" s="184"/>
      <c r="AC191" s="184"/>
      <c r="AD191" s="184"/>
      <c r="AE191" s="184"/>
      <c r="AF191" s="184"/>
      <c r="AG191" s="184"/>
      <c r="AH191" s="184"/>
      <c r="AI191" s="184"/>
      <c r="AJ191" s="184"/>
      <c r="AK191" s="184"/>
      <c r="AL191" s="184"/>
      <c r="AM191" s="184"/>
      <c r="AN191" s="184"/>
      <c r="AO191" s="184"/>
      <c r="AP191" s="184"/>
      <c r="AQ191" s="184"/>
      <c r="AR191" s="184"/>
      <c r="AS191" s="184"/>
      <c r="AT191" s="184"/>
      <c r="AU191" s="184"/>
      <c r="AV191" s="184"/>
      <c r="AW191" s="184"/>
      <c r="AX191" s="184"/>
      <c r="AY191" s="184"/>
      <c r="AZ191" s="184"/>
      <c r="BA191" s="184"/>
      <c r="BB191" s="184"/>
      <c r="BC191" s="184"/>
      <c r="BD191" s="184"/>
      <c r="BE191" s="184"/>
      <c r="BF191" s="184"/>
      <c r="BG191" s="184"/>
      <c r="BH191" s="184"/>
      <c r="BI191" s="184"/>
      <c r="BJ191" s="184"/>
      <c r="BK191" s="184"/>
      <c r="BL191" s="184"/>
      <c r="BM191" s="184"/>
      <c r="BN191" s="184"/>
      <c r="BO191" s="184"/>
      <c r="BP191" s="184"/>
      <c r="BQ191" s="184"/>
      <c r="BR191" s="184"/>
      <c r="BS191" s="184"/>
      <c r="BT191" s="184"/>
      <c r="BU191" s="184"/>
      <c r="BV191" s="184"/>
      <c r="BW191" s="184"/>
      <c r="BX191" s="184"/>
      <c r="BY191" s="184"/>
      <c r="BZ191" s="184"/>
      <c r="CA191" s="184"/>
      <c r="CB191" s="184"/>
      <c r="CC191" s="184"/>
      <c r="CD191" s="184"/>
      <c r="CE191" s="184"/>
      <c r="CF191" s="184"/>
      <c r="CG191" s="184"/>
      <c r="CH191" s="184"/>
      <c r="CI191" s="184"/>
      <c r="CJ191" s="184"/>
      <c r="CK191" s="184"/>
      <c r="CL191" s="184"/>
      <c r="CM191" s="184"/>
      <c r="CN191" s="184"/>
      <c r="CO191" s="184"/>
      <c r="CP191" s="184"/>
      <c r="CQ191" s="184"/>
      <c r="CR191" s="184"/>
      <c r="CS191" s="184"/>
      <c r="CT191" s="184"/>
      <c r="CU191" s="184"/>
      <c r="CV191" s="184"/>
      <c r="CW191" s="184"/>
      <c r="CX191" s="184"/>
      <c r="CY191" s="184"/>
      <c r="CZ191" s="184"/>
      <c r="DA191" s="184"/>
      <c r="DB191" s="184"/>
      <c r="DC191" s="184"/>
      <c r="DD191" s="184"/>
      <c r="DE191" s="184"/>
      <c r="DF191" s="184"/>
      <c r="DG191" s="184"/>
      <c r="DH191" s="184"/>
      <c r="DI191" s="184"/>
      <c r="DJ191" s="184"/>
      <c r="DK191" s="184"/>
      <c r="DL191" s="184"/>
      <c r="DM191" s="184"/>
      <c r="DN191" s="184"/>
      <c r="DO191" s="184"/>
      <c r="DP191" s="184"/>
      <c r="DQ191" s="184"/>
      <c r="DR191" s="184"/>
      <c r="DS191" s="184"/>
      <c r="DT191" s="184"/>
      <c r="DU191" s="184"/>
      <c r="DV191" s="184"/>
      <c r="DW191" s="184"/>
      <c r="DX191" s="184"/>
      <c r="DY191" s="184"/>
      <c r="DZ191" s="184"/>
      <c r="EA191" s="184"/>
      <c r="EB191" s="184"/>
      <c r="EC191" s="184"/>
      <c r="ED191" s="184"/>
      <c r="EE191" s="184"/>
      <c r="EF191" s="184"/>
      <c r="EG191" s="184"/>
      <c r="EH191" s="184"/>
      <c r="EI191" s="184"/>
      <c r="EJ191" s="184"/>
      <c r="EK191" s="184"/>
      <c r="EL191" s="184"/>
      <c r="EM191" s="184"/>
      <c r="EN191" s="184"/>
      <c r="EO191" s="184"/>
      <c r="EP191" s="184"/>
      <c r="EQ191" s="184"/>
      <c r="ER191" s="184"/>
      <c r="ES191" s="184"/>
      <c r="ET191" s="184"/>
      <c r="EU191" s="184"/>
      <c r="EV191" s="184"/>
      <c r="EW191" s="184"/>
      <c r="EX191" s="184"/>
      <c r="EY191" s="184"/>
      <c r="EZ191" s="184"/>
      <c r="FA191" s="184"/>
      <c r="FB191" s="184"/>
      <c r="FC191" s="184"/>
      <c r="FD191" s="184"/>
      <c r="FE191" s="184"/>
      <c r="FF191" s="184"/>
      <c r="FG191" s="184"/>
      <c r="FH191" s="184"/>
      <c r="FI191" s="184"/>
      <c r="FJ191" s="184"/>
      <c r="FK191" s="184"/>
      <c r="FL191" s="184"/>
      <c r="FM191" s="184"/>
      <c r="FN191" s="184"/>
      <c r="FO191" s="184"/>
      <c r="FP191" s="184"/>
      <c r="FQ191" s="184"/>
      <c r="FR191" s="184"/>
      <c r="FS191" s="184"/>
      <c r="FT191" s="184"/>
      <c r="FU191" s="184"/>
      <c r="FV191" s="184"/>
      <c r="FW191" s="184"/>
      <c r="FX191" s="184"/>
      <c r="FY191" s="184"/>
      <c r="FZ191" s="184"/>
      <c r="GA191" s="184"/>
      <c r="GB191" s="184"/>
      <c r="GC191" s="184"/>
      <c r="GD191" s="184"/>
      <c r="GE191" s="184"/>
      <c r="GF191" s="184"/>
      <c r="GG191" s="184"/>
      <c r="GH191" s="184"/>
      <c r="GI191" s="184"/>
    </row>
    <row r="192" spans="1:191" s="186" customFormat="1" ht="15" customHeight="1">
      <c r="A192" s="184"/>
      <c r="B192" s="190"/>
      <c r="C192" s="211"/>
      <c r="D192" s="193"/>
      <c r="E192" s="193"/>
      <c r="F192" s="188"/>
      <c r="G192" s="188"/>
      <c r="H192" s="190"/>
      <c r="I192" s="188"/>
      <c r="J192" s="184"/>
      <c r="K192" s="190"/>
      <c r="L192" s="190"/>
      <c r="M192" s="190"/>
      <c r="N192" s="184"/>
      <c r="O192" s="191"/>
      <c r="P192" s="191"/>
      <c r="Q192" s="183"/>
      <c r="R192" s="183"/>
      <c r="S192" s="183"/>
      <c r="T192" s="184"/>
      <c r="U192" s="184"/>
      <c r="V192" s="188"/>
      <c r="AB192" s="184"/>
      <c r="AC192" s="184"/>
      <c r="AD192" s="184"/>
      <c r="AE192" s="184"/>
      <c r="AF192" s="184"/>
      <c r="AG192" s="184"/>
      <c r="AH192" s="184"/>
      <c r="AI192" s="184"/>
      <c r="AJ192" s="184"/>
      <c r="AK192" s="184"/>
      <c r="AL192" s="184"/>
      <c r="AM192" s="184"/>
      <c r="AN192" s="184"/>
      <c r="AO192" s="184"/>
      <c r="AP192" s="184"/>
      <c r="AQ192" s="184"/>
      <c r="AR192" s="184"/>
      <c r="AS192" s="184"/>
      <c r="AT192" s="184"/>
      <c r="AU192" s="184"/>
      <c r="AV192" s="184"/>
      <c r="AW192" s="184"/>
      <c r="AX192" s="184"/>
      <c r="AY192" s="184"/>
      <c r="AZ192" s="184"/>
      <c r="BA192" s="184"/>
      <c r="BB192" s="184"/>
      <c r="BC192" s="184"/>
      <c r="BD192" s="184"/>
      <c r="BE192" s="184"/>
      <c r="BF192" s="184"/>
      <c r="BG192" s="184"/>
      <c r="BH192" s="184"/>
      <c r="BI192" s="184"/>
      <c r="BJ192" s="184"/>
      <c r="BK192" s="184"/>
      <c r="BL192" s="184"/>
      <c r="BM192" s="184"/>
      <c r="BN192" s="184"/>
      <c r="BO192" s="184"/>
      <c r="BP192" s="184"/>
      <c r="BQ192" s="184"/>
      <c r="BR192" s="184"/>
      <c r="BS192" s="184"/>
      <c r="BT192" s="184"/>
      <c r="BU192" s="184"/>
      <c r="BV192" s="184"/>
      <c r="BW192" s="184"/>
      <c r="BX192" s="184"/>
      <c r="BY192" s="184"/>
      <c r="BZ192" s="184"/>
      <c r="CA192" s="184"/>
      <c r="CB192" s="184"/>
      <c r="CC192" s="184"/>
      <c r="CD192" s="184"/>
      <c r="CE192" s="184"/>
      <c r="CF192" s="184"/>
      <c r="CG192" s="184"/>
      <c r="CH192" s="184"/>
      <c r="CI192" s="184"/>
      <c r="CJ192" s="184"/>
      <c r="CK192" s="184"/>
      <c r="CL192" s="184"/>
      <c r="CM192" s="184"/>
      <c r="CN192" s="184"/>
      <c r="CO192" s="184"/>
      <c r="CP192" s="184"/>
      <c r="CQ192" s="184"/>
      <c r="CR192" s="184"/>
      <c r="CS192" s="184"/>
      <c r="CT192" s="184"/>
      <c r="CU192" s="184"/>
      <c r="CV192" s="184"/>
      <c r="CW192" s="184"/>
      <c r="CX192" s="184"/>
      <c r="CY192" s="184"/>
      <c r="CZ192" s="184"/>
      <c r="DA192" s="184"/>
      <c r="DB192" s="184"/>
      <c r="DC192" s="184"/>
      <c r="DD192" s="184"/>
      <c r="DE192" s="184"/>
      <c r="DF192" s="184"/>
      <c r="DG192" s="184"/>
      <c r="DH192" s="184"/>
      <c r="DI192" s="184"/>
      <c r="DJ192" s="184"/>
      <c r="DK192" s="184"/>
      <c r="DL192" s="184"/>
      <c r="DM192" s="184"/>
      <c r="DN192" s="184"/>
      <c r="DO192" s="184"/>
      <c r="DP192" s="184"/>
      <c r="DQ192" s="184"/>
      <c r="DR192" s="184"/>
      <c r="DS192" s="184"/>
      <c r="DT192" s="184"/>
      <c r="DU192" s="184"/>
      <c r="DV192" s="184"/>
      <c r="DW192" s="184"/>
      <c r="DX192" s="184"/>
      <c r="DY192" s="184"/>
      <c r="DZ192" s="184"/>
      <c r="EA192" s="184"/>
      <c r="EB192" s="184"/>
      <c r="EC192" s="184"/>
      <c r="ED192" s="184"/>
      <c r="EE192" s="184"/>
      <c r="EF192" s="184"/>
      <c r="EG192" s="184"/>
      <c r="EH192" s="184"/>
      <c r="EI192" s="184"/>
      <c r="EJ192" s="184"/>
      <c r="EK192" s="184"/>
      <c r="EL192" s="184"/>
      <c r="EM192" s="184"/>
      <c r="EN192" s="184"/>
      <c r="EO192" s="184"/>
      <c r="EP192" s="184"/>
      <c r="EQ192" s="184"/>
      <c r="ER192" s="184"/>
      <c r="ES192" s="184"/>
      <c r="ET192" s="184"/>
      <c r="EU192" s="184"/>
      <c r="EV192" s="184"/>
      <c r="EW192" s="184"/>
      <c r="EX192" s="184"/>
      <c r="EY192" s="184"/>
      <c r="EZ192" s="184"/>
      <c r="FA192" s="184"/>
      <c r="FB192" s="184"/>
      <c r="FC192" s="184"/>
      <c r="FD192" s="184"/>
      <c r="FE192" s="184"/>
      <c r="FF192" s="184"/>
      <c r="FG192" s="184"/>
      <c r="FH192" s="184"/>
      <c r="FI192" s="184"/>
      <c r="FJ192" s="184"/>
      <c r="FK192" s="184"/>
      <c r="FL192" s="184"/>
      <c r="FM192" s="184"/>
      <c r="FN192" s="184"/>
      <c r="FO192" s="184"/>
      <c r="FP192" s="184"/>
      <c r="FQ192" s="184"/>
      <c r="FR192" s="184"/>
      <c r="FS192" s="184"/>
      <c r="FT192" s="184"/>
      <c r="FU192" s="184"/>
      <c r="FV192" s="184"/>
      <c r="FW192" s="184"/>
      <c r="FX192" s="184"/>
      <c r="FY192" s="184"/>
      <c r="FZ192" s="184"/>
      <c r="GA192" s="184"/>
      <c r="GB192" s="184"/>
      <c r="GC192" s="184"/>
      <c r="GD192" s="184"/>
      <c r="GE192" s="184"/>
      <c r="GF192" s="184"/>
      <c r="GG192" s="184"/>
      <c r="GH192" s="184"/>
      <c r="GI192" s="184"/>
    </row>
    <row r="193" spans="1:191" s="186" customFormat="1" ht="15" customHeight="1">
      <c r="A193" s="184"/>
      <c r="B193" s="190"/>
      <c r="C193" s="211"/>
      <c r="D193" s="193"/>
      <c r="E193" s="193"/>
      <c r="F193" s="188"/>
      <c r="G193" s="188"/>
      <c r="H193" s="190"/>
      <c r="I193" s="188"/>
      <c r="J193" s="184"/>
      <c r="K193" s="190"/>
      <c r="L193" s="190"/>
      <c r="M193" s="190"/>
      <c r="N193" s="184"/>
      <c r="O193" s="191"/>
      <c r="P193" s="191"/>
      <c r="Q193" s="183"/>
      <c r="R193" s="183"/>
      <c r="S193" s="183"/>
      <c r="T193" s="184"/>
      <c r="U193" s="184"/>
      <c r="V193" s="188"/>
      <c r="AB193" s="184"/>
      <c r="AC193" s="184"/>
      <c r="AD193" s="184"/>
      <c r="AE193" s="184"/>
      <c r="AF193" s="184"/>
      <c r="AG193" s="184"/>
      <c r="AH193" s="184"/>
      <c r="AI193" s="184"/>
      <c r="AJ193" s="184"/>
      <c r="AK193" s="184"/>
      <c r="AL193" s="184"/>
      <c r="AM193" s="184"/>
      <c r="AN193" s="184"/>
      <c r="AO193" s="184"/>
      <c r="AP193" s="184"/>
      <c r="AQ193" s="184"/>
      <c r="AR193" s="184"/>
      <c r="AS193" s="184"/>
      <c r="AT193" s="184"/>
      <c r="AU193" s="184"/>
      <c r="AV193" s="184"/>
      <c r="AW193" s="184"/>
      <c r="AX193" s="184"/>
      <c r="AY193" s="184"/>
      <c r="AZ193" s="184"/>
      <c r="BA193" s="184"/>
      <c r="BB193" s="184"/>
      <c r="BC193" s="184"/>
      <c r="BD193" s="184"/>
      <c r="BE193" s="184"/>
      <c r="BF193" s="184"/>
      <c r="BG193" s="184"/>
      <c r="BH193" s="184"/>
      <c r="BI193" s="184"/>
      <c r="BJ193" s="184"/>
      <c r="BK193" s="184"/>
      <c r="BL193" s="184"/>
      <c r="BM193" s="184"/>
      <c r="BN193" s="184"/>
      <c r="BO193" s="184"/>
      <c r="BP193" s="184"/>
      <c r="BQ193" s="184"/>
      <c r="BR193" s="184"/>
      <c r="BS193" s="184"/>
      <c r="BT193" s="184"/>
      <c r="BU193" s="184"/>
      <c r="BV193" s="184"/>
      <c r="BW193" s="184"/>
      <c r="BX193" s="184"/>
      <c r="BY193" s="184"/>
      <c r="BZ193" s="184"/>
      <c r="CA193" s="184"/>
      <c r="CB193" s="184"/>
      <c r="CC193" s="184"/>
      <c r="CD193" s="184"/>
      <c r="CE193" s="184"/>
      <c r="CF193" s="184"/>
      <c r="CG193" s="184"/>
      <c r="CH193" s="184"/>
      <c r="CI193" s="184"/>
      <c r="CJ193" s="184"/>
      <c r="CK193" s="184"/>
      <c r="CL193" s="184"/>
      <c r="CM193" s="184"/>
      <c r="CN193" s="184"/>
      <c r="CO193" s="184"/>
      <c r="CP193" s="184"/>
      <c r="CQ193" s="184"/>
      <c r="CR193" s="184"/>
      <c r="CS193" s="184"/>
      <c r="CT193" s="184"/>
      <c r="CU193" s="184"/>
      <c r="CV193" s="184"/>
      <c r="CW193" s="184"/>
      <c r="CX193" s="184"/>
      <c r="CY193" s="184"/>
      <c r="CZ193" s="184"/>
      <c r="DA193" s="184"/>
      <c r="DB193" s="184"/>
      <c r="DC193" s="184"/>
      <c r="DD193" s="184"/>
      <c r="DE193" s="184"/>
      <c r="DF193" s="184"/>
      <c r="DG193" s="184"/>
      <c r="DH193" s="184"/>
      <c r="DI193" s="184"/>
      <c r="DJ193" s="184"/>
      <c r="DK193" s="184"/>
      <c r="DL193" s="184"/>
      <c r="DM193" s="184"/>
      <c r="DN193" s="184"/>
      <c r="DO193" s="184"/>
      <c r="DP193" s="184"/>
      <c r="DQ193" s="184"/>
      <c r="DR193" s="184"/>
      <c r="DS193" s="184"/>
      <c r="DT193" s="184"/>
      <c r="DU193" s="184"/>
      <c r="DV193" s="184"/>
      <c r="DW193" s="184"/>
      <c r="DX193" s="184"/>
      <c r="DY193" s="184"/>
      <c r="DZ193" s="184"/>
      <c r="EA193" s="184"/>
      <c r="EB193" s="184"/>
      <c r="EC193" s="184"/>
      <c r="ED193" s="184"/>
      <c r="EE193" s="184"/>
      <c r="EF193" s="184"/>
      <c r="EG193" s="184"/>
      <c r="EH193" s="184"/>
      <c r="EI193" s="184"/>
      <c r="EJ193" s="184"/>
      <c r="EK193" s="184"/>
      <c r="EL193" s="184"/>
      <c r="EM193" s="184"/>
      <c r="EN193" s="184"/>
      <c r="EO193" s="184"/>
      <c r="EP193" s="184"/>
      <c r="EQ193" s="184"/>
      <c r="ER193" s="184"/>
      <c r="ES193" s="184"/>
      <c r="ET193" s="184"/>
      <c r="EU193" s="184"/>
      <c r="EV193" s="184"/>
      <c r="EW193" s="184"/>
      <c r="EX193" s="184"/>
      <c r="EY193" s="184"/>
      <c r="EZ193" s="184"/>
      <c r="FA193" s="184"/>
      <c r="FB193" s="184"/>
      <c r="FC193" s="184"/>
      <c r="FD193" s="184"/>
      <c r="FE193" s="184"/>
      <c r="FF193" s="184"/>
      <c r="FG193" s="184"/>
      <c r="FH193" s="184"/>
      <c r="FI193" s="184"/>
      <c r="FJ193" s="184"/>
      <c r="FK193" s="184"/>
      <c r="FL193" s="184"/>
      <c r="FM193" s="184"/>
      <c r="FN193" s="184"/>
      <c r="FO193" s="184"/>
      <c r="FP193" s="184"/>
      <c r="FQ193" s="184"/>
      <c r="FR193" s="184"/>
      <c r="FS193" s="184"/>
      <c r="FT193" s="184"/>
      <c r="FU193" s="184"/>
      <c r="FV193" s="184"/>
      <c r="FW193" s="184"/>
      <c r="FX193" s="184"/>
      <c r="FY193" s="184"/>
      <c r="FZ193" s="184"/>
      <c r="GA193" s="184"/>
      <c r="GB193" s="184"/>
      <c r="GC193" s="184"/>
      <c r="GD193" s="184"/>
      <c r="GE193" s="184"/>
      <c r="GF193" s="184"/>
      <c r="GG193" s="184"/>
      <c r="GH193" s="184"/>
      <c r="GI193" s="184"/>
    </row>
    <row r="194" spans="1:191" s="186" customFormat="1" ht="15" customHeight="1">
      <c r="A194" s="184"/>
      <c r="B194" s="190"/>
      <c r="C194" s="211"/>
      <c r="D194" s="193"/>
      <c r="E194" s="193"/>
      <c r="F194" s="188"/>
      <c r="G194" s="188"/>
      <c r="H194" s="190"/>
      <c r="I194" s="188"/>
      <c r="J194" s="184"/>
      <c r="K194" s="190"/>
      <c r="L194" s="190"/>
      <c r="M194" s="190"/>
      <c r="N194" s="184"/>
      <c r="O194" s="191"/>
      <c r="P194" s="191"/>
      <c r="Q194" s="183"/>
      <c r="R194" s="183"/>
      <c r="S194" s="183"/>
      <c r="T194" s="184"/>
      <c r="U194" s="184"/>
      <c r="V194" s="188"/>
      <c r="AB194" s="184"/>
      <c r="AC194" s="184"/>
      <c r="AD194" s="184"/>
      <c r="AE194" s="184"/>
      <c r="AF194" s="184"/>
      <c r="AG194" s="184"/>
      <c r="AH194" s="184"/>
      <c r="AI194" s="184"/>
      <c r="AJ194" s="184"/>
      <c r="AK194" s="184"/>
      <c r="AL194" s="184"/>
      <c r="AM194" s="184"/>
      <c r="AN194" s="184"/>
      <c r="AO194" s="184"/>
      <c r="AP194" s="184"/>
      <c r="AQ194" s="184"/>
      <c r="AR194" s="184"/>
      <c r="AS194" s="184"/>
      <c r="AT194" s="184"/>
      <c r="AU194" s="184"/>
      <c r="AV194" s="184"/>
      <c r="AW194" s="184"/>
      <c r="AX194" s="184"/>
      <c r="AY194" s="184"/>
      <c r="AZ194" s="184"/>
      <c r="BA194" s="184"/>
      <c r="BB194" s="184"/>
      <c r="BC194" s="184"/>
      <c r="BD194" s="184"/>
      <c r="BE194" s="184"/>
      <c r="BF194" s="184"/>
      <c r="BG194" s="184"/>
      <c r="BH194" s="184"/>
      <c r="BI194" s="184"/>
      <c r="BJ194" s="184"/>
      <c r="BK194" s="184"/>
      <c r="BL194" s="184"/>
      <c r="BM194" s="184"/>
      <c r="BN194" s="184"/>
      <c r="BO194" s="184"/>
      <c r="BP194" s="184"/>
      <c r="BQ194" s="184"/>
      <c r="BR194" s="184"/>
      <c r="BS194" s="184"/>
      <c r="BT194" s="184"/>
      <c r="BU194" s="184"/>
      <c r="BV194" s="184"/>
      <c r="BW194" s="184"/>
      <c r="BX194" s="184"/>
      <c r="BY194" s="184"/>
      <c r="BZ194" s="184"/>
      <c r="CA194" s="184"/>
      <c r="CB194" s="184"/>
      <c r="CC194" s="184"/>
      <c r="CD194" s="184"/>
      <c r="CE194" s="184"/>
      <c r="CF194" s="184"/>
      <c r="CG194" s="184"/>
      <c r="CH194" s="184"/>
      <c r="CI194" s="184"/>
      <c r="CJ194" s="184"/>
      <c r="CK194" s="184"/>
      <c r="CL194" s="184"/>
      <c r="CM194" s="184"/>
      <c r="CN194" s="184"/>
      <c r="CO194" s="184"/>
      <c r="CP194" s="184"/>
      <c r="CQ194" s="184"/>
      <c r="CR194" s="184"/>
      <c r="CS194" s="184"/>
      <c r="CT194" s="184"/>
      <c r="CU194" s="184"/>
      <c r="CV194" s="184"/>
      <c r="CW194" s="184"/>
      <c r="CX194" s="184"/>
      <c r="CY194" s="184"/>
      <c r="CZ194" s="184"/>
      <c r="DA194" s="184"/>
      <c r="DB194" s="184"/>
      <c r="DC194" s="184"/>
      <c r="DD194" s="184"/>
      <c r="DE194" s="184"/>
      <c r="DF194" s="184"/>
      <c r="DG194" s="184"/>
      <c r="DH194" s="184"/>
      <c r="DI194" s="184"/>
      <c r="DJ194" s="184"/>
      <c r="DK194" s="184"/>
      <c r="DL194" s="184"/>
      <c r="DM194" s="184"/>
      <c r="DN194" s="184"/>
      <c r="DO194" s="184"/>
      <c r="DP194" s="184"/>
      <c r="DQ194" s="184"/>
      <c r="DR194" s="184"/>
      <c r="DS194" s="184"/>
      <c r="DT194" s="184"/>
      <c r="DU194" s="184"/>
      <c r="DV194" s="184"/>
      <c r="DW194" s="184"/>
      <c r="DX194" s="184"/>
      <c r="DY194" s="184"/>
      <c r="DZ194" s="184"/>
      <c r="EA194" s="184"/>
      <c r="EB194" s="184"/>
      <c r="EC194" s="184"/>
      <c r="ED194" s="184"/>
      <c r="EE194" s="184"/>
      <c r="EF194" s="184"/>
      <c r="EG194" s="184"/>
      <c r="EH194" s="184"/>
      <c r="EI194" s="184"/>
      <c r="EJ194" s="184"/>
      <c r="EK194" s="184"/>
      <c r="EL194" s="184"/>
      <c r="EM194" s="184"/>
      <c r="EN194" s="184"/>
      <c r="EO194" s="184"/>
      <c r="EP194" s="184"/>
      <c r="EQ194" s="184"/>
      <c r="ER194" s="184"/>
      <c r="ES194" s="184"/>
      <c r="ET194" s="184"/>
      <c r="EU194" s="184"/>
      <c r="EV194" s="184"/>
      <c r="EW194" s="184"/>
      <c r="EX194" s="184"/>
      <c r="EY194" s="184"/>
      <c r="EZ194" s="184"/>
      <c r="FA194" s="184"/>
      <c r="FB194" s="184"/>
      <c r="FC194" s="184"/>
      <c r="FD194" s="184"/>
      <c r="FE194" s="184"/>
      <c r="FF194" s="184"/>
      <c r="FG194" s="184"/>
      <c r="FH194" s="184"/>
      <c r="FI194" s="184"/>
      <c r="FJ194" s="184"/>
      <c r="FK194" s="184"/>
      <c r="FL194" s="184"/>
      <c r="FM194" s="184"/>
      <c r="FN194" s="184"/>
      <c r="FO194" s="184"/>
      <c r="FP194" s="184"/>
      <c r="FQ194" s="184"/>
      <c r="FR194" s="184"/>
      <c r="FS194" s="184"/>
      <c r="FT194" s="184"/>
      <c r="FU194" s="184"/>
      <c r="FV194" s="184"/>
      <c r="FW194" s="184"/>
      <c r="FX194" s="184"/>
      <c r="FY194" s="184"/>
      <c r="FZ194" s="184"/>
      <c r="GA194" s="184"/>
      <c r="GB194" s="184"/>
      <c r="GC194" s="184"/>
      <c r="GD194" s="184"/>
      <c r="GE194" s="184"/>
      <c r="GF194" s="184"/>
      <c r="GG194" s="184"/>
      <c r="GH194" s="184"/>
      <c r="GI194" s="184"/>
    </row>
    <row r="195" spans="1:191" s="186" customFormat="1" ht="15" customHeight="1">
      <c r="A195" s="184"/>
      <c r="B195" s="190"/>
      <c r="C195" s="211"/>
      <c r="D195" s="193"/>
      <c r="E195" s="193"/>
      <c r="F195" s="188"/>
      <c r="G195" s="188"/>
      <c r="H195" s="190"/>
      <c r="I195" s="188"/>
      <c r="J195" s="184"/>
      <c r="K195" s="190"/>
      <c r="L195" s="190"/>
      <c r="M195" s="190"/>
      <c r="N195" s="184"/>
      <c r="O195" s="191"/>
      <c r="P195" s="191"/>
      <c r="Q195" s="183"/>
      <c r="R195" s="183"/>
      <c r="S195" s="183"/>
      <c r="T195" s="184"/>
      <c r="U195" s="184"/>
      <c r="V195" s="188"/>
      <c r="AB195" s="184"/>
      <c r="AC195" s="184"/>
      <c r="AD195" s="184"/>
      <c r="AE195" s="184"/>
      <c r="AF195" s="184"/>
      <c r="AG195" s="184"/>
      <c r="AH195" s="184"/>
      <c r="AI195" s="184"/>
      <c r="AJ195" s="184"/>
      <c r="AK195" s="184"/>
      <c r="AL195" s="184"/>
      <c r="AM195" s="184"/>
      <c r="AN195" s="184"/>
      <c r="AO195" s="184"/>
      <c r="AP195" s="184"/>
      <c r="AQ195" s="184"/>
      <c r="AR195" s="184"/>
      <c r="AS195" s="184"/>
      <c r="AT195" s="184"/>
      <c r="AU195" s="184"/>
      <c r="AV195" s="184"/>
      <c r="AW195" s="184"/>
      <c r="AX195" s="184"/>
      <c r="AY195" s="184"/>
      <c r="AZ195" s="184"/>
      <c r="BA195" s="184"/>
      <c r="BB195" s="184"/>
      <c r="BC195" s="184"/>
      <c r="BD195" s="184"/>
      <c r="BE195" s="184"/>
      <c r="BF195" s="184"/>
      <c r="BG195" s="184"/>
      <c r="BH195" s="184"/>
      <c r="BI195" s="184"/>
      <c r="BJ195" s="184"/>
      <c r="BK195" s="184"/>
      <c r="BL195" s="184"/>
      <c r="BM195" s="184"/>
      <c r="BN195" s="184"/>
      <c r="BO195" s="184"/>
      <c r="BP195" s="184"/>
      <c r="BQ195" s="184"/>
      <c r="BR195" s="184"/>
      <c r="BS195" s="184"/>
      <c r="BT195" s="184"/>
      <c r="BU195" s="184"/>
      <c r="BV195" s="184"/>
      <c r="BW195" s="184"/>
      <c r="BX195" s="184"/>
      <c r="BY195" s="184"/>
      <c r="BZ195" s="184"/>
      <c r="CA195" s="184"/>
      <c r="CB195" s="184"/>
      <c r="CC195" s="184"/>
      <c r="CD195" s="184"/>
      <c r="CE195" s="184"/>
      <c r="CF195" s="184"/>
      <c r="CG195" s="184"/>
      <c r="CH195" s="184"/>
      <c r="CI195" s="184"/>
      <c r="CJ195" s="184"/>
      <c r="CK195" s="184"/>
      <c r="CL195" s="184"/>
      <c r="CM195" s="184"/>
      <c r="CN195" s="184"/>
      <c r="CO195" s="184"/>
      <c r="CP195" s="184"/>
      <c r="CQ195" s="184"/>
      <c r="CR195" s="184"/>
      <c r="CS195" s="184"/>
      <c r="CT195" s="184"/>
      <c r="CU195" s="184"/>
      <c r="CV195" s="184"/>
      <c r="CW195" s="184"/>
      <c r="CX195" s="184"/>
      <c r="CY195" s="184"/>
      <c r="CZ195" s="184"/>
      <c r="DA195" s="184"/>
      <c r="DB195" s="184"/>
      <c r="DC195" s="184"/>
      <c r="DD195" s="184"/>
      <c r="DE195" s="184"/>
      <c r="DF195" s="184"/>
      <c r="DG195" s="184"/>
      <c r="DH195" s="184"/>
      <c r="DI195" s="184"/>
      <c r="DJ195" s="184"/>
      <c r="DK195" s="184"/>
      <c r="DL195" s="184"/>
      <c r="DM195" s="184"/>
      <c r="DN195" s="184"/>
      <c r="DO195" s="184"/>
      <c r="DP195" s="184"/>
      <c r="DQ195" s="184"/>
      <c r="DR195" s="184"/>
      <c r="DS195" s="184"/>
      <c r="DT195" s="184"/>
      <c r="DU195" s="184"/>
      <c r="DV195" s="184"/>
      <c r="DW195" s="184"/>
      <c r="DX195" s="184"/>
      <c r="DY195" s="184"/>
      <c r="DZ195" s="184"/>
      <c r="EA195" s="184"/>
      <c r="EB195" s="184"/>
      <c r="EC195" s="184"/>
      <c r="ED195" s="184"/>
      <c r="EE195" s="184"/>
      <c r="EF195" s="184"/>
      <c r="EG195" s="184"/>
      <c r="EH195" s="184"/>
      <c r="EI195" s="184"/>
      <c r="EJ195" s="184"/>
      <c r="EK195" s="184"/>
      <c r="EL195" s="184"/>
      <c r="EM195" s="184"/>
      <c r="EN195" s="184"/>
      <c r="EO195" s="184"/>
      <c r="EP195" s="184"/>
      <c r="EQ195" s="184"/>
      <c r="ER195" s="184"/>
      <c r="ES195" s="184"/>
      <c r="ET195" s="184"/>
      <c r="EU195" s="184"/>
      <c r="EV195" s="184"/>
      <c r="EW195" s="184"/>
      <c r="EX195" s="184"/>
      <c r="EY195" s="184"/>
      <c r="EZ195" s="184"/>
      <c r="FA195" s="184"/>
      <c r="FB195" s="184"/>
      <c r="FC195" s="184"/>
      <c r="FD195" s="184"/>
      <c r="FE195" s="184"/>
      <c r="FF195" s="184"/>
      <c r="FG195" s="184"/>
      <c r="FH195" s="184"/>
      <c r="FI195" s="184"/>
      <c r="FJ195" s="184"/>
      <c r="FK195" s="184"/>
      <c r="FL195" s="184"/>
      <c r="FM195" s="184"/>
      <c r="FN195" s="184"/>
      <c r="FO195" s="184"/>
      <c r="FP195" s="184"/>
      <c r="FQ195" s="184"/>
      <c r="FR195" s="184"/>
      <c r="FS195" s="184"/>
      <c r="FT195" s="184"/>
      <c r="FU195" s="184"/>
      <c r="FV195" s="184"/>
      <c r="FW195" s="184"/>
      <c r="FX195" s="184"/>
      <c r="FY195" s="184"/>
      <c r="FZ195" s="184"/>
      <c r="GA195" s="184"/>
      <c r="GB195" s="184"/>
      <c r="GC195" s="184"/>
      <c r="GD195" s="184"/>
      <c r="GE195" s="184"/>
      <c r="GF195" s="184"/>
      <c r="GG195" s="184"/>
      <c r="GH195" s="184"/>
      <c r="GI195" s="184"/>
    </row>
    <row r="196" spans="1:191" s="186" customFormat="1" ht="15" customHeight="1">
      <c r="A196" s="184"/>
      <c r="B196" s="190"/>
      <c r="C196" s="211"/>
      <c r="D196" s="193"/>
      <c r="E196" s="193"/>
      <c r="F196" s="188"/>
      <c r="G196" s="188"/>
      <c r="H196" s="190"/>
      <c r="I196" s="188"/>
      <c r="J196" s="184"/>
      <c r="K196" s="190"/>
      <c r="L196" s="190"/>
      <c r="M196" s="190"/>
      <c r="N196" s="184"/>
      <c r="O196" s="191"/>
      <c r="P196" s="191"/>
      <c r="Q196" s="183"/>
      <c r="R196" s="183"/>
      <c r="S196" s="183"/>
      <c r="T196" s="184"/>
      <c r="U196" s="184"/>
      <c r="V196" s="188"/>
      <c r="AB196" s="184"/>
      <c r="AC196" s="184"/>
      <c r="AD196" s="184"/>
      <c r="AE196" s="184"/>
      <c r="AF196" s="184"/>
      <c r="AG196" s="184"/>
      <c r="AH196" s="184"/>
      <c r="AI196" s="184"/>
      <c r="AJ196" s="184"/>
      <c r="AK196" s="184"/>
      <c r="AL196" s="184"/>
      <c r="AM196" s="184"/>
      <c r="AN196" s="184"/>
      <c r="AO196" s="184"/>
      <c r="AP196" s="184"/>
      <c r="AQ196" s="184"/>
      <c r="AR196" s="184"/>
      <c r="AS196" s="184"/>
      <c r="AT196" s="184"/>
      <c r="AU196" s="184"/>
      <c r="AV196" s="184"/>
      <c r="AW196" s="184"/>
      <c r="AX196" s="184"/>
      <c r="AY196" s="184"/>
      <c r="AZ196" s="184"/>
      <c r="BA196" s="184"/>
      <c r="BB196" s="184"/>
      <c r="BC196" s="184"/>
      <c r="BD196" s="184"/>
      <c r="BE196" s="184"/>
      <c r="BF196" s="184"/>
      <c r="BG196" s="184"/>
      <c r="BH196" s="184"/>
      <c r="BI196" s="184"/>
      <c r="BJ196" s="184"/>
      <c r="BK196" s="184"/>
      <c r="BL196" s="184"/>
      <c r="BM196" s="184"/>
      <c r="BN196" s="184"/>
      <c r="BO196" s="184"/>
      <c r="BP196" s="184"/>
      <c r="BQ196" s="184"/>
      <c r="BR196" s="184"/>
      <c r="BS196" s="184"/>
      <c r="BT196" s="184"/>
      <c r="BU196" s="184"/>
      <c r="BV196" s="184"/>
      <c r="BW196" s="184"/>
      <c r="BX196" s="184"/>
      <c r="BY196" s="184"/>
      <c r="BZ196" s="184"/>
      <c r="CA196" s="184"/>
      <c r="CB196" s="184"/>
      <c r="CC196" s="184"/>
      <c r="CD196" s="184"/>
      <c r="CE196" s="184"/>
      <c r="CF196" s="184"/>
      <c r="CG196" s="184"/>
      <c r="CH196" s="184"/>
      <c r="CI196" s="184"/>
      <c r="CJ196" s="184"/>
      <c r="CK196" s="184"/>
      <c r="CL196" s="184"/>
      <c r="CM196" s="184"/>
      <c r="CN196" s="184"/>
      <c r="CO196" s="184"/>
      <c r="CP196" s="184"/>
      <c r="CQ196" s="184"/>
      <c r="CR196" s="184"/>
      <c r="CS196" s="184"/>
      <c r="CT196" s="184"/>
      <c r="CU196" s="184"/>
      <c r="CV196" s="184"/>
      <c r="CW196" s="184"/>
      <c r="CX196" s="184"/>
      <c r="CY196" s="184"/>
      <c r="CZ196" s="184"/>
      <c r="DA196" s="184"/>
      <c r="DB196" s="184"/>
      <c r="DC196" s="184"/>
      <c r="DD196" s="184"/>
      <c r="DE196" s="184"/>
      <c r="DF196" s="184"/>
      <c r="DG196" s="184"/>
      <c r="DH196" s="184"/>
      <c r="DI196" s="184"/>
      <c r="DJ196" s="184"/>
      <c r="DK196" s="184"/>
      <c r="DL196" s="184"/>
      <c r="DM196" s="184"/>
      <c r="DN196" s="184"/>
      <c r="DO196" s="184"/>
      <c r="DP196" s="184"/>
      <c r="DQ196" s="184"/>
      <c r="DR196" s="184"/>
      <c r="DS196" s="184"/>
      <c r="DT196" s="184"/>
      <c r="DU196" s="184"/>
      <c r="DV196" s="184"/>
      <c r="DW196" s="184"/>
      <c r="DX196" s="184"/>
      <c r="DY196" s="184"/>
      <c r="DZ196" s="184"/>
      <c r="EA196" s="184"/>
      <c r="EB196" s="184"/>
      <c r="EC196" s="184"/>
      <c r="ED196" s="184"/>
      <c r="EE196" s="184"/>
      <c r="EF196" s="184"/>
      <c r="EG196" s="184"/>
      <c r="EH196" s="184"/>
      <c r="EI196" s="184"/>
      <c r="EJ196" s="184"/>
      <c r="EK196" s="184"/>
      <c r="EL196" s="184"/>
      <c r="EM196" s="184"/>
      <c r="EN196" s="184"/>
      <c r="EO196" s="184"/>
      <c r="EP196" s="184"/>
      <c r="EQ196" s="184"/>
      <c r="ER196" s="184"/>
      <c r="ES196" s="184"/>
      <c r="ET196" s="184"/>
      <c r="EU196" s="184"/>
      <c r="EV196" s="184"/>
      <c r="EW196" s="184"/>
      <c r="EX196" s="184"/>
      <c r="EY196" s="184"/>
      <c r="EZ196" s="184"/>
      <c r="FA196" s="184"/>
      <c r="FB196" s="184"/>
      <c r="FC196" s="184"/>
      <c r="FD196" s="184"/>
      <c r="FE196" s="184"/>
      <c r="FF196" s="184"/>
      <c r="FG196" s="184"/>
      <c r="FH196" s="184"/>
      <c r="FI196" s="184"/>
      <c r="FJ196" s="184"/>
      <c r="FK196" s="184"/>
      <c r="FL196" s="184"/>
      <c r="FM196" s="184"/>
      <c r="FN196" s="184"/>
      <c r="FO196" s="184"/>
      <c r="FP196" s="184"/>
      <c r="FQ196" s="184"/>
      <c r="FR196" s="184"/>
      <c r="FS196" s="184"/>
      <c r="FT196" s="184"/>
      <c r="FU196" s="184"/>
      <c r="FV196" s="184"/>
      <c r="FW196" s="184"/>
      <c r="FX196" s="184"/>
      <c r="FY196" s="184"/>
      <c r="FZ196" s="184"/>
      <c r="GA196" s="184"/>
      <c r="GB196" s="184"/>
      <c r="GC196" s="184"/>
      <c r="GD196" s="184"/>
      <c r="GE196" s="184"/>
      <c r="GF196" s="184"/>
      <c r="GG196" s="184"/>
      <c r="GH196" s="184"/>
      <c r="GI196" s="184"/>
    </row>
    <row r="197" spans="1:191" s="186" customFormat="1" ht="15" customHeight="1">
      <c r="A197" s="184"/>
      <c r="B197" s="190"/>
      <c r="C197" s="211"/>
      <c r="D197" s="193"/>
      <c r="E197" s="193"/>
      <c r="F197" s="188"/>
      <c r="G197" s="188"/>
      <c r="H197" s="190"/>
      <c r="I197" s="188"/>
      <c r="J197" s="184"/>
      <c r="K197" s="190"/>
      <c r="L197" s="190"/>
      <c r="M197" s="190"/>
      <c r="N197" s="184"/>
      <c r="O197" s="191"/>
      <c r="P197" s="191"/>
      <c r="Q197" s="183"/>
      <c r="R197" s="183"/>
      <c r="S197" s="183"/>
      <c r="T197" s="184"/>
      <c r="U197" s="184"/>
      <c r="V197" s="188"/>
      <c r="AB197" s="184"/>
      <c r="AC197" s="184"/>
      <c r="AD197" s="184"/>
      <c r="AE197" s="184"/>
      <c r="AF197" s="184"/>
      <c r="AG197" s="184"/>
      <c r="AH197" s="184"/>
      <c r="AI197" s="184"/>
      <c r="AJ197" s="184"/>
      <c r="AK197" s="184"/>
      <c r="AL197" s="184"/>
      <c r="AM197" s="184"/>
      <c r="AN197" s="184"/>
      <c r="AO197" s="184"/>
      <c r="AP197" s="184"/>
      <c r="AQ197" s="184"/>
      <c r="AR197" s="184"/>
      <c r="AS197" s="184"/>
      <c r="AT197" s="184"/>
      <c r="AU197" s="184"/>
      <c r="AV197" s="184"/>
      <c r="AW197" s="184"/>
      <c r="AX197" s="184"/>
      <c r="AY197" s="184"/>
      <c r="AZ197" s="184"/>
      <c r="BA197" s="184"/>
      <c r="BB197" s="184"/>
      <c r="BC197" s="184"/>
      <c r="BD197" s="184"/>
      <c r="BE197" s="184"/>
      <c r="BF197" s="184"/>
      <c r="BG197" s="184"/>
      <c r="BH197" s="184"/>
      <c r="BI197" s="184"/>
      <c r="BJ197" s="184"/>
      <c r="BK197" s="184"/>
      <c r="BL197" s="184"/>
      <c r="BM197" s="184"/>
      <c r="BN197" s="184"/>
      <c r="BO197" s="184"/>
      <c r="BP197" s="184"/>
      <c r="BQ197" s="184"/>
      <c r="BR197" s="184"/>
      <c r="BS197" s="184"/>
      <c r="BT197" s="184"/>
      <c r="BU197" s="184"/>
      <c r="BV197" s="184"/>
      <c r="BW197" s="184"/>
      <c r="BX197" s="184"/>
      <c r="BY197" s="184"/>
      <c r="BZ197" s="184"/>
      <c r="CA197" s="184"/>
      <c r="CB197" s="184"/>
      <c r="CC197" s="184"/>
      <c r="CD197" s="184"/>
      <c r="CE197" s="184"/>
      <c r="CF197" s="184"/>
      <c r="CG197" s="184"/>
      <c r="CH197" s="184"/>
      <c r="CI197" s="184"/>
      <c r="CJ197" s="184"/>
      <c r="CK197" s="184"/>
      <c r="CL197" s="184"/>
      <c r="CM197" s="184"/>
      <c r="CN197" s="184"/>
      <c r="CO197" s="184"/>
      <c r="CP197" s="184"/>
      <c r="CQ197" s="184"/>
      <c r="CR197" s="184"/>
      <c r="CS197" s="184"/>
      <c r="CT197" s="184"/>
      <c r="CU197" s="184"/>
      <c r="CV197" s="184"/>
      <c r="CW197" s="184"/>
      <c r="CX197" s="184"/>
      <c r="CY197" s="184"/>
      <c r="CZ197" s="184"/>
      <c r="DA197" s="184"/>
      <c r="DB197" s="184"/>
      <c r="DC197" s="184"/>
      <c r="DD197" s="184"/>
      <c r="DE197" s="184"/>
      <c r="DF197" s="184"/>
      <c r="DG197" s="184"/>
      <c r="DH197" s="184"/>
      <c r="DI197" s="184"/>
      <c r="DJ197" s="184"/>
      <c r="DK197" s="184"/>
      <c r="DL197" s="184"/>
      <c r="DM197" s="184"/>
      <c r="DN197" s="184"/>
      <c r="DO197" s="184"/>
      <c r="DP197" s="184"/>
      <c r="DQ197" s="184"/>
      <c r="DR197" s="184"/>
      <c r="DS197" s="184"/>
      <c r="DT197" s="184"/>
      <c r="DU197" s="184"/>
      <c r="DV197" s="184"/>
      <c r="DW197" s="184"/>
      <c r="DX197" s="184"/>
      <c r="DY197" s="184"/>
      <c r="DZ197" s="184"/>
      <c r="EA197" s="184"/>
      <c r="EB197" s="184"/>
      <c r="EC197" s="184"/>
      <c r="ED197" s="184"/>
      <c r="EE197" s="184"/>
      <c r="EF197" s="184"/>
      <c r="EG197" s="184"/>
      <c r="EH197" s="184"/>
      <c r="EI197" s="184"/>
      <c r="EJ197" s="184"/>
      <c r="EK197" s="184"/>
      <c r="EL197" s="184"/>
      <c r="EM197" s="184"/>
      <c r="EN197" s="184"/>
      <c r="EO197" s="184"/>
      <c r="EP197" s="184"/>
      <c r="EQ197" s="184"/>
      <c r="ER197" s="184"/>
      <c r="ES197" s="184"/>
      <c r="ET197" s="184"/>
      <c r="EU197" s="184"/>
      <c r="EV197" s="184"/>
      <c r="EW197" s="184"/>
      <c r="EX197" s="184"/>
      <c r="EY197" s="184"/>
      <c r="EZ197" s="184"/>
      <c r="FA197" s="184"/>
      <c r="FB197" s="184"/>
      <c r="FC197" s="184"/>
      <c r="FD197" s="184"/>
      <c r="FE197" s="184"/>
      <c r="FF197" s="184"/>
      <c r="FG197" s="184"/>
      <c r="FH197" s="184"/>
      <c r="FI197" s="184"/>
      <c r="FJ197" s="184"/>
      <c r="FK197" s="184"/>
      <c r="FL197" s="184"/>
      <c r="FM197" s="184"/>
      <c r="FN197" s="184"/>
      <c r="FO197" s="184"/>
      <c r="FP197" s="184"/>
      <c r="FQ197" s="184"/>
      <c r="FR197" s="184"/>
      <c r="FS197" s="184"/>
      <c r="FT197" s="184"/>
      <c r="FU197" s="184"/>
      <c r="FV197" s="184"/>
      <c r="FW197" s="184"/>
      <c r="FX197" s="184"/>
      <c r="FY197" s="184"/>
      <c r="FZ197" s="184"/>
      <c r="GA197" s="184"/>
      <c r="GB197" s="184"/>
      <c r="GC197" s="184"/>
      <c r="GD197" s="184"/>
      <c r="GE197" s="184"/>
      <c r="GF197" s="184"/>
      <c r="GG197" s="184"/>
      <c r="GH197" s="184"/>
      <c r="GI197" s="184"/>
    </row>
    <row r="198" spans="1:191" s="186" customFormat="1" ht="15" customHeight="1">
      <c r="A198" s="184"/>
      <c r="B198" s="190"/>
      <c r="C198" s="211"/>
      <c r="D198" s="193"/>
      <c r="E198" s="193"/>
      <c r="F198" s="188"/>
      <c r="G198" s="188"/>
      <c r="H198" s="190"/>
      <c r="I198" s="188"/>
      <c r="J198" s="184"/>
      <c r="K198" s="190"/>
      <c r="L198" s="190"/>
      <c r="M198" s="190"/>
      <c r="N198" s="184"/>
      <c r="O198" s="191"/>
      <c r="P198" s="191"/>
      <c r="Q198" s="183"/>
      <c r="R198" s="183"/>
      <c r="S198" s="183"/>
      <c r="T198" s="184"/>
      <c r="U198" s="184"/>
      <c r="V198" s="188"/>
      <c r="AB198" s="184"/>
      <c r="AC198" s="184"/>
      <c r="AD198" s="184"/>
      <c r="AE198" s="184"/>
      <c r="AF198" s="184"/>
      <c r="AG198" s="184"/>
      <c r="AH198" s="184"/>
      <c r="AI198" s="184"/>
      <c r="AJ198" s="184"/>
      <c r="AK198" s="184"/>
      <c r="AL198" s="184"/>
      <c r="AM198" s="184"/>
      <c r="AN198" s="184"/>
      <c r="AO198" s="184"/>
      <c r="AP198" s="184"/>
      <c r="AQ198" s="184"/>
      <c r="AR198" s="184"/>
      <c r="AS198" s="184"/>
      <c r="AT198" s="184"/>
      <c r="AU198" s="184"/>
      <c r="AV198" s="184"/>
      <c r="AW198" s="184"/>
      <c r="AX198" s="184"/>
      <c r="AY198" s="184"/>
      <c r="AZ198" s="184"/>
      <c r="BA198" s="184"/>
      <c r="BB198" s="184"/>
      <c r="BC198" s="184"/>
      <c r="BD198" s="184"/>
      <c r="BE198" s="184"/>
      <c r="BF198" s="184"/>
      <c r="BG198" s="184"/>
      <c r="BH198" s="184"/>
      <c r="BI198" s="184"/>
      <c r="BJ198" s="184"/>
      <c r="BK198" s="184"/>
      <c r="BL198" s="184"/>
      <c r="BM198" s="184"/>
      <c r="BN198" s="184"/>
      <c r="BO198" s="184"/>
      <c r="BP198" s="184"/>
      <c r="BQ198" s="184"/>
      <c r="BR198" s="184"/>
      <c r="BS198" s="184"/>
      <c r="BT198" s="184"/>
      <c r="BU198" s="184"/>
      <c r="BV198" s="184"/>
      <c r="BW198" s="184"/>
      <c r="BX198" s="184"/>
      <c r="BY198" s="184"/>
      <c r="BZ198" s="184"/>
      <c r="CA198" s="184"/>
      <c r="CB198" s="184"/>
      <c r="CC198" s="184"/>
      <c r="CD198" s="184"/>
      <c r="CE198" s="184"/>
      <c r="CF198" s="184"/>
      <c r="CG198" s="184"/>
      <c r="CH198" s="184"/>
      <c r="CI198" s="184"/>
      <c r="CJ198" s="184"/>
      <c r="CK198" s="184"/>
      <c r="CL198" s="184"/>
      <c r="CM198" s="184"/>
      <c r="CN198" s="184"/>
      <c r="CO198" s="184"/>
      <c r="CP198" s="184"/>
      <c r="CQ198" s="184"/>
      <c r="CR198" s="184"/>
      <c r="CS198" s="184"/>
      <c r="CT198" s="184"/>
      <c r="CU198" s="184"/>
      <c r="CV198" s="184"/>
      <c r="CW198" s="184"/>
      <c r="CX198" s="184"/>
      <c r="CY198" s="184"/>
      <c r="CZ198" s="184"/>
      <c r="DA198" s="184"/>
      <c r="DB198" s="184"/>
      <c r="DC198" s="184"/>
      <c r="DD198" s="184"/>
      <c r="DE198" s="184"/>
      <c r="DF198" s="184"/>
      <c r="DG198" s="184"/>
      <c r="DH198" s="184"/>
      <c r="DI198" s="184"/>
      <c r="DJ198" s="184"/>
      <c r="DK198" s="184"/>
      <c r="DL198" s="184"/>
      <c r="DM198" s="184"/>
      <c r="DN198" s="184"/>
      <c r="DO198" s="184"/>
      <c r="DP198" s="184"/>
      <c r="DQ198" s="184"/>
      <c r="DR198" s="184"/>
      <c r="DS198" s="184"/>
      <c r="DT198" s="184"/>
      <c r="DU198" s="184"/>
      <c r="DV198" s="184"/>
      <c r="DW198" s="184"/>
      <c r="DX198" s="184"/>
      <c r="DY198" s="184"/>
      <c r="DZ198" s="184"/>
      <c r="EA198" s="184"/>
      <c r="EB198" s="184"/>
      <c r="EC198" s="184"/>
      <c r="ED198" s="184"/>
      <c r="EE198" s="184"/>
      <c r="EF198" s="184"/>
      <c r="EG198" s="184"/>
      <c r="EH198" s="184"/>
      <c r="EI198" s="184"/>
      <c r="EJ198" s="184"/>
      <c r="EK198" s="184"/>
      <c r="EL198" s="184"/>
      <c r="EM198" s="184"/>
      <c r="EN198" s="184"/>
      <c r="EO198" s="184"/>
      <c r="EP198" s="184"/>
      <c r="EQ198" s="184"/>
      <c r="ER198" s="184"/>
      <c r="ES198" s="184"/>
      <c r="ET198" s="184"/>
      <c r="EU198" s="184"/>
      <c r="EV198" s="184"/>
      <c r="EW198" s="184"/>
      <c r="EX198" s="184"/>
      <c r="EY198" s="184"/>
      <c r="EZ198" s="184"/>
      <c r="FA198" s="184"/>
      <c r="FB198" s="184"/>
      <c r="FC198" s="184"/>
      <c r="FD198" s="184"/>
      <c r="FE198" s="184"/>
      <c r="FF198" s="184"/>
      <c r="FG198" s="184"/>
      <c r="FH198" s="184"/>
      <c r="FI198" s="184"/>
      <c r="FJ198" s="184"/>
      <c r="FK198" s="184"/>
      <c r="FL198" s="184"/>
      <c r="FM198" s="184"/>
      <c r="FN198" s="184"/>
      <c r="FO198" s="184"/>
      <c r="FP198" s="184"/>
      <c r="FQ198" s="184"/>
      <c r="FR198" s="184"/>
      <c r="FS198" s="184"/>
      <c r="FT198" s="184"/>
      <c r="FU198" s="184"/>
      <c r="FV198" s="184"/>
      <c r="FW198" s="184"/>
      <c r="FX198" s="184"/>
      <c r="FY198" s="184"/>
      <c r="FZ198" s="184"/>
      <c r="GA198" s="184"/>
      <c r="GB198" s="184"/>
      <c r="GC198" s="184"/>
      <c r="GD198" s="184"/>
      <c r="GE198" s="184"/>
      <c r="GF198" s="184"/>
      <c r="GG198" s="184"/>
      <c r="GH198" s="184"/>
      <c r="GI198" s="184"/>
    </row>
    <row r="199" spans="1:191" s="186" customFormat="1" ht="15" customHeight="1">
      <c r="A199" s="184"/>
      <c r="B199" s="190"/>
      <c r="C199" s="211"/>
      <c r="D199" s="193"/>
      <c r="E199" s="193"/>
      <c r="F199" s="188"/>
      <c r="G199" s="188"/>
      <c r="H199" s="190"/>
      <c r="I199" s="188"/>
      <c r="J199" s="184"/>
      <c r="K199" s="190"/>
      <c r="L199" s="190"/>
      <c r="M199" s="190"/>
      <c r="N199" s="184"/>
      <c r="O199" s="191"/>
      <c r="P199" s="191"/>
      <c r="Q199" s="183"/>
      <c r="R199" s="183"/>
      <c r="S199" s="183"/>
      <c r="T199" s="184"/>
      <c r="U199" s="184"/>
      <c r="V199" s="188"/>
      <c r="AB199" s="184"/>
      <c r="AC199" s="184"/>
      <c r="AD199" s="184"/>
      <c r="AE199" s="184"/>
      <c r="AF199" s="184"/>
      <c r="AG199" s="184"/>
      <c r="AH199" s="184"/>
      <c r="AI199" s="184"/>
      <c r="AJ199" s="184"/>
      <c r="AK199" s="184"/>
      <c r="AL199" s="184"/>
      <c r="AM199" s="184"/>
      <c r="AN199" s="184"/>
      <c r="AO199" s="184"/>
      <c r="AP199" s="184"/>
      <c r="AQ199" s="184"/>
      <c r="AR199" s="184"/>
      <c r="AS199" s="184"/>
      <c r="AT199" s="184"/>
      <c r="AU199" s="184"/>
      <c r="AV199" s="184"/>
      <c r="AW199" s="184"/>
      <c r="AX199" s="184"/>
      <c r="AY199" s="184"/>
      <c r="AZ199" s="184"/>
      <c r="BA199" s="184"/>
      <c r="BB199" s="184"/>
      <c r="BC199" s="184"/>
      <c r="BD199" s="184"/>
      <c r="BE199" s="184"/>
      <c r="BF199" s="184"/>
      <c r="BG199" s="184"/>
      <c r="BH199" s="184"/>
      <c r="BI199" s="184"/>
      <c r="BJ199" s="184"/>
      <c r="BK199" s="184"/>
      <c r="BL199" s="184"/>
      <c r="BM199" s="184"/>
      <c r="BN199" s="184"/>
      <c r="BO199" s="184"/>
      <c r="BP199" s="184"/>
      <c r="BQ199" s="184"/>
      <c r="BR199" s="184"/>
      <c r="BS199" s="184"/>
      <c r="BT199" s="184"/>
      <c r="BU199" s="184"/>
      <c r="BV199" s="184"/>
      <c r="BW199" s="184"/>
      <c r="BX199" s="184"/>
      <c r="BY199" s="184"/>
      <c r="BZ199" s="184"/>
      <c r="CA199" s="184"/>
      <c r="CB199" s="184"/>
      <c r="CC199" s="184"/>
      <c r="CD199" s="184"/>
      <c r="CE199" s="184"/>
      <c r="CF199" s="184"/>
      <c r="CG199" s="184"/>
      <c r="CH199" s="184"/>
      <c r="CI199" s="184"/>
      <c r="CJ199" s="184"/>
      <c r="CK199" s="184"/>
      <c r="CL199" s="184"/>
      <c r="CM199" s="184"/>
      <c r="CN199" s="184"/>
      <c r="CO199" s="184"/>
      <c r="CP199" s="184"/>
      <c r="CQ199" s="184"/>
      <c r="CR199" s="184"/>
      <c r="CS199" s="184"/>
      <c r="CT199" s="184"/>
      <c r="CU199" s="184"/>
      <c r="CV199" s="184"/>
      <c r="CW199" s="184"/>
      <c r="CX199" s="184"/>
      <c r="CY199" s="184"/>
      <c r="CZ199" s="184"/>
      <c r="DA199" s="184"/>
      <c r="DB199" s="184"/>
      <c r="DC199" s="184"/>
      <c r="DD199" s="184"/>
      <c r="DE199" s="184"/>
      <c r="DF199" s="184"/>
      <c r="DG199" s="184"/>
      <c r="DH199" s="184"/>
      <c r="DI199" s="184"/>
      <c r="DJ199" s="184"/>
      <c r="DK199" s="184"/>
      <c r="DL199" s="184"/>
      <c r="DM199" s="184"/>
      <c r="DN199" s="184"/>
      <c r="DO199" s="184"/>
      <c r="DP199" s="184"/>
      <c r="DQ199" s="184"/>
      <c r="DR199" s="184"/>
      <c r="DS199" s="184"/>
      <c r="DT199" s="184"/>
      <c r="DU199" s="184"/>
      <c r="DV199" s="184"/>
      <c r="DW199" s="184"/>
      <c r="DX199" s="184"/>
      <c r="DY199" s="184"/>
      <c r="DZ199" s="184"/>
      <c r="EA199" s="184"/>
      <c r="EB199" s="184"/>
      <c r="EC199" s="184"/>
      <c r="ED199" s="184"/>
      <c r="EE199" s="184"/>
      <c r="EF199" s="184"/>
      <c r="EG199" s="184"/>
      <c r="EH199" s="184"/>
      <c r="EI199" s="184"/>
      <c r="EJ199" s="184"/>
      <c r="EK199" s="184"/>
      <c r="EL199" s="184"/>
      <c r="EM199" s="184"/>
      <c r="EN199" s="184"/>
      <c r="EO199" s="184"/>
      <c r="EP199" s="184"/>
      <c r="EQ199" s="184"/>
      <c r="ER199" s="184"/>
      <c r="ES199" s="184"/>
      <c r="ET199" s="184"/>
      <c r="EU199" s="184"/>
      <c r="EV199" s="184"/>
      <c r="EW199" s="184"/>
      <c r="EX199" s="184"/>
      <c r="EY199" s="184"/>
      <c r="EZ199" s="184"/>
      <c r="FA199" s="184"/>
      <c r="FB199" s="184"/>
      <c r="FC199" s="184"/>
      <c r="FD199" s="184"/>
      <c r="FE199" s="184"/>
      <c r="FF199" s="184"/>
      <c r="FG199" s="184"/>
      <c r="FH199" s="184"/>
      <c r="FI199" s="184"/>
      <c r="FJ199" s="184"/>
      <c r="FK199" s="184"/>
      <c r="FL199" s="184"/>
      <c r="FM199" s="184"/>
      <c r="FN199" s="184"/>
      <c r="FO199" s="184"/>
      <c r="FP199" s="184"/>
      <c r="FQ199" s="184"/>
      <c r="FR199" s="184"/>
      <c r="FS199" s="184"/>
      <c r="FT199" s="184"/>
      <c r="FU199" s="184"/>
      <c r="FV199" s="184"/>
      <c r="FW199" s="184"/>
      <c r="FX199" s="184"/>
      <c r="FY199" s="184"/>
      <c r="FZ199" s="184"/>
      <c r="GA199" s="184"/>
      <c r="GB199" s="184"/>
      <c r="GC199" s="184"/>
      <c r="GD199" s="184"/>
      <c r="GE199" s="184"/>
      <c r="GF199" s="184"/>
      <c r="GG199" s="184"/>
      <c r="GH199" s="184"/>
      <c r="GI199" s="184"/>
    </row>
    <row r="200" spans="1:191" s="186" customFormat="1" ht="15" customHeight="1">
      <c r="A200" s="184"/>
      <c r="B200" s="190"/>
      <c r="C200" s="211"/>
      <c r="D200" s="193"/>
      <c r="E200" s="193"/>
      <c r="F200" s="188"/>
      <c r="G200" s="188"/>
      <c r="H200" s="190"/>
      <c r="I200" s="188"/>
      <c r="J200" s="184"/>
      <c r="K200" s="190"/>
      <c r="L200" s="190"/>
      <c r="M200" s="190"/>
      <c r="N200" s="184"/>
      <c r="O200" s="191"/>
      <c r="P200" s="191"/>
      <c r="Q200" s="183"/>
      <c r="R200" s="183"/>
      <c r="S200" s="183"/>
      <c r="T200" s="184"/>
      <c r="U200" s="184"/>
      <c r="V200" s="188"/>
      <c r="AB200" s="184"/>
      <c r="AC200" s="184"/>
      <c r="AD200" s="184"/>
      <c r="AE200" s="184"/>
      <c r="AF200" s="184"/>
      <c r="AG200" s="184"/>
      <c r="AH200" s="184"/>
      <c r="AI200" s="184"/>
      <c r="AJ200" s="184"/>
      <c r="AK200" s="184"/>
      <c r="AL200" s="184"/>
      <c r="AM200" s="184"/>
      <c r="AN200" s="184"/>
      <c r="AO200" s="184"/>
      <c r="AP200" s="184"/>
      <c r="AQ200" s="184"/>
      <c r="AR200" s="184"/>
      <c r="AS200" s="184"/>
      <c r="AT200" s="184"/>
      <c r="AU200" s="184"/>
      <c r="AV200" s="184"/>
      <c r="AW200" s="184"/>
      <c r="AX200" s="184"/>
      <c r="AY200" s="184"/>
      <c r="AZ200" s="184"/>
      <c r="BA200" s="184"/>
      <c r="BB200" s="184"/>
      <c r="BC200" s="184"/>
      <c r="BD200" s="184"/>
      <c r="BE200" s="184"/>
      <c r="BF200" s="184"/>
      <c r="BG200" s="184"/>
      <c r="BH200" s="184"/>
      <c r="BI200" s="184"/>
      <c r="BJ200" s="184"/>
      <c r="BK200" s="184"/>
      <c r="BL200" s="184"/>
      <c r="BM200" s="184"/>
      <c r="BN200" s="184"/>
      <c r="BO200" s="184"/>
      <c r="BP200" s="184"/>
      <c r="BQ200" s="184"/>
      <c r="BR200" s="184"/>
      <c r="BS200" s="184"/>
      <c r="BT200" s="184"/>
      <c r="BU200" s="184"/>
      <c r="BV200" s="184"/>
      <c r="BW200" s="184"/>
      <c r="BX200" s="184"/>
      <c r="BY200" s="184"/>
      <c r="BZ200" s="184"/>
      <c r="CA200" s="184"/>
      <c r="CB200" s="184"/>
      <c r="CC200" s="184"/>
      <c r="CD200" s="184"/>
      <c r="CE200" s="184"/>
      <c r="CF200" s="184"/>
      <c r="CG200" s="184"/>
      <c r="CH200" s="184"/>
      <c r="CI200" s="184"/>
      <c r="CJ200" s="184"/>
      <c r="CK200" s="184"/>
      <c r="CL200" s="184"/>
      <c r="CM200" s="184"/>
      <c r="CN200" s="184"/>
      <c r="CO200" s="184"/>
      <c r="CP200" s="184"/>
      <c r="CQ200" s="184"/>
      <c r="CR200" s="184"/>
      <c r="CS200" s="184"/>
      <c r="CT200" s="184"/>
      <c r="CU200" s="184"/>
      <c r="CV200" s="184"/>
      <c r="CW200" s="184"/>
      <c r="CX200" s="184"/>
      <c r="CY200" s="184"/>
      <c r="CZ200" s="184"/>
      <c r="DA200" s="184"/>
      <c r="DB200" s="184"/>
      <c r="DC200" s="184"/>
      <c r="DD200" s="184"/>
      <c r="DE200" s="184"/>
      <c r="DF200" s="184"/>
      <c r="DG200" s="184"/>
      <c r="DH200" s="184"/>
      <c r="DI200" s="184"/>
      <c r="DJ200" s="184"/>
      <c r="DK200" s="184"/>
      <c r="DL200" s="184"/>
      <c r="DM200" s="184"/>
      <c r="DN200" s="184"/>
      <c r="DO200" s="184"/>
      <c r="DP200" s="184"/>
      <c r="DQ200" s="184"/>
      <c r="DR200" s="184"/>
      <c r="DS200" s="184"/>
      <c r="DT200" s="184"/>
      <c r="DU200" s="184"/>
      <c r="DV200" s="184"/>
      <c r="DW200" s="184"/>
      <c r="DX200" s="184"/>
      <c r="DY200" s="184"/>
      <c r="DZ200" s="184"/>
      <c r="EA200" s="184"/>
      <c r="EB200" s="184"/>
      <c r="EC200" s="184"/>
      <c r="ED200" s="184"/>
      <c r="EE200" s="184"/>
      <c r="EF200" s="184"/>
      <c r="EG200" s="184"/>
      <c r="EH200" s="184"/>
      <c r="EI200" s="184"/>
      <c r="EJ200" s="184"/>
      <c r="EK200" s="184"/>
      <c r="EL200" s="184"/>
      <c r="EM200" s="184"/>
      <c r="EN200" s="184"/>
      <c r="EO200" s="184"/>
      <c r="EP200" s="184"/>
      <c r="EQ200" s="184"/>
      <c r="ER200" s="184"/>
      <c r="ES200" s="184"/>
      <c r="ET200" s="184"/>
      <c r="EU200" s="184"/>
      <c r="EV200" s="184"/>
      <c r="EW200" s="184"/>
      <c r="EX200" s="184"/>
      <c r="EY200" s="184"/>
      <c r="EZ200" s="184"/>
      <c r="FA200" s="184"/>
      <c r="FB200" s="184"/>
      <c r="FC200" s="184"/>
      <c r="FD200" s="184"/>
      <c r="FE200" s="184"/>
      <c r="FF200" s="184"/>
      <c r="FG200" s="184"/>
      <c r="FH200" s="184"/>
      <c r="FI200" s="184"/>
      <c r="FJ200" s="184"/>
      <c r="FK200" s="184"/>
      <c r="FL200" s="184"/>
      <c r="FM200" s="184"/>
      <c r="FN200" s="184"/>
      <c r="FO200" s="184"/>
      <c r="FP200" s="184"/>
      <c r="FQ200" s="184"/>
      <c r="FR200" s="184"/>
      <c r="FS200" s="184"/>
      <c r="FT200" s="184"/>
      <c r="FU200" s="184"/>
      <c r="FV200" s="184"/>
      <c r="FW200" s="184"/>
      <c r="FX200" s="184"/>
      <c r="FY200" s="184"/>
      <c r="FZ200" s="184"/>
      <c r="GA200" s="184"/>
      <c r="GB200" s="184"/>
      <c r="GC200" s="184"/>
      <c r="GD200" s="184"/>
      <c r="GE200" s="184"/>
      <c r="GF200" s="184"/>
      <c r="GG200" s="184"/>
      <c r="GH200" s="184"/>
      <c r="GI200" s="184"/>
    </row>
    <row r="201" spans="1:191" s="186" customFormat="1" ht="15" customHeight="1">
      <c r="A201" s="184"/>
      <c r="B201" s="190"/>
      <c r="C201" s="211"/>
      <c r="D201" s="193"/>
      <c r="E201" s="193"/>
      <c r="F201" s="188"/>
      <c r="G201" s="188"/>
      <c r="H201" s="190"/>
      <c r="I201" s="188"/>
      <c r="J201" s="184"/>
      <c r="K201" s="190"/>
      <c r="L201" s="190"/>
      <c r="M201" s="190"/>
      <c r="N201" s="184"/>
      <c r="O201" s="191"/>
      <c r="P201" s="191"/>
      <c r="Q201" s="183"/>
      <c r="R201" s="183"/>
      <c r="S201" s="183"/>
      <c r="T201" s="184"/>
      <c r="U201" s="184"/>
      <c r="V201" s="188"/>
      <c r="AB201" s="184"/>
      <c r="AC201" s="184"/>
      <c r="AD201" s="184"/>
      <c r="AE201" s="184"/>
      <c r="AF201" s="184"/>
      <c r="AG201" s="184"/>
      <c r="AH201" s="184"/>
      <c r="AI201" s="184"/>
      <c r="AJ201" s="184"/>
      <c r="AK201" s="184"/>
      <c r="AL201" s="184"/>
      <c r="AM201" s="184"/>
      <c r="AN201" s="184"/>
      <c r="AO201" s="184"/>
      <c r="AP201" s="184"/>
      <c r="AQ201" s="184"/>
      <c r="AR201" s="184"/>
      <c r="AS201" s="184"/>
      <c r="AT201" s="184"/>
      <c r="AU201" s="184"/>
      <c r="AV201" s="184"/>
      <c r="AW201" s="184"/>
      <c r="AX201" s="184"/>
      <c r="AY201" s="184"/>
      <c r="AZ201" s="184"/>
      <c r="BA201" s="184"/>
      <c r="BB201" s="184"/>
      <c r="BC201" s="184"/>
      <c r="BD201" s="184"/>
      <c r="BE201" s="184"/>
      <c r="BF201" s="184"/>
      <c r="BG201" s="184"/>
      <c r="BH201" s="184"/>
      <c r="BI201" s="184"/>
      <c r="BJ201" s="184"/>
      <c r="BK201" s="184"/>
      <c r="BL201" s="184"/>
      <c r="BM201" s="184"/>
      <c r="BN201" s="184"/>
      <c r="BO201" s="184"/>
      <c r="BP201" s="184"/>
      <c r="BQ201" s="184"/>
      <c r="BR201" s="184"/>
      <c r="BS201" s="184"/>
      <c r="BT201" s="184"/>
      <c r="BU201" s="184"/>
      <c r="BV201" s="184"/>
      <c r="BW201" s="184"/>
      <c r="BX201" s="184"/>
      <c r="BY201" s="184"/>
      <c r="BZ201" s="184"/>
      <c r="CA201" s="184"/>
      <c r="CB201" s="184"/>
      <c r="CC201" s="184"/>
      <c r="CD201" s="184"/>
      <c r="CE201" s="184"/>
      <c r="CF201" s="184"/>
      <c r="CG201" s="184"/>
      <c r="CH201" s="184"/>
      <c r="CI201" s="184"/>
      <c r="CJ201" s="184"/>
      <c r="CK201" s="184"/>
      <c r="CL201" s="184"/>
      <c r="CM201" s="184"/>
      <c r="CN201" s="184"/>
      <c r="CO201" s="184"/>
      <c r="CP201" s="184"/>
      <c r="CQ201" s="184"/>
      <c r="CR201" s="184"/>
      <c r="CS201" s="184"/>
      <c r="CT201" s="184"/>
      <c r="CU201" s="184"/>
      <c r="CV201" s="184"/>
      <c r="CW201" s="184"/>
      <c r="CX201" s="184"/>
      <c r="CY201" s="184"/>
      <c r="CZ201" s="184"/>
      <c r="DA201" s="184"/>
      <c r="DB201" s="184"/>
      <c r="DC201" s="184"/>
      <c r="DD201" s="184"/>
      <c r="DE201" s="184"/>
      <c r="DF201" s="184"/>
      <c r="DG201" s="184"/>
      <c r="DH201" s="184"/>
      <c r="DI201" s="184"/>
      <c r="DJ201" s="184"/>
      <c r="DK201" s="184"/>
      <c r="DL201" s="184"/>
      <c r="DM201" s="184"/>
      <c r="DN201" s="184"/>
      <c r="DO201" s="184"/>
      <c r="DP201" s="184"/>
      <c r="DQ201" s="184"/>
      <c r="DR201" s="184"/>
      <c r="DS201" s="184"/>
      <c r="DT201" s="184"/>
      <c r="DU201" s="184"/>
      <c r="DV201" s="184"/>
      <c r="DW201" s="184"/>
      <c r="DX201" s="184"/>
      <c r="DY201" s="184"/>
      <c r="DZ201" s="184"/>
      <c r="EA201" s="184"/>
      <c r="EB201" s="184"/>
      <c r="EC201" s="184"/>
      <c r="ED201" s="184"/>
      <c r="EE201" s="184"/>
      <c r="EF201" s="184"/>
      <c r="EG201" s="184"/>
      <c r="EH201" s="184"/>
      <c r="EI201" s="184"/>
      <c r="EJ201" s="184"/>
      <c r="EK201" s="184"/>
      <c r="EL201" s="184"/>
      <c r="EM201" s="184"/>
      <c r="EN201" s="184"/>
      <c r="EO201" s="184"/>
      <c r="EP201" s="184"/>
      <c r="EQ201" s="184"/>
      <c r="ER201" s="184"/>
      <c r="ES201" s="184"/>
      <c r="ET201" s="184"/>
      <c r="EU201" s="184"/>
      <c r="EV201" s="184"/>
      <c r="EW201" s="184"/>
      <c r="EX201" s="184"/>
      <c r="EY201" s="184"/>
      <c r="EZ201" s="184"/>
      <c r="FA201" s="184"/>
      <c r="FB201" s="184"/>
      <c r="FC201" s="184"/>
      <c r="FD201" s="184"/>
      <c r="FE201" s="184"/>
      <c r="FF201" s="184"/>
      <c r="FG201" s="184"/>
      <c r="FH201" s="184"/>
      <c r="FI201" s="184"/>
      <c r="FJ201" s="184"/>
      <c r="FK201" s="184"/>
      <c r="FL201" s="184"/>
      <c r="FM201" s="184"/>
      <c r="FN201" s="184"/>
      <c r="FO201" s="184"/>
      <c r="FP201" s="184"/>
      <c r="FQ201" s="184"/>
      <c r="FR201" s="184"/>
      <c r="FS201" s="184"/>
      <c r="FT201" s="184"/>
      <c r="FU201" s="184"/>
      <c r="FV201" s="184"/>
      <c r="FW201" s="184"/>
      <c r="FX201" s="184"/>
      <c r="FY201" s="184"/>
      <c r="FZ201" s="184"/>
      <c r="GA201" s="184"/>
      <c r="GB201" s="184"/>
      <c r="GC201" s="184"/>
      <c r="GD201" s="184"/>
      <c r="GE201" s="184"/>
      <c r="GF201" s="184"/>
      <c r="GG201" s="184"/>
      <c r="GH201" s="184"/>
      <c r="GI201" s="184"/>
    </row>
    <row r="202" spans="1:191" s="186" customFormat="1" ht="15" customHeight="1">
      <c r="A202" s="184"/>
      <c r="B202" s="190"/>
      <c r="C202" s="211"/>
      <c r="D202" s="193"/>
      <c r="E202" s="193"/>
      <c r="F202" s="188"/>
      <c r="G202" s="188"/>
      <c r="H202" s="190"/>
      <c r="I202" s="188"/>
      <c r="J202" s="184"/>
      <c r="K202" s="190"/>
      <c r="L202" s="190"/>
      <c r="M202" s="190"/>
      <c r="N202" s="184"/>
      <c r="O202" s="191"/>
      <c r="P202" s="191"/>
      <c r="Q202" s="183"/>
      <c r="R202" s="183"/>
      <c r="S202" s="183"/>
      <c r="T202" s="184"/>
      <c r="U202" s="184"/>
      <c r="V202" s="188"/>
      <c r="AB202" s="184"/>
      <c r="AC202" s="184"/>
      <c r="AD202" s="184"/>
      <c r="AE202" s="184"/>
      <c r="AF202" s="184"/>
      <c r="AG202" s="184"/>
      <c r="AH202" s="184"/>
      <c r="AI202" s="184"/>
      <c r="AJ202" s="184"/>
      <c r="AK202" s="184"/>
      <c r="AL202" s="184"/>
      <c r="AM202" s="184"/>
      <c r="AN202" s="184"/>
      <c r="AO202" s="184"/>
      <c r="AP202" s="184"/>
      <c r="AQ202" s="184"/>
      <c r="AR202" s="184"/>
      <c r="AS202" s="184"/>
      <c r="AT202" s="184"/>
      <c r="AU202" s="184"/>
      <c r="AV202" s="184"/>
      <c r="AW202" s="184"/>
      <c r="AX202" s="184"/>
      <c r="AY202" s="184"/>
      <c r="AZ202" s="184"/>
      <c r="BA202" s="184"/>
      <c r="BB202" s="184"/>
      <c r="BC202" s="184"/>
      <c r="BD202" s="184"/>
      <c r="BE202" s="184"/>
      <c r="BF202" s="184"/>
      <c r="BG202" s="184"/>
      <c r="BH202" s="184"/>
      <c r="BI202" s="184"/>
      <c r="BJ202" s="184"/>
      <c r="BK202" s="184"/>
      <c r="BL202" s="184"/>
      <c r="BM202" s="184"/>
      <c r="BN202" s="184"/>
      <c r="BO202" s="184"/>
      <c r="BP202" s="184"/>
      <c r="BQ202" s="184"/>
      <c r="BR202" s="184"/>
      <c r="BS202" s="184"/>
      <c r="BT202" s="184"/>
      <c r="BU202" s="184"/>
      <c r="BV202" s="184"/>
      <c r="BW202" s="184"/>
      <c r="BX202" s="184"/>
      <c r="BY202" s="184"/>
      <c r="BZ202" s="184"/>
      <c r="CA202" s="184"/>
      <c r="CB202" s="184"/>
      <c r="CC202" s="184"/>
      <c r="CD202" s="184"/>
      <c r="CE202" s="184"/>
      <c r="CF202" s="184"/>
      <c r="CG202" s="184"/>
      <c r="CH202" s="184"/>
      <c r="CI202" s="184"/>
      <c r="CJ202" s="184"/>
      <c r="CK202" s="184"/>
      <c r="CL202" s="184"/>
      <c r="CM202" s="184"/>
      <c r="CN202" s="184"/>
      <c r="CO202" s="184"/>
      <c r="CP202" s="184"/>
      <c r="CQ202" s="184"/>
      <c r="CR202" s="184"/>
      <c r="CS202" s="184"/>
      <c r="CT202" s="184"/>
      <c r="CU202" s="184"/>
      <c r="CV202" s="184"/>
      <c r="CW202" s="184"/>
      <c r="CX202" s="184"/>
      <c r="CY202" s="184"/>
      <c r="CZ202" s="184"/>
      <c r="DA202" s="184"/>
      <c r="DB202" s="184"/>
      <c r="DC202" s="184"/>
      <c r="DD202" s="184"/>
      <c r="DE202" s="184"/>
      <c r="DF202" s="184"/>
      <c r="DG202" s="184"/>
      <c r="DH202" s="184"/>
      <c r="DI202" s="184"/>
      <c r="DJ202" s="184"/>
      <c r="DK202" s="184"/>
      <c r="DL202" s="184"/>
      <c r="DM202" s="184"/>
      <c r="DN202" s="184"/>
      <c r="DO202" s="184"/>
      <c r="DP202" s="184"/>
      <c r="DQ202" s="184"/>
      <c r="DR202" s="184"/>
      <c r="DS202" s="184"/>
      <c r="DT202" s="184"/>
      <c r="DU202" s="184"/>
      <c r="DV202" s="184"/>
      <c r="DW202" s="184"/>
      <c r="DX202" s="184"/>
      <c r="DY202" s="184"/>
      <c r="DZ202" s="184"/>
      <c r="EA202" s="184"/>
      <c r="EB202" s="184"/>
      <c r="EC202" s="184"/>
      <c r="ED202" s="184"/>
      <c r="EE202" s="184"/>
      <c r="EF202" s="184"/>
      <c r="EG202" s="184"/>
      <c r="EH202" s="184"/>
      <c r="EI202" s="184"/>
      <c r="EJ202" s="184"/>
      <c r="EK202" s="184"/>
      <c r="EL202" s="184"/>
      <c r="EM202" s="184"/>
      <c r="EN202" s="184"/>
      <c r="EO202" s="184"/>
      <c r="EP202" s="184"/>
      <c r="EQ202" s="184"/>
      <c r="ER202" s="184"/>
      <c r="ES202" s="184"/>
      <c r="ET202" s="184"/>
      <c r="EU202" s="184"/>
      <c r="EV202" s="184"/>
      <c r="EW202" s="184"/>
      <c r="EX202" s="184"/>
      <c r="EY202" s="184"/>
      <c r="EZ202" s="184"/>
      <c r="FA202" s="184"/>
      <c r="FB202" s="184"/>
      <c r="FC202" s="184"/>
      <c r="FD202" s="184"/>
      <c r="FE202" s="184"/>
      <c r="FF202" s="184"/>
      <c r="FG202" s="184"/>
      <c r="FH202" s="184"/>
      <c r="FI202" s="184"/>
      <c r="FJ202" s="184"/>
      <c r="FK202" s="184"/>
      <c r="FL202" s="184"/>
      <c r="FM202" s="184"/>
      <c r="FN202" s="184"/>
      <c r="FO202" s="184"/>
      <c r="FP202" s="184"/>
      <c r="FQ202" s="184"/>
      <c r="FR202" s="184"/>
      <c r="FS202" s="184"/>
      <c r="FT202" s="184"/>
      <c r="FU202" s="184"/>
      <c r="FV202" s="184"/>
      <c r="FW202" s="184"/>
      <c r="FX202" s="184"/>
      <c r="FY202" s="184"/>
      <c r="FZ202" s="184"/>
      <c r="GA202" s="184"/>
      <c r="GB202" s="184"/>
      <c r="GC202" s="184"/>
      <c r="GD202" s="184"/>
      <c r="GE202" s="184"/>
      <c r="GF202" s="184"/>
      <c r="GG202" s="184"/>
      <c r="GH202" s="184"/>
      <c r="GI202" s="184"/>
    </row>
    <row r="203" spans="1:191" s="186" customFormat="1" ht="15" customHeight="1">
      <c r="A203" s="184"/>
      <c r="B203" s="190"/>
      <c r="C203" s="211"/>
      <c r="D203" s="193"/>
      <c r="E203" s="193"/>
      <c r="F203" s="188"/>
      <c r="G203" s="188"/>
      <c r="H203" s="190"/>
      <c r="I203" s="188"/>
      <c r="J203" s="184"/>
      <c r="K203" s="190"/>
      <c r="L203" s="190"/>
      <c r="M203" s="190"/>
      <c r="N203" s="184"/>
      <c r="O203" s="191"/>
      <c r="P203" s="191"/>
      <c r="Q203" s="183"/>
      <c r="R203" s="183"/>
      <c r="S203" s="183"/>
      <c r="T203" s="184"/>
      <c r="U203" s="184"/>
      <c r="V203" s="188"/>
      <c r="AB203" s="184"/>
      <c r="AC203" s="184"/>
      <c r="AD203" s="184"/>
      <c r="AE203" s="184"/>
      <c r="AF203" s="184"/>
      <c r="AG203" s="184"/>
      <c r="AH203" s="184"/>
      <c r="AI203" s="184"/>
      <c r="AJ203" s="184"/>
      <c r="AK203" s="184"/>
      <c r="AL203" s="184"/>
      <c r="AM203" s="184"/>
      <c r="AN203" s="184"/>
      <c r="AO203" s="184"/>
      <c r="AP203" s="184"/>
      <c r="AQ203" s="184"/>
      <c r="AR203" s="184"/>
      <c r="AS203" s="184"/>
      <c r="AT203" s="184"/>
      <c r="AU203" s="184"/>
      <c r="AV203" s="184"/>
      <c r="AW203" s="184"/>
      <c r="AX203" s="184"/>
      <c r="AY203" s="184"/>
      <c r="AZ203" s="184"/>
      <c r="BA203" s="184"/>
      <c r="BB203" s="184"/>
      <c r="BC203" s="184"/>
      <c r="BD203" s="184"/>
      <c r="BE203" s="184"/>
      <c r="BF203" s="184"/>
      <c r="BG203" s="184"/>
      <c r="BH203" s="184"/>
      <c r="BI203" s="184"/>
      <c r="BJ203" s="184"/>
      <c r="BK203" s="184"/>
      <c r="BL203" s="184"/>
      <c r="BM203" s="184"/>
      <c r="BN203" s="184"/>
      <c r="BO203" s="184"/>
      <c r="BP203" s="184"/>
      <c r="BQ203" s="184"/>
      <c r="BR203" s="184"/>
      <c r="BS203" s="184"/>
      <c r="BT203" s="184"/>
      <c r="BU203" s="184"/>
      <c r="BV203" s="184"/>
      <c r="BW203" s="184"/>
      <c r="BX203" s="184"/>
      <c r="BY203" s="184"/>
      <c r="BZ203" s="184"/>
      <c r="CA203" s="184"/>
      <c r="CB203" s="184"/>
      <c r="CC203" s="184"/>
      <c r="CD203" s="184"/>
      <c r="CE203" s="184"/>
      <c r="CF203" s="184"/>
      <c r="CG203" s="184"/>
      <c r="CH203" s="184"/>
      <c r="CI203" s="184"/>
      <c r="CJ203" s="184"/>
      <c r="CK203" s="184"/>
      <c r="CL203" s="184"/>
      <c r="CM203" s="184"/>
      <c r="CN203" s="184"/>
      <c r="CO203" s="184"/>
      <c r="CP203" s="184"/>
      <c r="CQ203" s="184"/>
      <c r="CR203" s="184"/>
      <c r="CS203" s="184"/>
      <c r="CT203" s="184"/>
      <c r="CU203" s="184"/>
      <c r="CV203" s="184"/>
      <c r="CW203" s="184"/>
      <c r="CX203" s="184"/>
      <c r="CY203" s="184"/>
      <c r="CZ203" s="184"/>
      <c r="DA203" s="184"/>
      <c r="DB203" s="184"/>
      <c r="DC203" s="184"/>
      <c r="DD203" s="184"/>
      <c r="DE203" s="184"/>
      <c r="DF203" s="184"/>
      <c r="DG203" s="184"/>
      <c r="DH203" s="184"/>
      <c r="DI203" s="184"/>
      <c r="DJ203" s="184"/>
      <c r="DK203" s="184"/>
      <c r="DL203" s="184"/>
      <c r="DM203" s="184"/>
      <c r="DN203" s="184"/>
      <c r="DO203" s="184"/>
      <c r="DP203" s="184"/>
      <c r="DQ203" s="184"/>
      <c r="DR203" s="184"/>
      <c r="DS203" s="184"/>
      <c r="DT203" s="184"/>
      <c r="DU203" s="184"/>
      <c r="DV203" s="184"/>
      <c r="DW203" s="184"/>
      <c r="DX203" s="184"/>
      <c r="DY203" s="184"/>
      <c r="DZ203" s="184"/>
      <c r="EA203" s="184"/>
      <c r="EB203" s="184"/>
      <c r="EC203" s="184"/>
      <c r="ED203" s="184"/>
      <c r="EE203" s="184"/>
      <c r="EF203" s="184"/>
      <c r="EG203" s="184"/>
      <c r="EH203" s="184"/>
      <c r="EI203" s="184"/>
      <c r="EJ203" s="184"/>
      <c r="EK203" s="184"/>
      <c r="EL203" s="184"/>
      <c r="EM203" s="184"/>
      <c r="EN203" s="184"/>
      <c r="EO203" s="184"/>
      <c r="EP203" s="184"/>
      <c r="EQ203" s="184"/>
      <c r="ER203" s="184"/>
      <c r="ES203" s="184"/>
      <c r="ET203" s="184"/>
      <c r="EU203" s="184"/>
      <c r="EV203" s="184"/>
      <c r="EW203" s="184"/>
      <c r="EX203" s="184"/>
      <c r="EY203" s="184"/>
      <c r="EZ203" s="184"/>
      <c r="FA203" s="184"/>
      <c r="FB203" s="184"/>
      <c r="FC203" s="184"/>
      <c r="FD203" s="184"/>
      <c r="FE203" s="184"/>
      <c r="FF203" s="184"/>
      <c r="FG203" s="184"/>
      <c r="FH203" s="184"/>
      <c r="FI203" s="184"/>
      <c r="FJ203" s="184"/>
      <c r="FK203" s="184"/>
      <c r="FL203" s="184"/>
      <c r="FM203" s="184"/>
      <c r="FN203" s="184"/>
      <c r="FO203" s="184"/>
      <c r="FP203" s="184"/>
      <c r="FQ203" s="184"/>
      <c r="FR203" s="184"/>
      <c r="FS203" s="184"/>
      <c r="FT203" s="184"/>
      <c r="FU203" s="184"/>
      <c r="FV203" s="184"/>
      <c r="FW203" s="184"/>
      <c r="FX203" s="184"/>
      <c r="FY203" s="184"/>
      <c r="FZ203" s="184"/>
      <c r="GA203" s="184"/>
      <c r="GB203" s="184"/>
      <c r="GC203" s="184"/>
      <c r="GD203" s="184"/>
      <c r="GE203" s="184"/>
      <c r="GF203" s="184"/>
      <c r="GG203" s="184"/>
      <c r="GH203" s="184"/>
      <c r="GI203" s="184"/>
    </row>
    <row r="204" spans="1:191" s="186" customFormat="1" ht="15" customHeight="1">
      <c r="A204" s="184"/>
      <c r="B204" s="190"/>
      <c r="C204" s="211"/>
      <c r="D204" s="193"/>
      <c r="E204" s="193"/>
      <c r="F204" s="188"/>
      <c r="G204" s="188"/>
      <c r="H204" s="190"/>
      <c r="I204" s="188"/>
      <c r="J204" s="184"/>
      <c r="K204" s="190"/>
      <c r="L204" s="190"/>
      <c r="M204" s="190"/>
      <c r="N204" s="184"/>
      <c r="O204" s="191"/>
      <c r="P204" s="191"/>
      <c r="Q204" s="183"/>
      <c r="R204" s="183"/>
      <c r="S204" s="183"/>
      <c r="T204" s="184"/>
      <c r="U204" s="184"/>
      <c r="V204" s="188"/>
      <c r="AB204" s="184"/>
      <c r="AC204" s="184"/>
      <c r="AD204" s="184"/>
      <c r="AE204" s="184"/>
      <c r="AF204" s="184"/>
      <c r="AG204" s="184"/>
      <c r="AH204" s="184"/>
      <c r="AI204" s="184"/>
      <c r="AJ204" s="184"/>
      <c r="AK204" s="184"/>
      <c r="AL204" s="184"/>
      <c r="AM204" s="184"/>
      <c r="AN204" s="184"/>
      <c r="AO204" s="184"/>
      <c r="AP204" s="184"/>
      <c r="AQ204" s="184"/>
      <c r="AR204" s="184"/>
      <c r="AS204" s="184"/>
      <c r="AT204" s="184"/>
      <c r="AU204" s="184"/>
      <c r="AV204" s="184"/>
      <c r="AW204" s="184"/>
      <c r="AX204" s="184"/>
      <c r="AY204" s="184"/>
      <c r="AZ204" s="184"/>
      <c r="BA204" s="184"/>
      <c r="BB204" s="184"/>
      <c r="BC204" s="184"/>
      <c r="BD204" s="184"/>
      <c r="BE204" s="184"/>
      <c r="BF204" s="184"/>
      <c r="BG204" s="184"/>
      <c r="BH204" s="184"/>
      <c r="BI204" s="184"/>
      <c r="BJ204" s="184"/>
      <c r="BK204" s="184"/>
      <c r="BL204" s="184"/>
      <c r="BM204" s="184"/>
      <c r="BN204" s="184"/>
      <c r="BO204" s="184"/>
      <c r="BP204" s="184"/>
      <c r="BQ204" s="184"/>
      <c r="BR204" s="184"/>
      <c r="BS204" s="184"/>
      <c r="BT204" s="184"/>
      <c r="BU204" s="184"/>
      <c r="BV204" s="184"/>
      <c r="BW204" s="184"/>
      <c r="BX204" s="184"/>
      <c r="BY204" s="184"/>
      <c r="BZ204" s="184"/>
      <c r="CA204" s="184"/>
      <c r="CB204" s="184"/>
      <c r="CC204" s="184"/>
      <c r="CD204" s="184"/>
      <c r="CE204" s="184"/>
      <c r="CF204" s="184"/>
      <c r="CG204" s="184"/>
      <c r="CH204" s="184"/>
      <c r="CI204" s="184"/>
      <c r="CJ204" s="184"/>
      <c r="CK204" s="184"/>
      <c r="CL204" s="184"/>
      <c r="CM204" s="184"/>
      <c r="CN204" s="184"/>
      <c r="CO204" s="184"/>
      <c r="CP204" s="184"/>
      <c r="CQ204" s="184"/>
      <c r="CR204" s="184"/>
      <c r="CS204" s="184"/>
      <c r="CT204" s="184"/>
      <c r="CU204" s="184"/>
      <c r="CV204" s="184"/>
      <c r="CW204" s="184"/>
      <c r="CX204" s="184"/>
      <c r="CY204" s="184"/>
      <c r="CZ204" s="184"/>
      <c r="DA204" s="184"/>
      <c r="DB204" s="184"/>
      <c r="DC204" s="184"/>
      <c r="DD204" s="184"/>
      <c r="DE204" s="184"/>
      <c r="DF204" s="184"/>
      <c r="DG204" s="184"/>
      <c r="DH204" s="184"/>
      <c r="DI204" s="184"/>
      <c r="DJ204" s="184"/>
      <c r="DK204" s="184"/>
      <c r="DL204" s="184"/>
      <c r="DM204" s="184"/>
      <c r="DN204" s="184"/>
      <c r="DO204" s="184"/>
      <c r="DP204" s="184"/>
      <c r="DQ204" s="184"/>
      <c r="DR204" s="184"/>
      <c r="DS204" s="184"/>
      <c r="DT204" s="184"/>
      <c r="DU204" s="184"/>
      <c r="DV204" s="184"/>
      <c r="DW204" s="184"/>
      <c r="DX204" s="184"/>
      <c r="DY204" s="184"/>
      <c r="DZ204" s="184"/>
      <c r="EA204" s="184"/>
      <c r="EB204" s="184"/>
      <c r="EC204" s="184"/>
      <c r="ED204" s="184"/>
      <c r="EE204" s="184"/>
      <c r="EF204" s="184"/>
      <c r="EG204" s="184"/>
      <c r="EH204" s="184"/>
      <c r="EI204" s="184"/>
      <c r="EJ204" s="184"/>
      <c r="EK204" s="184"/>
      <c r="EL204" s="184"/>
      <c r="EM204" s="184"/>
      <c r="EN204" s="184"/>
      <c r="EO204" s="184"/>
      <c r="EP204" s="184"/>
      <c r="EQ204" s="184"/>
      <c r="ER204" s="184"/>
      <c r="ES204" s="184"/>
      <c r="ET204" s="184"/>
      <c r="EU204" s="184"/>
      <c r="EV204" s="184"/>
      <c r="EW204" s="184"/>
      <c r="EX204" s="184"/>
      <c r="EY204" s="184"/>
      <c r="EZ204" s="184"/>
      <c r="FA204" s="184"/>
      <c r="FB204" s="184"/>
      <c r="FC204" s="184"/>
      <c r="FD204" s="184"/>
      <c r="FE204" s="184"/>
      <c r="FF204" s="184"/>
      <c r="FG204" s="184"/>
      <c r="FH204" s="184"/>
      <c r="FI204" s="184"/>
      <c r="FJ204" s="184"/>
      <c r="FK204" s="184"/>
      <c r="FL204" s="184"/>
      <c r="FM204" s="184"/>
      <c r="FN204" s="184"/>
      <c r="FO204" s="184"/>
      <c r="FP204" s="184"/>
      <c r="FQ204" s="184"/>
      <c r="FR204" s="184"/>
      <c r="FS204" s="184"/>
      <c r="FT204" s="184"/>
      <c r="FU204" s="184"/>
      <c r="FV204" s="184"/>
      <c r="FW204" s="184"/>
      <c r="FX204" s="184"/>
      <c r="FY204" s="184"/>
      <c r="FZ204" s="184"/>
      <c r="GA204" s="184"/>
      <c r="GB204" s="184"/>
      <c r="GC204" s="184"/>
      <c r="GD204" s="184"/>
      <c r="GE204" s="184"/>
      <c r="GF204" s="184"/>
      <c r="GG204" s="184"/>
      <c r="GH204" s="184"/>
      <c r="GI204" s="184"/>
    </row>
    <row r="205" spans="1:191" s="186" customFormat="1" ht="15" customHeight="1">
      <c r="A205" s="184"/>
      <c r="B205" s="190"/>
      <c r="C205" s="211"/>
      <c r="D205" s="193"/>
      <c r="E205" s="193"/>
      <c r="F205" s="188"/>
      <c r="G205" s="188"/>
      <c r="H205" s="190"/>
      <c r="I205" s="188"/>
      <c r="J205" s="184"/>
      <c r="K205" s="190"/>
      <c r="L205" s="190"/>
      <c r="M205" s="190"/>
      <c r="N205" s="184"/>
      <c r="O205" s="191"/>
      <c r="P205" s="191"/>
      <c r="Q205" s="183"/>
      <c r="R205" s="183"/>
      <c r="S205" s="183"/>
      <c r="T205" s="184"/>
      <c r="U205" s="184"/>
      <c r="V205" s="188"/>
      <c r="AB205" s="184"/>
      <c r="AC205" s="184"/>
      <c r="AD205" s="184"/>
      <c r="AE205" s="184"/>
      <c r="AF205" s="184"/>
      <c r="AG205" s="184"/>
      <c r="AH205" s="184"/>
      <c r="AI205" s="184"/>
      <c r="AJ205" s="184"/>
      <c r="AK205" s="184"/>
      <c r="AL205" s="184"/>
      <c r="AM205" s="184"/>
      <c r="AN205" s="184"/>
      <c r="AO205" s="184"/>
      <c r="AP205" s="184"/>
      <c r="AQ205" s="184"/>
      <c r="AR205" s="184"/>
      <c r="AS205" s="184"/>
      <c r="AT205" s="184"/>
      <c r="AU205" s="184"/>
      <c r="AV205" s="184"/>
      <c r="AW205" s="184"/>
      <c r="AX205" s="184"/>
      <c r="AY205" s="184"/>
      <c r="AZ205" s="184"/>
      <c r="BA205" s="184"/>
      <c r="BB205" s="184"/>
      <c r="BC205" s="184"/>
      <c r="BD205" s="184"/>
      <c r="BE205" s="184"/>
      <c r="BF205" s="184"/>
      <c r="BG205" s="184"/>
      <c r="BH205" s="184"/>
      <c r="BI205" s="184"/>
      <c r="BJ205" s="184"/>
      <c r="BK205" s="184"/>
      <c r="BL205" s="184"/>
      <c r="BM205" s="184"/>
      <c r="BN205" s="184"/>
      <c r="BO205" s="184"/>
      <c r="BP205" s="184"/>
      <c r="BQ205" s="184"/>
      <c r="BR205" s="184"/>
      <c r="BS205" s="184"/>
      <c r="BT205" s="184"/>
      <c r="BU205" s="184"/>
      <c r="BV205" s="184"/>
      <c r="BW205" s="184"/>
      <c r="BX205" s="184"/>
      <c r="BY205" s="184"/>
      <c r="BZ205" s="184"/>
      <c r="CA205" s="184"/>
      <c r="CB205" s="184"/>
      <c r="CC205" s="184"/>
      <c r="CD205" s="184"/>
      <c r="CE205" s="184"/>
      <c r="CF205" s="184"/>
      <c r="CG205" s="184"/>
      <c r="CH205" s="184"/>
      <c r="CI205" s="184"/>
      <c r="CJ205" s="184"/>
      <c r="CK205" s="184"/>
      <c r="CL205" s="184"/>
      <c r="CM205" s="184"/>
      <c r="CN205" s="184"/>
      <c r="CO205" s="184"/>
      <c r="CP205" s="184"/>
      <c r="CQ205" s="184"/>
      <c r="CR205" s="184"/>
      <c r="CS205" s="184"/>
      <c r="CT205" s="184"/>
      <c r="CU205" s="184"/>
      <c r="CV205" s="184"/>
      <c r="CW205" s="184"/>
      <c r="CX205" s="184"/>
      <c r="CY205" s="184"/>
      <c r="CZ205" s="184"/>
      <c r="DA205" s="184"/>
      <c r="DB205" s="184"/>
      <c r="DC205" s="184"/>
      <c r="DD205" s="184"/>
      <c r="DE205" s="184"/>
      <c r="DF205" s="184"/>
      <c r="DG205" s="184"/>
      <c r="DH205" s="184"/>
      <c r="DI205" s="184"/>
      <c r="DJ205" s="184"/>
      <c r="DK205" s="184"/>
      <c r="DL205" s="184"/>
      <c r="DM205" s="184"/>
      <c r="DN205" s="184"/>
      <c r="DO205" s="184"/>
      <c r="DP205" s="184"/>
      <c r="DQ205" s="184"/>
      <c r="DR205" s="184"/>
      <c r="DS205" s="184"/>
      <c r="DT205" s="184"/>
      <c r="DU205" s="184"/>
      <c r="DV205" s="184"/>
      <c r="DW205" s="184"/>
      <c r="DX205" s="184"/>
      <c r="DY205" s="184"/>
      <c r="DZ205" s="184"/>
      <c r="EA205" s="184"/>
      <c r="EB205" s="184"/>
      <c r="EC205" s="184"/>
      <c r="ED205" s="184"/>
      <c r="EE205" s="184"/>
      <c r="EF205" s="184"/>
      <c r="EG205" s="184"/>
      <c r="EH205" s="184"/>
      <c r="EI205" s="184"/>
      <c r="EJ205" s="184"/>
      <c r="EK205" s="184"/>
      <c r="EL205" s="184"/>
      <c r="EM205" s="184"/>
      <c r="EN205" s="184"/>
      <c r="EO205" s="184"/>
      <c r="EP205" s="184"/>
      <c r="EQ205" s="184"/>
      <c r="ER205" s="184"/>
      <c r="ES205" s="184"/>
      <c r="ET205" s="184"/>
      <c r="EU205" s="184"/>
      <c r="EV205" s="184"/>
      <c r="EW205" s="184"/>
      <c r="EX205" s="184"/>
      <c r="EY205" s="184"/>
      <c r="EZ205" s="184"/>
      <c r="FA205" s="184"/>
      <c r="FB205" s="184"/>
      <c r="FC205" s="184"/>
      <c r="FD205" s="184"/>
      <c r="FE205" s="184"/>
      <c r="FF205" s="184"/>
      <c r="FG205" s="184"/>
      <c r="FH205" s="184"/>
      <c r="FI205" s="184"/>
      <c r="FJ205" s="184"/>
      <c r="FK205" s="184"/>
      <c r="FL205" s="184"/>
      <c r="FM205" s="184"/>
      <c r="FN205" s="184"/>
      <c r="FO205" s="184"/>
      <c r="FP205" s="184"/>
      <c r="FQ205" s="184"/>
      <c r="FR205" s="184"/>
      <c r="FS205" s="184"/>
      <c r="FT205" s="184"/>
      <c r="FU205" s="184"/>
      <c r="FV205" s="184"/>
      <c r="FW205" s="184"/>
      <c r="FX205" s="184"/>
      <c r="FY205" s="184"/>
      <c r="FZ205" s="184"/>
      <c r="GA205" s="184"/>
      <c r="GB205" s="184"/>
      <c r="GC205" s="184"/>
      <c r="GD205" s="184"/>
      <c r="GE205" s="184"/>
      <c r="GF205" s="184"/>
      <c r="GG205" s="184"/>
      <c r="GH205" s="184"/>
      <c r="GI205" s="184"/>
    </row>
    <row r="206" spans="1:191" s="186" customFormat="1" ht="15" customHeight="1">
      <c r="A206" s="184"/>
      <c r="B206" s="190"/>
      <c r="C206" s="211"/>
      <c r="D206" s="193"/>
      <c r="E206" s="193"/>
      <c r="F206" s="188"/>
      <c r="G206" s="188"/>
      <c r="H206" s="190"/>
      <c r="I206" s="188"/>
      <c r="J206" s="184"/>
      <c r="K206" s="190"/>
      <c r="L206" s="190"/>
      <c r="M206" s="190"/>
      <c r="N206" s="184"/>
      <c r="O206" s="191"/>
      <c r="P206" s="191"/>
      <c r="Q206" s="183"/>
      <c r="R206" s="183"/>
      <c r="S206" s="183"/>
      <c r="T206" s="184"/>
      <c r="U206" s="184"/>
      <c r="V206" s="188"/>
      <c r="AB206" s="184"/>
      <c r="AC206" s="184"/>
      <c r="AD206" s="184"/>
      <c r="AE206" s="184"/>
      <c r="AF206" s="184"/>
      <c r="AG206" s="184"/>
      <c r="AH206" s="184"/>
      <c r="AI206" s="184"/>
      <c r="AJ206" s="184"/>
      <c r="AK206" s="184"/>
      <c r="AL206" s="184"/>
      <c r="AM206" s="184"/>
      <c r="AN206" s="184"/>
      <c r="AO206" s="184"/>
      <c r="AP206" s="184"/>
      <c r="AQ206" s="184"/>
      <c r="AR206" s="184"/>
      <c r="AS206" s="184"/>
      <c r="AT206" s="184"/>
      <c r="AU206" s="184"/>
      <c r="AV206" s="184"/>
      <c r="AW206" s="184"/>
      <c r="AX206" s="184"/>
      <c r="AY206" s="184"/>
      <c r="AZ206" s="184"/>
      <c r="BA206" s="184"/>
      <c r="BB206" s="184"/>
      <c r="BC206" s="184"/>
      <c r="BD206" s="184"/>
      <c r="BE206" s="184"/>
      <c r="BF206" s="184"/>
      <c r="BG206" s="184"/>
      <c r="BH206" s="184"/>
      <c r="BI206" s="184"/>
      <c r="BJ206" s="184"/>
      <c r="BK206" s="184"/>
      <c r="BL206" s="184"/>
      <c r="BM206" s="184"/>
      <c r="BN206" s="184"/>
      <c r="BO206" s="184"/>
      <c r="BP206" s="184"/>
      <c r="BQ206" s="184"/>
      <c r="BR206" s="184"/>
      <c r="BS206" s="184"/>
      <c r="BT206" s="184"/>
      <c r="BU206" s="184"/>
      <c r="BV206" s="184"/>
      <c r="BW206" s="184"/>
      <c r="BX206" s="184"/>
      <c r="BY206" s="184"/>
      <c r="BZ206" s="184"/>
      <c r="CA206" s="184"/>
      <c r="CB206" s="184"/>
      <c r="CC206" s="184"/>
      <c r="CD206" s="184"/>
      <c r="CE206" s="184"/>
      <c r="CF206" s="184"/>
      <c r="CG206" s="184"/>
      <c r="CH206" s="184"/>
      <c r="CI206" s="184"/>
      <c r="CJ206" s="184"/>
      <c r="CK206" s="184"/>
      <c r="CL206" s="184"/>
      <c r="CM206" s="184"/>
      <c r="CN206" s="184"/>
      <c r="CO206" s="184"/>
      <c r="CP206" s="184"/>
      <c r="CQ206" s="184"/>
      <c r="CR206" s="184"/>
      <c r="CS206" s="184"/>
      <c r="CT206" s="184"/>
      <c r="CU206" s="184"/>
      <c r="CV206" s="184"/>
      <c r="CW206" s="184"/>
      <c r="CX206" s="184"/>
      <c r="CY206" s="184"/>
      <c r="CZ206" s="184"/>
      <c r="DA206" s="184"/>
      <c r="DB206" s="184"/>
      <c r="DC206" s="184"/>
      <c r="DD206" s="184"/>
      <c r="DE206" s="184"/>
      <c r="DF206" s="184"/>
      <c r="DG206" s="184"/>
      <c r="DH206" s="184"/>
      <c r="DI206" s="184"/>
      <c r="DJ206" s="184"/>
      <c r="DK206" s="184"/>
      <c r="DL206" s="184"/>
      <c r="DM206" s="184"/>
      <c r="DN206" s="184"/>
      <c r="DO206" s="184"/>
      <c r="DP206" s="184"/>
      <c r="DQ206" s="184"/>
      <c r="DR206" s="184"/>
      <c r="DS206" s="184"/>
      <c r="DT206" s="184"/>
      <c r="DU206" s="184"/>
      <c r="DV206" s="184"/>
      <c r="DW206" s="184"/>
      <c r="DX206" s="184"/>
      <c r="DY206" s="184"/>
      <c r="DZ206" s="184"/>
      <c r="EA206" s="184"/>
      <c r="EB206" s="184"/>
      <c r="EC206" s="184"/>
      <c r="ED206" s="184"/>
      <c r="EE206" s="184"/>
      <c r="EF206" s="184"/>
      <c r="EG206" s="184"/>
      <c r="EH206" s="184"/>
      <c r="EI206" s="184"/>
      <c r="EJ206" s="184"/>
      <c r="EK206" s="184"/>
      <c r="EL206" s="184"/>
      <c r="EM206" s="184"/>
      <c r="EN206" s="184"/>
      <c r="EO206" s="184"/>
      <c r="EP206" s="184"/>
      <c r="EQ206" s="184"/>
      <c r="ER206" s="184"/>
      <c r="ES206" s="184"/>
      <c r="ET206" s="184"/>
      <c r="EU206" s="184"/>
      <c r="EV206" s="184"/>
      <c r="EW206" s="184"/>
      <c r="EX206" s="184"/>
      <c r="EY206" s="184"/>
      <c r="EZ206" s="184"/>
      <c r="FA206" s="184"/>
      <c r="FB206" s="184"/>
      <c r="FC206" s="184"/>
      <c r="FD206" s="184"/>
      <c r="FE206" s="184"/>
      <c r="FF206" s="184"/>
      <c r="FG206" s="184"/>
      <c r="FH206" s="184"/>
      <c r="FI206" s="184"/>
      <c r="FJ206" s="184"/>
      <c r="FK206" s="184"/>
      <c r="FL206" s="184"/>
      <c r="FM206" s="184"/>
      <c r="FN206" s="184"/>
      <c r="FO206" s="184"/>
      <c r="FP206" s="184"/>
      <c r="FQ206" s="184"/>
      <c r="FR206" s="184"/>
      <c r="FS206" s="184"/>
      <c r="FT206" s="184"/>
      <c r="FU206" s="184"/>
      <c r="FV206" s="184"/>
      <c r="FW206" s="184"/>
      <c r="FX206" s="184"/>
      <c r="FY206" s="184"/>
      <c r="FZ206" s="184"/>
      <c r="GA206" s="184"/>
      <c r="GB206" s="184"/>
      <c r="GC206" s="184"/>
      <c r="GD206" s="184"/>
      <c r="GE206" s="184"/>
      <c r="GF206" s="184"/>
      <c r="GG206" s="184"/>
      <c r="GH206" s="184"/>
      <c r="GI206" s="184"/>
    </row>
    <row r="207" spans="1:191" s="186" customFormat="1" ht="15" customHeight="1">
      <c r="A207" s="184"/>
      <c r="B207" s="190"/>
      <c r="C207" s="211"/>
      <c r="D207" s="193"/>
      <c r="E207" s="193"/>
      <c r="F207" s="188"/>
      <c r="G207" s="188"/>
      <c r="H207" s="190"/>
      <c r="I207" s="188"/>
      <c r="J207" s="184"/>
      <c r="K207" s="190"/>
      <c r="L207" s="190"/>
      <c r="M207" s="190"/>
      <c r="N207" s="184"/>
      <c r="O207" s="191"/>
      <c r="P207" s="191"/>
      <c r="Q207" s="183"/>
      <c r="R207" s="183"/>
      <c r="S207" s="183"/>
      <c r="T207" s="184"/>
      <c r="U207" s="184"/>
      <c r="V207" s="188"/>
      <c r="AB207" s="184"/>
      <c r="AC207" s="184"/>
      <c r="AD207" s="184"/>
      <c r="AE207" s="184"/>
      <c r="AF207" s="184"/>
      <c r="AG207" s="184"/>
      <c r="AH207" s="184"/>
      <c r="AI207" s="184"/>
      <c r="AJ207" s="184"/>
      <c r="AK207" s="184"/>
      <c r="AL207" s="184"/>
      <c r="AM207" s="184"/>
      <c r="AN207" s="184"/>
      <c r="AO207" s="184"/>
      <c r="AP207" s="184"/>
      <c r="AQ207" s="184"/>
      <c r="AR207" s="184"/>
      <c r="AS207" s="184"/>
      <c r="AT207" s="184"/>
      <c r="AU207" s="184"/>
      <c r="AV207" s="184"/>
      <c r="AW207" s="184"/>
      <c r="AX207" s="184"/>
      <c r="AY207" s="184"/>
      <c r="AZ207" s="184"/>
      <c r="BA207" s="184"/>
      <c r="BB207" s="184"/>
      <c r="BC207" s="184"/>
      <c r="BD207" s="184"/>
      <c r="BE207" s="184"/>
      <c r="BF207" s="184"/>
      <c r="BG207" s="184"/>
      <c r="BH207" s="184"/>
      <c r="BI207" s="184"/>
      <c r="BJ207" s="184"/>
      <c r="BK207" s="184"/>
      <c r="BL207" s="184"/>
      <c r="BM207" s="184"/>
      <c r="BN207" s="184"/>
      <c r="BO207" s="184"/>
      <c r="BP207" s="184"/>
      <c r="BQ207" s="184"/>
      <c r="BR207" s="184"/>
      <c r="BS207" s="184"/>
      <c r="BT207" s="184"/>
      <c r="BU207" s="184"/>
      <c r="BV207" s="184"/>
      <c r="BW207" s="184"/>
      <c r="BX207" s="184"/>
      <c r="BY207" s="184"/>
      <c r="BZ207" s="184"/>
      <c r="CA207" s="184"/>
      <c r="CB207" s="184"/>
      <c r="CC207" s="184"/>
      <c r="CD207" s="184"/>
      <c r="CE207" s="184"/>
      <c r="CF207" s="184"/>
      <c r="CG207" s="184"/>
      <c r="CH207" s="184"/>
      <c r="CI207" s="184"/>
      <c r="CJ207" s="184"/>
      <c r="CK207" s="184"/>
      <c r="CL207" s="184"/>
      <c r="CM207" s="184"/>
      <c r="CN207" s="184"/>
      <c r="CO207" s="184"/>
      <c r="CP207" s="184"/>
      <c r="CQ207" s="184"/>
      <c r="CR207" s="184"/>
      <c r="CS207" s="184"/>
      <c r="CT207" s="184"/>
      <c r="CU207" s="184"/>
      <c r="CV207" s="184"/>
      <c r="CW207" s="184"/>
      <c r="CX207" s="184"/>
      <c r="CY207" s="184"/>
      <c r="CZ207" s="184"/>
      <c r="DA207" s="184"/>
      <c r="DB207" s="184"/>
      <c r="DC207" s="184"/>
      <c r="DD207" s="184"/>
      <c r="DE207" s="184"/>
      <c r="DF207" s="184"/>
      <c r="DG207" s="184"/>
      <c r="DH207" s="184"/>
      <c r="DI207" s="184"/>
      <c r="DJ207" s="184"/>
      <c r="DK207" s="184"/>
      <c r="DL207" s="184"/>
      <c r="DM207" s="184"/>
      <c r="DN207" s="184"/>
      <c r="DO207" s="184"/>
      <c r="DP207" s="184"/>
      <c r="DQ207" s="184"/>
      <c r="DR207" s="184"/>
      <c r="DS207" s="184"/>
      <c r="DT207" s="184"/>
      <c r="DU207" s="184"/>
      <c r="DV207" s="184"/>
      <c r="DW207" s="184"/>
      <c r="DX207" s="184"/>
      <c r="DY207" s="184"/>
      <c r="DZ207" s="184"/>
      <c r="EA207" s="184"/>
      <c r="EB207" s="184"/>
      <c r="EC207" s="184"/>
      <c r="ED207" s="184"/>
      <c r="EE207" s="184"/>
      <c r="EF207" s="184"/>
      <c r="EG207" s="184"/>
      <c r="EH207" s="184"/>
      <c r="EI207" s="184"/>
      <c r="EJ207" s="184"/>
      <c r="EK207" s="184"/>
      <c r="EL207" s="184"/>
      <c r="EM207" s="184"/>
      <c r="EN207" s="184"/>
      <c r="EO207" s="184"/>
      <c r="EP207" s="184"/>
      <c r="EQ207" s="184"/>
      <c r="ER207" s="184"/>
      <c r="ES207" s="184"/>
      <c r="ET207" s="184"/>
      <c r="EU207" s="184"/>
      <c r="EV207" s="184"/>
      <c r="EW207" s="184"/>
      <c r="EX207" s="184"/>
      <c r="EY207" s="184"/>
      <c r="EZ207" s="184"/>
      <c r="FA207" s="184"/>
      <c r="FB207" s="184"/>
      <c r="FC207" s="184"/>
      <c r="FD207" s="184"/>
      <c r="FE207" s="184"/>
      <c r="FF207" s="184"/>
      <c r="FG207" s="184"/>
      <c r="FH207" s="184"/>
      <c r="FI207" s="184"/>
      <c r="FJ207" s="184"/>
      <c r="FK207" s="184"/>
      <c r="FL207" s="184"/>
      <c r="FM207" s="184"/>
      <c r="FN207" s="184"/>
      <c r="FO207" s="184"/>
      <c r="FP207" s="184"/>
      <c r="FQ207" s="184"/>
      <c r="FR207" s="184"/>
      <c r="FS207" s="184"/>
      <c r="FT207" s="184"/>
      <c r="FU207" s="184"/>
      <c r="FV207" s="184"/>
      <c r="FW207" s="184"/>
      <c r="FX207" s="184"/>
      <c r="FY207" s="184"/>
      <c r="FZ207" s="184"/>
      <c r="GA207" s="184"/>
      <c r="GB207" s="184"/>
      <c r="GC207" s="184"/>
      <c r="GD207" s="184"/>
      <c r="GE207" s="184"/>
      <c r="GF207" s="184"/>
      <c r="GG207" s="184"/>
      <c r="GH207" s="184"/>
      <c r="GI207" s="184"/>
    </row>
    <row r="208" spans="1:191" s="186" customFormat="1" ht="15" customHeight="1">
      <c r="A208" s="184"/>
      <c r="B208" s="190"/>
      <c r="C208" s="211"/>
      <c r="D208" s="193"/>
      <c r="E208" s="193"/>
      <c r="F208" s="188"/>
      <c r="G208" s="188"/>
      <c r="H208" s="190"/>
      <c r="I208" s="188"/>
      <c r="J208" s="184"/>
      <c r="K208" s="190"/>
      <c r="L208" s="190"/>
      <c r="M208" s="190"/>
      <c r="N208" s="184"/>
      <c r="O208" s="191"/>
      <c r="P208" s="191"/>
      <c r="Q208" s="183"/>
      <c r="R208" s="183"/>
      <c r="S208" s="183"/>
      <c r="T208" s="184"/>
      <c r="U208" s="184"/>
      <c r="V208" s="188"/>
      <c r="AB208" s="184"/>
      <c r="AC208" s="184"/>
      <c r="AD208" s="184"/>
      <c r="AE208" s="184"/>
      <c r="AF208" s="184"/>
      <c r="AG208" s="184"/>
      <c r="AH208" s="184"/>
      <c r="AI208" s="184"/>
      <c r="AJ208" s="184"/>
      <c r="AK208" s="184"/>
      <c r="AL208" s="184"/>
      <c r="AM208" s="184"/>
      <c r="AN208" s="184"/>
      <c r="AO208" s="184"/>
      <c r="AP208" s="184"/>
      <c r="AQ208" s="184"/>
      <c r="AR208" s="184"/>
      <c r="AS208" s="184"/>
      <c r="AT208" s="184"/>
      <c r="AU208" s="184"/>
      <c r="AV208" s="184"/>
      <c r="AW208" s="184"/>
      <c r="AX208" s="184"/>
      <c r="AY208" s="184"/>
      <c r="AZ208" s="184"/>
      <c r="BA208" s="184"/>
      <c r="BB208" s="184"/>
      <c r="BC208" s="184"/>
      <c r="BD208" s="184"/>
      <c r="BE208" s="184"/>
      <c r="BF208" s="184"/>
      <c r="BG208" s="184"/>
      <c r="BH208" s="184"/>
      <c r="BI208" s="184"/>
      <c r="BJ208" s="184"/>
      <c r="BK208" s="184"/>
      <c r="BL208" s="184"/>
      <c r="BM208" s="184"/>
      <c r="BN208" s="184"/>
      <c r="BO208" s="184"/>
      <c r="BP208" s="184"/>
      <c r="BQ208" s="184"/>
      <c r="BR208" s="184"/>
      <c r="BS208" s="184"/>
      <c r="BT208" s="184"/>
      <c r="BU208" s="184"/>
      <c r="BV208" s="184"/>
      <c r="BW208" s="184"/>
      <c r="BX208" s="184"/>
      <c r="BY208" s="184"/>
      <c r="BZ208" s="184"/>
      <c r="CA208" s="184"/>
      <c r="CB208" s="184"/>
      <c r="CC208" s="184"/>
      <c r="CD208" s="184"/>
      <c r="CE208" s="184"/>
      <c r="CF208" s="184"/>
      <c r="CG208" s="184"/>
      <c r="CH208" s="184"/>
      <c r="CI208" s="184"/>
      <c r="CJ208" s="184"/>
      <c r="CK208" s="184"/>
      <c r="CL208" s="184"/>
      <c r="CM208" s="184"/>
      <c r="CN208" s="184"/>
      <c r="CO208" s="184"/>
      <c r="CP208" s="184"/>
      <c r="CQ208" s="184"/>
      <c r="CR208" s="184"/>
      <c r="CS208" s="184"/>
      <c r="CT208" s="184"/>
      <c r="CU208" s="184"/>
      <c r="CV208" s="184"/>
      <c r="CW208" s="184"/>
      <c r="CX208" s="184"/>
      <c r="CY208" s="184"/>
      <c r="CZ208" s="184"/>
      <c r="DA208" s="184"/>
      <c r="DB208" s="184"/>
      <c r="DC208" s="184"/>
      <c r="DD208" s="184"/>
      <c r="DE208" s="184"/>
      <c r="DF208" s="184"/>
      <c r="DG208" s="184"/>
      <c r="DH208" s="184"/>
      <c r="DI208" s="184"/>
      <c r="DJ208" s="184"/>
      <c r="DK208" s="184"/>
      <c r="DL208" s="184"/>
      <c r="DM208" s="184"/>
      <c r="DN208" s="184"/>
      <c r="DO208" s="184"/>
      <c r="DP208" s="184"/>
      <c r="DQ208" s="184"/>
      <c r="DR208" s="184"/>
      <c r="DS208" s="184"/>
      <c r="DT208" s="184"/>
      <c r="DU208" s="184"/>
      <c r="DV208" s="184"/>
      <c r="DW208" s="184"/>
      <c r="DX208" s="184"/>
      <c r="DY208" s="184"/>
      <c r="DZ208" s="184"/>
      <c r="EA208" s="184"/>
      <c r="EB208" s="184"/>
      <c r="EC208" s="184"/>
      <c r="ED208" s="184"/>
      <c r="EE208" s="184"/>
      <c r="EF208" s="184"/>
      <c r="EG208" s="184"/>
      <c r="EH208" s="184"/>
      <c r="EI208" s="184"/>
      <c r="EJ208" s="184"/>
      <c r="EK208" s="184"/>
      <c r="EL208" s="184"/>
      <c r="EM208" s="184"/>
      <c r="EN208" s="184"/>
      <c r="EO208" s="184"/>
      <c r="EP208" s="184"/>
      <c r="EQ208" s="184"/>
      <c r="ER208" s="184"/>
      <c r="ES208" s="184"/>
      <c r="ET208" s="184"/>
      <c r="EU208" s="184"/>
      <c r="EV208" s="184"/>
      <c r="EW208" s="184"/>
      <c r="EX208" s="184"/>
      <c r="EY208" s="184"/>
      <c r="EZ208" s="184"/>
      <c r="FA208" s="184"/>
      <c r="FB208" s="184"/>
      <c r="FC208" s="184"/>
      <c r="FD208" s="184"/>
      <c r="FE208" s="184"/>
      <c r="FF208" s="184"/>
      <c r="FG208" s="184"/>
      <c r="FH208" s="184"/>
      <c r="FI208" s="184"/>
      <c r="FJ208" s="184"/>
      <c r="FK208" s="184"/>
      <c r="FL208" s="184"/>
      <c r="FM208" s="184"/>
      <c r="FN208" s="184"/>
      <c r="FO208" s="184"/>
      <c r="FP208" s="184"/>
      <c r="FQ208" s="184"/>
      <c r="FR208" s="184"/>
      <c r="FS208" s="184"/>
      <c r="FT208" s="184"/>
      <c r="FU208" s="184"/>
      <c r="FV208" s="184"/>
      <c r="FW208" s="184"/>
      <c r="FX208" s="184"/>
      <c r="FY208" s="184"/>
      <c r="FZ208" s="184"/>
      <c r="GA208" s="184"/>
      <c r="GB208" s="184"/>
      <c r="GC208" s="184"/>
      <c r="GD208" s="184"/>
      <c r="GE208" s="184"/>
      <c r="GF208" s="184"/>
      <c r="GG208" s="184"/>
      <c r="GH208" s="184"/>
      <c r="GI208" s="184"/>
    </row>
    <row r="209" spans="1:191" s="186" customFormat="1" ht="15" customHeight="1">
      <c r="A209" s="184"/>
      <c r="B209" s="190"/>
      <c r="C209" s="211"/>
      <c r="D209" s="193"/>
      <c r="E209" s="193"/>
      <c r="F209" s="188"/>
      <c r="G209" s="188"/>
      <c r="H209" s="190"/>
      <c r="I209" s="188"/>
      <c r="J209" s="184"/>
      <c r="K209" s="190"/>
      <c r="L209" s="190"/>
      <c r="M209" s="190"/>
      <c r="N209" s="184"/>
      <c r="O209" s="191"/>
      <c r="P209" s="191"/>
      <c r="Q209" s="183"/>
      <c r="R209" s="183"/>
      <c r="S209" s="183"/>
      <c r="T209" s="184"/>
      <c r="U209" s="184"/>
      <c r="V209" s="188"/>
      <c r="AB209" s="184"/>
      <c r="AC209" s="184"/>
      <c r="AD209" s="184"/>
      <c r="AE209" s="184"/>
      <c r="AF209" s="184"/>
      <c r="AG209" s="184"/>
      <c r="AH209" s="184"/>
      <c r="AI209" s="184"/>
      <c r="AJ209" s="184"/>
      <c r="AK209" s="184"/>
      <c r="AL209" s="184"/>
      <c r="AM209" s="184"/>
      <c r="AN209" s="184"/>
      <c r="AO209" s="184"/>
      <c r="AP209" s="184"/>
      <c r="AQ209" s="184"/>
      <c r="AR209" s="184"/>
      <c r="AS209" s="184"/>
      <c r="AT209" s="184"/>
      <c r="AU209" s="184"/>
      <c r="AV209" s="184"/>
      <c r="AW209" s="184"/>
      <c r="AX209" s="184"/>
      <c r="AY209" s="184"/>
      <c r="AZ209" s="184"/>
      <c r="BA209" s="184"/>
      <c r="BB209" s="184"/>
      <c r="BC209" s="184"/>
      <c r="BD209" s="184"/>
      <c r="BE209" s="184"/>
      <c r="BF209" s="184"/>
      <c r="BG209" s="184"/>
      <c r="BH209" s="184"/>
      <c r="BI209" s="184"/>
      <c r="BJ209" s="184"/>
      <c r="BK209" s="184"/>
      <c r="BL209" s="184"/>
      <c r="BM209" s="184"/>
      <c r="BN209" s="184"/>
      <c r="BO209" s="184"/>
      <c r="BP209" s="184"/>
      <c r="BQ209" s="184"/>
      <c r="BR209" s="184"/>
      <c r="BS209" s="184"/>
      <c r="BT209" s="184"/>
      <c r="BU209" s="184"/>
      <c r="BV209" s="184"/>
      <c r="BW209" s="184"/>
      <c r="BX209" s="184"/>
      <c r="BY209" s="184"/>
      <c r="BZ209" s="184"/>
      <c r="CA209" s="184"/>
      <c r="CB209" s="184"/>
      <c r="CC209" s="184"/>
      <c r="CD209" s="184"/>
      <c r="CE209" s="184"/>
      <c r="CF209" s="184"/>
      <c r="CG209" s="184"/>
      <c r="CH209" s="184"/>
      <c r="CI209" s="184"/>
      <c r="CJ209" s="184"/>
      <c r="CK209" s="184"/>
      <c r="CL209" s="184"/>
      <c r="CM209" s="184"/>
      <c r="CN209" s="184"/>
      <c r="CO209" s="184"/>
      <c r="CP209" s="184"/>
      <c r="CQ209" s="184"/>
      <c r="CR209" s="184"/>
      <c r="CS209" s="184"/>
      <c r="CT209" s="184"/>
      <c r="CU209" s="184"/>
      <c r="CV209" s="184"/>
      <c r="CW209" s="184"/>
      <c r="CX209" s="184"/>
      <c r="CY209" s="184"/>
      <c r="CZ209" s="184"/>
      <c r="DA209" s="184"/>
      <c r="DB209" s="184"/>
      <c r="DC209" s="184"/>
      <c r="DD209" s="184"/>
      <c r="DE209" s="184"/>
      <c r="DF209" s="184"/>
      <c r="DG209" s="184"/>
      <c r="DH209" s="184"/>
      <c r="DI209" s="184"/>
      <c r="DJ209" s="184"/>
      <c r="DK209" s="184"/>
      <c r="DL209" s="184"/>
      <c r="DM209" s="184"/>
      <c r="DN209" s="184"/>
      <c r="DO209" s="184"/>
      <c r="DP209" s="184"/>
      <c r="DQ209" s="184"/>
      <c r="DR209" s="184"/>
      <c r="DS209" s="184"/>
      <c r="DT209" s="184"/>
      <c r="DU209" s="184"/>
      <c r="DV209" s="184"/>
      <c r="DW209" s="184"/>
      <c r="DX209" s="184"/>
      <c r="DY209" s="184"/>
      <c r="DZ209" s="184"/>
      <c r="EA209" s="184"/>
      <c r="EB209" s="184"/>
      <c r="EC209" s="184"/>
      <c r="ED209" s="184"/>
      <c r="EE209" s="184"/>
      <c r="EF209" s="184"/>
      <c r="EG209" s="184"/>
      <c r="EH209" s="184"/>
      <c r="EI209" s="184"/>
      <c r="EJ209" s="184"/>
      <c r="EK209" s="184"/>
      <c r="EL209" s="184"/>
      <c r="EM209" s="184"/>
      <c r="EN209" s="184"/>
      <c r="EO209" s="184"/>
      <c r="EP209" s="184"/>
      <c r="EQ209" s="184"/>
      <c r="ER209" s="184"/>
      <c r="ES209" s="184"/>
      <c r="ET209" s="184"/>
      <c r="EU209" s="184"/>
      <c r="EV209" s="184"/>
      <c r="EW209" s="184"/>
      <c r="EX209" s="184"/>
      <c r="EY209" s="184"/>
      <c r="EZ209" s="184"/>
      <c r="FA209" s="184"/>
      <c r="FB209" s="184"/>
      <c r="FC209" s="184"/>
      <c r="FD209" s="184"/>
      <c r="FE209" s="184"/>
      <c r="FF209" s="184"/>
      <c r="FG209" s="184"/>
      <c r="FH209" s="184"/>
      <c r="FI209" s="184"/>
      <c r="FJ209" s="184"/>
      <c r="FK209" s="184"/>
      <c r="FL209" s="184"/>
      <c r="FM209" s="184"/>
      <c r="FN209" s="184"/>
      <c r="FO209" s="184"/>
      <c r="FP209" s="184"/>
      <c r="FQ209" s="184"/>
      <c r="FR209" s="184"/>
      <c r="FS209" s="184"/>
      <c r="FT209" s="184"/>
      <c r="FU209" s="184"/>
      <c r="FV209" s="184"/>
      <c r="FW209" s="184"/>
      <c r="FX209" s="184"/>
      <c r="FY209" s="184"/>
      <c r="FZ209" s="184"/>
      <c r="GA209" s="184"/>
      <c r="GB209" s="184"/>
      <c r="GC209" s="184"/>
      <c r="GD209" s="184"/>
      <c r="GE209" s="184"/>
      <c r="GF209" s="184"/>
      <c r="GG209" s="184"/>
      <c r="GH209" s="184"/>
      <c r="GI209" s="184"/>
    </row>
    <row r="210" spans="1:191" s="186" customFormat="1" ht="15" customHeight="1">
      <c r="A210" s="184"/>
      <c r="B210" s="190"/>
      <c r="C210" s="211"/>
      <c r="D210" s="193"/>
      <c r="E210" s="193"/>
      <c r="F210" s="188"/>
      <c r="G210" s="188"/>
      <c r="H210" s="190"/>
      <c r="I210" s="188"/>
      <c r="J210" s="184"/>
      <c r="K210" s="190"/>
      <c r="L210" s="190"/>
      <c r="M210" s="190"/>
      <c r="N210" s="184"/>
      <c r="O210" s="191"/>
      <c r="P210" s="191"/>
      <c r="Q210" s="183"/>
      <c r="R210" s="183"/>
      <c r="S210" s="183"/>
      <c r="T210" s="184"/>
      <c r="U210" s="184"/>
      <c r="V210" s="188"/>
      <c r="AB210" s="184"/>
      <c r="AC210" s="184"/>
      <c r="AD210" s="184"/>
      <c r="AE210" s="184"/>
      <c r="AF210" s="184"/>
      <c r="AG210" s="184"/>
      <c r="AH210" s="184"/>
      <c r="AI210" s="184"/>
      <c r="AJ210" s="184"/>
      <c r="AK210" s="184"/>
      <c r="AL210" s="184"/>
      <c r="AM210" s="184"/>
      <c r="AN210" s="184"/>
      <c r="AO210" s="184"/>
      <c r="AP210" s="184"/>
      <c r="AQ210" s="184"/>
      <c r="AR210" s="184"/>
      <c r="AS210" s="184"/>
      <c r="AT210" s="184"/>
      <c r="AU210" s="184"/>
      <c r="AV210" s="184"/>
      <c r="AW210" s="184"/>
      <c r="AX210" s="184"/>
      <c r="AY210" s="184"/>
      <c r="AZ210" s="184"/>
      <c r="BA210" s="184"/>
      <c r="BB210" s="184"/>
      <c r="BC210" s="184"/>
      <c r="BD210" s="184"/>
      <c r="BE210" s="184"/>
      <c r="BF210" s="184"/>
      <c r="BG210" s="184"/>
      <c r="BH210" s="184"/>
      <c r="BI210" s="184"/>
      <c r="BJ210" s="184"/>
      <c r="BK210" s="184"/>
      <c r="BL210" s="184"/>
      <c r="BM210" s="184"/>
      <c r="BN210" s="184"/>
      <c r="BO210" s="184"/>
      <c r="BP210" s="184"/>
      <c r="BQ210" s="184"/>
      <c r="BR210" s="184"/>
      <c r="BS210" s="184"/>
      <c r="BT210" s="184"/>
      <c r="BU210" s="184"/>
      <c r="BV210" s="184"/>
      <c r="BW210" s="184"/>
      <c r="BX210" s="184"/>
      <c r="BY210" s="184"/>
      <c r="BZ210" s="184"/>
      <c r="CA210" s="184"/>
      <c r="CB210" s="184"/>
      <c r="CC210" s="184"/>
      <c r="CD210" s="184"/>
      <c r="CE210" s="184"/>
      <c r="CF210" s="184"/>
      <c r="CG210" s="184"/>
      <c r="CH210" s="184"/>
      <c r="CI210" s="184"/>
      <c r="CJ210" s="184"/>
      <c r="CK210" s="184"/>
      <c r="CL210" s="184"/>
      <c r="CM210" s="184"/>
      <c r="CN210" s="184"/>
      <c r="CO210" s="184"/>
      <c r="CP210" s="184"/>
      <c r="CQ210" s="184"/>
      <c r="CR210" s="184"/>
      <c r="CS210" s="184"/>
      <c r="CT210" s="184"/>
      <c r="CU210" s="184"/>
      <c r="CV210" s="184"/>
      <c r="CW210" s="184"/>
      <c r="CX210" s="184"/>
      <c r="CY210" s="184"/>
      <c r="CZ210" s="184"/>
      <c r="DA210" s="184"/>
      <c r="DB210" s="184"/>
      <c r="DC210" s="184"/>
      <c r="DD210" s="184"/>
      <c r="DE210" s="184"/>
      <c r="DF210" s="184"/>
      <c r="DG210" s="184"/>
      <c r="DH210" s="184"/>
      <c r="DI210" s="184"/>
      <c r="DJ210" s="184"/>
      <c r="DK210" s="184"/>
      <c r="DL210" s="184"/>
      <c r="DM210" s="184"/>
      <c r="DN210" s="184"/>
      <c r="DO210" s="184"/>
      <c r="DP210" s="184"/>
      <c r="DQ210" s="184"/>
      <c r="DR210" s="184"/>
      <c r="DS210" s="184"/>
      <c r="DT210" s="184"/>
      <c r="DU210" s="184"/>
      <c r="DV210" s="184"/>
      <c r="DW210" s="184"/>
      <c r="DX210" s="184"/>
      <c r="DY210" s="184"/>
      <c r="DZ210" s="184"/>
      <c r="EA210" s="184"/>
      <c r="EB210" s="184"/>
      <c r="EC210" s="184"/>
      <c r="ED210" s="184"/>
      <c r="EE210" s="184"/>
      <c r="EF210" s="184"/>
      <c r="EG210" s="184"/>
      <c r="EH210" s="184"/>
      <c r="EI210" s="184"/>
      <c r="EJ210" s="184"/>
      <c r="EK210" s="184"/>
      <c r="EL210" s="184"/>
      <c r="EM210" s="184"/>
      <c r="EN210" s="184"/>
      <c r="EO210" s="184"/>
      <c r="EP210" s="184"/>
      <c r="EQ210" s="184"/>
      <c r="ER210" s="184"/>
      <c r="ES210" s="184"/>
      <c r="ET210" s="184"/>
      <c r="EU210" s="184"/>
      <c r="EV210" s="184"/>
      <c r="EW210" s="184"/>
      <c r="EX210" s="184"/>
      <c r="EY210" s="184"/>
      <c r="EZ210" s="184"/>
      <c r="FA210" s="184"/>
      <c r="FB210" s="184"/>
      <c r="FC210" s="184"/>
      <c r="FD210" s="184"/>
      <c r="FE210" s="184"/>
      <c r="FF210" s="184"/>
      <c r="FG210" s="184"/>
      <c r="FH210" s="184"/>
      <c r="FI210" s="184"/>
      <c r="FJ210" s="184"/>
      <c r="FK210" s="184"/>
      <c r="FL210" s="184"/>
      <c r="FM210" s="184"/>
      <c r="FN210" s="184"/>
      <c r="FO210" s="184"/>
      <c r="FP210" s="184"/>
      <c r="FQ210" s="184"/>
      <c r="FR210" s="184"/>
      <c r="FS210" s="184"/>
      <c r="FT210" s="184"/>
      <c r="FU210" s="184"/>
      <c r="FV210" s="184"/>
      <c r="FW210" s="184"/>
      <c r="FX210" s="184"/>
      <c r="FY210" s="184"/>
      <c r="FZ210" s="184"/>
      <c r="GA210" s="184"/>
      <c r="GB210" s="184"/>
      <c r="GC210" s="184"/>
      <c r="GD210" s="184"/>
      <c r="GE210" s="184"/>
      <c r="GF210" s="184"/>
      <c r="GG210" s="184"/>
      <c r="GH210" s="184"/>
      <c r="GI210" s="184"/>
    </row>
    <row r="211" spans="1:191" s="186" customFormat="1" ht="15" customHeight="1">
      <c r="A211" s="184"/>
      <c r="B211" s="190"/>
      <c r="C211" s="211"/>
      <c r="D211" s="193"/>
      <c r="E211" s="193"/>
      <c r="F211" s="188"/>
      <c r="G211" s="188"/>
      <c r="H211" s="190"/>
      <c r="I211" s="188"/>
      <c r="J211" s="184"/>
      <c r="K211" s="190"/>
      <c r="L211" s="190"/>
      <c r="M211" s="190"/>
      <c r="N211" s="184"/>
      <c r="O211" s="191"/>
      <c r="P211" s="191"/>
      <c r="Q211" s="183"/>
      <c r="R211" s="183"/>
      <c r="S211" s="183"/>
      <c r="T211" s="184"/>
      <c r="U211" s="184"/>
      <c r="V211" s="188"/>
      <c r="AB211" s="184"/>
      <c r="AC211" s="184"/>
      <c r="AD211" s="184"/>
      <c r="AE211" s="184"/>
      <c r="AF211" s="184"/>
      <c r="AG211" s="184"/>
      <c r="AH211" s="184"/>
      <c r="AI211" s="184"/>
      <c r="AJ211" s="184"/>
      <c r="AK211" s="184"/>
      <c r="AL211" s="184"/>
      <c r="AM211" s="184"/>
      <c r="AN211" s="184"/>
      <c r="AO211" s="184"/>
      <c r="AP211" s="184"/>
      <c r="AQ211" s="184"/>
      <c r="AR211" s="184"/>
      <c r="AS211" s="184"/>
      <c r="AT211" s="184"/>
      <c r="AU211" s="184"/>
      <c r="AV211" s="184"/>
      <c r="AW211" s="184"/>
      <c r="AX211" s="184"/>
      <c r="AY211" s="184"/>
      <c r="AZ211" s="184"/>
      <c r="BA211" s="184"/>
      <c r="BB211" s="184"/>
      <c r="BC211" s="184"/>
      <c r="BD211" s="184"/>
      <c r="BE211" s="184"/>
      <c r="BF211" s="184"/>
      <c r="BG211" s="184"/>
      <c r="BH211" s="184"/>
      <c r="BI211" s="184"/>
      <c r="BJ211" s="184"/>
      <c r="BK211" s="184"/>
      <c r="BL211" s="184"/>
      <c r="BM211" s="184"/>
      <c r="BN211" s="184"/>
      <c r="BO211" s="184"/>
      <c r="BP211" s="184"/>
      <c r="BQ211" s="184"/>
      <c r="BR211" s="184"/>
      <c r="BS211" s="184"/>
      <c r="BT211" s="184"/>
      <c r="BU211" s="184"/>
      <c r="BV211" s="184"/>
      <c r="BW211" s="184"/>
      <c r="BX211" s="184"/>
      <c r="BY211" s="184"/>
      <c r="BZ211" s="184"/>
      <c r="CA211" s="184"/>
      <c r="CB211" s="184"/>
      <c r="CC211" s="184"/>
      <c r="CD211" s="184"/>
      <c r="CE211" s="184"/>
      <c r="CF211" s="184"/>
      <c r="CG211" s="184"/>
      <c r="CH211" s="184"/>
      <c r="CI211" s="184"/>
      <c r="CJ211" s="184"/>
      <c r="CK211" s="184"/>
      <c r="CL211" s="184"/>
      <c r="CM211" s="184"/>
      <c r="CN211" s="184"/>
      <c r="CO211" s="184"/>
      <c r="CP211" s="184"/>
      <c r="CQ211" s="184"/>
      <c r="CR211" s="184"/>
      <c r="CS211" s="184"/>
      <c r="CT211" s="184"/>
      <c r="CU211" s="184"/>
      <c r="CV211" s="184"/>
      <c r="CW211" s="184"/>
      <c r="CX211" s="184"/>
      <c r="CY211" s="184"/>
      <c r="CZ211" s="184"/>
      <c r="DA211" s="184"/>
      <c r="DB211" s="184"/>
      <c r="DC211" s="184"/>
      <c r="DD211" s="184"/>
      <c r="DE211" s="184"/>
      <c r="DF211" s="184"/>
      <c r="DG211" s="184"/>
      <c r="DH211" s="184"/>
      <c r="DI211" s="184"/>
      <c r="DJ211" s="184"/>
      <c r="DK211" s="184"/>
      <c r="DL211" s="184"/>
      <c r="DM211" s="184"/>
      <c r="DN211" s="184"/>
      <c r="DO211" s="184"/>
      <c r="DP211" s="184"/>
      <c r="DQ211" s="184"/>
      <c r="DR211" s="184"/>
      <c r="DS211" s="184"/>
      <c r="DT211" s="184"/>
      <c r="DU211" s="184"/>
      <c r="DV211" s="184"/>
      <c r="DW211" s="184"/>
      <c r="DX211" s="184"/>
      <c r="DY211" s="184"/>
      <c r="DZ211" s="184"/>
      <c r="EA211" s="184"/>
      <c r="EB211" s="184"/>
      <c r="EC211" s="184"/>
      <c r="ED211" s="184"/>
      <c r="EE211" s="184"/>
      <c r="EF211" s="184"/>
      <c r="EG211" s="184"/>
      <c r="EH211" s="184"/>
      <c r="EI211" s="184"/>
      <c r="EJ211" s="184"/>
      <c r="EK211" s="184"/>
      <c r="EL211" s="184"/>
      <c r="EM211" s="184"/>
      <c r="EN211" s="184"/>
      <c r="EO211" s="184"/>
      <c r="EP211" s="184"/>
      <c r="EQ211" s="184"/>
      <c r="ER211" s="184"/>
      <c r="ES211" s="184"/>
      <c r="ET211" s="184"/>
      <c r="EU211" s="184"/>
      <c r="EV211" s="184"/>
      <c r="EW211" s="184"/>
      <c r="EX211" s="184"/>
      <c r="EY211" s="184"/>
      <c r="EZ211" s="184"/>
      <c r="FA211" s="184"/>
      <c r="FB211" s="184"/>
      <c r="FC211" s="184"/>
      <c r="FD211" s="184"/>
      <c r="FE211" s="184"/>
      <c r="FF211" s="184"/>
      <c r="FG211" s="184"/>
      <c r="FH211" s="184"/>
      <c r="FI211" s="184"/>
      <c r="FJ211" s="184"/>
      <c r="FK211" s="184"/>
      <c r="FL211" s="184"/>
      <c r="FM211" s="184"/>
      <c r="FN211" s="184"/>
      <c r="FO211" s="184"/>
      <c r="FP211" s="184"/>
      <c r="FQ211" s="184"/>
      <c r="FR211" s="184"/>
      <c r="FS211" s="184"/>
      <c r="FT211" s="184"/>
      <c r="FU211" s="184"/>
      <c r="FV211" s="184"/>
      <c r="FW211" s="184"/>
      <c r="FX211" s="184"/>
      <c r="FY211" s="184"/>
      <c r="FZ211" s="184"/>
      <c r="GA211" s="184"/>
      <c r="GB211" s="184"/>
      <c r="GC211" s="184"/>
      <c r="GD211" s="184"/>
      <c r="GE211" s="184"/>
      <c r="GF211" s="184"/>
      <c r="GG211" s="184"/>
      <c r="GH211" s="184"/>
      <c r="GI211" s="184"/>
    </row>
    <row r="212" spans="1:191" s="186" customFormat="1" ht="15" customHeight="1">
      <c r="A212" s="184"/>
      <c r="B212" s="190"/>
      <c r="C212" s="211"/>
      <c r="D212" s="193"/>
      <c r="E212" s="193"/>
      <c r="F212" s="188"/>
      <c r="G212" s="188"/>
      <c r="H212" s="190"/>
      <c r="I212" s="188"/>
      <c r="J212" s="184"/>
      <c r="K212" s="190"/>
      <c r="L212" s="190"/>
      <c r="M212" s="190"/>
      <c r="N212" s="184"/>
      <c r="O212" s="191"/>
      <c r="P212" s="191"/>
      <c r="Q212" s="183"/>
      <c r="R212" s="183"/>
      <c r="S212" s="183"/>
      <c r="T212" s="184"/>
      <c r="U212" s="184"/>
      <c r="V212" s="188"/>
      <c r="AB212" s="184"/>
      <c r="AC212" s="184"/>
      <c r="AD212" s="184"/>
      <c r="AE212" s="184"/>
      <c r="AF212" s="184"/>
      <c r="AG212" s="184"/>
      <c r="AH212" s="184"/>
      <c r="AI212" s="184"/>
      <c r="AJ212" s="184"/>
      <c r="AK212" s="184"/>
      <c r="AL212" s="184"/>
      <c r="AM212" s="184"/>
      <c r="AN212" s="184"/>
      <c r="AO212" s="184"/>
      <c r="AP212" s="184"/>
      <c r="AQ212" s="184"/>
      <c r="AR212" s="184"/>
      <c r="AS212" s="184"/>
      <c r="AT212" s="184"/>
      <c r="AU212" s="184"/>
      <c r="AV212" s="184"/>
      <c r="AW212" s="184"/>
      <c r="AX212" s="184"/>
      <c r="AY212" s="184"/>
      <c r="AZ212" s="184"/>
      <c r="BA212" s="184"/>
      <c r="BB212" s="184"/>
      <c r="BC212" s="184"/>
      <c r="BD212" s="184"/>
      <c r="BE212" s="184"/>
      <c r="BF212" s="184"/>
      <c r="BG212" s="184"/>
      <c r="BH212" s="184"/>
      <c r="BI212" s="184"/>
      <c r="BJ212" s="184"/>
      <c r="BK212" s="184"/>
      <c r="BL212" s="184"/>
      <c r="BM212" s="184"/>
      <c r="BN212" s="184"/>
      <c r="BO212" s="184"/>
      <c r="BP212" s="184"/>
      <c r="BQ212" s="184"/>
      <c r="BR212" s="184"/>
      <c r="BS212" s="184"/>
      <c r="BT212" s="184"/>
      <c r="BU212" s="184"/>
      <c r="BV212" s="184"/>
      <c r="BW212" s="184"/>
      <c r="BX212" s="184"/>
      <c r="BY212" s="184"/>
      <c r="BZ212" s="184"/>
      <c r="CA212" s="184"/>
      <c r="CB212" s="184"/>
      <c r="CC212" s="184"/>
      <c r="CD212" s="184"/>
      <c r="CE212" s="184"/>
      <c r="CF212" s="184"/>
      <c r="CG212" s="184"/>
      <c r="CH212" s="184"/>
      <c r="CI212" s="184"/>
      <c r="CJ212" s="184"/>
      <c r="CK212" s="184"/>
      <c r="CL212" s="184"/>
      <c r="CM212" s="184"/>
      <c r="CN212" s="184"/>
      <c r="CO212" s="184"/>
      <c r="CP212" s="184"/>
      <c r="CQ212" s="184"/>
      <c r="CR212" s="184"/>
      <c r="CS212" s="184"/>
      <c r="CT212" s="184"/>
      <c r="CU212" s="184"/>
      <c r="CV212" s="184"/>
      <c r="CW212" s="184"/>
      <c r="CX212" s="184"/>
      <c r="CY212" s="184"/>
      <c r="CZ212" s="184"/>
      <c r="DA212" s="184"/>
      <c r="DB212" s="184"/>
      <c r="DC212" s="184"/>
      <c r="DD212" s="184"/>
      <c r="DE212" s="184"/>
      <c r="DF212" s="184"/>
      <c r="DG212" s="184"/>
      <c r="DH212" s="184"/>
      <c r="DI212" s="184"/>
      <c r="DJ212" s="184"/>
      <c r="DK212" s="184"/>
      <c r="DL212" s="184"/>
      <c r="DM212" s="184"/>
      <c r="DN212" s="184"/>
      <c r="DO212" s="184"/>
      <c r="DP212" s="184"/>
      <c r="DQ212" s="184"/>
      <c r="DR212" s="184"/>
      <c r="DS212" s="184"/>
      <c r="DT212" s="184"/>
      <c r="DU212" s="184"/>
      <c r="DV212" s="184"/>
      <c r="DW212" s="184"/>
      <c r="DX212" s="184"/>
      <c r="DY212" s="184"/>
      <c r="DZ212" s="184"/>
      <c r="EA212" s="184"/>
      <c r="EB212" s="184"/>
      <c r="EC212" s="184"/>
      <c r="ED212" s="184"/>
      <c r="EE212" s="184"/>
      <c r="EF212" s="184"/>
      <c r="EG212" s="184"/>
      <c r="EH212" s="184"/>
      <c r="EI212" s="184"/>
      <c r="EJ212" s="184"/>
      <c r="EK212" s="184"/>
      <c r="EL212" s="184"/>
      <c r="EM212" s="184"/>
      <c r="EN212" s="184"/>
      <c r="EO212" s="184"/>
      <c r="EP212" s="184"/>
      <c r="EQ212" s="184"/>
      <c r="ER212" s="184"/>
      <c r="ES212" s="184"/>
      <c r="ET212" s="184"/>
      <c r="EU212" s="184"/>
      <c r="EV212" s="184"/>
      <c r="EW212" s="184"/>
      <c r="EX212" s="184"/>
      <c r="EY212" s="184"/>
      <c r="EZ212" s="184"/>
      <c r="FA212" s="184"/>
      <c r="FB212" s="184"/>
      <c r="FC212" s="184"/>
      <c r="FD212" s="184"/>
      <c r="FE212" s="184"/>
      <c r="FF212" s="184"/>
      <c r="FG212" s="184"/>
      <c r="FH212" s="184"/>
      <c r="FI212" s="184"/>
      <c r="FJ212" s="184"/>
      <c r="FK212" s="184"/>
      <c r="FL212" s="184"/>
      <c r="FM212" s="184"/>
      <c r="FN212" s="184"/>
      <c r="FO212" s="184"/>
      <c r="FP212" s="184"/>
      <c r="FQ212" s="184"/>
      <c r="FR212" s="184"/>
      <c r="FS212" s="184"/>
      <c r="FT212" s="184"/>
      <c r="FU212" s="184"/>
      <c r="FV212" s="184"/>
      <c r="FW212" s="184"/>
      <c r="FX212" s="184"/>
      <c r="FY212" s="184"/>
      <c r="FZ212" s="184"/>
      <c r="GA212" s="184"/>
      <c r="GB212" s="184"/>
      <c r="GC212" s="184"/>
      <c r="GD212" s="184"/>
      <c r="GE212" s="184"/>
      <c r="GF212" s="184"/>
      <c r="GG212" s="184"/>
      <c r="GH212" s="184"/>
      <c r="GI212" s="184"/>
    </row>
    <row r="213" spans="1:191" s="186" customFormat="1" ht="15" customHeight="1">
      <c r="A213" s="184"/>
      <c r="B213" s="190"/>
      <c r="C213" s="211"/>
      <c r="D213" s="193"/>
      <c r="E213" s="193"/>
      <c r="F213" s="188"/>
      <c r="G213" s="188"/>
      <c r="H213" s="190"/>
      <c r="I213" s="188"/>
      <c r="J213" s="184"/>
      <c r="K213" s="190"/>
      <c r="L213" s="190"/>
      <c r="M213" s="190"/>
      <c r="N213" s="184"/>
      <c r="O213" s="191"/>
      <c r="P213" s="191"/>
      <c r="Q213" s="183"/>
      <c r="R213" s="183"/>
      <c r="S213" s="183"/>
      <c r="T213" s="184"/>
      <c r="U213" s="184"/>
      <c r="V213" s="188"/>
      <c r="AB213" s="184"/>
      <c r="AC213" s="184"/>
      <c r="AD213" s="184"/>
      <c r="AE213" s="184"/>
      <c r="AF213" s="184"/>
      <c r="AG213" s="184"/>
      <c r="AH213" s="184"/>
      <c r="AI213" s="184"/>
      <c r="AJ213" s="184"/>
      <c r="AK213" s="184"/>
      <c r="AL213" s="184"/>
      <c r="AM213" s="184"/>
      <c r="AN213" s="184"/>
      <c r="AO213" s="184"/>
      <c r="AP213" s="184"/>
      <c r="AQ213" s="184"/>
      <c r="AR213" s="184"/>
      <c r="AS213" s="184"/>
      <c r="AT213" s="184"/>
      <c r="AU213" s="184"/>
      <c r="AV213" s="184"/>
      <c r="AW213" s="184"/>
      <c r="AX213" s="184"/>
      <c r="AY213" s="184"/>
      <c r="AZ213" s="184"/>
      <c r="BA213" s="184"/>
      <c r="BB213" s="184"/>
      <c r="BC213" s="184"/>
      <c r="BD213" s="184"/>
      <c r="BE213" s="184"/>
      <c r="BF213" s="184"/>
      <c r="BG213" s="184"/>
      <c r="BH213" s="184"/>
      <c r="BI213" s="184"/>
      <c r="BJ213" s="184"/>
      <c r="BK213" s="184"/>
      <c r="BL213" s="184"/>
      <c r="BM213" s="184"/>
      <c r="BN213" s="184"/>
      <c r="BO213" s="184"/>
      <c r="BP213" s="184"/>
      <c r="BQ213" s="184"/>
      <c r="BR213" s="184"/>
      <c r="BS213" s="184"/>
      <c r="BT213" s="184"/>
      <c r="BU213" s="184"/>
      <c r="BV213" s="184"/>
      <c r="BW213" s="184"/>
      <c r="BX213" s="184"/>
      <c r="BY213" s="184"/>
      <c r="BZ213" s="184"/>
      <c r="CA213" s="184"/>
      <c r="CB213" s="184"/>
      <c r="CC213" s="184"/>
      <c r="CD213" s="184"/>
      <c r="CE213" s="184"/>
      <c r="CF213" s="184"/>
      <c r="CG213" s="184"/>
      <c r="CH213" s="184"/>
      <c r="CI213" s="184"/>
      <c r="CJ213" s="184"/>
      <c r="CK213" s="184"/>
      <c r="CL213" s="184"/>
      <c r="CM213" s="184"/>
      <c r="CN213" s="184"/>
      <c r="CO213" s="184"/>
      <c r="CP213" s="184"/>
      <c r="CQ213" s="184"/>
      <c r="CR213" s="184"/>
      <c r="CS213" s="184"/>
      <c r="CT213" s="184"/>
      <c r="CU213" s="184"/>
      <c r="CV213" s="184"/>
      <c r="CW213" s="184"/>
      <c r="CX213" s="184"/>
      <c r="CY213" s="184"/>
      <c r="CZ213" s="184"/>
      <c r="DA213" s="184"/>
      <c r="DB213" s="184"/>
      <c r="DC213" s="184"/>
      <c r="DD213" s="184"/>
      <c r="DE213" s="184"/>
      <c r="DF213" s="184"/>
      <c r="DG213" s="184"/>
      <c r="DH213" s="184"/>
      <c r="DI213" s="184"/>
      <c r="DJ213" s="184"/>
      <c r="DK213" s="184"/>
      <c r="DL213" s="184"/>
      <c r="DM213" s="184"/>
      <c r="DN213" s="184"/>
      <c r="DO213" s="184"/>
      <c r="DP213" s="184"/>
      <c r="DQ213" s="184"/>
      <c r="DR213" s="184"/>
      <c r="DS213" s="184"/>
      <c r="DT213" s="184"/>
      <c r="DU213" s="184"/>
      <c r="DV213" s="184"/>
      <c r="DW213" s="184"/>
      <c r="DX213" s="184"/>
      <c r="DY213" s="184"/>
      <c r="DZ213" s="184"/>
      <c r="EA213" s="184"/>
      <c r="EB213" s="184"/>
      <c r="EC213" s="184"/>
      <c r="ED213" s="184"/>
      <c r="EE213" s="184"/>
      <c r="EF213" s="184"/>
      <c r="EG213" s="184"/>
      <c r="EH213" s="184"/>
      <c r="EI213" s="184"/>
      <c r="EJ213" s="184"/>
      <c r="EK213" s="184"/>
      <c r="EL213" s="184"/>
      <c r="EM213" s="184"/>
      <c r="EN213" s="184"/>
      <c r="EO213" s="184"/>
      <c r="EP213" s="184"/>
      <c r="EQ213" s="184"/>
      <c r="ER213" s="184"/>
      <c r="ES213" s="184"/>
      <c r="ET213" s="184"/>
      <c r="EU213" s="184"/>
      <c r="EV213" s="184"/>
      <c r="EW213" s="184"/>
      <c r="EX213" s="184"/>
      <c r="EY213" s="184"/>
      <c r="EZ213" s="184"/>
      <c r="FA213" s="184"/>
      <c r="FB213" s="184"/>
      <c r="FC213" s="184"/>
      <c r="FD213" s="184"/>
      <c r="FE213" s="184"/>
      <c r="FF213" s="184"/>
      <c r="FG213" s="184"/>
      <c r="FH213" s="184"/>
      <c r="FI213" s="184"/>
      <c r="FJ213" s="184"/>
      <c r="FK213" s="184"/>
      <c r="FL213" s="184"/>
      <c r="FM213" s="184"/>
      <c r="FN213" s="184"/>
      <c r="FO213" s="184"/>
      <c r="FP213" s="184"/>
      <c r="FQ213" s="184"/>
      <c r="FR213" s="184"/>
      <c r="FS213" s="184"/>
      <c r="FT213" s="184"/>
      <c r="FU213" s="184"/>
      <c r="FV213" s="184"/>
      <c r="FW213" s="184"/>
      <c r="FX213" s="184"/>
      <c r="FY213" s="184"/>
      <c r="FZ213" s="184"/>
      <c r="GA213" s="184"/>
      <c r="GB213" s="184"/>
      <c r="GC213" s="184"/>
      <c r="GD213" s="184"/>
      <c r="GE213" s="184"/>
      <c r="GF213" s="184"/>
      <c r="GG213" s="184"/>
      <c r="GH213" s="184"/>
      <c r="GI213" s="184"/>
    </row>
    <row r="214" spans="1:191" s="186" customFormat="1" ht="15" customHeight="1">
      <c r="A214" s="184"/>
      <c r="B214" s="190"/>
      <c r="C214" s="211"/>
      <c r="D214" s="193"/>
      <c r="E214" s="193"/>
      <c r="F214" s="188"/>
      <c r="G214" s="188"/>
      <c r="H214" s="190"/>
      <c r="I214" s="188"/>
      <c r="J214" s="184"/>
      <c r="K214" s="190"/>
      <c r="L214" s="190"/>
      <c r="M214" s="190"/>
      <c r="N214" s="184"/>
      <c r="O214" s="191"/>
      <c r="P214" s="191"/>
      <c r="Q214" s="183"/>
      <c r="R214" s="183"/>
      <c r="S214" s="183"/>
      <c r="T214" s="184"/>
      <c r="U214" s="184"/>
      <c r="V214" s="188"/>
      <c r="AB214" s="184"/>
      <c r="AC214" s="184"/>
      <c r="AD214" s="184"/>
      <c r="AE214" s="184"/>
      <c r="AF214" s="184"/>
      <c r="AG214" s="184"/>
      <c r="AH214" s="184"/>
      <c r="AI214" s="184"/>
      <c r="AJ214" s="184"/>
      <c r="AK214" s="184"/>
      <c r="AL214" s="184"/>
      <c r="AM214" s="184"/>
      <c r="AN214" s="184"/>
      <c r="AO214" s="184"/>
      <c r="AP214" s="184"/>
      <c r="AQ214" s="184"/>
      <c r="AR214" s="184"/>
      <c r="AS214" s="184"/>
      <c r="AT214" s="184"/>
      <c r="AU214" s="184"/>
      <c r="AV214" s="184"/>
      <c r="AW214" s="184"/>
      <c r="AX214" s="184"/>
      <c r="AY214" s="184"/>
      <c r="AZ214" s="184"/>
      <c r="BA214" s="184"/>
      <c r="BB214" s="184"/>
      <c r="BC214" s="184"/>
      <c r="BD214" s="184"/>
      <c r="BE214" s="184"/>
      <c r="BF214" s="184"/>
      <c r="BG214" s="184"/>
      <c r="BH214" s="184"/>
      <c r="BI214" s="184"/>
      <c r="BJ214" s="184"/>
      <c r="BK214" s="184"/>
      <c r="BL214" s="184"/>
      <c r="BM214" s="184"/>
      <c r="BN214" s="184"/>
      <c r="BO214" s="184"/>
      <c r="BP214" s="184"/>
      <c r="BQ214" s="184"/>
      <c r="BR214" s="184"/>
      <c r="BS214" s="184"/>
      <c r="BT214" s="184"/>
      <c r="BU214" s="184"/>
      <c r="BV214" s="184"/>
      <c r="BW214" s="184"/>
      <c r="BX214" s="184"/>
      <c r="BY214" s="184"/>
      <c r="BZ214" s="184"/>
      <c r="CA214" s="184"/>
      <c r="CB214" s="184"/>
      <c r="CC214" s="184"/>
      <c r="CD214" s="184"/>
      <c r="CE214" s="184"/>
      <c r="CF214" s="184"/>
      <c r="CG214" s="184"/>
      <c r="CH214" s="184"/>
      <c r="CI214" s="184"/>
      <c r="CJ214" s="184"/>
      <c r="CK214" s="184"/>
      <c r="CL214" s="184"/>
      <c r="CM214" s="184"/>
      <c r="CN214" s="184"/>
      <c r="CO214" s="184"/>
      <c r="CP214" s="184"/>
      <c r="CQ214" s="184"/>
      <c r="CR214" s="184"/>
      <c r="CS214" s="184"/>
      <c r="CT214" s="184"/>
      <c r="CU214" s="184"/>
      <c r="CV214" s="184"/>
      <c r="CW214" s="184"/>
      <c r="CX214" s="184"/>
      <c r="CY214" s="184"/>
      <c r="CZ214" s="184"/>
      <c r="DA214" s="184"/>
      <c r="DB214" s="184"/>
      <c r="DC214" s="184"/>
      <c r="DD214" s="184"/>
      <c r="DE214" s="184"/>
      <c r="DF214" s="184"/>
      <c r="DG214" s="184"/>
      <c r="DH214" s="184"/>
      <c r="DI214" s="184"/>
      <c r="DJ214" s="184"/>
      <c r="DK214" s="184"/>
      <c r="DL214" s="184"/>
      <c r="DM214" s="184"/>
      <c r="DN214" s="184"/>
      <c r="DO214" s="184"/>
      <c r="DP214" s="184"/>
      <c r="DQ214" s="184"/>
      <c r="DR214" s="184"/>
      <c r="DS214" s="184"/>
      <c r="DT214" s="184"/>
      <c r="DU214" s="184"/>
      <c r="DV214" s="184"/>
      <c r="DW214" s="184"/>
      <c r="DX214" s="184"/>
      <c r="DY214" s="184"/>
      <c r="DZ214" s="184"/>
      <c r="EA214" s="184"/>
      <c r="EB214" s="184"/>
      <c r="EC214" s="184"/>
      <c r="ED214" s="184"/>
      <c r="EE214" s="184"/>
      <c r="EF214" s="184"/>
      <c r="EG214" s="184"/>
      <c r="EH214" s="184"/>
      <c r="EI214" s="184"/>
      <c r="EJ214" s="184"/>
      <c r="EK214" s="184"/>
      <c r="EL214" s="184"/>
      <c r="EM214" s="184"/>
      <c r="EN214" s="184"/>
      <c r="EO214" s="184"/>
      <c r="EP214" s="184"/>
      <c r="EQ214" s="184"/>
      <c r="ER214" s="184"/>
      <c r="ES214" s="184"/>
      <c r="ET214" s="184"/>
      <c r="EU214" s="184"/>
      <c r="EV214" s="184"/>
      <c r="EW214" s="184"/>
      <c r="EX214" s="184"/>
      <c r="EY214" s="184"/>
      <c r="EZ214" s="184"/>
      <c r="FA214" s="184"/>
      <c r="FB214" s="184"/>
      <c r="FC214" s="184"/>
      <c r="FD214" s="184"/>
      <c r="FE214" s="184"/>
      <c r="FF214" s="184"/>
      <c r="FG214" s="184"/>
      <c r="FH214" s="184"/>
      <c r="FI214" s="184"/>
      <c r="FJ214" s="184"/>
      <c r="FK214" s="184"/>
      <c r="FL214" s="184"/>
      <c r="FM214" s="184"/>
      <c r="FN214" s="184"/>
      <c r="FO214" s="184"/>
      <c r="FP214" s="184"/>
      <c r="FQ214" s="184"/>
      <c r="FR214" s="184"/>
      <c r="FS214" s="184"/>
      <c r="FT214" s="184"/>
      <c r="FU214" s="184"/>
      <c r="FV214" s="184"/>
      <c r="FW214" s="184"/>
      <c r="FX214" s="184"/>
      <c r="FY214" s="184"/>
      <c r="FZ214" s="184"/>
      <c r="GA214" s="184"/>
      <c r="GB214" s="184"/>
      <c r="GC214" s="184"/>
      <c r="GD214" s="184"/>
      <c r="GE214" s="184"/>
      <c r="GF214" s="184"/>
      <c r="GG214" s="184"/>
      <c r="GH214" s="184"/>
      <c r="GI214" s="184"/>
    </row>
    <row r="215" spans="1:191" s="186" customFormat="1" ht="15" customHeight="1">
      <c r="A215" s="184"/>
      <c r="B215" s="190"/>
      <c r="C215" s="211"/>
      <c r="D215" s="193"/>
      <c r="E215" s="193"/>
      <c r="F215" s="188"/>
      <c r="G215" s="188"/>
      <c r="H215" s="190"/>
      <c r="I215" s="188"/>
      <c r="J215" s="184"/>
      <c r="K215" s="190"/>
      <c r="L215" s="190"/>
      <c r="M215" s="190"/>
      <c r="N215" s="184"/>
      <c r="O215" s="191"/>
      <c r="P215" s="191"/>
      <c r="Q215" s="183"/>
      <c r="R215" s="183"/>
      <c r="S215" s="183"/>
      <c r="T215" s="184"/>
      <c r="U215" s="184"/>
      <c r="V215" s="188"/>
      <c r="AB215" s="184"/>
      <c r="AC215" s="184"/>
      <c r="AD215" s="184"/>
      <c r="AE215" s="184"/>
      <c r="AF215" s="184"/>
      <c r="AG215" s="184"/>
      <c r="AH215" s="184"/>
      <c r="AI215" s="184"/>
      <c r="AJ215" s="184"/>
      <c r="AK215" s="184"/>
      <c r="AL215" s="184"/>
      <c r="AM215" s="184"/>
      <c r="AN215" s="184"/>
      <c r="AO215" s="184"/>
      <c r="AP215" s="184"/>
      <c r="AQ215" s="184"/>
      <c r="AR215" s="184"/>
      <c r="AS215" s="184"/>
      <c r="AT215" s="184"/>
      <c r="AU215" s="184"/>
      <c r="AV215" s="184"/>
      <c r="AW215" s="184"/>
      <c r="AX215" s="184"/>
      <c r="AY215" s="184"/>
      <c r="AZ215" s="184"/>
      <c r="BA215" s="184"/>
      <c r="BB215" s="184"/>
      <c r="BC215" s="184"/>
      <c r="BD215" s="184"/>
      <c r="BE215" s="184"/>
      <c r="BF215" s="184"/>
      <c r="BG215" s="184"/>
      <c r="BH215" s="184"/>
      <c r="BI215" s="184"/>
      <c r="BJ215" s="184"/>
      <c r="BK215" s="184"/>
      <c r="BL215" s="184"/>
      <c r="BM215" s="184"/>
      <c r="BN215" s="184"/>
      <c r="BO215" s="184"/>
      <c r="BP215" s="184"/>
      <c r="BQ215" s="184"/>
      <c r="BR215" s="184"/>
      <c r="BS215" s="184"/>
      <c r="BT215" s="184"/>
      <c r="BU215" s="184"/>
      <c r="BV215" s="184"/>
      <c r="BW215" s="184"/>
      <c r="BX215" s="184"/>
      <c r="BY215" s="184"/>
      <c r="BZ215" s="184"/>
      <c r="CA215" s="184"/>
      <c r="CB215" s="184"/>
      <c r="CC215" s="184"/>
      <c r="CD215" s="184"/>
      <c r="CE215" s="184"/>
      <c r="CF215" s="184"/>
      <c r="CG215" s="184"/>
      <c r="CH215" s="184"/>
      <c r="CI215" s="184"/>
      <c r="CJ215" s="184"/>
      <c r="CK215" s="184"/>
      <c r="CL215" s="184"/>
      <c r="CM215" s="184"/>
      <c r="CN215" s="184"/>
      <c r="CO215" s="184"/>
      <c r="CP215" s="184"/>
      <c r="CQ215" s="184"/>
      <c r="CR215" s="184"/>
      <c r="CS215" s="184"/>
      <c r="CT215" s="184"/>
      <c r="CU215" s="184"/>
      <c r="CV215" s="184"/>
      <c r="CW215" s="184"/>
      <c r="CX215" s="184"/>
      <c r="CY215" s="184"/>
      <c r="CZ215" s="184"/>
      <c r="DA215" s="184"/>
      <c r="DB215" s="184"/>
      <c r="DC215" s="184"/>
      <c r="DD215" s="184"/>
      <c r="DE215" s="184"/>
      <c r="DF215" s="184"/>
      <c r="DG215" s="184"/>
      <c r="DH215" s="184"/>
      <c r="DI215" s="184"/>
      <c r="DJ215" s="184"/>
      <c r="DK215" s="184"/>
      <c r="DL215" s="184"/>
      <c r="DM215" s="184"/>
      <c r="DN215" s="184"/>
      <c r="DO215" s="184"/>
      <c r="DP215" s="184"/>
      <c r="DQ215" s="184"/>
      <c r="DR215" s="184"/>
      <c r="DS215" s="184"/>
      <c r="DT215" s="184"/>
      <c r="DU215" s="184"/>
      <c r="DV215" s="184"/>
      <c r="DW215" s="184"/>
      <c r="DX215" s="184"/>
      <c r="DY215" s="184"/>
      <c r="DZ215" s="184"/>
      <c r="EA215" s="184"/>
      <c r="EB215" s="184"/>
      <c r="EC215" s="184"/>
      <c r="ED215" s="184"/>
      <c r="EE215" s="184"/>
      <c r="EF215" s="184"/>
      <c r="EG215" s="184"/>
      <c r="EH215" s="184"/>
      <c r="EI215" s="184"/>
      <c r="EJ215" s="184"/>
      <c r="EK215" s="184"/>
      <c r="EL215" s="184"/>
      <c r="EM215" s="184"/>
      <c r="EN215" s="184"/>
      <c r="EO215" s="184"/>
      <c r="EP215" s="184"/>
      <c r="EQ215" s="184"/>
      <c r="ER215" s="184"/>
      <c r="ES215" s="184"/>
      <c r="ET215" s="184"/>
      <c r="EU215" s="184"/>
      <c r="EV215" s="184"/>
      <c r="EW215" s="184"/>
      <c r="EX215" s="184"/>
      <c r="EY215" s="184"/>
      <c r="EZ215" s="184"/>
      <c r="FA215" s="184"/>
      <c r="FB215" s="184"/>
      <c r="FC215" s="184"/>
      <c r="FD215" s="184"/>
      <c r="FE215" s="184"/>
      <c r="FF215" s="184"/>
      <c r="FG215" s="184"/>
      <c r="FH215" s="184"/>
      <c r="FI215" s="184"/>
      <c r="FJ215" s="184"/>
      <c r="FK215" s="184"/>
      <c r="FL215" s="184"/>
      <c r="FM215" s="184"/>
      <c r="FN215" s="184"/>
      <c r="FO215" s="184"/>
      <c r="FP215" s="184"/>
      <c r="FQ215" s="184"/>
      <c r="FR215" s="184"/>
      <c r="FS215" s="184"/>
      <c r="FT215" s="184"/>
      <c r="FU215" s="184"/>
      <c r="FV215" s="184"/>
      <c r="FW215" s="184"/>
      <c r="FX215" s="184"/>
      <c r="FY215" s="184"/>
      <c r="FZ215" s="184"/>
      <c r="GA215" s="184"/>
      <c r="GB215" s="184"/>
      <c r="GC215" s="184"/>
      <c r="GD215" s="184"/>
      <c r="GE215" s="184"/>
      <c r="GF215" s="184"/>
      <c r="GG215" s="184"/>
      <c r="GH215" s="184"/>
      <c r="GI215" s="184"/>
    </row>
    <row r="216" spans="1:191" s="186" customFormat="1" ht="15" customHeight="1">
      <c r="A216" s="184"/>
      <c r="B216" s="190"/>
      <c r="C216" s="211"/>
      <c r="D216" s="193"/>
      <c r="E216" s="193"/>
      <c r="F216" s="188"/>
      <c r="G216" s="188"/>
      <c r="H216" s="190"/>
      <c r="I216" s="188"/>
      <c r="J216" s="184"/>
      <c r="K216" s="190"/>
      <c r="L216" s="190"/>
      <c r="M216" s="190"/>
      <c r="N216" s="184"/>
      <c r="O216" s="191"/>
      <c r="P216" s="191"/>
      <c r="Q216" s="183"/>
      <c r="R216" s="183"/>
      <c r="S216" s="183"/>
      <c r="T216" s="184"/>
      <c r="U216" s="184"/>
      <c r="V216" s="188"/>
      <c r="AB216" s="184"/>
      <c r="AC216" s="184"/>
      <c r="AD216" s="184"/>
      <c r="AE216" s="184"/>
      <c r="AF216" s="184"/>
      <c r="AG216" s="184"/>
      <c r="AH216" s="184"/>
      <c r="AI216" s="184"/>
      <c r="AJ216" s="184"/>
      <c r="AK216" s="184"/>
      <c r="AL216" s="184"/>
      <c r="AM216" s="184"/>
      <c r="AN216" s="184"/>
      <c r="AO216" s="184"/>
      <c r="AP216" s="184"/>
      <c r="AQ216" s="184"/>
      <c r="AR216" s="184"/>
      <c r="AS216" s="184"/>
      <c r="AT216" s="184"/>
      <c r="AU216" s="184"/>
      <c r="AV216" s="184"/>
      <c r="AW216" s="184"/>
      <c r="AX216" s="184"/>
      <c r="AY216" s="184"/>
      <c r="AZ216" s="184"/>
      <c r="BA216" s="184"/>
      <c r="BB216" s="184"/>
      <c r="BC216" s="184"/>
      <c r="BD216" s="184"/>
      <c r="BE216" s="184"/>
      <c r="BF216" s="184"/>
      <c r="BG216" s="184"/>
      <c r="BH216" s="184"/>
      <c r="BI216" s="184"/>
      <c r="BJ216" s="184"/>
      <c r="BK216" s="184"/>
      <c r="BL216" s="184"/>
      <c r="BM216" s="184"/>
      <c r="BN216" s="184"/>
      <c r="BO216" s="184"/>
      <c r="BP216" s="184"/>
      <c r="BQ216" s="184"/>
      <c r="BR216" s="184"/>
      <c r="BS216" s="184"/>
      <c r="BT216" s="184"/>
      <c r="BU216" s="184"/>
      <c r="BV216" s="184"/>
      <c r="BW216" s="184"/>
      <c r="BX216" s="184"/>
      <c r="BY216" s="184"/>
      <c r="BZ216" s="184"/>
      <c r="CA216" s="184"/>
      <c r="CB216" s="184"/>
      <c r="CC216" s="184"/>
      <c r="CD216" s="184"/>
      <c r="CE216" s="184"/>
      <c r="CF216" s="184"/>
      <c r="CG216" s="184"/>
      <c r="CH216" s="184"/>
      <c r="CI216" s="184"/>
      <c r="CJ216" s="184"/>
      <c r="CK216" s="184"/>
      <c r="CL216" s="184"/>
      <c r="CM216" s="184"/>
      <c r="CN216" s="184"/>
      <c r="CO216" s="184"/>
      <c r="CP216" s="184"/>
      <c r="CQ216" s="184"/>
      <c r="CR216" s="184"/>
      <c r="CS216" s="184"/>
      <c r="CT216" s="184"/>
      <c r="CU216" s="184"/>
      <c r="CV216" s="184"/>
      <c r="CW216" s="184"/>
      <c r="CX216" s="184"/>
      <c r="CY216" s="184"/>
      <c r="CZ216" s="184"/>
      <c r="DA216" s="184"/>
      <c r="DB216" s="184"/>
      <c r="DC216" s="184"/>
      <c r="DD216" s="184"/>
      <c r="DE216" s="184"/>
      <c r="DF216" s="184"/>
      <c r="DG216" s="184"/>
      <c r="DH216" s="184"/>
      <c r="DI216" s="184"/>
      <c r="DJ216" s="184"/>
      <c r="DK216" s="184"/>
      <c r="DL216" s="184"/>
      <c r="DM216" s="184"/>
      <c r="DN216" s="184"/>
      <c r="DO216" s="184"/>
      <c r="DP216" s="184"/>
      <c r="DQ216" s="184"/>
      <c r="DR216" s="184"/>
      <c r="DS216" s="184"/>
      <c r="DT216" s="184"/>
      <c r="DU216" s="184"/>
      <c r="DV216" s="184"/>
      <c r="DW216" s="184"/>
      <c r="DX216" s="184"/>
      <c r="DY216" s="184"/>
      <c r="DZ216" s="184"/>
      <c r="EA216" s="184"/>
      <c r="EB216" s="184"/>
      <c r="EC216" s="184"/>
      <c r="ED216" s="184"/>
      <c r="EE216" s="184"/>
      <c r="EF216" s="184"/>
      <c r="EG216" s="184"/>
      <c r="EH216" s="184"/>
      <c r="EI216" s="184"/>
      <c r="EJ216" s="184"/>
      <c r="EK216" s="184"/>
      <c r="EL216" s="184"/>
      <c r="EM216" s="184"/>
      <c r="EN216" s="184"/>
      <c r="EO216" s="184"/>
      <c r="EP216" s="184"/>
      <c r="EQ216" s="184"/>
      <c r="ER216" s="184"/>
      <c r="ES216" s="184"/>
      <c r="ET216" s="184"/>
      <c r="EU216" s="184"/>
      <c r="EV216" s="184"/>
      <c r="EW216" s="184"/>
      <c r="EX216" s="184"/>
      <c r="EY216" s="184"/>
      <c r="EZ216" s="184"/>
      <c r="FA216" s="184"/>
      <c r="FB216" s="184"/>
      <c r="FC216" s="184"/>
      <c r="FD216" s="184"/>
      <c r="FE216" s="184"/>
      <c r="FF216" s="184"/>
      <c r="FG216" s="184"/>
      <c r="FH216" s="184"/>
      <c r="FI216" s="184"/>
      <c r="FJ216" s="184"/>
      <c r="FK216" s="184"/>
      <c r="FL216" s="184"/>
      <c r="FM216" s="184"/>
      <c r="FN216" s="184"/>
      <c r="FO216" s="184"/>
      <c r="FP216" s="184"/>
      <c r="FQ216" s="184"/>
      <c r="FR216" s="184"/>
      <c r="FS216" s="184"/>
      <c r="FT216" s="184"/>
      <c r="FU216" s="184"/>
      <c r="FV216" s="184"/>
      <c r="FW216" s="184"/>
      <c r="FX216" s="184"/>
      <c r="FY216" s="184"/>
      <c r="FZ216" s="184"/>
      <c r="GA216" s="184"/>
      <c r="GB216" s="184"/>
      <c r="GC216" s="184"/>
      <c r="GD216" s="184"/>
      <c r="GE216" s="184"/>
      <c r="GF216" s="184"/>
      <c r="GG216" s="184"/>
      <c r="GH216" s="184"/>
      <c r="GI216" s="184"/>
    </row>
    <row r="217" spans="1:191" s="186" customFormat="1" ht="15" customHeight="1">
      <c r="A217" s="184"/>
      <c r="B217" s="190"/>
      <c r="C217" s="211"/>
      <c r="D217" s="193"/>
      <c r="E217" s="193"/>
      <c r="F217" s="188"/>
      <c r="G217" s="188"/>
      <c r="H217" s="190"/>
      <c r="I217" s="188"/>
      <c r="J217" s="184"/>
      <c r="K217" s="190"/>
      <c r="L217" s="190"/>
      <c r="M217" s="190"/>
      <c r="N217" s="184"/>
      <c r="O217" s="191"/>
      <c r="P217" s="191"/>
      <c r="Q217" s="183"/>
      <c r="R217" s="183"/>
      <c r="S217" s="183"/>
      <c r="T217" s="184"/>
      <c r="U217" s="184"/>
      <c r="V217" s="188"/>
      <c r="AB217" s="184"/>
      <c r="AC217" s="184"/>
      <c r="AD217" s="184"/>
      <c r="AE217" s="184"/>
      <c r="AF217" s="184"/>
      <c r="AG217" s="184"/>
      <c r="AH217" s="184"/>
      <c r="AI217" s="184"/>
      <c r="AJ217" s="184"/>
      <c r="AK217" s="184"/>
      <c r="AL217" s="184"/>
      <c r="AM217" s="184"/>
      <c r="AN217" s="184"/>
      <c r="AO217" s="184"/>
      <c r="AP217" s="184"/>
      <c r="AQ217" s="184"/>
      <c r="AR217" s="184"/>
      <c r="AS217" s="184"/>
      <c r="AT217" s="184"/>
      <c r="AU217" s="184"/>
      <c r="AV217" s="184"/>
      <c r="AW217" s="184"/>
      <c r="AX217" s="184"/>
      <c r="AY217" s="184"/>
      <c r="AZ217" s="184"/>
      <c r="BA217" s="184"/>
      <c r="BB217" s="184"/>
      <c r="BC217" s="184"/>
      <c r="BD217" s="184"/>
      <c r="BE217" s="184"/>
      <c r="BF217" s="184"/>
      <c r="BG217" s="184"/>
      <c r="BH217" s="184"/>
      <c r="BI217" s="184"/>
      <c r="BJ217" s="184"/>
      <c r="BK217" s="184"/>
      <c r="BL217" s="184"/>
      <c r="BM217" s="184"/>
      <c r="BN217" s="184"/>
      <c r="BO217" s="184"/>
      <c r="BP217" s="184"/>
      <c r="BQ217" s="184"/>
      <c r="BR217" s="184"/>
      <c r="BS217" s="184"/>
      <c r="BT217" s="184"/>
      <c r="BU217" s="184"/>
      <c r="BV217" s="184"/>
      <c r="BW217" s="184"/>
      <c r="BX217" s="184"/>
      <c r="BY217" s="184"/>
      <c r="BZ217" s="184"/>
      <c r="CA217" s="184"/>
      <c r="CB217" s="184"/>
      <c r="CC217" s="184"/>
      <c r="CD217" s="184"/>
      <c r="CE217" s="184"/>
      <c r="CF217" s="184"/>
      <c r="CG217" s="184"/>
      <c r="CH217" s="184"/>
      <c r="CI217" s="184"/>
      <c r="CJ217" s="184"/>
      <c r="CK217" s="184"/>
      <c r="CL217" s="184"/>
      <c r="CM217" s="184"/>
      <c r="CN217" s="184"/>
      <c r="CO217" s="184"/>
      <c r="CP217" s="184"/>
      <c r="CQ217" s="184"/>
      <c r="CR217" s="184"/>
      <c r="CS217" s="184"/>
      <c r="CT217" s="184"/>
      <c r="CU217" s="184"/>
      <c r="CV217" s="184"/>
      <c r="CW217" s="184"/>
      <c r="CX217" s="184"/>
      <c r="CY217" s="184"/>
      <c r="CZ217" s="184"/>
      <c r="DA217" s="184"/>
      <c r="DB217" s="184"/>
      <c r="DC217" s="184"/>
      <c r="DD217" s="184"/>
      <c r="DE217" s="184"/>
      <c r="DF217" s="184"/>
      <c r="DG217" s="184"/>
      <c r="DH217" s="184"/>
      <c r="DI217" s="184"/>
      <c r="DJ217" s="184"/>
      <c r="DK217" s="184"/>
      <c r="DL217" s="184"/>
      <c r="DM217" s="184"/>
      <c r="DN217" s="184"/>
      <c r="DO217" s="184"/>
      <c r="DP217" s="184"/>
      <c r="DQ217" s="184"/>
      <c r="DR217" s="184"/>
      <c r="DS217" s="184"/>
      <c r="DT217" s="184"/>
      <c r="DU217" s="184"/>
      <c r="DV217" s="184"/>
      <c r="DW217" s="184"/>
      <c r="DX217" s="184"/>
      <c r="DY217" s="184"/>
      <c r="DZ217" s="184"/>
      <c r="EA217" s="184"/>
      <c r="EB217" s="184"/>
      <c r="EC217" s="184"/>
      <c r="ED217" s="184"/>
      <c r="EE217" s="184"/>
      <c r="EF217" s="184"/>
      <c r="EG217" s="184"/>
      <c r="EH217" s="184"/>
      <c r="EI217" s="184"/>
      <c r="EJ217" s="184"/>
      <c r="EK217" s="184"/>
      <c r="EL217" s="184"/>
      <c r="EM217" s="184"/>
      <c r="EN217" s="184"/>
      <c r="EO217" s="184"/>
      <c r="EP217" s="184"/>
      <c r="EQ217" s="184"/>
      <c r="ER217" s="184"/>
      <c r="ES217" s="184"/>
      <c r="ET217" s="184"/>
      <c r="EU217" s="184"/>
      <c r="EV217" s="184"/>
      <c r="EW217" s="184"/>
      <c r="EX217" s="184"/>
      <c r="EY217" s="184"/>
      <c r="EZ217" s="184"/>
      <c r="FA217" s="184"/>
      <c r="FB217" s="184"/>
      <c r="FC217" s="184"/>
      <c r="FD217" s="184"/>
      <c r="FE217" s="184"/>
      <c r="FF217" s="184"/>
      <c r="FG217" s="184"/>
      <c r="FH217" s="184"/>
      <c r="FI217" s="184"/>
      <c r="FJ217" s="184"/>
      <c r="FK217" s="184"/>
      <c r="FL217" s="184"/>
      <c r="FM217" s="184"/>
      <c r="FN217" s="184"/>
      <c r="FO217" s="184"/>
      <c r="FP217" s="184"/>
      <c r="FQ217" s="184"/>
      <c r="FR217" s="184"/>
      <c r="FS217" s="184"/>
      <c r="FT217" s="184"/>
      <c r="FU217" s="184"/>
      <c r="FV217" s="184"/>
      <c r="FW217" s="184"/>
      <c r="FX217" s="184"/>
      <c r="FY217" s="184"/>
      <c r="FZ217" s="184"/>
      <c r="GA217" s="184"/>
      <c r="GB217" s="184"/>
      <c r="GC217" s="184"/>
      <c r="GD217" s="184"/>
      <c r="GE217" s="184"/>
      <c r="GF217" s="184"/>
      <c r="GG217" s="184"/>
      <c r="GH217" s="184"/>
      <c r="GI217" s="184"/>
    </row>
    <row r="218" spans="1:191" s="186" customFormat="1" ht="15" customHeight="1">
      <c r="A218" s="184"/>
      <c r="B218" s="190"/>
      <c r="C218" s="211"/>
      <c r="D218" s="193"/>
      <c r="E218" s="193"/>
      <c r="F218" s="188"/>
      <c r="G218" s="188"/>
      <c r="H218" s="190"/>
      <c r="I218" s="188"/>
      <c r="J218" s="184"/>
      <c r="K218" s="190"/>
      <c r="L218" s="190"/>
      <c r="M218" s="190"/>
      <c r="N218" s="184"/>
      <c r="O218" s="191"/>
      <c r="P218" s="191"/>
      <c r="Q218" s="183"/>
      <c r="R218" s="183"/>
      <c r="S218" s="183"/>
      <c r="T218" s="184"/>
      <c r="U218" s="184"/>
      <c r="V218" s="188"/>
      <c r="AB218" s="184"/>
      <c r="AC218" s="184"/>
      <c r="AD218" s="184"/>
      <c r="AE218" s="184"/>
      <c r="AF218" s="184"/>
      <c r="AG218" s="184"/>
      <c r="AH218" s="184"/>
      <c r="AI218" s="184"/>
      <c r="AJ218" s="184"/>
      <c r="AK218" s="184"/>
      <c r="AL218" s="184"/>
      <c r="AM218" s="184"/>
      <c r="AN218" s="184"/>
      <c r="AO218" s="184"/>
      <c r="AP218" s="184"/>
      <c r="AQ218" s="184"/>
      <c r="AR218" s="184"/>
      <c r="AS218" s="184"/>
      <c r="AT218" s="184"/>
      <c r="AU218" s="184"/>
      <c r="AV218" s="184"/>
      <c r="AW218" s="184"/>
      <c r="AX218" s="184"/>
      <c r="AY218" s="184"/>
      <c r="AZ218" s="184"/>
      <c r="BA218" s="184"/>
      <c r="BB218" s="184"/>
      <c r="BC218" s="184"/>
      <c r="BD218" s="184"/>
      <c r="BE218" s="184"/>
      <c r="BF218" s="184"/>
      <c r="BG218" s="184"/>
      <c r="BH218" s="184"/>
      <c r="BI218" s="184"/>
      <c r="BJ218" s="184"/>
      <c r="BK218" s="184"/>
      <c r="BL218" s="184"/>
      <c r="BM218" s="184"/>
      <c r="BN218" s="184"/>
      <c r="BO218" s="184"/>
      <c r="BP218" s="184"/>
      <c r="BQ218" s="184"/>
      <c r="BR218" s="184"/>
      <c r="BS218" s="184"/>
      <c r="BT218" s="184"/>
      <c r="BU218" s="184"/>
      <c r="BV218" s="184"/>
      <c r="BW218" s="184"/>
      <c r="BX218" s="184"/>
      <c r="BY218" s="184"/>
      <c r="BZ218" s="184"/>
      <c r="CA218" s="184"/>
      <c r="CB218" s="184"/>
      <c r="CC218" s="184"/>
      <c r="CD218" s="184"/>
      <c r="CE218" s="184"/>
      <c r="CF218" s="184"/>
      <c r="CG218" s="184"/>
      <c r="CH218" s="184"/>
      <c r="CI218" s="184"/>
      <c r="CJ218" s="184"/>
      <c r="CK218" s="184"/>
      <c r="CL218" s="184"/>
      <c r="CM218" s="184"/>
      <c r="CN218" s="184"/>
      <c r="CO218" s="184"/>
      <c r="CP218" s="184"/>
      <c r="CQ218" s="184"/>
      <c r="CR218" s="184"/>
      <c r="CS218" s="184"/>
      <c r="CT218" s="184"/>
      <c r="CU218" s="184"/>
      <c r="CV218" s="184"/>
      <c r="CW218" s="184"/>
      <c r="CX218" s="184"/>
      <c r="CY218" s="184"/>
      <c r="CZ218" s="184"/>
      <c r="DA218" s="184"/>
      <c r="DB218" s="184"/>
      <c r="DC218" s="184"/>
      <c r="DD218" s="184"/>
      <c r="DE218" s="184"/>
      <c r="DF218" s="184"/>
      <c r="DG218" s="184"/>
      <c r="DH218" s="184"/>
      <c r="DI218" s="184"/>
      <c r="DJ218" s="184"/>
      <c r="DK218" s="184"/>
      <c r="DL218" s="184"/>
      <c r="DM218" s="184"/>
      <c r="DN218" s="184"/>
      <c r="DO218" s="184"/>
      <c r="DP218" s="184"/>
      <c r="DQ218" s="184"/>
      <c r="DR218" s="184"/>
      <c r="DS218" s="184"/>
      <c r="DT218" s="184"/>
      <c r="DU218" s="184"/>
      <c r="DV218" s="184"/>
      <c r="DW218" s="184"/>
      <c r="DX218" s="184"/>
      <c r="DY218" s="184"/>
      <c r="DZ218" s="184"/>
      <c r="EA218" s="184"/>
      <c r="EB218" s="184"/>
      <c r="EC218" s="184"/>
      <c r="ED218" s="184"/>
      <c r="EE218" s="184"/>
      <c r="EF218" s="184"/>
      <c r="EG218" s="184"/>
      <c r="EH218" s="184"/>
      <c r="EI218" s="184"/>
      <c r="EJ218" s="184"/>
      <c r="EK218" s="184"/>
      <c r="EL218" s="184"/>
      <c r="EM218" s="184"/>
      <c r="EN218" s="184"/>
      <c r="EO218" s="184"/>
      <c r="EP218" s="184"/>
      <c r="EQ218" s="184"/>
      <c r="ER218" s="184"/>
      <c r="ES218" s="184"/>
      <c r="ET218" s="184"/>
      <c r="EU218" s="184"/>
      <c r="EV218" s="184"/>
      <c r="EW218" s="184"/>
      <c r="EX218" s="184"/>
      <c r="EY218" s="184"/>
      <c r="EZ218" s="184"/>
      <c r="FA218" s="184"/>
      <c r="FB218" s="184"/>
      <c r="FC218" s="184"/>
      <c r="FD218" s="184"/>
      <c r="FE218" s="184"/>
      <c r="FF218" s="184"/>
      <c r="FG218" s="184"/>
      <c r="FH218" s="184"/>
      <c r="FI218" s="184"/>
      <c r="FJ218" s="184"/>
      <c r="FK218" s="184"/>
      <c r="FL218" s="184"/>
      <c r="FM218" s="184"/>
      <c r="FN218" s="184"/>
      <c r="FO218" s="184"/>
      <c r="FP218" s="184"/>
      <c r="FQ218" s="184"/>
      <c r="FR218" s="184"/>
      <c r="FS218" s="184"/>
      <c r="FT218" s="184"/>
      <c r="FU218" s="184"/>
      <c r="FV218" s="184"/>
      <c r="FW218" s="184"/>
      <c r="FX218" s="184"/>
      <c r="FY218" s="184"/>
      <c r="FZ218" s="184"/>
      <c r="GA218" s="184"/>
      <c r="GB218" s="184"/>
      <c r="GC218" s="184"/>
      <c r="GD218" s="184"/>
      <c r="GE218" s="184"/>
      <c r="GF218" s="184"/>
      <c r="GG218" s="184"/>
      <c r="GH218" s="184"/>
      <c r="GI218" s="184"/>
    </row>
    <row r="219" spans="1:191" s="186" customFormat="1" ht="15" customHeight="1">
      <c r="A219" s="184"/>
      <c r="B219" s="190"/>
      <c r="C219" s="211"/>
      <c r="D219" s="193"/>
      <c r="E219" s="193"/>
      <c r="F219" s="188"/>
      <c r="G219" s="188"/>
      <c r="H219" s="190"/>
      <c r="I219" s="188"/>
      <c r="J219" s="184"/>
      <c r="K219" s="190"/>
      <c r="L219" s="190"/>
      <c r="M219" s="190"/>
      <c r="N219" s="184"/>
      <c r="O219" s="191"/>
      <c r="P219" s="191"/>
      <c r="Q219" s="183"/>
      <c r="R219" s="183"/>
      <c r="S219" s="183"/>
      <c r="T219" s="184"/>
      <c r="U219" s="184"/>
      <c r="V219" s="188"/>
      <c r="AB219" s="184"/>
      <c r="AC219" s="184"/>
      <c r="AD219" s="184"/>
      <c r="AE219" s="184"/>
      <c r="AF219" s="184"/>
      <c r="AG219" s="184"/>
      <c r="AH219" s="184"/>
      <c r="AI219" s="184"/>
      <c r="AJ219" s="184"/>
      <c r="AK219" s="184"/>
      <c r="AL219" s="184"/>
      <c r="AM219" s="184"/>
      <c r="AN219" s="184"/>
      <c r="AO219" s="184"/>
      <c r="AP219" s="184"/>
      <c r="AQ219" s="184"/>
      <c r="AR219" s="184"/>
      <c r="AS219" s="184"/>
      <c r="AT219" s="184"/>
      <c r="AU219" s="184"/>
      <c r="AV219" s="184"/>
      <c r="AW219" s="184"/>
      <c r="AX219" s="184"/>
      <c r="AY219" s="184"/>
      <c r="AZ219" s="184"/>
      <c r="BA219" s="184"/>
      <c r="BB219" s="184"/>
      <c r="BC219" s="184"/>
      <c r="BD219" s="184"/>
      <c r="BE219" s="184"/>
      <c r="BF219" s="184"/>
      <c r="BG219" s="184"/>
      <c r="BH219" s="184"/>
      <c r="BI219" s="184"/>
      <c r="BJ219" s="184"/>
      <c r="BK219" s="184"/>
      <c r="BL219" s="184"/>
      <c r="BM219" s="184"/>
      <c r="BN219" s="184"/>
      <c r="BO219" s="184"/>
      <c r="BP219" s="184"/>
      <c r="BQ219" s="184"/>
      <c r="BR219" s="184"/>
      <c r="BS219" s="184"/>
      <c r="BT219" s="184"/>
      <c r="BU219" s="184"/>
      <c r="BV219" s="184"/>
      <c r="BW219" s="184"/>
      <c r="BX219" s="184"/>
      <c r="BY219" s="184"/>
      <c r="BZ219" s="184"/>
      <c r="CA219" s="184"/>
      <c r="CB219" s="184"/>
      <c r="CC219" s="184"/>
      <c r="CD219" s="184"/>
      <c r="CE219" s="184"/>
      <c r="CF219" s="184"/>
      <c r="CG219" s="184"/>
      <c r="CH219" s="184"/>
      <c r="CI219" s="184"/>
      <c r="CJ219" s="184"/>
      <c r="CK219" s="184"/>
      <c r="CL219" s="184"/>
      <c r="CM219" s="184"/>
      <c r="CN219" s="184"/>
      <c r="CO219" s="184"/>
      <c r="CP219" s="184"/>
      <c r="CQ219" s="184"/>
      <c r="CR219" s="184"/>
      <c r="CS219" s="184"/>
      <c r="CT219" s="184"/>
      <c r="CU219" s="184"/>
      <c r="CV219" s="184"/>
      <c r="CW219" s="184"/>
      <c r="CX219" s="184"/>
      <c r="CY219" s="184"/>
      <c r="CZ219" s="184"/>
      <c r="DA219" s="184"/>
      <c r="DB219" s="184"/>
      <c r="DC219" s="184"/>
      <c r="DD219" s="184"/>
      <c r="DE219" s="184"/>
      <c r="DF219" s="184"/>
      <c r="DG219" s="184"/>
      <c r="DH219" s="184"/>
      <c r="DI219" s="184"/>
      <c r="DJ219" s="184"/>
      <c r="DK219" s="184"/>
      <c r="DL219" s="184"/>
      <c r="DM219" s="184"/>
      <c r="DN219" s="184"/>
      <c r="DO219" s="184"/>
      <c r="DP219" s="184"/>
      <c r="DQ219" s="184"/>
      <c r="DR219" s="184"/>
      <c r="DS219" s="184"/>
      <c r="DT219" s="184"/>
      <c r="DU219" s="184"/>
      <c r="DV219" s="184"/>
      <c r="DW219" s="184"/>
      <c r="DX219" s="184"/>
      <c r="DY219" s="184"/>
      <c r="DZ219" s="184"/>
      <c r="EA219" s="184"/>
      <c r="EB219" s="184"/>
      <c r="EC219" s="184"/>
      <c r="ED219" s="184"/>
      <c r="EE219" s="184"/>
      <c r="EF219" s="184"/>
      <c r="EG219" s="184"/>
      <c r="EH219" s="184"/>
      <c r="EI219" s="184"/>
      <c r="EJ219" s="184"/>
      <c r="EK219" s="184"/>
      <c r="EL219" s="184"/>
      <c r="EM219" s="184"/>
      <c r="EN219" s="184"/>
      <c r="EO219" s="184"/>
      <c r="EP219" s="184"/>
      <c r="EQ219" s="184"/>
      <c r="ER219" s="184"/>
      <c r="ES219" s="184"/>
      <c r="ET219" s="184"/>
      <c r="EU219" s="184"/>
      <c r="EV219" s="184"/>
      <c r="EW219" s="184"/>
      <c r="EX219" s="184"/>
      <c r="EY219" s="184"/>
      <c r="EZ219" s="184"/>
      <c r="FA219" s="184"/>
      <c r="FB219" s="184"/>
      <c r="FC219" s="184"/>
      <c r="FD219" s="184"/>
      <c r="FE219" s="184"/>
      <c r="FF219" s="184"/>
      <c r="FG219" s="184"/>
      <c r="FH219" s="184"/>
      <c r="FI219" s="184"/>
      <c r="FJ219" s="184"/>
      <c r="FK219" s="184"/>
      <c r="FL219" s="184"/>
      <c r="FM219" s="184"/>
      <c r="FN219" s="184"/>
      <c r="FO219" s="184"/>
      <c r="FP219" s="184"/>
      <c r="FQ219" s="184"/>
      <c r="FR219" s="184"/>
      <c r="FS219" s="184"/>
      <c r="FT219" s="184"/>
      <c r="FU219" s="184"/>
      <c r="FV219" s="184"/>
      <c r="FW219" s="184"/>
      <c r="FX219" s="184"/>
      <c r="FY219" s="184"/>
      <c r="FZ219" s="184"/>
      <c r="GA219" s="184"/>
      <c r="GB219" s="184"/>
      <c r="GC219" s="184"/>
      <c r="GD219" s="184"/>
      <c r="GE219" s="184"/>
      <c r="GF219" s="184"/>
      <c r="GG219" s="184"/>
      <c r="GH219" s="184"/>
      <c r="GI219" s="184"/>
    </row>
    <row r="220" spans="1:191" s="186" customFormat="1" ht="15" customHeight="1">
      <c r="A220" s="184"/>
      <c r="B220" s="190"/>
      <c r="C220" s="211"/>
      <c r="D220" s="193"/>
      <c r="E220" s="193"/>
      <c r="F220" s="188"/>
      <c r="G220" s="188"/>
      <c r="H220" s="190"/>
      <c r="I220" s="188"/>
      <c r="J220" s="184"/>
      <c r="K220" s="190"/>
      <c r="L220" s="190"/>
      <c r="M220" s="190"/>
      <c r="N220" s="184"/>
      <c r="O220" s="191"/>
      <c r="P220" s="191"/>
      <c r="Q220" s="183"/>
      <c r="R220" s="183"/>
      <c r="S220" s="183"/>
      <c r="T220" s="184"/>
      <c r="U220" s="184"/>
      <c r="V220" s="188"/>
      <c r="AB220" s="184"/>
      <c r="AC220" s="184"/>
      <c r="AD220" s="184"/>
      <c r="AE220" s="184"/>
      <c r="AF220" s="184"/>
      <c r="AG220" s="184"/>
      <c r="AH220" s="184"/>
      <c r="AI220" s="184"/>
      <c r="AJ220" s="184"/>
      <c r="AK220" s="184"/>
      <c r="AL220" s="184"/>
      <c r="AM220" s="184"/>
      <c r="AN220" s="184"/>
      <c r="AO220" s="184"/>
      <c r="AP220" s="184"/>
      <c r="AQ220" s="184"/>
      <c r="AR220" s="184"/>
      <c r="AS220" s="184"/>
      <c r="AT220" s="184"/>
      <c r="AU220" s="184"/>
      <c r="AV220" s="184"/>
      <c r="AW220" s="184"/>
      <c r="AX220" s="184"/>
      <c r="AY220" s="184"/>
      <c r="AZ220" s="184"/>
      <c r="BA220" s="184"/>
      <c r="BB220" s="184"/>
      <c r="BC220" s="184"/>
      <c r="BD220" s="184"/>
      <c r="BE220" s="184"/>
      <c r="BF220" s="184"/>
      <c r="BG220" s="184"/>
      <c r="BH220" s="184"/>
      <c r="BI220" s="184"/>
      <c r="BJ220" s="184"/>
      <c r="BK220" s="184"/>
      <c r="BL220" s="184"/>
      <c r="BM220" s="184"/>
      <c r="BN220" s="184"/>
      <c r="BO220" s="184"/>
      <c r="BP220" s="184"/>
      <c r="BQ220" s="184"/>
      <c r="BR220" s="184"/>
      <c r="BS220" s="184"/>
      <c r="BT220" s="184"/>
      <c r="BU220" s="184"/>
      <c r="BV220" s="184"/>
      <c r="BW220" s="184"/>
      <c r="BX220" s="184"/>
      <c r="BY220" s="184"/>
      <c r="BZ220" s="184"/>
      <c r="CA220" s="184"/>
      <c r="CB220" s="184"/>
      <c r="CC220" s="184"/>
      <c r="CD220" s="184"/>
      <c r="CE220" s="184"/>
      <c r="CF220" s="184"/>
      <c r="CG220" s="184"/>
      <c r="CH220" s="184"/>
      <c r="CI220" s="184"/>
      <c r="CJ220" s="184"/>
      <c r="CK220" s="184"/>
      <c r="CL220" s="184"/>
      <c r="CM220" s="184"/>
      <c r="CN220" s="184"/>
      <c r="CO220" s="184"/>
      <c r="CP220" s="184"/>
      <c r="CQ220" s="184"/>
      <c r="CR220" s="184"/>
      <c r="CS220" s="184"/>
      <c r="CT220" s="184"/>
      <c r="CU220" s="184"/>
      <c r="CV220" s="184"/>
      <c r="CW220" s="184"/>
      <c r="CX220" s="184"/>
      <c r="CY220" s="184"/>
      <c r="CZ220" s="184"/>
      <c r="DA220" s="184"/>
      <c r="DB220" s="184"/>
      <c r="DC220" s="184"/>
      <c r="DD220" s="184"/>
      <c r="DE220" s="184"/>
      <c r="DF220" s="184"/>
      <c r="DG220" s="184"/>
      <c r="DH220" s="184"/>
      <c r="DI220" s="184"/>
      <c r="DJ220" s="184"/>
      <c r="DK220" s="184"/>
      <c r="DL220" s="184"/>
      <c r="DM220" s="184"/>
      <c r="DN220" s="184"/>
      <c r="DO220" s="184"/>
      <c r="DP220" s="184"/>
      <c r="DQ220" s="184"/>
      <c r="DR220" s="184"/>
      <c r="DS220" s="184"/>
      <c r="DT220" s="184"/>
      <c r="DU220" s="184"/>
      <c r="DV220" s="184"/>
      <c r="DW220" s="184"/>
      <c r="DX220" s="184"/>
      <c r="DY220" s="184"/>
      <c r="DZ220" s="184"/>
      <c r="EA220" s="184"/>
      <c r="EB220" s="184"/>
      <c r="EC220" s="184"/>
      <c r="ED220" s="184"/>
      <c r="EE220" s="184"/>
      <c r="EF220" s="184"/>
      <c r="EG220" s="184"/>
      <c r="EH220" s="184"/>
      <c r="EI220" s="184"/>
      <c r="EJ220" s="184"/>
      <c r="EK220" s="184"/>
      <c r="EL220" s="184"/>
      <c r="EM220" s="184"/>
      <c r="EN220" s="184"/>
      <c r="EO220" s="184"/>
      <c r="EP220" s="184"/>
      <c r="EQ220" s="184"/>
      <c r="ER220" s="184"/>
      <c r="ES220" s="184"/>
      <c r="ET220" s="184"/>
      <c r="EU220" s="184"/>
      <c r="EV220" s="184"/>
      <c r="EW220" s="184"/>
      <c r="EX220" s="184"/>
      <c r="EY220" s="184"/>
      <c r="EZ220" s="184"/>
      <c r="FA220" s="184"/>
      <c r="FB220" s="184"/>
      <c r="FC220" s="184"/>
      <c r="FD220" s="184"/>
      <c r="FE220" s="184"/>
      <c r="FF220" s="184"/>
      <c r="FG220" s="184"/>
      <c r="FH220" s="184"/>
      <c r="FI220" s="184"/>
      <c r="FJ220" s="184"/>
      <c r="FK220" s="184"/>
      <c r="FL220" s="184"/>
      <c r="FM220" s="184"/>
      <c r="FN220" s="184"/>
      <c r="FO220" s="184"/>
      <c r="FP220" s="184"/>
      <c r="FQ220" s="184"/>
      <c r="FR220" s="184"/>
      <c r="FS220" s="184"/>
      <c r="FT220" s="184"/>
      <c r="FU220" s="184"/>
      <c r="FV220" s="184"/>
      <c r="FW220" s="184"/>
      <c r="FX220" s="184"/>
      <c r="FY220" s="184"/>
      <c r="FZ220" s="184"/>
      <c r="GA220" s="184"/>
      <c r="GB220" s="184"/>
      <c r="GC220" s="184"/>
      <c r="GD220" s="184"/>
      <c r="GE220" s="184"/>
      <c r="GF220" s="184"/>
      <c r="GG220" s="184"/>
      <c r="GH220" s="184"/>
      <c r="GI220" s="184"/>
    </row>
    <row r="221" spans="1:191" s="186" customFormat="1" ht="15" customHeight="1">
      <c r="A221" s="184"/>
      <c r="B221" s="190"/>
      <c r="C221" s="211"/>
      <c r="D221" s="193"/>
      <c r="E221" s="193"/>
      <c r="F221" s="188"/>
      <c r="G221" s="188"/>
      <c r="H221" s="190"/>
      <c r="I221" s="188"/>
      <c r="J221" s="184"/>
      <c r="K221" s="190"/>
      <c r="L221" s="190"/>
      <c r="M221" s="190"/>
      <c r="N221" s="184"/>
      <c r="O221" s="191"/>
      <c r="P221" s="191"/>
      <c r="Q221" s="183"/>
      <c r="R221" s="183"/>
      <c r="S221" s="183"/>
      <c r="T221" s="184"/>
      <c r="U221" s="184"/>
      <c r="V221" s="188"/>
      <c r="AB221" s="184"/>
      <c r="AC221" s="184"/>
      <c r="AD221" s="184"/>
      <c r="AE221" s="184"/>
      <c r="AF221" s="184"/>
      <c r="AG221" s="184"/>
      <c r="AH221" s="184"/>
      <c r="AI221" s="184"/>
      <c r="AJ221" s="184"/>
      <c r="AK221" s="184"/>
      <c r="AL221" s="184"/>
      <c r="AM221" s="184"/>
      <c r="AN221" s="184"/>
      <c r="AO221" s="184"/>
      <c r="AP221" s="184"/>
      <c r="AQ221" s="184"/>
      <c r="AR221" s="184"/>
      <c r="AS221" s="184"/>
      <c r="AT221" s="184"/>
      <c r="AU221" s="184"/>
      <c r="AV221" s="184"/>
      <c r="AW221" s="184"/>
      <c r="AX221" s="184"/>
      <c r="AY221" s="184"/>
      <c r="AZ221" s="184"/>
      <c r="BA221" s="184"/>
      <c r="BB221" s="184"/>
      <c r="BC221" s="184"/>
      <c r="BD221" s="184"/>
      <c r="BE221" s="184"/>
      <c r="BF221" s="184"/>
      <c r="BG221" s="184"/>
      <c r="BH221" s="184"/>
      <c r="BI221" s="184"/>
      <c r="BJ221" s="184"/>
      <c r="BK221" s="184"/>
      <c r="BL221" s="184"/>
      <c r="BM221" s="184"/>
      <c r="BN221" s="184"/>
      <c r="BO221" s="184"/>
      <c r="BP221" s="184"/>
      <c r="BQ221" s="184"/>
      <c r="BR221" s="184"/>
      <c r="BS221" s="184"/>
      <c r="BT221" s="184"/>
      <c r="BU221" s="184"/>
      <c r="BV221" s="184"/>
      <c r="BW221" s="184"/>
      <c r="BX221" s="184"/>
      <c r="BY221" s="184"/>
      <c r="BZ221" s="184"/>
      <c r="CA221" s="184"/>
      <c r="CB221" s="184"/>
      <c r="CC221" s="184"/>
      <c r="CD221" s="184"/>
      <c r="CE221" s="184"/>
      <c r="CF221" s="184"/>
      <c r="CG221" s="184"/>
      <c r="CH221" s="184"/>
      <c r="CI221" s="184"/>
      <c r="CJ221" s="184"/>
      <c r="CK221" s="184"/>
      <c r="CL221" s="184"/>
      <c r="CM221" s="184"/>
      <c r="CN221" s="184"/>
      <c r="CO221" s="184"/>
      <c r="CP221" s="184"/>
      <c r="CQ221" s="184"/>
      <c r="CR221" s="184"/>
      <c r="CS221" s="184"/>
      <c r="CT221" s="184"/>
      <c r="CU221" s="184"/>
      <c r="CV221" s="184"/>
      <c r="CW221" s="184"/>
      <c r="CX221" s="184"/>
      <c r="CY221" s="184"/>
      <c r="CZ221" s="184"/>
      <c r="DA221" s="184"/>
      <c r="DB221" s="184"/>
      <c r="DC221" s="184"/>
      <c r="DD221" s="184"/>
      <c r="DE221" s="184"/>
      <c r="DF221" s="184"/>
      <c r="DG221" s="184"/>
      <c r="DH221" s="184"/>
      <c r="DI221" s="184"/>
      <c r="DJ221" s="184"/>
      <c r="DK221" s="184"/>
      <c r="DL221" s="184"/>
      <c r="DM221" s="184"/>
      <c r="DN221" s="184"/>
      <c r="DO221" s="184"/>
      <c r="DP221" s="184"/>
      <c r="DQ221" s="184"/>
      <c r="DR221" s="184"/>
      <c r="DS221" s="184"/>
      <c r="DT221" s="184"/>
      <c r="DU221" s="184"/>
      <c r="DV221" s="184"/>
      <c r="DW221" s="184"/>
      <c r="DX221" s="184"/>
      <c r="DY221" s="184"/>
      <c r="DZ221" s="184"/>
      <c r="EA221" s="184"/>
      <c r="EB221" s="184"/>
      <c r="EC221" s="184"/>
      <c r="ED221" s="184"/>
      <c r="EE221" s="184"/>
      <c r="EF221" s="184"/>
      <c r="EG221" s="184"/>
      <c r="EH221" s="184"/>
      <c r="EI221" s="184"/>
      <c r="EJ221" s="184"/>
      <c r="EK221" s="184"/>
      <c r="EL221" s="184"/>
      <c r="EM221" s="184"/>
      <c r="EN221" s="184"/>
      <c r="EO221" s="184"/>
      <c r="EP221" s="184"/>
      <c r="EQ221" s="184"/>
      <c r="ER221" s="184"/>
      <c r="ES221" s="184"/>
      <c r="ET221" s="184"/>
      <c r="EU221" s="184"/>
      <c r="EV221" s="184"/>
      <c r="EW221" s="184"/>
      <c r="EX221" s="184"/>
      <c r="EY221" s="184"/>
      <c r="EZ221" s="184"/>
      <c r="FA221" s="184"/>
      <c r="FB221" s="184"/>
      <c r="FC221" s="184"/>
      <c r="FD221" s="184"/>
      <c r="FE221" s="184"/>
      <c r="FF221" s="184"/>
      <c r="FG221" s="184"/>
      <c r="FH221" s="184"/>
      <c r="FI221" s="184"/>
      <c r="FJ221" s="184"/>
      <c r="FK221" s="184"/>
      <c r="FL221" s="184"/>
      <c r="FM221" s="184"/>
      <c r="FN221" s="184"/>
      <c r="FO221" s="184"/>
      <c r="FP221" s="184"/>
      <c r="FQ221" s="184"/>
      <c r="FR221" s="184"/>
      <c r="FS221" s="184"/>
      <c r="FT221" s="184"/>
      <c r="FU221" s="184"/>
      <c r="FV221" s="184"/>
      <c r="FW221" s="184"/>
      <c r="FX221" s="184"/>
      <c r="FY221" s="184"/>
      <c r="FZ221" s="184"/>
      <c r="GA221" s="184"/>
      <c r="GB221" s="184"/>
      <c r="GC221" s="184"/>
      <c r="GD221" s="184"/>
      <c r="GE221" s="184"/>
      <c r="GF221" s="184"/>
      <c r="GG221" s="184"/>
      <c r="GH221" s="184"/>
      <c r="GI221" s="184"/>
    </row>
    <row r="222" spans="1:191" s="186" customFormat="1" ht="15" customHeight="1">
      <c r="A222" s="184"/>
      <c r="B222" s="190"/>
      <c r="C222" s="211"/>
      <c r="D222" s="193"/>
      <c r="E222" s="193"/>
      <c r="F222" s="188"/>
      <c r="G222" s="188"/>
      <c r="H222" s="190"/>
      <c r="I222" s="188"/>
      <c r="J222" s="184"/>
      <c r="K222" s="190"/>
      <c r="L222" s="190"/>
      <c r="M222" s="190"/>
      <c r="N222" s="184"/>
      <c r="O222" s="191"/>
      <c r="P222" s="191"/>
      <c r="Q222" s="183"/>
      <c r="R222" s="183"/>
      <c r="S222" s="183"/>
      <c r="T222" s="184"/>
      <c r="U222" s="184"/>
      <c r="V222" s="188"/>
      <c r="AB222" s="184"/>
      <c r="AC222" s="184"/>
      <c r="AD222" s="184"/>
      <c r="AE222" s="184"/>
      <c r="AF222" s="184"/>
      <c r="AG222" s="184"/>
      <c r="AH222" s="184"/>
      <c r="AI222" s="184"/>
      <c r="AJ222" s="184"/>
      <c r="AK222" s="184"/>
      <c r="AL222" s="184"/>
      <c r="AM222" s="184"/>
      <c r="AN222" s="184"/>
      <c r="AO222" s="184"/>
      <c r="AP222" s="184"/>
      <c r="AQ222" s="184"/>
      <c r="AR222" s="184"/>
      <c r="AS222" s="184"/>
      <c r="AT222" s="184"/>
      <c r="AU222" s="184"/>
      <c r="AV222" s="184"/>
      <c r="AW222" s="184"/>
      <c r="AX222" s="184"/>
      <c r="AY222" s="184"/>
      <c r="AZ222" s="184"/>
      <c r="BA222" s="184"/>
      <c r="BB222" s="184"/>
      <c r="BC222" s="184"/>
      <c r="BD222" s="184"/>
      <c r="BE222" s="184"/>
      <c r="BF222" s="184"/>
      <c r="BG222" s="184"/>
      <c r="BH222" s="184"/>
      <c r="BI222" s="184"/>
      <c r="BJ222" s="184"/>
      <c r="BK222" s="184"/>
      <c r="BL222" s="184"/>
      <c r="BM222" s="184"/>
      <c r="BN222" s="184"/>
      <c r="BO222" s="184"/>
      <c r="BP222" s="184"/>
      <c r="BQ222" s="184"/>
      <c r="BR222" s="184"/>
      <c r="BS222" s="184"/>
      <c r="BT222" s="184"/>
      <c r="BU222" s="184"/>
      <c r="BV222" s="184"/>
      <c r="BW222" s="184"/>
      <c r="BX222" s="184"/>
      <c r="BY222" s="184"/>
      <c r="BZ222" s="184"/>
      <c r="CA222" s="184"/>
      <c r="CB222" s="184"/>
      <c r="CC222" s="184"/>
      <c r="CD222" s="184"/>
      <c r="CE222" s="184"/>
      <c r="CF222" s="184"/>
      <c r="CG222" s="184"/>
      <c r="CH222" s="184"/>
      <c r="CI222" s="184"/>
      <c r="CJ222" s="184"/>
      <c r="CK222" s="184"/>
      <c r="CL222" s="184"/>
      <c r="CM222" s="184"/>
      <c r="CN222" s="184"/>
      <c r="CO222" s="184"/>
      <c r="CP222" s="184"/>
      <c r="CQ222" s="184"/>
      <c r="CR222" s="184"/>
      <c r="CS222" s="184"/>
      <c r="CT222" s="184"/>
      <c r="CU222" s="184"/>
      <c r="CV222" s="184"/>
      <c r="CW222" s="184"/>
      <c r="CX222" s="184"/>
      <c r="CY222" s="184"/>
      <c r="CZ222" s="184"/>
      <c r="DA222" s="184"/>
      <c r="DB222" s="184"/>
      <c r="DC222" s="184"/>
      <c r="DD222" s="184"/>
      <c r="DE222" s="184"/>
      <c r="DF222" s="184"/>
      <c r="DG222" s="184"/>
      <c r="DH222" s="184"/>
      <c r="DI222" s="184"/>
      <c r="DJ222" s="184"/>
      <c r="DK222" s="184"/>
      <c r="DL222" s="184"/>
      <c r="DM222" s="184"/>
      <c r="DN222" s="184"/>
      <c r="DO222" s="184"/>
      <c r="DP222" s="184"/>
      <c r="DQ222" s="184"/>
      <c r="DR222" s="184"/>
      <c r="DS222" s="184"/>
      <c r="DT222" s="184"/>
      <c r="DU222" s="184"/>
      <c r="DV222" s="184"/>
      <c r="DW222" s="184"/>
      <c r="DX222" s="184"/>
      <c r="DY222" s="184"/>
      <c r="DZ222" s="184"/>
      <c r="EA222" s="184"/>
      <c r="EB222" s="184"/>
      <c r="EC222" s="184"/>
      <c r="ED222" s="184"/>
      <c r="EE222" s="184"/>
      <c r="EF222" s="184"/>
      <c r="EG222" s="184"/>
      <c r="EH222" s="184"/>
      <c r="EI222" s="184"/>
      <c r="EJ222" s="184"/>
      <c r="EK222" s="184"/>
      <c r="EL222" s="184"/>
      <c r="EM222" s="184"/>
      <c r="EN222" s="184"/>
      <c r="EO222" s="184"/>
      <c r="EP222" s="184"/>
      <c r="EQ222" s="184"/>
      <c r="ER222" s="184"/>
      <c r="ES222" s="184"/>
      <c r="ET222" s="184"/>
      <c r="EU222" s="184"/>
      <c r="EV222" s="184"/>
      <c r="EW222" s="184"/>
      <c r="EX222" s="184"/>
      <c r="EY222" s="184"/>
      <c r="EZ222" s="184"/>
      <c r="FA222" s="184"/>
      <c r="FB222" s="184"/>
      <c r="FC222" s="184"/>
      <c r="FD222" s="184"/>
      <c r="FE222" s="184"/>
      <c r="FF222" s="184"/>
      <c r="FG222" s="184"/>
      <c r="FH222" s="184"/>
      <c r="FI222" s="184"/>
      <c r="FJ222" s="184"/>
      <c r="FK222" s="184"/>
      <c r="FL222" s="184"/>
      <c r="FM222" s="184"/>
      <c r="FN222" s="184"/>
      <c r="FO222" s="184"/>
      <c r="FP222" s="184"/>
      <c r="FQ222" s="184"/>
      <c r="FR222" s="184"/>
      <c r="FS222" s="184"/>
      <c r="FT222" s="184"/>
      <c r="FU222" s="184"/>
      <c r="FV222" s="184"/>
      <c r="FW222" s="184"/>
      <c r="FX222" s="184"/>
      <c r="FY222" s="184"/>
      <c r="FZ222" s="184"/>
      <c r="GA222" s="184"/>
      <c r="GB222" s="184"/>
      <c r="GC222" s="184"/>
      <c r="GD222" s="184"/>
      <c r="GE222" s="184"/>
      <c r="GF222" s="184"/>
      <c r="GG222" s="184"/>
      <c r="GH222" s="184"/>
      <c r="GI222" s="184"/>
    </row>
    <row r="223" spans="1:191" s="186" customFormat="1" ht="15" customHeight="1">
      <c r="A223" s="184"/>
      <c r="B223" s="190"/>
      <c r="C223" s="211"/>
      <c r="D223" s="193"/>
      <c r="E223" s="193"/>
      <c r="F223" s="188"/>
      <c r="G223" s="188"/>
      <c r="H223" s="190"/>
      <c r="I223" s="188"/>
      <c r="J223" s="184"/>
      <c r="K223" s="190"/>
      <c r="L223" s="190"/>
      <c r="M223" s="190"/>
      <c r="N223" s="184"/>
      <c r="O223" s="191"/>
      <c r="P223" s="191"/>
      <c r="Q223" s="183"/>
      <c r="R223" s="183"/>
      <c r="S223" s="183"/>
      <c r="T223" s="184"/>
      <c r="U223" s="184"/>
      <c r="V223" s="188"/>
      <c r="AB223" s="184"/>
      <c r="AC223" s="184"/>
      <c r="AD223" s="184"/>
      <c r="AE223" s="184"/>
      <c r="AF223" s="184"/>
      <c r="AG223" s="184"/>
      <c r="AH223" s="184"/>
      <c r="AI223" s="184"/>
      <c r="AJ223" s="184"/>
      <c r="AK223" s="184"/>
      <c r="AL223" s="184"/>
      <c r="AM223" s="184"/>
      <c r="AN223" s="184"/>
      <c r="AO223" s="184"/>
      <c r="AP223" s="184"/>
      <c r="AQ223" s="184"/>
      <c r="AR223" s="184"/>
      <c r="AS223" s="184"/>
      <c r="AT223" s="184"/>
      <c r="AU223" s="184"/>
      <c r="AV223" s="184"/>
      <c r="AW223" s="184"/>
      <c r="AX223" s="184"/>
      <c r="AY223" s="184"/>
      <c r="AZ223" s="184"/>
      <c r="BA223" s="184"/>
      <c r="BB223" s="184"/>
      <c r="BC223" s="184"/>
      <c r="BD223" s="184"/>
      <c r="BE223" s="184"/>
      <c r="BF223" s="184"/>
      <c r="BG223" s="184"/>
      <c r="BH223" s="184"/>
      <c r="BI223" s="184"/>
      <c r="BJ223" s="184"/>
      <c r="BK223" s="184"/>
      <c r="BL223" s="184"/>
      <c r="BM223" s="184"/>
      <c r="BN223" s="184"/>
      <c r="BO223" s="184"/>
      <c r="BP223" s="184"/>
      <c r="BQ223" s="184"/>
      <c r="BR223" s="184"/>
      <c r="BS223" s="184"/>
      <c r="BT223" s="184"/>
      <c r="BU223" s="184"/>
      <c r="BV223" s="184"/>
      <c r="BW223" s="184"/>
      <c r="BX223" s="184"/>
      <c r="BY223" s="184"/>
      <c r="BZ223" s="184"/>
      <c r="CA223" s="184"/>
      <c r="CB223" s="184"/>
      <c r="CC223" s="184"/>
      <c r="CD223" s="184"/>
      <c r="CE223" s="184"/>
      <c r="CF223" s="184"/>
      <c r="CG223" s="184"/>
      <c r="CH223" s="184"/>
      <c r="CI223" s="184"/>
      <c r="CJ223" s="184"/>
      <c r="CK223" s="184"/>
      <c r="CL223" s="184"/>
      <c r="CM223" s="184"/>
      <c r="CN223" s="184"/>
      <c r="CO223" s="184"/>
      <c r="CP223" s="184"/>
      <c r="CQ223" s="184"/>
      <c r="CR223" s="184"/>
      <c r="CS223" s="184"/>
      <c r="CT223" s="184"/>
      <c r="CU223" s="184"/>
      <c r="CV223" s="184"/>
      <c r="CW223" s="184"/>
      <c r="CX223" s="184"/>
      <c r="CY223" s="184"/>
      <c r="CZ223" s="184"/>
      <c r="DA223" s="184"/>
      <c r="DB223" s="184"/>
      <c r="DC223" s="184"/>
      <c r="DD223" s="184"/>
      <c r="DE223" s="184"/>
      <c r="DF223" s="184"/>
      <c r="DG223" s="184"/>
      <c r="DH223" s="184"/>
      <c r="DI223" s="184"/>
      <c r="DJ223" s="184"/>
      <c r="DK223" s="184"/>
      <c r="DL223" s="184"/>
      <c r="DM223" s="184"/>
      <c r="DN223" s="184"/>
      <c r="DO223" s="184"/>
      <c r="DP223" s="184"/>
      <c r="DQ223" s="184"/>
      <c r="DR223" s="184"/>
      <c r="DS223" s="184"/>
      <c r="DT223" s="184"/>
      <c r="DU223" s="184"/>
      <c r="DV223" s="184"/>
      <c r="DW223" s="184"/>
      <c r="DX223" s="184"/>
      <c r="DY223" s="184"/>
      <c r="DZ223" s="184"/>
      <c r="EA223" s="184"/>
      <c r="EB223" s="184"/>
      <c r="EC223" s="184"/>
      <c r="ED223" s="184"/>
      <c r="EE223" s="184"/>
      <c r="EF223" s="184"/>
      <c r="EG223" s="184"/>
      <c r="EH223" s="184"/>
      <c r="EI223" s="184"/>
      <c r="EJ223" s="184"/>
      <c r="EK223" s="184"/>
      <c r="EL223" s="184"/>
      <c r="EM223" s="184"/>
      <c r="EN223" s="184"/>
      <c r="EO223" s="184"/>
      <c r="EP223" s="184"/>
      <c r="EQ223" s="184"/>
      <c r="ER223" s="184"/>
      <c r="ES223" s="184"/>
      <c r="ET223" s="184"/>
      <c r="EU223" s="184"/>
      <c r="EV223" s="184"/>
      <c r="EW223" s="184"/>
      <c r="EX223" s="184"/>
      <c r="EY223" s="184"/>
      <c r="EZ223" s="184"/>
      <c r="FA223" s="184"/>
      <c r="FB223" s="184"/>
      <c r="FC223" s="184"/>
      <c r="FD223" s="184"/>
      <c r="FE223" s="184"/>
      <c r="FF223" s="184"/>
      <c r="FG223" s="184"/>
      <c r="FH223" s="184"/>
      <c r="FI223" s="184"/>
      <c r="FJ223" s="184"/>
      <c r="FK223" s="184"/>
      <c r="FL223" s="184"/>
      <c r="FM223" s="184"/>
      <c r="FN223" s="184"/>
      <c r="FO223" s="184"/>
      <c r="FP223" s="184"/>
      <c r="FQ223" s="184"/>
      <c r="FR223" s="184"/>
      <c r="FS223" s="184"/>
      <c r="FT223" s="184"/>
      <c r="FU223" s="184"/>
      <c r="FV223" s="184"/>
      <c r="FW223" s="184"/>
      <c r="FX223" s="184"/>
      <c r="FY223" s="184"/>
      <c r="FZ223" s="184"/>
      <c r="GA223" s="184"/>
      <c r="GB223" s="184"/>
      <c r="GC223" s="184"/>
      <c r="GD223" s="184"/>
      <c r="GE223" s="184"/>
      <c r="GF223" s="184"/>
      <c r="GG223" s="184"/>
      <c r="GH223" s="184"/>
      <c r="GI223" s="184"/>
    </row>
    <row r="224" spans="1:191" s="186" customFormat="1" ht="15" customHeight="1">
      <c r="A224" s="184"/>
      <c r="B224" s="190"/>
      <c r="C224" s="211"/>
      <c r="D224" s="193"/>
      <c r="E224" s="193"/>
      <c r="F224" s="188"/>
      <c r="G224" s="188"/>
      <c r="H224" s="190"/>
      <c r="I224" s="188"/>
      <c r="J224" s="184"/>
      <c r="K224" s="190"/>
      <c r="L224" s="190"/>
      <c r="M224" s="190"/>
      <c r="N224" s="184"/>
      <c r="O224" s="191"/>
      <c r="P224" s="191"/>
      <c r="Q224" s="183"/>
      <c r="R224" s="183"/>
      <c r="S224" s="183"/>
      <c r="T224" s="184"/>
      <c r="U224" s="184"/>
      <c r="V224" s="188"/>
      <c r="AB224" s="184"/>
      <c r="AC224" s="184"/>
      <c r="AD224" s="184"/>
      <c r="AE224" s="184"/>
      <c r="AF224" s="184"/>
      <c r="AG224" s="184"/>
      <c r="AH224" s="184"/>
      <c r="AI224" s="184"/>
      <c r="AJ224" s="184"/>
      <c r="AK224" s="184"/>
      <c r="AL224" s="184"/>
      <c r="AM224" s="184"/>
      <c r="AN224" s="184"/>
      <c r="AO224" s="184"/>
      <c r="AP224" s="184"/>
      <c r="AQ224" s="184"/>
      <c r="AR224" s="184"/>
      <c r="AS224" s="184"/>
      <c r="AT224" s="184"/>
      <c r="AU224" s="184"/>
      <c r="AV224" s="184"/>
      <c r="AW224" s="184"/>
      <c r="AX224" s="184"/>
      <c r="AY224" s="184"/>
      <c r="AZ224" s="184"/>
      <c r="BA224" s="184"/>
      <c r="BB224" s="184"/>
      <c r="BC224" s="184"/>
      <c r="BD224" s="184"/>
      <c r="BE224" s="184"/>
      <c r="BF224" s="184"/>
      <c r="BG224" s="184"/>
      <c r="BH224" s="184"/>
      <c r="BI224" s="184"/>
      <c r="BJ224" s="184"/>
      <c r="BK224" s="184"/>
      <c r="BL224" s="184"/>
      <c r="BM224" s="184"/>
      <c r="BN224" s="184"/>
      <c r="BO224" s="184"/>
      <c r="BP224" s="184"/>
      <c r="BQ224" s="184"/>
      <c r="BR224" s="184"/>
      <c r="BS224" s="184"/>
      <c r="BT224" s="184"/>
      <c r="BU224" s="184"/>
      <c r="BV224" s="184"/>
      <c r="BW224" s="184"/>
      <c r="BX224" s="184"/>
      <c r="BY224" s="184"/>
      <c r="BZ224" s="184"/>
      <c r="CA224" s="184"/>
      <c r="CB224" s="184"/>
      <c r="CC224" s="184"/>
      <c r="CD224" s="184"/>
      <c r="CE224" s="184"/>
      <c r="CF224" s="184"/>
      <c r="CG224" s="184"/>
      <c r="CH224" s="184"/>
      <c r="CI224" s="184"/>
      <c r="CJ224" s="184"/>
      <c r="CK224" s="184"/>
      <c r="CL224" s="184"/>
      <c r="CM224" s="184"/>
      <c r="CN224" s="184"/>
      <c r="CO224" s="184"/>
      <c r="CP224" s="184"/>
      <c r="CQ224" s="184"/>
      <c r="CR224" s="184"/>
      <c r="CS224" s="184"/>
      <c r="CT224" s="184"/>
      <c r="CU224" s="184"/>
      <c r="CV224" s="184"/>
      <c r="CW224" s="184"/>
      <c r="CX224" s="184"/>
      <c r="CY224" s="184"/>
      <c r="CZ224" s="184"/>
      <c r="DA224" s="184"/>
      <c r="DB224" s="184"/>
      <c r="DC224" s="184"/>
      <c r="DD224" s="184"/>
      <c r="DE224" s="184"/>
      <c r="DF224" s="184"/>
      <c r="DG224" s="184"/>
      <c r="DH224" s="184"/>
      <c r="DI224" s="184"/>
      <c r="DJ224" s="184"/>
      <c r="DK224" s="184"/>
      <c r="DL224" s="184"/>
      <c r="DM224" s="184"/>
      <c r="DN224" s="184"/>
      <c r="DO224" s="184"/>
      <c r="DP224" s="184"/>
      <c r="DQ224" s="184"/>
      <c r="DR224" s="184"/>
      <c r="DS224" s="184"/>
      <c r="DT224" s="184"/>
      <c r="DU224" s="184"/>
      <c r="DV224" s="184"/>
      <c r="DW224" s="184"/>
      <c r="DX224" s="184"/>
      <c r="DY224" s="184"/>
      <c r="DZ224" s="184"/>
      <c r="EA224" s="184"/>
      <c r="EB224" s="184"/>
      <c r="EC224" s="184"/>
      <c r="ED224" s="184"/>
      <c r="EE224" s="184"/>
      <c r="EF224" s="184"/>
      <c r="EG224" s="184"/>
      <c r="EH224" s="184"/>
      <c r="EI224" s="184"/>
      <c r="EJ224" s="184"/>
      <c r="EK224" s="184"/>
      <c r="EL224" s="184"/>
      <c r="EM224" s="184"/>
      <c r="EN224" s="184"/>
      <c r="EO224" s="184"/>
      <c r="EP224" s="184"/>
      <c r="EQ224" s="184"/>
      <c r="ER224" s="184"/>
      <c r="ES224" s="184"/>
      <c r="ET224" s="184"/>
      <c r="EU224" s="184"/>
      <c r="EV224" s="184"/>
      <c r="EW224" s="184"/>
      <c r="EX224" s="184"/>
      <c r="EY224" s="184"/>
      <c r="EZ224" s="184"/>
      <c r="FA224" s="184"/>
      <c r="FB224" s="184"/>
      <c r="FC224" s="184"/>
      <c r="FD224" s="184"/>
      <c r="FE224" s="184"/>
      <c r="FF224" s="184"/>
      <c r="FG224" s="184"/>
      <c r="FH224" s="184"/>
      <c r="FI224" s="184"/>
      <c r="FJ224" s="184"/>
      <c r="FK224" s="184"/>
      <c r="FL224" s="184"/>
      <c r="FM224" s="184"/>
      <c r="FN224" s="184"/>
      <c r="FO224" s="184"/>
      <c r="FP224" s="184"/>
      <c r="FQ224" s="184"/>
      <c r="FR224" s="184"/>
      <c r="FS224" s="184"/>
      <c r="FT224" s="184"/>
      <c r="FU224" s="184"/>
      <c r="FV224" s="184"/>
      <c r="FW224" s="184"/>
      <c r="FX224" s="184"/>
      <c r="FY224" s="184"/>
      <c r="FZ224" s="184"/>
      <c r="GA224" s="184"/>
      <c r="GB224" s="184"/>
      <c r="GC224" s="184"/>
      <c r="GD224" s="184"/>
      <c r="GE224" s="184"/>
      <c r="GF224" s="184"/>
      <c r="GG224" s="184"/>
      <c r="GH224" s="184"/>
      <c r="GI224" s="184"/>
    </row>
    <row r="225" spans="1:191" s="186" customFormat="1" ht="15" customHeight="1">
      <c r="A225" s="184"/>
      <c r="B225" s="190"/>
      <c r="C225" s="211"/>
      <c r="D225" s="193"/>
      <c r="E225" s="193"/>
      <c r="F225" s="188"/>
      <c r="G225" s="188"/>
      <c r="H225" s="190"/>
      <c r="I225" s="188"/>
      <c r="J225" s="184"/>
      <c r="K225" s="190"/>
      <c r="L225" s="190"/>
      <c r="M225" s="190"/>
      <c r="N225" s="184"/>
      <c r="O225" s="191"/>
      <c r="P225" s="191"/>
      <c r="Q225" s="183"/>
      <c r="R225" s="183"/>
      <c r="S225" s="183"/>
      <c r="T225" s="184"/>
      <c r="U225" s="184"/>
      <c r="V225" s="188"/>
      <c r="AB225" s="184"/>
      <c r="AC225" s="184"/>
      <c r="AD225" s="184"/>
      <c r="AE225" s="184"/>
      <c r="AF225" s="184"/>
      <c r="AG225" s="184"/>
      <c r="AH225" s="184"/>
      <c r="AI225" s="184"/>
      <c r="AJ225" s="184"/>
      <c r="AK225" s="184"/>
      <c r="AL225" s="184"/>
      <c r="AM225" s="184"/>
      <c r="AN225" s="184"/>
      <c r="AO225" s="184"/>
      <c r="AP225" s="184"/>
      <c r="AQ225" s="184"/>
      <c r="AR225" s="184"/>
      <c r="AS225" s="184"/>
      <c r="AT225" s="184"/>
      <c r="AU225" s="184"/>
      <c r="AV225" s="184"/>
      <c r="AW225" s="184"/>
      <c r="AX225" s="184"/>
      <c r="AY225" s="184"/>
      <c r="AZ225" s="184"/>
      <c r="BA225" s="184"/>
      <c r="BB225" s="184"/>
      <c r="BC225" s="184"/>
      <c r="BD225" s="184"/>
      <c r="BE225" s="184"/>
      <c r="BF225" s="184"/>
      <c r="BG225" s="184"/>
      <c r="BH225" s="184"/>
      <c r="BI225" s="184"/>
      <c r="BJ225" s="184"/>
      <c r="BK225" s="184"/>
      <c r="BL225" s="184"/>
      <c r="BM225" s="184"/>
      <c r="BN225" s="184"/>
      <c r="BO225" s="184"/>
      <c r="BP225" s="184"/>
      <c r="BQ225" s="184"/>
      <c r="BR225" s="184"/>
      <c r="BS225" s="184"/>
      <c r="BT225" s="184"/>
      <c r="BU225" s="184"/>
      <c r="BV225" s="184"/>
      <c r="BW225" s="184"/>
      <c r="BX225" s="184"/>
      <c r="BY225" s="184"/>
      <c r="BZ225" s="184"/>
      <c r="CA225" s="184"/>
      <c r="CB225" s="184"/>
      <c r="CC225" s="184"/>
      <c r="CD225" s="184"/>
      <c r="CE225" s="184"/>
      <c r="CF225" s="184"/>
      <c r="CG225" s="184"/>
      <c r="CH225" s="184"/>
      <c r="CI225" s="184"/>
      <c r="CJ225" s="184"/>
      <c r="CK225" s="184"/>
      <c r="CL225" s="184"/>
      <c r="CM225" s="184"/>
      <c r="CN225" s="184"/>
      <c r="CO225" s="184"/>
      <c r="CP225" s="184"/>
      <c r="CQ225" s="184"/>
      <c r="CR225" s="184"/>
      <c r="CS225" s="184"/>
      <c r="CT225" s="184"/>
      <c r="CU225" s="184"/>
      <c r="CV225" s="184"/>
      <c r="CW225" s="184"/>
      <c r="CX225" s="184"/>
      <c r="CY225" s="184"/>
      <c r="CZ225" s="184"/>
      <c r="DA225" s="184"/>
      <c r="DB225" s="184"/>
      <c r="DC225" s="184"/>
      <c r="DD225" s="184"/>
      <c r="DE225" s="184"/>
      <c r="DF225" s="184"/>
      <c r="DG225" s="184"/>
      <c r="DH225" s="184"/>
      <c r="DI225" s="184"/>
      <c r="DJ225" s="184"/>
      <c r="DK225" s="184"/>
      <c r="DL225" s="184"/>
      <c r="DM225" s="184"/>
      <c r="DN225" s="184"/>
      <c r="DO225" s="184"/>
      <c r="DP225" s="184"/>
      <c r="DQ225" s="184"/>
      <c r="DR225" s="184"/>
      <c r="DS225" s="184"/>
      <c r="DT225" s="184"/>
      <c r="DU225" s="184"/>
      <c r="DV225" s="184"/>
      <c r="DW225" s="184"/>
      <c r="DX225" s="184"/>
      <c r="DY225" s="184"/>
      <c r="DZ225" s="184"/>
      <c r="EA225" s="184"/>
      <c r="EB225" s="184"/>
      <c r="EC225" s="184"/>
      <c r="ED225" s="184"/>
      <c r="EE225" s="184"/>
      <c r="EF225" s="184"/>
      <c r="EG225" s="184"/>
      <c r="EH225" s="184"/>
      <c r="EI225" s="184"/>
      <c r="EJ225" s="184"/>
      <c r="EK225" s="184"/>
      <c r="EL225" s="184"/>
      <c r="EM225" s="184"/>
      <c r="EN225" s="184"/>
      <c r="EO225" s="184"/>
      <c r="EP225" s="184"/>
      <c r="EQ225" s="184"/>
      <c r="ER225" s="184"/>
      <c r="ES225" s="184"/>
      <c r="ET225" s="184"/>
      <c r="EU225" s="184"/>
      <c r="EV225" s="184"/>
      <c r="EW225" s="184"/>
      <c r="EX225" s="184"/>
      <c r="EY225" s="184"/>
      <c r="EZ225" s="184"/>
      <c r="FA225" s="184"/>
      <c r="FB225" s="184"/>
      <c r="FC225" s="184"/>
      <c r="FD225" s="184"/>
      <c r="FE225" s="184"/>
      <c r="FF225" s="184"/>
      <c r="FG225" s="184"/>
      <c r="FH225" s="184"/>
      <c r="FI225" s="184"/>
      <c r="FJ225" s="184"/>
      <c r="FK225" s="184"/>
      <c r="FL225" s="184"/>
      <c r="FM225" s="184"/>
      <c r="FN225" s="184"/>
      <c r="FO225" s="184"/>
      <c r="FP225" s="184"/>
      <c r="FQ225" s="184"/>
      <c r="FR225" s="184"/>
      <c r="FS225" s="184"/>
      <c r="FT225" s="184"/>
      <c r="FU225" s="184"/>
      <c r="FV225" s="184"/>
      <c r="FW225" s="184"/>
      <c r="FX225" s="184"/>
      <c r="FY225" s="184"/>
      <c r="FZ225" s="184"/>
      <c r="GA225" s="184"/>
      <c r="GB225" s="184"/>
      <c r="GC225" s="184"/>
      <c r="GD225" s="184"/>
      <c r="GE225" s="184"/>
      <c r="GF225" s="184"/>
      <c r="GG225" s="184"/>
      <c r="GH225" s="184"/>
      <c r="GI225" s="184"/>
    </row>
    <row r="226" spans="1:191" s="186" customFormat="1" ht="15" customHeight="1">
      <c r="A226" s="184"/>
      <c r="B226" s="190"/>
      <c r="C226" s="211"/>
      <c r="D226" s="193"/>
      <c r="E226" s="193"/>
      <c r="F226" s="188"/>
      <c r="G226" s="188"/>
      <c r="H226" s="190"/>
      <c r="I226" s="188"/>
      <c r="J226" s="184"/>
      <c r="K226" s="190"/>
      <c r="L226" s="190"/>
      <c r="M226" s="190"/>
      <c r="N226" s="184"/>
      <c r="O226" s="191"/>
      <c r="P226" s="191"/>
      <c r="Q226" s="183"/>
      <c r="R226" s="183"/>
      <c r="S226" s="183"/>
      <c r="T226" s="184"/>
      <c r="U226" s="184"/>
      <c r="V226" s="188"/>
      <c r="AB226" s="184"/>
      <c r="AC226" s="184"/>
      <c r="AD226" s="184"/>
      <c r="AE226" s="184"/>
      <c r="AF226" s="184"/>
      <c r="AG226" s="184"/>
      <c r="AH226" s="184"/>
      <c r="AI226" s="184"/>
      <c r="AJ226" s="184"/>
      <c r="AK226" s="184"/>
      <c r="AL226" s="184"/>
      <c r="AM226" s="184"/>
      <c r="AN226" s="184"/>
      <c r="AO226" s="184"/>
      <c r="AP226" s="184"/>
      <c r="AQ226" s="184"/>
      <c r="AR226" s="184"/>
      <c r="AS226" s="184"/>
      <c r="AT226" s="184"/>
      <c r="AU226" s="184"/>
      <c r="AV226" s="184"/>
      <c r="AW226" s="184"/>
      <c r="AX226" s="184"/>
      <c r="AY226" s="184"/>
      <c r="AZ226" s="184"/>
      <c r="BA226" s="184"/>
      <c r="BB226" s="184"/>
      <c r="BC226" s="184"/>
      <c r="BD226" s="184"/>
      <c r="BE226" s="184"/>
      <c r="BF226" s="184"/>
      <c r="BG226" s="184"/>
      <c r="BH226" s="184"/>
      <c r="BI226" s="184"/>
      <c r="BJ226" s="184"/>
      <c r="BK226" s="184"/>
      <c r="BL226" s="184"/>
      <c r="BM226" s="184"/>
      <c r="BN226" s="184"/>
      <c r="BO226" s="184"/>
      <c r="BP226" s="184"/>
      <c r="BQ226" s="184"/>
      <c r="BR226" s="184"/>
      <c r="BS226" s="184"/>
      <c r="BT226" s="184"/>
      <c r="BU226" s="184"/>
      <c r="BV226" s="184"/>
      <c r="BW226" s="184"/>
      <c r="BX226" s="184"/>
      <c r="BY226" s="184"/>
      <c r="BZ226" s="184"/>
      <c r="CA226" s="184"/>
      <c r="CB226" s="184"/>
      <c r="CC226" s="184"/>
      <c r="CD226" s="184"/>
      <c r="CE226" s="184"/>
      <c r="CF226" s="184"/>
      <c r="CG226" s="184"/>
      <c r="CH226" s="184"/>
      <c r="CI226" s="184"/>
      <c r="CJ226" s="184"/>
      <c r="CK226" s="184"/>
      <c r="CL226" s="184"/>
      <c r="CM226" s="184"/>
      <c r="CN226" s="184"/>
      <c r="CO226" s="184"/>
      <c r="CP226" s="184"/>
      <c r="CQ226" s="184"/>
      <c r="CR226" s="184"/>
      <c r="CS226" s="184"/>
      <c r="CT226" s="184"/>
      <c r="CU226" s="184"/>
      <c r="CV226" s="184"/>
      <c r="CW226" s="184"/>
      <c r="CX226" s="184"/>
      <c r="CY226" s="184"/>
      <c r="CZ226" s="184"/>
      <c r="DA226" s="184"/>
      <c r="DB226" s="184"/>
      <c r="DC226" s="184"/>
      <c r="DD226" s="184"/>
      <c r="DE226" s="184"/>
      <c r="DF226" s="184"/>
      <c r="DG226" s="184"/>
      <c r="DH226" s="184"/>
      <c r="DI226" s="184"/>
      <c r="DJ226" s="184"/>
      <c r="DK226" s="184"/>
      <c r="DL226" s="184"/>
      <c r="DM226" s="184"/>
      <c r="DN226" s="184"/>
      <c r="DO226" s="184"/>
      <c r="DP226" s="184"/>
      <c r="DQ226" s="184"/>
      <c r="DR226" s="184"/>
      <c r="DS226" s="184"/>
      <c r="DT226" s="184"/>
      <c r="DU226" s="184"/>
      <c r="DV226" s="184"/>
      <c r="DW226" s="184"/>
      <c r="DX226" s="184"/>
      <c r="DY226" s="184"/>
      <c r="DZ226" s="184"/>
      <c r="EA226" s="184"/>
      <c r="EB226" s="184"/>
      <c r="EC226" s="184"/>
      <c r="ED226" s="184"/>
      <c r="EE226" s="184"/>
      <c r="EF226" s="184"/>
      <c r="EG226" s="184"/>
      <c r="EH226" s="184"/>
      <c r="EI226" s="184"/>
      <c r="EJ226" s="184"/>
      <c r="EK226" s="184"/>
      <c r="EL226" s="184"/>
      <c r="EM226" s="184"/>
      <c r="EN226" s="184"/>
      <c r="EO226" s="184"/>
      <c r="EP226" s="184"/>
      <c r="EQ226" s="184"/>
      <c r="ER226" s="184"/>
      <c r="ES226" s="184"/>
      <c r="ET226" s="184"/>
      <c r="EU226" s="184"/>
      <c r="EV226" s="184"/>
      <c r="EW226" s="184"/>
      <c r="EX226" s="184"/>
      <c r="EY226" s="184"/>
      <c r="EZ226" s="184"/>
      <c r="FA226" s="184"/>
      <c r="FB226" s="184"/>
      <c r="FC226" s="184"/>
      <c r="FD226" s="184"/>
      <c r="FE226" s="184"/>
      <c r="FF226" s="184"/>
      <c r="FG226" s="184"/>
      <c r="FH226" s="184"/>
      <c r="FI226" s="184"/>
      <c r="FJ226" s="184"/>
      <c r="FK226" s="184"/>
      <c r="FL226" s="184"/>
      <c r="FM226" s="184"/>
      <c r="FN226" s="184"/>
      <c r="FO226" s="184"/>
      <c r="FP226" s="184"/>
      <c r="FQ226" s="184"/>
      <c r="FR226" s="184"/>
      <c r="FS226" s="184"/>
      <c r="FT226" s="184"/>
      <c r="FU226" s="184"/>
      <c r="FV226" s="184"/>
      <c r="FW226" s="184"/>
      <c r="FX226" s="184"/>
      <c r="FY226" s="184"/>
      <c r="FZ226" s="184"/>
      <c r="GA226" s="184"/>
      <c r="GB226" s="184"/>
      <c r="GC226" s="184"/>
      <c r="GD226" s="184"/>
      <c r="GE226" s="184"/>
      <c r="GF226" s="184"/>
      <c r="GG226" s="184"/>
      <c r="GH226" s="184"/>
      <c r="GI226" s="184"/>
    </row>
    <row r="227" spans="1:191" s="186" customFormat="1" ht="15" customHeight="1">
      <c r="A227" s="184"/>
      <c r="B227" s="190"/>
      <c r="C227" s="211"/>
      <c r="D227" s="193"/>
      <c r="E227" s="193"/>
      <c r="F227" s="188"/>
      <c r="G227" s="188"/>
      <c r="H227" s="190"/>
      <c r="I227" s="188"/>
      <c r="J227" s="184"/>
      <c r="K227" s="190"/>
      <c r="L227" s="190"/>
      <c r="M227" s="190"/>
      <c r="N227" s="184"/>
      <c r="O227" s="191"/>
      <c r="P227" s="191"/>
      <c r="Q227" s="183"/>
      <c r="R227" s="183"/>
      <c r="S227" s="183"/>
      <c r="T227" s="184"/>
      <c r="U227" s="184"/>
      <c r="V227" s="188"/>
      <c r="AB227" s="184"/>
      <c r="AC227" s="184"/>
      <c r="AD227" s="184"/>
      <c r="AE227" s="184"/>
      <c r="AF227" s="184"/>
      <c r="AG227" s="184"/>
      <c r="AH227" s="184"/>
      <c r="AI227" s="184"/>
      <c r="AJ227" s="184"/>
      <c r="AK227" s="184"/>
      <c r="AL227" s="184"/>
      <c r="AM227" s="184"/>
      <c r="AN227" s="184"/>
      <c r="AO227" s="184"/>
      <c r="AP227" s="184"/>
      <c r="AQ227" s="184"/>
      <c r="AR227" s="184"/>
      <c r="AS227" s="184"/>
      <c r="AT227" s="184"/>
      <c r="AU227" s="184"/>
      <c r="AV227" s="184"/>
      <c r="AW227" s="184"/>
      <c r="AX227" s="184"/>
      <c r="AY227" s="184"/>
      <c r="AZ227" s="184"/>
      <c r="BA227" s="184"/>
      <c r="BB227" s="184"/>
      <c r="BC227" s="184"/>
      <c r="BD227" s="184"/>
      <c r="BE227" s="184"/>
      <c r="BF227" s="184"/>
      <c r="BG227" s="184"/>
      <c r="BH227" s="184"/>
      <c r="BI227" s="184"/>
      <c r="BJ227" s="184"/>
      <c r="BK227" s="184"/>
      <c r="BL227" s="184"/>
      <c r="BM227" s="184"/>
      <c r="BN227" s="184"/>
      <c r="BO227" s="184"/>
      <c r="BP227" s="184"/>
      <c r="BQ227" s="184"/>
      <c r="BR227" s="184"/>
      <c r="BS227" s="184"/>
      <c r="BT227" s="184"/>
      <c r="BU227" s="184"/>
      <c r="BV227" s="184"/>
      <c r="BW227" s="184"/>
      <c r="BX227" s="184"/>
      <c r="BY227" s="184"/>
      <c r="BZ227" s="184"/>
      <c r="CA227" s="184"/>
      <c r="CB227" s="184"/>
      <c r="CC227" s="184"/>
      <c r="CD227" s="184"/>
      <c r="CE227" s="184"/>
      <c r="CF227" s="184"/>
      <c r="CG227" s="184"/>
      <c r="CH227" s="184"/>
      <c r="CI227" s="184"/>
      <c r="CJ227" s="184"/>
      <c r="CK227" s="184"/>
      <c r="CL227" s="184"/>
      <c r="CM227" s="184"/>
      <c r="CN227" s="184"/>
      <c r="CO227" s="184"/>
      <c r="CP227" s="184"/>
      <c r="CQ227" s="184"/>
      <c r="CR227" s="184"/>
      <c r="CS227" s="184"/>
      <c r="CT227" s="184"/>
      <c r="CU227" s="184"/>
      <c r="CV227" s="184"/>
      <c r="CW227" s="184"/>
      <c r="CX227" s="184"/>
      <c r="CY227" s="184"/>
      <c r="CZ227" s="184"/>
      <c r="DA227" s="184"/>
      <c r="DB227" s="184"/>
      <c r="DC227" s="184"/>
      <c r="DD227" s="184"/>
      <c r="DE227" s="184"/>
      <c r="DF227" s="184"/>
      <c r="DG227" s="184"/>
      <c r="DH227" s="184"/>
      <c r="DI227" s="184"/>
      <c r="DJ227" s="184"/>
      <c r="DK227" s="184"/>
      <c r="DL227" s="184"/>
      <c r="DM227" s="184"/>
      <c r="DN227" s="184"/>
      <c r="DO227" s="184"/>
      <c r="DP227" s="184"/>
      <c r="DQ227" s="184"/>
      <c r="DR227" s="184"/>
      <c r="DS227" s="184"/>
      <c r="DT227" s="184"/>
      <c r="DU227" s="184"/>
      <c r="DV227" s="184"/>
      <c r="DW227" s="184"/>
      <c r="DX227" s="184"/>
      <c r="DY227" s="184"/>
      <c r="DZ227" s="184"/>
      <c r="EA227" s="184"/>
      <c r="EB227" s="184"/>
      <c r="EC227" s="184"/>
      <c r="ED227" s="184"/>
      <c r="EE227" s="184"/>
      <c r="EF227" s="184"/>
      <c r="EG227" s="184"/>
      <c r="EH227" s="184"/>
      <c r="EI227" s="184"/>
      <c r="EJ227" s="184"/>
      <c r="EK227" s="184"/>
      <c r="EL227" s="184"/>
      <c r="EM227" s="184"/>
      <c r="EN227" s="184"/>
      <c r="EO227" s="184"/>
      <c r="EP227" s="184"/>
      <c r="EQ227" s="184"/>
      <c r="ER227" s="184"/>
      <c r="ES227" s="184"/>
      <c r="ET227" s="184"/>
      <c r="EU227" s="184"/>
      <c r="EV227" s="184"/>
      <c r="EW227" s="184"/>
      <c r="EX227" s="184"/>
      <c r="EY227" s="184"/>
      <c r="EZ227" s="184"/>
      <c r="FA227" s="184"/>
      <c r="FB227" s="184"/>
      <c r="FC227" s="184"/>
      <c r="FD227" s="184"/>
      <c r="FE227" s="184"/>
      <c r="FF227" s="184"/>
      <c r="FG227" s="184"/>
      <c r="FH227" s="184"/>
      <c r="FI227" s="184"/>
      <c r="FJ227" s="184"/>
      <c r="FK227" s="184"/>
      <c r="FL227" s="184"/>
      <c r="FM227" s="184"/>
      <c r="FN227" s="184"/>
      <c r="FO227" s="184"/>
      <c r="FP227" s="184"/>
      <c r="FQ227" s="184"/>
      <c r="FR227" s="184"/>
      <c r="FS227" s="184"/>
      <c r="FT227" s="184"/>
      <c r="FU227" s="184"/>
      <c r="FV227" s="184"/>
      <c r="FW227" s="184"/>
      <c r="FX227" s="184"/>
      <c r="FY227" s="184"/>
      <c r="FZ227" s="184"/>
      <c r="GA227" s="184"/>
      <c r="GB227" s="184"/>
      <c r="GC227" s="184"/>
      <c r="GD227" s="184"/>
      <c r="GE227" s="184"/>
      <c r="GF227" s="184"/>
      <c r="GG227" s="184"/>
      <c r="GH227" s="184"/>
      <c r="GI227" s="184"/>
    </row>
    <row r="228" spans="1:191" s="186" customFormat="1" ht="15" customHeight="1">
      <c r="A228" s="184"/>
      <c r="B228" s="190"/>
      <c r="C228" s="211"/>
      <c r="D228" s="193"/>
      <c r="E228" s="193"/>
      <c r="F228" s="188"/>
      <c r="G228" s="188"/>
      <c r="H228" s="190"/>
      <c r="I228" s="188"/>
      <c r="J228" s="184"/>
      <c r="K228" s="190"/>
      <c r="L228" s="190"/>
      <c r="M228" s="190"/>
      <c r="N228" s="184"/>
      <c r="O228" s="191"/>
      <c r="P228" s="191"/>
      <c r="Q228" s="183"/>
      <c r="R228" s="183"/>
      <c r="S228" s="183"/>
      <c r="T228" s="184"/>
      <c r="U228" s="184"/>
      <c r="V228" s="188"/>
      <c r="AB228" s="184"/>
      <c r="AC228" s="184"/>
      <c r="AD228" s="184"/>
      <c r="AE228" s="184"/>
      <c r="AF228" s="184"/>
      <c r="AG228" s="184"/>
      <c r="AH228" s="184"/>
      <c r="AI228" s="184"/>
      <c r="AJ228" s="184"/>
      <c r="AK228" s="184"/>
      <c r="AL228" s="184"/>
      <c r="AM228" s="184"/>
      <c r="AN228" s="184"/>
      <c r="AO228" s="184"/>
      <c r="AP228" s="184"/>
      <c r="AQ228" s="184"/>
      <c r="AR228" s="184"/>
      <c r="AS228" s="184"/>
      <c r="AT228" s="184"/>
      <c r="AU228" s="184"/>
      <c r="AV228" s="184"/>
      <c r="AW228" s="184"/>
      <c r="AX228" s="184"/>
      <c r="AY228" s="184"/>
      <c r="AZ228" s="184"/>
      <c r="BA228" s="184"/>
      <c r="BB228" s="184"/>
      <c r="BC228" s="184"/>
      <c r="BD228" s="184"/>
      <c r="BE228" s="184"/>
      <c r="BF228" s="184"/>
      <c r="BG228" s="184"/>
      <c r="BH228" s="184"/>
      <c r="BI228" s="184"/>
      <c r="BJ228" s="184"/>
      <c r="BK228" s="184"/>
      <c r="BL228" s="184"/>
      <c r="BM228" s="184"/>
      <c r="BN228" s="184"/>
      <c r="BO228" s="184"/>
      <c r="BP228" s="184"/>
      <c r="BQ228" s="184"/>
      <c r="BR228" s="184"/>
      <c r="BS228" s="184"/>
      <c r="BT228" s="184"/>
      <c r="BU228" s="184"/>
      <c r="BV228" s="184"/>
      <c r="BW228" s="184"/>
      <c r="BX228" s="184"/>
      <c r="BY228" s="184"/>
      <c r="BZ228" s="184"/>
      <c r="CA228" s="184"/>
      <c r="CB228" s="184"/>
      <c r="CC228" s="184"/>
      <c r="CD228" s="184"/>
      <c r="CE228" s="184"/>
      <c r="CF228" s="184"/>
      <c r="CG228" s="184"/>
      <c r="CH228" s="184"/>
      <c r="CI228" s="184"/>
      <c r="CJ228" s="184"/>
      <c r="CK228" s="184"/>
      <c r="CL228" s="184"/>
      <c r="CM228" s="184"/>
      <c r="CN228" s="184"/>
      <c r="CO228" s="184"/>
      <c r="CP228" s="184"/>
      <c r="CQ228" s="184"/>
      <c r="CR228" s="184"/>
      <c r="CS228" s="184"/>
      <c r="CT228" s="184"/>
      <c r="CU228" s="184"/>
      <c r="CV228" s="184"/>
      <c r="CW228" s="184"/>
      <c r="CX228" s="184"/>
      <c r="CY228" s="184"/>
      <c r="CZ228" s="184"/>
      <c r="DA228" s="184"/>
      <c r="DB228" s="184"/>
      <c r="DC228" s="184"/>
      <c r="DD228" s="184"/>
      <c r="DE228" s="184"/>
      <c r="DF228" s="184"/>
      <c r="DG228" s="184"/>
      <c r="DH228" s="184"/>
      <c r="DI228" s="184"/>
      <c r="DJ228" s="184"/>
      <c r="DK228" s="184"/>
      <c r="DL228" s="184"/>
      <c r="DM228" s="184"/>
      <c r="DN228" s="184"/>
      <c r="DO228" s="184"/>
      <c r="DP228" s="184"/>
      <c r="DQ228" s="184"/>
      <c r="DR228" s="184"/>
      <c r="DS228" s="184"/>
      <c r="DT228" s="184"/>
      <c r="DU228" s="184"/>
      <c r="DV228" s="184"/>
      <c r="DW228" s="184"/>
      <c r="DX228" s="184"/>
      <c r="DY228" s="184"/>
      <c r="DZ228" s="184"/>
      <c r="EA228" s="184"/>
      <c r="EB228" s="184"/>
      <c r="EC228" s="184"/>
      <c r="ED228" s="184"/>
      <c r="EE228" s="184"/>
      <c r="EF228" s="184"/>
      <c r="EG228" s="184"/>
      <c r="EH228" s="184"/>
      <c r="EI228" s="184"/>
      <c r="EJ228" s="184"/>
      <c r="EK228" s="184"/>
      <c r="EL228" s="184"/>
      <c r="EM228" s="184"/>
      <c r="EN228" s="184"/>
      <c r="EO228" s="184"/>
      <c r="EP228" s="184"/>
      <c r="EQ228" s="184"/>
      <c r="ER228" s="184"/>
      <c r="ES228" s="184"/>
      <c r="ET228" s="184"/>
      <c r="EU228" s="184"/>
      <c r="EV228" s="184"/>
      <c r="EW228" s="184"/>
      <c r="EX228" s="184"/>
      <c r="EY228" s="184"/>
      <c r="EZ228" s="184"/>
      <c r="FA228" s="184"/>
      <c r="FB228" s="184"/>
      <c r="FC228" s="184"/>
      <c r="FD228" s="184"/>
      <c r="FE228" s="184"/>
      <c r="FF228" s="184"/>
      <c r="FG228" s="184"/>
      <c r="FH228" s="184"/>
      <c r="FI228" s="184"/>
      <c r="FJ228" s="184"/>
      <c r="FK228" s="184"/>
      <c r="FL228" s="184"/>
      <c r="FM228" s="184"/>
      <c r="FN228" s="184"/>
      <c r="FO228" s="184"/>
      <c r="FP228" s="184"/>
      <c r="FQ228" s="184"/>
      <c r="FR228" s="184"/>
      <c r="FS228" s="184"/>
      <c r="FT228" s="184"/>
      <c r="FU228" s="184"/>
      <c r="FV228" s="184"/>
      <c r="FW228" s="184"/>
      <c r="FX228" s="184"/>
      <c r="FY228" s="184"/>
      <c r="FZ228" s="184"/>
      <c r="GA228" s="184"/>
      <c r="GB228" s="184"/>
      <c r="GC228" s="184"/>
      <c r="GD228" s="184"/>
      <c r="GE228" s="184"/>
      <c r="GF228" s="184"/>
      <c r="GG228" s="184"/>
      <c r="GH228" s="184"/>
      <c r="GI228" s="184"/>
    </row>
    <row r="229" spans="1:191" s="186" customFormat="1" ht="15" customHeight="1">
      <c r="A229" s="184"/>
      <c r="B229" s="190"/>
      <c r="C229" s="211"/>
      <c r="D229" s="193"/>
      <c r="E229" s="193"/>
      <c r="F229" s="188"/>
      <c r="G229" s="188"/>
      <c r="H229" s="190"/>
      <c r="I229" s="188"/>
      <c r="J229" s="184"/>
      <c r="K229" s="190"/>
      <c r="L229" s="190"/>
      <c r="M229" s="190"/>
      <c r="N229" s="184"/>
      <c r="O229" s="191"/>
      <c r="P229" s="191"/>
      <c r="Q229" s="183"/>
      <c r="R229" s="183"/>
      <c r="S229" s="183"/>
      <c r="T229" s="184"/>
      <c r="U229" s="184"/>
      <c r="V229" s="188"/>
      <c r="AB229" s="184"/>
      <c r="AC229" s="184"/>
      <c r="AD229" s="184"/>
      <c r="AE229" s="184"/>
      <c r="AF229" s="184"/>
      <c r="AG229" s="184"/>
      <c r="AH229" s="184"/>
      <c r="AI229" s="184"/>
      <c r="AJ229" s="184"/>
      <c r="AK229" s="184"/>
      <c r="AL229" s="184"/>
      <c r="AM229" s="184"/>
      <c r="AN229" s="184"/>
      <c r="AO229" s="184"/>
      <c r="AP229" s="184"/>
      <c r="AQ229" s="184"/>
      <c r="AR229" s="184"/>
      <c r="AS229" s="184"/>
      <c r="AT229" s="184"/>
      <c r="AU229" s="184"/>
      <c r="AV229" s="184"/>
      <c r="AW229" s="184"/>
      <c r="AX229" s="184"/>
      <c r="AY229" s="184"/>
      <c r="AZ229" s="184"/>
      <c r="BA229" s="184"/>
      <c r="BB229" s="184"/>
      <c r="BC229" s="184"/>
      <c r="BD229" s="184"/>
      <c r="BE229" s="184"/>
      <c r="BF229" s="184"/>
      <c r="BG229" s="184"/>
      <c r="BH229" s="184"/>
      <c r="BI229" s="184"/>
      <c r="BJ229" s="184"/>
      <c r="BK229" s="184"/>
      <c r="BL229" s="184"/>
      <c r="BM229" s="184"/>
      <c r="BN229" s="184"/>
      <c r="BO229" s="184"/>
      <c r="BP229" s="184"/>
      <c r="BQ229" s="184"/>
      <c r="BR229" s="184"/>
      <c r="BS229" s="184"/>
      <c r="BT229" s="184"/>
      <c r="BU229" s="184"/>
      <c r="BV229" s="184"/>
      <c r="BW229" s="184"/>
      <c r="BX229" s="184"/>
      <c r="BY229" s="184"/>
      <c r="BZ229" s="184"/>
      <c r="CA229" s="184"/>
      <c r="CB229" s="184"/>
      <c r="CC229" s="184"/>
      <c r="CD229" s="184"/>
      <c r="CE229" s="184"/>
      <c r="CF229" s="184"/>
      <c r="CG229" s="184"/>
      <c r="CH229" s="184"/>
      <c r="CI229" s="184"/>
      <c r="CJ229" s="184"/>
      <c r="CK229" s="184"/>
      <c r="CL229" s="184"/>
      <c r="CM229" s="184"/>
      <c r="CN229" s="184"/>
      <c r="CO229" s="184"/>
      <c r="CP229" s="184"/>
      <c r="CQ229" s="184"/>
      <c r="CR229" s="184"/>
      <c r="CS229" s="184"/>
      <c r="CT229" s="184"/>
      <c r="CU229" s="184"/>
      <c r="CV229" s="184"/>
      <c r="CW229" s="184"/>
      <c r="CX229" s="184"/>
      <c r="CY229" s="184"/>
      <c r="CZ229" s="184"/>
      <c r="DA229" s="184"/>
      <c r="DB229" s="184"/>
      <c r="DC229" s="184"/>
      <c r="DD229" s="184"/>
      <c r="DE229" s="184"/>
      <c r="DF229" s="184"/>
      <c r="DG229" s="184"/>
      <c r="DH229" s="184"/>
      <c r="DI229" s="184"/>
      <c r="DJ229" s="184"/>
      <c r="DK229" s="184"/>
      <c r="DL229" s="184"/>
      <c r="DM229" s="184"/>
      <c r="DN229" s="184"/>
      <c r="DO229" s="184"/>
      <c r="DP229" s="184"/>
      <c r="DQ229" s="184"/>
      <c r="DR229" s="184"/>
      <c r="DS229" s="184"/>
      <c r="DT229" s="184"/>
      <c r="DU229" s="184"/>
      <c r="DV229" s="184"/>
      <c r="DW229" s="184"/>
      <c r="DX229" s="184"/>
      <c r="DY229" s="184"/>
      <c r="DZ229" s="184"/>
      <c r="EA229" s="184"/>
      <c r="EB229" s="184"/>
      <c r="EC229" s="184"/>
      <c r="ED229" s="184"/>
      <c r="EE229" s="184"/>
      <c r="EF229" s="184"/>
      <c r="EG229" s="184"/>
      <c r="EH229" s="184"/>
      <c r="EI229" s="184"/>
      <c r="EJ229" s="184"/>
      <c r="EK229" s="184"/>
      <c r="EL229" s="184"/>
      <c r="EM229" s="184"/>
      <c r="EN229" s="184"/>
      <c r="EO229" s="184"/>
      <c r="EP229" s="184"/>
      <c r="EQ229" s="184"/>
      <c r="ER229" s="184"/>
      <c r="ES229" s="184"/>
      <c r="ET229" s="184"/>
      <c r="EU229" s="184"/>
      <c r="EV229" s="184"/>
      <c r="EW229" s="184"/>
      <c r="EX229" s="184"/>
      <c r="EY229" s="184"/>
      <c r="EZ229" s="184"/>
      <c r="FA229" s="184"/>
      <c r="FB229" s="184"/>
      <c r="FC229" s="184"/>
      <c r="FD229" s="184"/>
      <c r="FE229" s="184"/>
      <c r="FF229" s="184"/>
      <c r="FG229" s="184"/>
      <c r="FH229" s="184"/>
      <c r="FI229" s="184"/>
      <c r="FJ229" s="184"/>
      <c r="FK229" s="184"/>
      <c r="FL229" s="184"/>
      <c r="FM229" s="184"/>
      <c r="FN229" s="184"/>
      <c r="FO229" s="184"/>
      <c r="FP229" s="184"/>
      <c r="FQ229" s="184"/>
      <c r="FR229" s="184"/>
      <c r="FS229" s="184"/>
      <c r="FT229" s="184"/>
      <c r="FU229" s="184"/>
      <c r="FV229" s="184"/>
      <c r="FW229" s="184"/>
      <c r="FX229" s="184"/>
      <c r="FY229" s="184"/>
      <c r="FZ229" s="184"/>
      <c r="GA229" s="184"/>
      <c r="GB229" s="184"/>
      <c r="GC229" s="184"/>
      <c r="GD229" s="184"/>
      <c r="GE229" s="184"/>
      <c r="GF229" s="184"/>
      <c r="GG229" s="184"/>
      <c r="GH229" s="184"/>
      <c r="GI229" s="184"/>
    </row>
    <row r="230" spans="1:191" s="186" customFormat="1" ht="15" customHeight="1">
      <c r="A230" s="184"/>
      <c r="B230" s="190"/>
      <c r="C230" s="211"/>
      <c r="D230" s="193"/>
      <c r="E230" s="193"/>
      <c r="F230" s="188"/>
      <c r="G230" s="188"/>
      <c r="H230" s="190"/>
      <c r="I230" s="188"/>
      <c r="J230" s="184"/>
      <c r="K230" s="190"/>
      <c r="L230" s="190"/>
      <c r="M230" s="190"/>
      <c r="N230" s="184"/>
      <c r="O230" s="191"/>
      <c r="P230" s="191"/>
      <c r="Q230" s="183"/>
      <c r="R230" s="183"/>
      <c r="S230" s="183"/>
      <c r="T230" s="184"/>
      <c r="U230" s="184"/>
      <c r="V230" s="188"/>
      <c r="AB230" s="184"/>
      <c r="AC230" s="184"/>
      <c r="AD230" s="184"/>
      <c r="AE230" s="184"/>
      <c r="AF230" s="184"/>
      <c r="AG230" s="184"/>
      <c r="AH230" s="184"/>
      <c r="AI230" s="184"/>
      <c r="AJ230" s="184"/>
      <c r="AK230" s="184"/>
      <c r="AL230" s="184"/>
      <c r="AM230" s="184"/>
      <c r="AN230" s="184"/>
      <c r="AO230" s="184"/>
      <c r="AP230" s="184"/>
      <c r="AQ230" s="184"/>
      <c r="AR230" s="184"/>
      <c r="AS230" s="184"/>
      <c r="AT230" s="184"/>
      <c r="AU230" s="184"/>
      <c r="AV230" s="184"/>
      <c r="AW230" s="184"/>
      <c r="AX230" s="184"/>
      <c r="AY230" s="184"/>
      <c r="AZ230" s="184"/>
      <c r="BA230" s="184"/>
      <c r="BB230" s="184"/>
      <c r="BC230" s="184"/>
      <c r="BD230" s="184"/>
      <c r="BE230" s="184"/>
      <c r="BF230" s="184"/>
      <c r="BG230" s="184"/>
      <c r="BH230" s="184"/>
      <c r="BI230" s="184"/>
      <c r="BJ230" s="184"/>
      <c r="BK230" s="184"/>
      <c r="BL230" s="184"/>
      <c r="BM230" s="184"/>
      <c r="BN230" s="184"/>
      <c r="BO230" s="184"/>
      <c r="BP230" s="184"/>
      <c r="BQ230" s="184"/>
      <c r="BR230" s="184"/>
      <c r="BS230" s="184"/>
      <c r="BT230" s="184"/>
      <c r="BU230" s="184"/>
      <c r="BV230" s="184"/>
      <c r="BW230" s="184"/>
      <c r="BX230" s="184"/>
      <c r="BY230" s="184"/>
      <c r="BZ230" s="184"/>
      <c r="CA230" s="184"/>
      <c r="CB230" s="184"/>
      <c r="CC230" s="184"/>
      <c r="CD230" s="184"/>
      <c r="CE230" s="184"/>
      <c r="CF230" s="184"/>
      <c r="CG230" s="184"/>
      <c r="CH230" s="184"/>
      <c r="CI230" s="184"/>
      <c r="CJ230" s="184"/>
      <c r="CK230" s="184"/>
      <c r="CL230" s="184"/>
      <c r="CM230" s="184"/>
      <c r="CN230" s="184"/>
      <c r="CO230" s="184"/>
      <c r="CP230" s="184"/>
      <c r="CQ230" s="184"/>
      <c r="CR230" s="184"/>
      <c r="CS230" s="184"/>
      <c r="CT230" s="184"/>
      <c r="CU230" s="184"/>
      <c r="CV230" s="184"/>
      <c r="CW230" s="184"/>
      <c r="CX230" s="184"/>
      <c r="CY230" s="184"/>
      <c r="CZ230" s="184"/>
      <c r="DA230" s="184"/>
      <c r="DB230" s="184"/>
      <c r="DC230" s="184"/>
      <c r="DD230" s="184"/>
      <c r="DE230" s="184"/>
      <c r="DF230" s="184"/>
      <c r="DG230" s="184"/>
      <c r="DH230" s="184"/>
      <c r="DI230" s="184"/>
      <c r="DJ230" s="184"/>
      <c r="DK230" s="184"/>
      <c r="DL230" s="184"/>
      <c r="DM230" s="184"/>
      <c r="DN230" s="184"/>
      <c r="DO230" s="184"/>
      <c r="DP230" s="184"/>
      <c r="DQ230" s="184"/>
      <c r="DR230" s="184"/>
      <c r="DS230" s="184"/>
      <c r="DT230" s="184"/>
      <c r="DU230" s="184"/>
      <c r="DV230" s="184"/>
      <c r="DW230" s="184"/>
      <c r="DX230" s="184"/>
      <c r="DY230" s="184"/>
      <c r="DZ230" s="184"/>
      <c r="EA230" s="184"/>
      <c r="EB230" s="184"/>
      <c r="EC230" s="184"/>
      <c r="ED230" s="184"/>
      <c r="EE230" s="184"/>
      <c r="EF230" s="184"/>
      <c r="EG230" s="184"/>
      <c r="EH230" s="184"/>
      <c r="EI230" s="184"/>
      <c r="EJ230" s="184"/>
      <c r="EK230" s="184"/>
      <c r="EL230" s="184"/>
      <c r="EM230" s="184"/>
      <c r="EN230" s="184"/>
      <c r="EO230" s="184"/>
      <c r="EP230" s="184"/>
      <c r="EQ230" s="184"/>
      <c r="ER230" s="184"/>
      <c r="ES230" s="184"/>
      <c r="ET230" s="184"/>
      <c r="EU230" s="184"/>
      <c r="EV230" s="184"/>
      <c r="EW230" s="184"/>
      <c r="EX230" s="184"/>
      <c r="EY230" s="184"/>
      <c r="EZ230" s="184"/>
      <c r="FA230" s="184"/>
      <c r="FB230" s="184"/>
      <c r="FC230" s="184"/>
      <c r="FD230" s="184"/>
      <c r="FE230" s="184"/>
      <c r="FF230" s="184"/>
      <c r="FG230" s="184"/>
      <c r="FH230" s="184"/>
      <c r="FI230" s="184"/>
      <c r="FJ230" s="184"/>
      <c r="FK230" s="184"/>
      <c r="FL230" s="184"/>
      <c r="FM230" s="184"/>
      <c r="FN230" s="184"/>
      <c r="FO230" s="184"/>
      <c r="FP230" s="184"/>
      <c r="FQ230" s="184"/>
      <c r="FR230" s="184"/>
      <c r="FS230" s="184"/>
      <c r="FT230" s="184"/>
      <c r="FU230" s="184"/>
      <c r="FV230" s="184"/>
      <c r="FW230" s="184"/>
      <c r="FX230" s="184"/>
      <c r="FY230" s="184"/>
      <c r="FZ230" s="184"/>
      <c r="GA230" s="184"/>
      <c r="GB230" s="184"/>
      <c r="GC230" s="184"/>
      <c r="GD230" s="184"/>
      <c r="GE230" s="184"/>
      <c r="GF230" s="184"/>
      <c r="GG230" s="184"/>
      <c r="GH230" s="184"/>
      <c r="GI230" s="184"/>
    </row>
    <row r="231" spans="1:191" s="186" customFormat="1" ht="15" customHeight="1">
      <c r="A231" s="184"/>
      <c r="B231" s="190"/>
      <c r="C231" s="184"/>
      <c r="D231" s="191"/>
      <c r="E231" s="191"/>
      <c r="F231" s="194"/>
      <c r="G231" s="194"/>
      <c r="H231" s="190"/>
      <c r="I231" s="194"/>
      <c r="J231" s="184"/>
      <c r="K231" s="190"/>
      <c r="L231" s="190"/>
      <c r="M231" s="190"/>
      <c r="N231" s="184"/>
      <c r="O231" s="183"/>
      <c r="P231" s="191"/>
      <c r="Q231" s="183"/>
      <c r="R231" s="183"/>
      <c r="S231" s="183"/>
      <c r="T231" s="184"/>
      <c r="U231" s="184"/>
      <c r="V231" s="194"/>
      <c r="AB231" s="184"/>
      <c r="AC231" s="184"/>
      <c r="AD231" s="184"/>
      <c r="AE231" s="184"/>
      <c r="AF231" s="184"/>
      <c r="AG231" s="184"/>
      <c r="AH231" s="184"/>
      <c r="AI231" s="184"/>
      <c r="AJ231" s="184"/>
      <c r="AK231" s="184"/>
      <c r="AL231" s="184"/>
      <c r="AM231" s="184"/>
      <c r="AN231" s="184"/>
      <c r="AO231" s="184"/>
      <c r="AP231" s="184"/>
      <c r="AQ231" s="184"/>
      <c r="AR231" s="184"/>
      <c r="AS231" s="184"/>
      <c r="AT231" s="184"/>
      <c r="AU231" s="184"/>
      <c r="AV231" s="184"/>
      <c r="AW231" s="184"/>
      <c r="AX231" s="184"/>
      <c r="AY231" s="184"/>
      <c r="AZ231" s="184"/>
      <c r="BA231" s="184"/>
      <c r="BB231" s="184"/>
      <c r="BC231" s="184"/>
      <c r="BD231" s="184"/>
      <c r="BE231" s="184"/>
      <c r="BF231" s="184"/>
      <c r="BG231" s="184"/>
      <c r="BH231" s="184"/>
      <c r="BI231" s="184"/>
      <c r="BJ231" s="184"/>
      <c r="BK231" s="184"/>
      <c r="BL231" s="184"/>
      <c r="BM231" s="184"/>
      <c r="BN231" s="184"/>
      <c r="BO231" s="184"/>
      <c r="BP231" s="184"/>
      <c r="BQ231" s="184"/>
      <c r="BR231" s="184"/>
      <c r="BS231" s="184"/>
      <c r="BT231" s="184"/>
      <c r="BU231" s="184"/>
      <c r="BV231" s="184"/>
      <c r="BW231" s="184"/>
      <c r="BX231" s="184"/>
      <c r="BY231" s="184"/>
      <c r="BZ231" s="184"/>
      <c r="CA231" s="184"/>
      <c r="CB231" s="184"/>
      <c r="CC231" s="184"/>
      <c r="CD231" s="184"/>
      <c r="CE231" s="184"/>
      <c r="CF231" s="184"/>
      <c r="CG231" s="184"/>
      <c r="CH231" s="184"/>
      <c r="CI231" s="184"/>
      <c r="CJ231" s="184"/>
      <c r="CK231" s="184"/>
      <c r="CL231" s="184"/>
      <c r="CM231" s="184"/>
      <c r="CN231" s="184"/>
      <c r="CO231" s="184"/>
      <c r="CP231" s="184"/>
      <c r="CQ231" s="184"/>
      <c r="CR231" s="184"/>
      <c r="CS231" s="184"/>
      <c r="CT231" s="184"/>
      <c r="CU231" s="184"/>
      <c r="CV231" s="184"/>
      <c r="CW231" s="184"/>
      <c r="CX231" s="184"/>
      <c r="CY231" s="184"/>
      <c r="CZ231" s="184"/>
      <c r="DA231" s="184"/>
      <c r="DB231" s="184"/>
      <c r="DC231" s="184"/>
      <c r="DD231" s="184"/>
      <c r="DE231" s="184"/>
      <c r="DF231" s="184"/>
      <c r="DG231" s="184"/>
      <c r="DH231" s="184"/>
      <c r="DI231" s="184"/>
      <c r="DJ231" s="184"/>
      <c r="DK231" s="184"/>
      <c r="DL231" s="184"/>
      <c r="DM231" s="184"/>
      <c r="DN231" s="184"/>
      <c r="DO231" s="184"/>
      <c r="DP231" s="184"/>
      <c r="DQ231" s="184"/>
      <c r="DR231" s="184"/>
      <c r="DS231" s="184"/>
      <c r="DT231" s="184"/>
      <c r="DU231" s="184"/>
      <c r="DV231" s="184"/>
      <c r="DW231" s="184"/>
      <c r="DX231" s="184"/>
      <c r="DY231" s="184"/>
      <c r="DZ231" s="184"/>
      <c r="EA231" s="184"/>
      <c r="EB231" s="184"/>
      <c r="EC231" s="184"/>
      <c r="ED231" s="184"/>
      <c r="EE231" s="184"/>
      <c r="EF231" s="184"/>
      <c r="EG231" s="184"/>
      <c r="EH231" s="184"/>
      <c r="EI231" s="184"/>
      <c r="EJ231" s="184"/>
      <c r="EK231" s="184"/>
      <c r="EL231" s="184"/>
      <c r="EM231" s="184"/>
      <c r="EN231" s="184"/>
      <c r="EO231" s="184"/>
      <c r="EP231" s="184"/>
      <c r="EQ231" s="184"/>
      <c r="ER231" s="184"/>
      <c r="ES231" s="184"/>
      <c r="ET231" s="184"/>
      <c r="EU231" s="184"/>
      <c r="EV231" s="184"/>
      <c r="EW231" s="184"/>
      <c r="EX231" s="184"/>
      <c r="EY231" s="184"/>
      <c r="EZ231" s="184"/>
      <c r="FA231" s="184"/>
      <c r="FB231" s="184"/>
      <c r="FC231" s="184"/>
      <c r="FD231" s="184"/>
      <c r="FE231" s="184"/>
      <c r="FF231" s="184"/>
      <c r="FG231" s="184"/>
      <c r="FH231" s="184"/>
      <c r="FI231" s="184"/>
      <c r="FJ231" s="184"/>
      <c r="FK231" s="184"/>
      <c r="FL231" s="184"/>
      <c r="FM231" s="184"/>
      <c r="FN231" s="184"/>
      <c r="FO231" s="184"/>
      <c r="FP231" s="184"/>
      <c r="FQ231" s="184"/>
      <c r="FR231" s="184"/>
      <c r="FS231" s="184"/>
      <c r="FT231" s="184"/>
      <c r="FU231" s="184"/>
      <c r="FV231" s="184"/>
      <c r="FW231" s="184"/>
      <c r="FX231" s="184"/>
      <c r="FY231" s="184"/>
      <c r="FZ231" s="184"/>
      <c r="GA231" s="184"/>
      <c r="GB231" s="184"/>
      <c r="GC231" s="184"/>
      <c r="GD231" s="184"/>
      <c r="GE231" s="184"/>
      <c r="GF231" s="184"/>
      <c r="GG231" s="184"/>
      <c r="GH231" s="184"/>
      <c r="GI231" s="184"/>
    </row>
    <row r="232" spans="1:191" s="186" customFormat="1" ht="15" customHeight="1">
      <c r="A232" s="184"/>
      <c r="B232" s="190"/>
      <c r="C232" s="184"/>
      <c r="D232" s="191"/>
      <c r="E232" s="191"/>
      <c r="F232" s="194"/>
      <c r="G232" s="194"/>
      <c r="H232" s="190"/>
      <c r="I232" s="194"/>
      <c r="J232" s="184"/>
      <c r="K232" s="190"/>
      <c r="L232" s="190"/>
      <c r="M232" s="190"/>
      <c r="N232" s="184"/>
      <c r="O232" s="183"/>
      <c r="P232" s="191"/>
      <c r="Q232" s="183"/>
      <c r="R232" s="183"/>
      <c r="S232" s="183"/>
      <c r="T232" s="184"/>
      <c r="U232" s="184"/>
      <c r="V232" s="194"/>
      <c r="AB232" s="184"/>
      <c r="AC232" s="184"/>
      <c r="AD232" s="184"/>
      <c r="AE232" s="184"/>
      <c r="AF232" s="184"/>
      <c r="AG232" s="184"/>
      <c r="AH232" s="184"/>
      <c r="AI232" s="184"/>
      <c r="AJ232" s="184"/>
      <c r="AK232" s="184"/>
      <c r="AL232" s="184"/>
      <c r="AM232" s="184"/>
      <c r="AN232" s="184"/>
      <c r="AO232" s="184"/>
      <c r="AP232" s="184"/>
      <c r="AQ232" s="184"/>
      <c r="AR232" s="184"/>
      <c r="AS232" s="184"/>
      <c r="AT232" s="184"/>
      <c r="AU232" s="184"/>
      <c r="AV232" s="184"/>
      <c r="AW232" s="184"/>
      <c r="AX232" s="184"/>
      <c r="AY232" s="184"/>
      <c r="AZ232" s="184"/>
      <c r="BA232" s="184"/>
      <c r="BB232" s="184"/>
      <c r="BC232" s="184"/>
      <c r="BD232" s="184"/>
      <c r="BE232" s="184"/>
      <c r="BF232" s="184"/>
      <c r="BG232" s="184"/>
      <c r="BH232" s="184"/>
      <c r="BI232" s="184"/>
      <c r="BJ232" s="184"/>
      <c r="BK232" s="184"/>
      <c r="BL232" s="184"/>
      <c r="BM232" s="184"/>
      <c r="BN232" s="184"/>
      <c r="BO232" s="184"/>
      <c r="BP232" s="184"/>
      <c r="BQ232" s="184"/>
      <c r="BR232" s="184"/>
      <c r="BS232" s="184"/>
      <c r="BT232" s="184"/>
      <c r="BU232" s="184"/>
      <c r="BV232" s="184"/>
      <c r="BW232" s="184"/>
      <c r="BX232" s="184"/>
      <c r="BY232" s="184"/>
      <c r="BZ232" s="184"/>
      <c r="CA232" s="184"/>
      <c r="CB232" s="184"/>
      <c r="CC232" s="184"/>
      <c r="CD232" s="184"/>
      <c r="CE232" s="184"/>
      <c r="CF232" s="184"/>
      <c r="CG232" s="184"/>
      <c r="CH232" s="184"/>
      <c r="CI232" s="184"/>
      <c r="CJ232" s="184"/>
      <c r="CK232" s="184"/>
      <c r="CL232" s="184"/>
      <c r="CM232" s="184"/>
      <c r="CN232" s="184"/>
      <c r="CO232" s="184"/>
      <c r="CP232" s="184"/>
      <c r="CQ232" s="184"/>
      <c r="CR232" s="184"/>
      <c r="CS232" s="184"/>
      <c r="CT232" s="184"/>
      <c r="CU232" s="184"/>
      <c r="CV232" s="184"/>
      <c r="CW232" s="184"/>
      <c r="CX232" s="184"/>
      <c r="CY232" s="184"/>
      <c r="CZ232" s="184"/>
      <c r="DA232" s="184"/>
      <c r="DB232" s="184"/>
      <c r="DC232" s="184"/>
      <c r="DD232" s="184"/>
      <c r="DE232" s="184"/>
      <c r="DF232" s="184"/>
      <c r="DG232" s="184"/>
      <c r="DH232" s="184"/>
      <c r="DI232" s="184"/>
      <c r="DJ232" s="184"/>
      <c r="DK232" s="184"/>
      <c r="DL232" s="184"/>
      <c r="DM232" s="184"/>
      <c r="DN232" s="184"/>
      <c r="DO232" s="184"/>
      <c r="DP232" s="184"/>
      <c r="DQ232" s="184"/>
      <c r="DR232" s="184"/>
      <c r="DS232" s="184"/>
      <c r="DT232" s="184"/>
      <c r="DU232" s="184"/>
      <c r="DV232" s="184"/>
      <c r="DW232" s="184"/>
      <c r="DX232" s="184"/>
      <c r="DY232" s="184"/>
      <c r="DZ232" s="184"/>
      <c r="EA232" s="184"/>
      <c r="EB232" s="184"/>
      <c r="EC232" s="184"/>
      <c r="ED232" s="184"/>
      <c r="EE232" s="184"/>
      <c r="EF232" s="184"/>
      <c r="EG232" s="184"/>
      <c r="EH232" s="184"/>
      <c r="EI232" s="184"/>
      <c r="EJ232" s="184"/>
      <c r="EK232" s="184"/>
      <c r="EL232" s="184"/>
      <c r="EM232" s="184"/>
      <c r="EN232" s="184"/>
      <c r="EO232" s="184"/>
      <c r="EP232" s="184"/>
      <c r="EQ232" s="184"/>
      <c r="ER232" s="184"/>
      <c r="ES232" s="184"/>
      <c r="ET232" s="184"/>
      <c r="EU232" s="184"/>
      <c r="EV232" s="184"/>
      <c r="EW232" s="184"/>
      <c r="EX232" s="184"/>
      <c r="EY232" s="184"/>
      <c r="EZ232" s="184"/>
      <c r="FA232" s="184"/>
      <c r="FB232" s="184"/>
      <c r="FC232" s="184"/>
      <c r="FD232" s="184"/>
      <c r="FE232" s="184"/>
      <c r="FF232" s="184"/>
      <c r="FG232" s="184"/>
      <c r="FH232" s="184"/>
      <c r="FI232" s="184"/>
      <c r="FJ232" s="184"/>
      <c r="FK232" s="184"/>
      <c r="FL232" s="184"/>
      <c r="FM232" s="184"/>
      <c r="FN232" s="184"/>
      <c r="FO232" s="184"/>
      <c r="FP232" s="184"/>
      <c r="FQ232" s="184"/>
      <c r="FR232" s="184"/>
      <c r="FS232" s="184"/>
      <c r="FT232" s="184"/>
      <c r="FU232" s="184"/>
      <c r="FV232" s="184"/>
      <c r="FW232" s="184"/>
      <c r="FX232" s="184"/>
      <c r="FY232" s="184"/>
      <c r="FZ232" s="184"/>
      <c r="GA232" s="184"/>
      <c r="GB232" s="184"/>
      <c r="GC232" s="184"/>
      <c r="GD232" s="184"/>
      <c r="GE232" s="184"/>
      <c r="GF232" s="184"/>
      <c r="GG232" s="184"/>
      <c r="GH232" s="184"/>
      <c r="GI232" s="184"/>
    </row>
    <row r="233" spans="1:191" s="186" customFormat="1" ht="15" customHeight="1">
      <c r="A233" s="184"/>
      <c r="B233" s="190"/>
      <c r="C233" s="184"/>
      <c r="D233" s="191"/>
      <c r="E233" s="191"/>
      <c r="F233" s="194"/>
      <c r="G233" s="194"/>
      <c r="H233" s="190"/>
      <c r="I233" s="194"/>
      <c r="J233" s="184"/>
      <c r="K233" s="190"/>
      <c r="L233" s="190"/>
      <c r="M233" s="190"/>
      <c r="N233" s="184"/>
      <c r="O233" s="183"/>
      <c r="P233" s="191"/>
      <c r="Q233" s="183"/>
      <c r="R233" s="183"/>
      <c r="S233" s="183"/>
      <c r="T233" s="184"/>
      <c r="U233" s="184"/>
      <c r="V233" s="194"/>
      <c r="AB233" s="184"/>
      <c r="AC233" s="184"/>
      <c r="AD233" s="184"/>
      <c r="AE233" s="184"/>
      <c r="AF233" s="184"/>
      <c r="AG233" s="184"/>
      <c r="AH233" s="184"/>
      <c r="AI233" s="184"/>
      <c r="AJ233" s="184"/>
      <c r="AK233" s="184"/>
      <c r="AL233" s="184"/>
      <c r="AM233" s="184"/>
      <c r="AN233" s="184"/>
      <c r="AO233" s="184"/>
      <c r="AP233" s="184"/>
      <c r="AQ233" s="184"/>
      <c r="AR233" s="184"/>
      <c r="AS233" s="184"/>
      <c r="AT233" s="184"/>
      <c r="AU233" s="184"/>
      <c r="AV233" s="184"/>
      <c r="AW233" s="184"/>
      <c r="AX233" s="184"/>
      <c r="AY233" s="184"/>
      <c r="AZ233" s="184"/>
      <c r="BA233" s="184"/>
      <c r="BB233" s="184"/>
      <c r="BC233" s="184"/>
      <c r="BD233" s="184"/>
      <c r="BE233" s="184"/>
      <c r="BF233" s="184"/>
      <c r="BG233" s="184"/>
      <c r="BH233" s="184"/>
      <c r="BI233" s="184"/>
      <c r="BJ233" s="184"/>
      <c r="BK233" s="184"/>
      <c r="BL233" s="184"/>
      <c r="BM233" s="184"/>
      <c r="BN233" s="184"/>
      <c r="BO233" s="184"/>
      <c r="BP233" s="184"/>
      <c r="BQ233" s="184"/>
      <c r="BR233" s="184"/>
      <c r="BS233" s="184"/>
      <c r="BT233" s="184"/>
      <c r="BU233" s="184"/>
      <c r="BV233" s="184"/>
      <c r="BW233" s="184"/>
      <c r="BX233" s="184"/>
      <c r="BY233" s="184"/>
      <c r="BZ233" s="184"/>
      <c r="CA233" s="184"/>
      <c r="CB233" s="184"/>
      <c r="CC233" s="184"/>
      <c r="CD233" s="184"/>
      <c r="CE233" s="184"/>
      <c r="CF233" s="184"/>
      <c r="CG233" s="184"/>
      <c r="CH233" s="184"/>
      <c r="CI233" s="184"/>
      <c r="CJ233" s="184"/>
      <c r="CK233" s="184"/>
      <c r="CL233" s="184"/>
      <c r="CM233" s="184"/>
      <c r="CN233" s="184"/>
      <c r="CO233" s="184"/>
      <c r="CP233" s="184"/>
      <c r="CQ233" s="184"/>
      <c r="CR233" s="184"/>
      <c r="CS233" s="184"/>
      <c r="CT233" s="184"/>
      <c r="CU233" s="184"/>
      <c r="CV233" s="184"/>
      <c r="CW233" s="184"/>
      <c r="CX233" s="184"/>
      <c r="CY233" s="184"/>
      <c r="CZ233" s="184"/>
      <c r="DA233" s="184"/>
      <c r="DB233" s="184"/>
      <c r="DC233" s="184"/>
      <c r="DD233" s="184"/>
      <c r="DE233" s="184"/>
      <c r="DF233" s="184"/>
      <c r="DG233" s="184"/>
      <c r="DH233" s="184"/>
      <c r="DI233" s="184"/>
      <c r="DJ233" s="184"/>
      <c r="DK233" s="184"/>
      <c r="DL233" s="184"/>
      <c r="DM233" s="184"/>
      <c r="DN233" s="184"/>
      <c r="DO233" s="184"/>
      <c r="DP233" s="184"/>
      <c r="DQ233" s="184"/>
      <c r="DR233" s="184"/>
      <c r="DS233" s="184"/>
      <c r="DT233" s="184"/>
      <c r="DU233" s="184"/>
      <c r="DV233" s="184"/>
      <c r="DW233" s="184"/>
      <c r="DX233" s="184"/>
      <c r="DY233" s="184"/>
      <c r="DZ233" s="184"/>
      <c r="EA233" s="184"/>
      <c r="EB233" s="184"/>
      <c r="EC233" s="184"/>
      <c r="ED233" s="184"/>
      <c r="EE233" s="184"/>
      <c r="EF233" s="184"/>
      <c r="EG233" s="184"/>
      <c r="EH233" s="184"/>
      <c r="EI233" s="184"/>
      <c r="EJ233" s="184"/>
      <c r="EK233" s="184"/>
      <c r="EL233" s="184"/>
      <c r="EM233" s="184"/>
      <c r="EN233" s="184"/>
      <c r="EO233" s="184"/>
      <c r="EP233" s="184"/>
      <c r="EQ233" s="184"/>
      <c r="ER233" s="184"/>
      <c r="ES233" s="184"/>
      <c r="ET233" s="184"/>
      <c r="EU233" s="184"/>
      <c r="EV233" s="184"/>
      <c r="EW233" s="184"/>
      <c r="EX233" s="184"/>
      <c r="EY233" s="184"/>
      <c r="EZ233" s="184"/>
      <c r="FA233" s="184"/>
      <c r="FB233" s="184"/>
      <c r="FC233" s="184"/>
      <c r="FD233" s="184"/>
      <c r="FE233" s="184"/>
      <c r="FF233" s="184"/>
      <c r="FG233" s="184"/>
      <c r="FH233" s="184"/>
      <c r="FI233" s="184"/>
      <c r="FJ233" s="184"/>
      <c r="FK233" s="184"/>
      <c r="FL233" s="184"/>
      <c r="FM233" s="184"/>
      <c r="FN233" s="184"/>
      <c r="FO233" s="184"/>
      <c r="FP233" s="184"/>
      <c r="FQ233" s="184"/>
      <c r="FR233" s="184"/>
      <c r="FS233" s="184"/>
      <c r="FT233" s="184"/>
      <c r="FU233" s="184"/>
      <c r="FV233" s="184"/>
      <c r="FW233" s="184"/>
      <c r="FX233" s="184"/>
      <c r="FY233" s="184"/>
      <c r="FZ233" s="184"/>
      <c r="GA233" s="184"/>
      <c r="GB233" s="184"/>
      <c r="GC233" s="184"/>
      <c r="GD233" s="184"/>
      <c r="GE233" s="184"/>
      <c r="GF233" s="184"/>
      <c r="GG233" s="184"/>
      <c r="GH233" s="184"/>
      <c r="GI233" s="184"/>
    </row>
    <row r="234" spans="1:191" s="186" customFormat="1" ht="15" customHeight="1">
      <c r="A234" s="184"/>
      <c r="B234" s="190"/>
      <c r="C234" s="184"/>
      <c r="D234" s="191"/>
      <c r="E234" s="191"/>
      <c r="F234" s="194"/>
      <c r="G234" s="194"/>
      <c r="H234" s="190"/>
      <c r="I234" s="194"/>
      <c r="J234" s="184"/>
      <c r="K234" s="190"/>
      <c r="L234" s="190"/>
      <c r="M234" s="190"/>
      <c r="N234" s="184"/>
      <c r="O234" s="183"/>
      <c r="P234" s="191"/>
      <c r="Q234" s="183"/>
      <c r="R234" s="183"/>
      <c r="S234" s="183"/>
      <c r="T234" s="184"/>
      <c r="U234" s="184"/>
      <c r="V234" s="194"/>
      <c r="AB234" s="184"/>
      <c r="AC234" s="184"/>
      <c r="AD234" s="184"/>
      <c r="AE234" s="184"/>
      <c r="AF234" s="184"/>
      <c r="AG234" s="184"/>
      <c r="AH234" s="184"/>
      <c r="AI234" s="184"/>
      <c r="AJ234" s="184"/>
      <c r="AK234" s="184"/>
      <c r="AL234" s="184"/>
      <c r="AM234" s="184"/>
      <c r="AN234" s="184"/>
      <c r="AO234" s="184"/>
      <c r="AP234" s="184"/>
      <c r="AQ234" s="184"/>
      <c r="AR234" s="184"/>
      <c r="AS234" s="184"/>
      <c r="AT234" s="184"/>
      <c r="AU234" s="184"/>
      <c r="AV234" s="184"/>
      <c r="AW234" s="184"/>
      <c r="AX234" s="184"/>
      <c r="AY234" s="184"/>
      <c r="AZ234" s="184"/>
      <c r="BA234" s="184"/>
      <c r="BB234" s="184"/>
      <c r="BC234" s="184"/>
      <c r="BD234" s="184"/>
      <c r="BE234" s="184"/>
      <c r="BF234" s="184"/>
      <c r="BG234" s="184"/>
      <c r="BH234" s="184"/>
      <c r="BI234" s="184"/>
      <c r="BJ234" s="184"/>
      <c r="BK234" s="184"/>
      <c r="BL234" s="184"/>
      <c r="BM234" s="184"/>
      <c r="BN234" s="184"/>
      <c r="BO234" s="184"/>
      <c r="BP234" s="184"/>
      <c r="BQ234" s="184"/>
      <c r="BR234" s="184"/>
      <c r="BS234" s="184"/>
      <c r="BT234" s="184"/>
      <c r="BU234" s="184"/>
      <c r="BV234" s="184"/>
      <c r="BW234" s="184"/>
      <c r="BX234" s="184"/>
      <c r="BY234" s="184"/>
      <c r="BZ234" s="184"/>
      <c r="CA234" s="184"/>
      <c r="CB234" s="184"/>
      <c r="CC234" s="184"/>
      <c r="CD234" s="184"/>
      <c r="CE234" s="184"/>
      <c r="CF234" s="184"/>
      <c r="CG234" s="184"/>
      <c r="CH234" s="184"/>
      <c r="CI234" s="184"/>
      <c r="CJ234" s="184"/>
      <c r="CK234" s="184"/>
      <c r="CL234" s="184"/>
      <c r="CM234" s="184"/>
      <c r="CN234" s="184"/>
      <c r="CO234" s="184"/>
      <c r="CP234" s="184"/>
      <c r="CQ234" s="184"/>
      <c r="CR234" s="184"/>
      <c r="CS234" s="184"/>
      <c r="CT234" s="184"/>
      <c r="CU234" s="184"/>
      <c r="CV234" s="184"/>
      <c r="CW234" s="184"/>
      <c r="CX234" s="184"/>
      <c r="CY234" s="184"/>
      <c r="CZ234" s="184"/>
      <c r="DA234" s="184"/>
      <c r="DB234" s="184"/>
      <c r="DC234" s="184"/>
      <c r="DD234" s="184"/>
      <c r="DE234" s="184"/>
      <c r="DF234" s="184"/>
      <c r="DG234" s="184"/>
      <c r="DH234" s="184"/>
      <c r="DI234" s="184"/>
      <c r="DJ234" s="184"/>
      <c r="DK234" s="184"/>
      <c r="DL234" s="184"/>
      <c r="DM234" s="184"/>
      <c r="DN234" s="184"/>
      <c r="DO234" s="184"/>
      <c r="DP234" s="184"/>
      <c r="DQ234" s="184"/>
      <c r="DR234" s="184"/>
      <c r="DS234" s="184"/>
      <c r="DT234" s="184"/>
      <c r="DU234" s="184"/>
      <c r="DV234" s="184"/>
      <c r="DW234" s="184"/>
      <c r="DX234" s="184"/>
      <c r="DY234" s="184"/>
      <c r="DZ234" s="184"/>
      <c r="EA234" s="184"/>
      <c r="EB234" s="184"/>
      <c r="EC234" s="184"/>
      <c r="ED234" s="184"/>
      <c r="EE234" s="184"/>
      <c r="EF234" s="184"/>
      <c r="EG234" s="184"/>
      <c r="EH234" s="184"/>
      <c r="EI234" s="184"/>
      <c r="EJ234" s="184"/>
      <c r="EK234" s="184"/>
      <c r="EL234" s="184"/>
      <c r="EM234" s="184"/>
      <c r="EN234" s="184"/>
      <c r="EO234" s="184"/>
      <c r="EP234" s="184"/>
      <c r="EQ234" s="184"/>
      <c r="ER234" s="184"/>
      <c r="ES234" s="184"/>
      <c r="ET234" s="184"/>
      <c r="EU234" s="184"/>
      <c r="EV234" s="184"/>
      <c r="EW234" s="184"/>
      <c r="EX234" s="184"/>
      <c r="EY234" s="184"/>
      <c r="EZ234" s="184"/>
      <c r="FA234" s="184"/>
      <c r="FB234" s="184"/>
      <c r="FC234" s="184"/>
      <c r="FD234" s="184"/>
      <c r="FE234" s="184"/>
      <c r="FF234" s="184"/>
      <c r="FG234" s="184"/>
      <c r="FH234" s="184"/>
      <c r="FI234" s="184"/>
      <c r="FJ234" s="184"/>
      <c r="FK234" s="184"/>
      <c r="FL234" s="184"/>
      <c r="FM234" s="184"/>
      <c r="FN234" s="184"/>
      <c r="FO234" s="184"/>
      <c r="FP234" s="184"/>
      <c r="FQ234" s="184"/>
      <c r="FR234" s="184"/>
      <c r="FS234" s="184"/>
      <c r="FT234" s="184"/>
      <c r="FU234" s="184"/>
      <c r="FV234" s="184"/>
      <c r="FW234" s="184"/>
      <c r="FX234" s="184"/>
      <c r="FY234" s="184"/>
      <c r="FZ234" s="184"/>
      <c r="GA234" s="184"/>
      <c r="GB234" s="184"/>
      <c r="GC234" s="184"/>
      <c r="GD234" s="184"/>
      <c r="GE234" s="184"/>
      <c r="GF234" s="184"/>
      <c r="GG234" s="184"/>
      <c r="GH234" s="184"/>
      <c r="GI234" s="184"/>
    </row>
    <row r="235" spans="1:191" s="186" customFormat="1" ht="15" customHeight="1">
      <c r="A235" s="184"/>
      <c r="B235" s="190"/>
      <c r="C235" s="184"/>
      <c r="D235" s="191"/>
      <c r="E235" s="191"/>
      <c r="F235" s="194"/>
      <c r="G235" s="194"/>
      <c r="H235" s="190"/>
      <c r="I235" s="194"/>
      <c r="J235" s="184"/>
      <c r="K235" s="190"/>
      <c r="L235" s="190"/>
      <c r="M235" s="190"/>
      <c r="N235" s="184"/>
      <c r="O235" s="183"/>
      <c r="P235" s="191"/>
      <c r="Q235" s="183"/>
      <c r="R235" s="183"/>
      <c r="S235" s="183"/>
      <c r="T235" s="184"/>
      <c r="U235" s="184"/>
      <c r="V235" s="194"/>
      <c r="AB235" s="184"/>
      <c r="AC235" s="184"/>
      <c r="AD235" s="184"/>
      <c r="AE235" s="184"/>
      <c r="AF235" s="184"/>
      <c r="AG235" s="184"/>
      <c r="AH235" s="184"/>
      <c r="AI235" s="184"/>
      <c r="AJ235" s="184"/>
      <c r="AK235" s="184"/>
      <c r="AL235" s="184"/>
      <c r="AM235" s="184"/>
      <c r="AN235" s="184"/>
      <c r="AO235" s="184"/>
      <c r="AP235" s="184"/>
      <c r="AQ235" s="184"/>
      <c r="AR235" s="184"/>
      <c r="AS235" s="184"/>
      <c r="AT235" s="184"/>
      <c r="AU235" s="184"/>
      <c r="AV235" s="184"/>
      <c r="AW235" s="184"/>
      <c r="AX235" s="184"/>
      <c r="AY235" s="184"/>
      <c r="AZ235" s="184"/>
      <c r="BA235" s="184"/>
      <c r="BB235" s="184"/>
      <c r="BC235" s="184"/>
      <c r="BD235" s="184"/>
      <c r="BE235" s="184"/>
      <c r="BF235" s="184"/>
      <c r="BG235" s="184"/>
      <c r="BH235" s="184"/>
      <c r="BI235" s="184"/>
      <c r="BJ235" s="184"/>
      <c r="BK235" s="184"/>
      <c r="BL235" s="184"/>
      <c r="BM235" s="184"/>
      <c r="BN235" s="184"/>
      <c r="BO235" s="184"/>
      <c r="BP235" s="184"/>
      <c r="BQ235" s="184"/>
      <c r="BR235" s="184"/>
      <c r="BS235" s="184"/>
      <c r="BT235" s="184"/>
      <c r="BU235" s="184"/>
      <c r="BV235" s="184"/>
      <c r="BW235" s="184"/>
      <c r="BX235" s="184"/>
      <c r="BY235" s="184"/>
      <c r="BZ235" s="184"/>
      <c r="CA235" s="184"/>
      <c r="CB235" s="184"/>
      <c r="CC235" s="184"/>
      <c r="CD235" s="184"/>
      <c r="CE235" s="184"/>
      <c r="CF235" s="184"/>
      <c r="CG235" s="184"/>
      <c r="CH235" s="184"/>
      <c r="CI235" s="184"/>
      <c r="CJ235" s="184"/>
      <c r="CK235" s="184"/>
      <c r="CL235" s="184"/>
      <c r="CM235" s="184"/>
      <c r="CN235" s="184"/>
      <c r="CO235" s="184"/>
      <c r="CP235" s="184"/>
      <c r="CQ235" s="184"/>
      <c r="CR235" s="184"/>
      <c r="CS235" s="184"/>
      <c r="CT235" s="184"/>
      <c r="CU235" s="184"/>
      <c r="CV235" s="184"/>
      <c r="CW235" s="184"/>
      <c r="CX235" s="184"/>
      <c r="CY235" s="184"/>
      <c r="CZ235" s="184"/>
      <c r="DA235" s="184"/>
      <c r="DB235" s="184"/>
      <c r="DC235" s="184"/>
      <c r="DD235" s="184"/>
      <c r="DE235" s="184"/>
      <c r="DF235" s="184"/>
      <c r="DG235" s="184"/>
      <c r="DH235" s="184"/>
      <c r="DI235" s="184"/>
      <c r="DJ235" s="184"/>
      <c r="DK235" s="184"/>
      <c r="DL235" s="184"/>
      <c r="DM235" s="184"/>
      <c r="DN235" s="184"/>
      <c r="DO235" s="184"/>
      <c r="DP235" s="184"/>
      <c r="DQ235" s="184"/>
      <c r="DR235" s="184"/>
      <c r="DS235" s="184"/>
      <c r="DT235" s="184"/>
      <c r="DU235" s="184"/>
      <c r="DV235" s="184"/>
      <c r="DW235" s="184"/>
      <c r="DX235" s="184"/>
      <c r="DY235" s="184"/>
      <c r="DZ235" s="184"/>
      <c r="EA235" s="184"/>
      <c r="EB235" s="184"/>
      <c r="EC235" s="184"/>
      <c r="ED235" s="184"/>
      <c r="EE235" s="184"/>
      <c r="EF235" s="184"/>
      <c r="EG235" s="184"/>
      <c r="EH235" s="184"/>
      <c r="EI235" s="184"/>
      <c r="EJ235" s="184"/>
      <c r="EK235" s="184"/>
      <c r="EL235" s="184"/>
      <c r="EM235" s="184"/>
      <c r="EN235" s="184"/>
      <c r="EO235" s="184"/>
      <c r="EP235" s="184"/>
      <c r="EQ235" s="184"/>
      <c r="ER235" s="184"/>
      <c r="ES235" s="184"/>
      <c r="ET235" s="184"/>
      <c r="EU235" s="184"/>
      <c r="EV235" s="184"/>
      <c r="EW235" s="184"/>
      <c r="EX235" s="184"/>
      <c r="EY235" s="184"/>
      <c r="EZ235" s="184"/>
      <c r="FA235" s="184"/>
      <c r="FB235" s="184"/>
      <c r="FC235" s="184"/>
      <c r="FD235" s="184"/>
      <c r="FE235" s="184"/>
      <c r="FF235" s="184"/>
      <c r="FG235" s="184"/>
      <c r="FH235" s="184"/>
      <c r="FI235" s="184"/>
      <c r="FJ235" s="184"/>
      <c r="FK235" s="184"/>
      <c r="FL235" s="184"/>
      <c r="FM235" s="184"/>
      <c r="FN235" s="184"/>
      <c r="FO235" s="184"/>
      <c r="FP235" s="184"/>
      <c r="FQ235" s="184"/>
      <c r="FR235" s="184"/>
      <c r="FS235" s="184"/>
      <c r="FT235" s="184"/>
      <c r="FU235" s="184"/>
      <c r="FV235" s="184"/>
      <c r="FW235" s="184"/>
      <c r="FX235" s="184"/>
      <c r="FY235" s="184"/>
      <c r="FZ235" s="184"/>
      <c r="GA235" s="184"/>
      <c r="GB235" s="184"/>
      <c r="GC235" s="184"/>
      <c r="GD235" s="184"/>
      <c r="GE235" s="184"/>
      <c r="GF235" s="184"/>
      <c r="GG235" s="184"/>
      <c r="GH235" s="184"/>
      <c r="GI235" s="184"/>
    </row>
    <row r="236" spans="1:191" s="186" customFormat="1" ht="15" customHeight="1">
      <c r="A236" s="184"/>
      <c r="B236" s="190"/>
      <c r="C236" s="184"/>
      <c r="D236" s="191"/>
      <c r="E236" s="191"/>
      <c r="F236" s="194"/>
      <c r="G236" s="194"/>
      <c r="H236" s="190"/>
      <c r="I236" s="194"/>
      <c r="J236" s="184"/>
      <c r="K236" s="190"/>
      <c r="L236" s="190"/>
      <c r="M236" s="190"/>
      <c r="N236" s="184"/>
      <c r="O236" s="183"/>
      <c r="P236" s="191"/>
      <c r="Q236" s="183"/>
      <c r="R236" s="183"/>
      <c r="S236" s="183"/>
      <c r="T236" s="184"/>
      <c r="U236" s="184"/>
      <c r="V236" s="194"/>
      <c r="AB236" s="184"/>
      <c r="AC236" s="184"/>
      <c r="AD236" s="184"/>
      <c r="AE236" s="184"/>
      <c r="AF236" s="184"/>
      <c r="AG236" s="184"/>
      <c r="AH236" s="184"/>
      <c r="AI236" s="184"/>
      <c r="AJ236" s="184"/>
      <c r="AK236" s="184"/>
      <c r="AL236" s="184"/>
      <c r="AM236" s="184"/>
      <c r="AN236" s="184"/>
      <c r="AO236" s="184"/>
      <c r="AP236" s="184"/>
      <c r="AQ236" s="184"/>
      <c r="AR236" s="184"/>
      <c r="AS236" s="184"/>
      <c r="AT236" s="184"/>
      <c r="AU236" s="184"/>
      <c r="AV236" s="184"/>
      <c r="AW236" s="184"/>
      <c r="AX236" s="184"/>
      <c r="AY236" s="184"/>
      <c r="AZ236" s="184"/>
      <c r="BA236" s="184"/>
      <c r="BB236" s="184"/>
      <c r="BC236" s="184"/>
      <c r="BD236" s="184"/>
      <c r="BE236" s="184"/>
      <c r="BF236" s="184"/>
      <c r="BG236" s="184"/>
      <c r="BH236" s="184"/>
      <c r="BI236" s="184"/>
      <c r="BJ236" s="184"/>
      <c r="BK236" s="184"/>
      <c r="BL236" s="184"/>
      <c r="BM236" s="184"/>
      <c r="BN236" s="184"/>
      <c r="BO236" s="184"/>
      <c r="BP236" s="184"/>
      <c r="BQ236" s="184"/>
      <c r="BR236" s="184"/>
      <c r="BS236" s="184"/>
      <c r="BT236" s="184"/>
      <c r="BU236" s="184"/>
      <c r="BV236" s="184"/>
      <c r="BW236" s="184"/>
      <c r="BX236" s="184"/>
      <c r="BY236" s="184"/>
      <c r="BZ236" s="184"/>
      <c r="CA236" s="184"/>
      <c r="CB236" s="184"/>
      <c r="CC236" s="184"/>
      <c r="CD236" s="184"/>
      <c r="CE236" s="184"/>
      <c r="CF236" s="184"/>
      <c r="CG236" s="184"/>
      <c r="CH236" s="184"/>
      <c r="CI236" s="184"/>
      <c r="CJ236" s="184"/>
      <c r="CK236" s="184"/>
      <c r="CL236" s="184"/>
      <c r="CM236" s="184"/>
      <c r="CN236" s="184"/>
      <c r="CO236" s="184"/>
      <c r="CP236" s="184"/>
      <c r="CQ236" s="184"/>
      <c r="CR236" s="184"/>
      <c r="CS236" s="184"/>
      <c r="CT236" s="184"/>
      <c r="CU236" s="184"/>
      <c r="CV236" s="184"/>
      <c r="CW236" s="184"/>
      <c r="CX236" s="184"/>
      <c r="CY236" s="184"/>
      <c r="CZ236" s="184"/>
      <c r="DA236" s="184"/>
      <c r="DB236" s="184"/>
      <c r="DC236" s="184"/>
      <c r="DD236" s="184"/>
      <c r="DE236" s="184"/>
      <c r="DF236" s="184"/>
      <c r="DG236" s="184"/>
      <c r="DH236" s="184"/>
      <c r="DI236" s="184"/>
      <c r="DJ236" s="184"/>
      <c r="DK236" s="184"/>
      <c r="DL236" s="184"/>
      <c r="DM236" s="184"/>
      <c r="DN236" s="184"/>
      <c r="DO236" s="184"/>
      <c r="DP236" s="184"/>
      <c r="DQ236" s="184"/>
      <c r="DR236" s="184"/>
      <c r="DS236" s="184"/>
      <c r="DT236" s="184"/>
      <c r="DU236" s="184"/>
      <c r="DV236" s="184"/>
      <c r="DW236" s="184"/>
      <c r="DX236" s="184"/>
      <c r="DY236" s="184"/>
      <c r="DZ236" s="184"/>
      <c r="EA236" s="184"/>
      <c r="EB236" s="184"/>
      <c r="EC236" s="184"/>
      <c r="ED236" s="184"/>
      <c r="EE236" s="184"/>
      <c r="EF236" s="184"/>
      <c r="EG236" s="184"/>
      <c r="EH236" s="184"/>
      <c r="EI236" s="184"/>
      <c r="EJ236" s="184"/>
      <c r="EK236" s="184"/>
      <c r="EL236" s="184"/>
      <c r="EM236" s="184"/>
      <c r="EN236" s="184"/>
      <c r="EO236" s="184"/>
      <c r="EP236" s="184"/>
      <c r="EQ236" s="184"/>
      <c r="ER236" s="184"/>
      <c r="ES236" s="184"/>
      <c r="ET236" s="184"/>
      <c r="EU236" s="184"/>
      <c r="EV236" s="184"/>
      <c r="EW236" s="184"/>
      <c r="EX236" s="184"/>
      <c r="EY236" s="184"/>
      <c r="EZ236" s="184"/>
      <c r="FA236" s="184"/>
      <c r="FB236" s="184"/>
      <c r="FC236" s="184"/>
      <c r="FD236" s="184"/>
      <c r="FE236" s="184"/>
      <c r="FF236" s="184"/>
      <c r="FG236" s="184"/>
      <c r="FH236" s="184"/>
      <c r="FI236" s="184"/>
      <c r="FJ236" s="184"/>
      <c r="FK236" s="184"/>
      <c r="FL236" s="184"/>
      <c r="FM236" s="184"/>
      <c r="FN236" s="184"/>
      <c r="FO236" s="184"/>
      <c r="FP236" s="184"/>
      <c r="FQ236" s="184"/>
      <c r="FR236" s="184"/>
      <c r="FS236" s="184"/>
      <c r="FT236" s="184"/>
      <c r="FU236" s="184"/>
      <c r="FV236" s="184"/>
      <c r="FW236" s="184"/>
      <c r="FX236" s="184"/>
      <c r="FY236" s="184"/>
      <c r="FZ236" s="184"/>
      <c r="GA236" s="184"/>
      <c r="GB236" s="184"/>
      <c r="GC236" s="184"/>
      <c r="GD236" s="184"/>
      <c r="GE236" s="184"/>
      <c r="GF236" s="184"/>
      <c r="GG236" s="184"/>
      <c r="GH236" s="184"/>
      <c r="GI236" s="184"/>
    </row>
    <row r="237" spans="1:191" ht="15" customHeight="1">
      <c r="B237" s="190"/>
    </row>
    <row r="238" spans="1:191" ht="15" customHeight="1">
      <c r="B238" s="190"/>
    </row>
    <row r="239" spans="1:191" ht="15" customHeight="1">
      <c r="B239" s="190"/>
    </row>
    <row r="240" spans="1:191" ht="15" customHeight="1">
      <c r="B240" s="190"/>
    </row>
    <row r="241" spans="2:2" ht="15" customHeight="1">
      <c r="B241" s="190"/>
    </row>
    <row r="242" spans="2:2" ht="15" customHeight="1">
      <c r="B242" s="190"/>
    </row>
    <row r="243" spans="2:2" ht="15" customHeight="1">
      <c r="B243" s="190"/>
    </row>
    <row r="244" spans="2:2" ht="15" customHeight="1">
      <c r="B244" s="190"/>
    </row>
    <row r="245" spans="2:2" ht="15" customHeight="1">
      <c r="B245" s="190"/>
    </row>
    <row r="246" spans="2:2" ht="15" customHeight="1">
      <c r="B246" s="190"/>
    </row>
    <row r="247" spans="2:2" ht="15" customHeight="1">
      <c r="B247" s="190"/>
    </row>
    <row r="248" spans="2:2" ht="15" customHeight="1">
      <c r="B248" s="190"/>
    </row>
    <row r="249" spans="2:2" ht="15" customHeight="1">
      <c r="B249" s="190"/>
    </row>
    <row r="250" spans="2:2" ht="15" customHeight="1">
      <c r="B250" s="190"/>
    </row>
    <row r="251" spans="2:2" ht="15" customHeight="1">
      <c r="B251" s="190"/>
    </row>
    <row r="252" spans="2:2" ht="15" customHeight="1">
      <c r="B252" s="190"/>
    </row>
    <row r="253" spans="2:2" ht="15" customHeight="1">
      <c r="B253" s="190"/>
    </row>
    <row r="254" spans="2:2" ht="15" customHeight="1">
      <c r="B254" s="190"/>
    </row>
    <row r="255" spans="2:2" ht="15" customHeight="1">
      <c r="B255" s="190"/>
    </row>
    <row r="256" spans="2:2" ht="15" customHeight="1">
      <c r="B256" s="190"/>
    </row>
    <row r="257" spans="2:2" ht="15" customHeight="1">
      <c r="B257" s="190"/>
    </row>
    <row r="258" spans="2:2" ht="15" customHeight="1">
      <c r="B258" s="190"/>
    </row>
    <row r="259" spans="2:2" ht="15" customHeight="1">
      <c r="B259" s="190"/>
    </row>
    <row r="260" spans="2:2" ht="15" customHeight="1">
      <c r="B260" s="190"/>
    </row>
    <row r="261" spans="2:2" ht="15" customHeight="1">
      <c r="B261" s="190"/>
    </row>
    <row r="262" spans="2:2" ht="15" customHeight="1">
      <c r="B262" s="190"/>
    </row>
    <row r="263" spans="2:2" ht="15" customHeight="1">
      <c r="B263" s="190"/>
    </row>
    <row r="264" spans="2:2" ht="15" customHeight="1">
      <c r="B264" s="190"/>
    </row>
    <row r="265" spans="2:2" ht="15" customHeight="1">
      <c r="B265" s="190"/>
    </row>
    <row r="266" spans="2:2" ht="15" customHeight="1">
      <c r="B266" s="190"/>
    </row>
    <row r="267" spans="2:2" ht="15" customHeight="1">
      <c r="B267" s="190"/>
    </row>
    <row r="268" spans="2:2" ht="15" customHeight="1">
      <c r="B268" s="190"/>
    </row>
    <row r="269" spans="2:2" ht="15" customHeight="1">
      <c r="B269" s="190"/>
    </row>
    <row r="270" spans="2:2" ht="15" customHeight="1">
      <c r="B270" s="190"/>
    </row>
    <row r="271" spans="2:2" ht="15" customHeight="1">
      <c r="B271" s="190"/>
    </row>
    <row r="272" spans="2:2" ht="15" customHeight="1">
      <c r="B272" s="190"/>
    </row>
    <row r="273" spans="2:2" ht="15" customHeight="1">
      <c r="B273" s="190"/>
    </row>
    <row r="274" spans="2:2" ht="15" customHeight="1">
      <c r="B274" s="190"/>
    </row>
    <row r="275" spans="2:2" ht="15" customHeight="1">
      <c r="B275" s="190"/>
    </row>
    <row r="276" spans="2:2" ht="15" customHeight="1">
      <c r="B276" s="190"/>
    </row>
    <row r="277" spans="2:2" ht="15" customHeight="1">
      <c r="B277" s="190"/>
    </row>
    <row r="278" spans="2:2" ht="15" customHeight="1">
      <c r="B278" s="190"/>
    </row>
    <row r="279" spans="2:2" ht="15" customHeight="1">
      <c r="B279" s="190"/>
    </row>
    <row r="280" spans="2:2" ht="15" customHeight="1">
      <c r="B280" s="190"/>
    </row>
    <row r="281" spans="2:2" ht="15" customHeight="1">
      <c r="B281" s="190"/>
    </row>
    <row r="282" spans="2:2" ht="15" customHeight="1">
      <c r="B282" s="190"/>
    </row>
    <row r="283" spans="2:2" ht="15" customHeight="1">
      <c r="B283" s="190"/>
    </row>
    <row r="284" spans="2:2" ht="15" customHeight="1">
      <c r="B284" s="190"/>
    </row>
    <row r="285" spans="2:2" ht="15" customHeight="1">
      <c r="B285" s="190"/>
    </row>
    <row r="286" spans="2:2" ht="15" customHeight="1">
      <c r="B286" s="190"/>
    </row>
    <row r="287" spans="2:2" ht="15" customHeight="1">
      <c r="B287" s="190"/>
    </row>
    <row r="288" spans="2:2" ht="15" customHeight="1">
      <c r="B288" s="190"/>
    </row>
    <row r="289" spans="2:2" ht="15" customHeight="1">
      <c r="B289" s="190"/>
    </row>
    <row r="290" spans="2:2" ht="15" customHeight="1">
      <c r="B290" s="190"/>
    </row>
    <row r="291" spans="2:2" ht="15" customHeight="1">
      <c r="B291" s="190"/>
    </row>
    <row r="292" spans="2:2" ht="15" customHeight="1">
      <c r="B292" s="190"/>
    </row>
    <row r="293" spans="2:2" ht="15" customHeight="1">
      <c r="B293" s="190"/>
    </row>
    <row r="294" spans="2:2" ht="15" customHeight="1">
      <c r="B294" s="190"/>
    </row>
    <row r="295" spans="2:2" ht="15" customHeight="1">
      <c r="B295" s="190"/>
    </row>
    <row r="296" spans="2:2" ht="15" customHeight="1">
      <c r="B296" s="190"/>
    </row>
    <row r="297" spans="2:2" ht="15" customHeight="1">
      <c r="B297" s="190"/>
    </row>
    <row r="298" spans="2:2" ht="15" customHeight="1">
      <c r="B298" s="190"/>
    </row>
    <row r="299" spans="2:2" ht="15" customHeight="1">
      <c r="B299" s="190"/>
    </row>
    <row r="300" spans="2:2" ht="15" customHeight="1">
      <c r="B300" s="190"/>
    </row>
    <row r="301" spans="2:2" ht="15" customHeight="1">
      <c r="B301" s="190"/>
    </row>
    <row r="302" spans="2:2" ht="15" customHeight="1">
      <c r="B302" s="190"/>
    </row>
    <row r="303" spans="2:2" ht="15" customHeight="1">
      <c r="B303" s="190"/>
    </row>
    <row r="304" spans="2:2" ht="15" customHeight="1">
      <c r="B304" s="190"/>
    </row>
    <row r="305" spans="2:2" ht="15" customHeight="1">
      <c r="B305" s="190"/>
    </row>
    <row r="306" spans="2:2" ht="15" customHeight="1">
      <c r="B306" s="190"/>
    </row>
    <row r="307" spans="2:2" ht="15" customHeight="1">
      <c r="B307" s="190"/>
    </row>
    <row r="308" spans="2:2" ht="15" customHeight="1">
      <c r="B308" s="190"/>
    </row>
    <row r="309" spans="2:2" ht="15" customHeight="1">
      <c r="B309" s="190"/>
    </row>
    <row r="310" spans="2:2" ht="15" customHeight="1">
      <c r="B310" s="190"/>
    </row>
    <row r="311" spans="2:2" ht="15" customHeight="1">
      <c r="B311" s="190"/>
    </row>
    <row r="312" spans="2:2" ht="15" customHeight="1">
      <c r="B312" s="190"/>
    </row>
    <row r="313" spans="2:2" ht="15" customHeight="1">
      <c r="B313" s="190"/>
    </row>
    <row r="314" spans="2:2" ht="15" customHeight="1">
      <c r="B314" s="190"/>
    </row>
    <row r="315" spans="2:2" ht="15" customHeight="1">
      <c r="B315" s="190"/>
    </row>
    <row r="316" spans="2:2" ht="15" customHeight="1">
      <c r="B316" s="190"/>
    </row>
    <row r="317" spans="2:2" ht="15" customHeight="1">
      <c r="B317" s="190"/>
    </row>
    <row r="318" spans="2:2" ht="15" customHeight="1">
      <c r="B318" s="190"/>
    </row>
    <row r="319" spans="2:2" ht="15" customHeight="1">
      <c r="B319" s="190"/>
    </row>
    <row r="320" spans="2:2" ht="15" customHeight="1">
      <c r="B320" s="190"/>
    </row>
    <row r="321" spans="2:2" ht="15" customHeight="1">
      <c r="B321" s="190"/>
    </row>
    <row r="322" spans="2:2" ht="15" customHeight="1">
      <c r="B322" s="190"/>
    </row>
    <row r="323" spans="2:2" ht="15" customHeight="1">
      <c r="B323" s="190"/>
    </row>
    <row r="324" spans="2:2" ht="15" customHeight="1">
      <c r="B324" s="190"/>
    </row>
    <row r="325" spans="2:2" ht="15" customHeight="1">
      <c r="B325" s="190"/>
    </row>
    <row r="326" spans="2:2" ht="15" customHeight="1">
      <c r="B326" s="190"/>
    </row>
    <row r="327" spans="2:2" ht="15" customHeight="1">
      <c r="B327" s="190"/>
    </row>
    <row r="328" spans="2:2" ht="15" customHeight="1">
      <c r="B328" s="190"/>
    </row>
    <row r="329" spans="2:2" ht="15" customHeight="1">
      <c r="B329" s="190"/>
    </row>
    <row r="330" spans="2:2" ht="15" customHeight="1">
      <c r="B330" s="190"/>
    </row>
    <row r="331" spans="2:2" ht="15" customHeight="1">
      <c r="B331" s="190"/>
    </row>
    <row r="332" spans="2:2" ht="15" customHeight="1">
      <c r="B332" s="190"/>
    </row>
    <row r="333" spans="2:2" ht="15" customHeight="1">
      <c r="B333" s="190"/>
    </row>
    <row r="334" spans="2:2" ht="15" customHeight="1">
      <c r="B334" s="190"/>
    </row>
    <row r="335" spans="2:2" ht="15" customHeight="1">
      <c r="B335" s="190"/>
    </row>
    <row r="336" spans="2:2" ht="15" customHeight="1">
      <c r="B336" s="190"/>
    </row>
    <row r="337" spans="2:2" ht="15" customHeight="1">
      <c r="B337" s="190"/>
    </row>
    <row r="338" spans="2:2" ht="15" customHeight="1">
      <c r="B338" s="190"/>
    </row>
    <row r="339" spans="2:2" ht="15" customHeight="1">
      <c r="B339" s="190"/>
    </row>
    <row r="340" spans="2:2" ht="15" customHeight="1">
      <c r="B340" s="190"/>
    </row>
    <row r="341" spans="2:2" ht="15" customHeight="1">
      <c r="B341" s="190"/>
    </row>
    <row r="342" spans="2:2" ht="15" customHeight="1">
      <c r="B342" s="190"/>
    </row>
    <row r="343" spans="2:2" ht="15" customHeight="1">
      <c r="B343" s="190"/>
    </row>
    <row r="344" spans="2:2" ht="15" customHeight="1">
      <c r="B344" s="190"/>
    </row>
    <row r="345" spans="2:2" ht="15" customHeight="1">
      <c r="B345" s="190"/>
    </row>
    <row r="346" spans="2:2" ht="15" customHeight="1">
      <c r="B346" s="190"/>
    </row>
    <row r="347" spans="2:2" ht="15" customHeight="1">
      <c r="B347" s="190"/>
    </row>
    <row r="348" spans="2:2" ht="15" customHeight="1">
      <c r="B348" s="190"/>
    </row>
    <row r="349" spans="2:2" ht="15" customHeight="1">
      <c r="B349" s="190"/>
    </row>
    <row r="350" spans="2:2" ht="15" customHeight="1">
      <c r="B350" s="190"/>
    </row>
    <row r="351" spans="2:2" ht="15" customHeight="1">
      <c r="B351" s="190"/>
    </row>
    <row r="352" spans="2:2" ht="15" customHeight="1">
      <c r="B352" s="190"/>
    </row>
    <row r="353" spans="2:2" ht="15" customHeight="1">
      <c r="B353" s="190"/>
    </row>
    <row r="354" spans="2:2" ht="15" customHeight="1">
      <c r="B354" s="190"/>
    </row>
    <row r="355" spans="2:2" ht="15" customHeight="1">
      <c r="B355" s="190"/>
    </row>
    <row r="356" spans="2:2" ht="15" customHeight="1">
      <c r="B356" s="190"/>
    </row>
    <row r="357" spans="2:2" ht="15" customHeight="1">
      <c r="B357" s="190"/>
    </row>
    <row r="358" spans="2:2" ht="15" customHeight="1">
      <c r="B358" s="190"/>
    </row>
    <row r="359" spans="2:2" ht="15" customHeight="1">
      <c r="B359" s="190"/>
    </row>
    <row r="360" spans="2:2" ht="15" customHeight="1">
      <c r="B360" s="190"/>
    </row>
    <row r="361" spans="2:2" ht="15" customHeight="1">
      <c r="B361" s="190"/>
    </row>
    <row r="362" spans="2:2" ht="15" customHeight="1">
      <c r="B362" s="190"/>
    </row>
    <row r="363" spans="2:2" ht="15" customHeight="1">
      <c r="B363" s="190"/>
    </row>
    <row r="364" spans="2:2" ht="15" customHeight="1">
      <c r="B364" s="190"/>
    </row>
    <row r="365" spans="2:2" ht="15" customHeight="1">
      <c r="B365" s="190"/>
    </row>
    <row r="366" spans="2:2" ht="15" customHeight="1">
      <c r="B366" s="190"/>
    </row>
    <row r="367" spans="2:2" ht="15" customHeight="1">
      <c r="B367" s="190"/>
    </row>
    <row r="368" spans="2:2" ht="15" customHeight="1">
      <c r="B368" s="190"/>
    </row>
    <row r="369" spans="2:2" ht="15" customHeight="1">
      <c r="B369" s="190"/>
    </row>
    <row r="370" spans="2:2" ht="15" customHeight="1">
      <c r="B370" s="190"/>
    </row>
    <row r="371" spans="2:2" ht="15" customHeight="1">
      <c r="B371" s="190"/>
    </row>
    <row r="372" spans="2:2" ht="15" customHeight="1">
      <c r="B372" s="190"/>
    </row>
    <row r="373" spans="2:2" ht="15" customHeight="1">
      <c r="B373" s="190"/>
    </row>
    <row r="374" spans="2:2" ht="15" customHeight="1">
      <c r="B374" s="190"/>
    </row>
    <row r="375" spans="2:2" ht="15" customHeight="1">
      <c r="B375" s="190"/>
    </row>
    <row r="376" spans="2:2" ht="15" customHeight="1">
      <c r="B376" s="190"/>
    </row>
    <row r="377" spans="2:2" ht="15" customHeight="1">
      <c r="B377" s="190"/>
    </row>
    <row r="378" spans="2:2" ht="15" customHeight="1">
      <c r="B378" s="190"/>
    </row>
    <row r="379" spans="2:2" ht="15" customHeight="1">
      <c r="B379" s="190"/>
    </row>
    <row r="380" spans="2:2" ht="15" customHeight="1">
      <c r="B380" s="190"/>
    </row>
    <row r="381" spans="2:2" ht="15" customHeight="1">
      <c r="B381" s="190"/>
    </row>
    <row r="382" spans="2:2" ht="15" customHeight="1">
      <c r="B382" s="190"/>
    </row>
    <row r="383" spans="2:2" ht="15" customHeight="1">
      <c r="B383" s="190"/>
    </row>
    <row r="384" spans="2:2" ht="15" customHeight="1">
      <c r="B384" s="190"/>
    </row>
    <row r="385" spans="2:2" ht="15" customHeight="1">
      <c r="B385" s="190"/>
    </row>
    <row r="386" spans="2:2" ht="15" customHeight="1">
      <c r="B386" s="190"/>
    </row>
    <row r="387" spans="2:2" ht="15" customHeight="1">
      <c r="B387" s="190"/>
    </row>
    <row r="388" spans="2:2" ht="15" customHeight="1">
      <c r="B388" s="190"/>
    </row>
    <row r="389" spans="2:2" ht="15" customHeight="1">
      <c r="B389" s="190"/>
    </row>
    <row r="390" spans="2:2" ht="15" customHeight="1">
      <c r="B390" s="190"/>
    </row>
    <row r="391" spans="2:2" ht="15" customHeight="1">
      <c r="B391" s="190"/>
    </row>
    <row r="392" spans="2:2" ht="15" customHeight="1">
      <c r="B392" s="190"/>
    </row>
    <row r="393" spans="2:2" ht="15" customHeight="1">
      <c r="B393" s="190"/>
    </row>
    <row r="394" spans="2:2" ht="15" customHeight="1">
      <c r="B394" s="190"/>
    </row>
    <row r="395" spans="2:2" ht="15" customHeight="1">
      <c r="B395" s="190"/>
    </row>
    <row r="396" spans="2:2" ht="15" customHeight="1">
      <c r="B396" s="190"/>
    </row>
    <row r="397" spans="2:2" ht="15" customHeight="1">
      <c r="B397" s="190"/>
    </row>
    <row r="398" spans="2:2" ht="15" customHeight="1">
      <c r="B398" s="190"/>
    </row>
    <row r="399" spans="2:2" ht="15" customHeight="1">
      <c r="B399" s="190"/>
    </row>
    <row r="400" spans="2:2" ht="15" customHeight="1">
      <c r="B400" s="190"/>
    </row>
    <row r="401" spans="2:2" ht="15" customHeight="1">
      <c r="B401" s="190"/>
    </row>
    <row r="402" spans="2:2" ht="15" customHeight="1">
      <c r="B402" s="190"/>
    </row>
    <row r="403" spans="2:2" ht="15" customHeight="1">
      <c r="B403" s="190"/>
    </row>
    <row r="404" spans="2:2" ht="15" customHeight="1">
      <c r="B404" s="190"/>
    </row>
    <row r="405" spans="2:2" ht="15" customHeight="1">
      <c r="B405" s="190"/>
    </row>
    <row r="406" spans="2:2" ht="15" customHeight="1">
      <c r="B406" s="190"/>
    </row>
    <row r="407" spans="2:2" ht="15" customHeight="1">
      <c r="B407" s="190"/>
    </row>
    <row r="408" spans="2:2" ht="15" customHeight="1">
      <c r="B408" s="190"/>
    </row>
    <row r="409" spans="2:2" ht="15" customHeight="1">
      <c r="B409" s="190"/>
    </row>
    <row r="410" spans="2:2" ht="15" customHeight="1">
      <c r="B410" s="190"/>
    </row>
    <row r="411" spans="2:2" ht="15" customHeight="1">
      <c r="B411" s="190"/>
    </row>
    <row r="412" spans="2:2" ht="15" customHeight="1">
      <c r="B412" s="190"/>
    </row>
    <row r="413" spans="2:2" ht="15" customHeight="1">
      <c r="B413" s="190"/>
    </row>
    <row r="414" spans="2:2" ht="15" customHeight="1">
      <c r="B414" s="190"/>
    </row>
    <row r="415" spans="2:2" ht="15" customHeight="1">
      <c r="B415" s="190"/>
    </row>
    <row r="416" spans="2:2" ht="15" customHeight="1">
      <c r="B416" s="190"/>
    </row>
    <row r="417" spans="2:2" ht="15" customHeight="1">
      <c r="B417" s="190"/>
    </row>
    <row r="418" spans="2:2" ht="15" customHeight="1">
      <c r="B418" s="190"/>
    </row>
    <row r="419" spans="2:2" ht="15" customHeight="1">
      <c r="B419" s="190"/>
    </row>
    <row r="420" spans="2:2" ht="15" customHeight="1">
      <c r="B420" s="190"/>
    </row>
    <row r="421" spans="2:2" ht="15" customHeight="1">
      <c r="B421" s="190"/>
    </row>
    <row r="422" spans="2:2" ht="15" customHeight="1">
      <c r="B422" s="190"/>
    </row>
    <row r="423" spans="2:2" ht="15" customHeight="1">
      <c r="B423" s="190"/>
    </row>
    <row r="424" spans="2:2" ht="15" customHeight="1">
      <c r="B424" s="190"/>
    </row>
    <row r="425" spans="2:2" ht="15" customHeight="1">
      <c r="B425" s="190"/>
    </row>
    <row r="426" spans="2:2" ht="15" customHeight="1">
      <c r="B426" s="190"/>
    </row>
    <row r="427" spans="2:2" ht="15" customHeight="1">
      <c r="B427" s="190"/>
    </row>
    <row r="428" spans="2:2" ht="15" customHeight="1">
      <c r="B428" s="190"/>
    </row>
    <row r="429" spans="2:2" ht="15" customHeight="1">
      <c r="B429" s="190"/>
    </row>
    <row r="430" spans="2:2" ht="15" customHeight="1">
      <c r="B430" s="190"/>
    </row>
    <row r="431" spans="2:2" ht="15" customHeight="1">
      <c r="B431" s="190"/>
    </row>
    <row r="432" spans="2:2" ht="15" customHeight="1">
      <c r="B432" s="190"/>
    </row>
    <row r="433" spans="2:2" ht="15" customHeight="1">
      <c r="B433" s="190"/>
    </row>
    <row r="434" spans="2:2" ht="15" customHeight="1">
      <c r="B434" s="190"/>
    </row>
    <row r="435" spans="2:2" ht="15" customHeight="1">
      <c r="B435" s="190"/>
    </row>
    <row r="436" spans="2:2" ht="15" customHeight="1">
      <c r="B436" s="190"/>
    </row>
    <row r="437" spans="2:2" ht="15" customHeight="1">
      <c r="B437" s="190"/>
    </row>
    <row r="438" spans="2:2" ht="15" customHeight="1">
      <c r="B438" s="190"/>
    </row>
    <row r="439" spans="2:2" ht="15" customHeight="1">
      <c r="B439" s="190"/>
    </row>
    <row r="440" spans="2:2" ht="15" customHeight="1">
      <c r="B440" s="190"/>
    </row>
    <row r="441" spans="2:2" ht="15" customHeight="1">
      <c r="B441" s="190"/>
    </row>
    <row r="442" spans="2:2" ht="15" customHeight="1">
      <c r="B442" s="190"/>
    </row>
    <row r="443" spans="2:2" ht="15" customHeight="1">
      <c r="B443" s="190"/>
    </row>
    <row r="444" spans="2:2" ht="15" customHeight="1">
      <c r="B444" s="190"/>
    </row>
    <row r="445" spans="2:2" ht="15" customHeight="1">
      <c r="B445" s="190"/>
    </row>
    <row r="446" spans="2:2" ht="15" customHeight="1">
      <c r="B446" s="190"/>
    </row>
    <row r="447" spans="2:2" ht="15" customHeight="1">
      <c r="B447" s="190"/>
    </row>
    <row r="448" spans="2:2" ht="15" customHeight="1">
      <c r="B448" s="190"/>
    </row>
    <row r="449" spans="2:2" ht="15" customHeight="1">
      <c r="B449" s="190"/>
    </row>
    <row r="450" spans="2:2" ht="15" customHeight="1">
      <c r="B450" s="190"/>
    </row>
    <row r="451" spans="2:2" ht="15" customHeight="1">
      <c r="B451" s="190"/>
    </row>
    <row r="452" spans="2:2" ht="15" customHeight="1">
      <c r="B452" s="190"/>
    </row>
    <row r="453" spans="2:2" ht="15" customHeight="1">
      <c r="B453" s="190"/>
    </row>
    <row r="454" spans="2:2" ht="15" customHeight="1">
      <c r="B454" s="190"/>
    </row>
    <row r="455" spans="2:2" ht="15" customHeight="1">
      <c r="B455" s="190"/>
    </row>
    <row r="456" spans="2:2" ht="15" customHeight="1">
      <c r="B456" s="190"/>
    </row>
    <row r="457" spans="2:2" ht="15" customHeight="1">
      <c r="B457" s="190"/>
    </row>
    <row r="458" spans="2:2" ht="15" customHeight="1">
      <c r="B458" s="190"/>
    </row>
    <row r="459" spans="2:2" ht="15" customHeight="1">
      <c r="B459" s="190"/>
    </row>
    <row r="460" spans="2:2" ht="15" customHeight="1">
      <c r="B460" s="190"/>
    </row>
    <row r="461" spans="2:2" ht="15" customHeight="1">
      <c r="B461" s="190"/>
    </row>
    <row r="462" spans="2:2" ht="15" customHeight="1">
      <c r="B462" s="190"/>
    </row>
    <row r="463" spans="2:2" ht="15" customHeight="1">
      <c r="B463" s="190"/>
    </row>
    <row r="464" spans="2:2" ht="15" customHeight="1">
      <c r="B464" s="190"/>
    </row>
    <row r="465" spans="2:2" ht="15" customHeight="1">
      <c r="B465" s="190"/>
    </row>
    <row r="466" spans="2:2" ht="15" customHeight="1">
      <c r="B466" s="190"/>
    </row>
    <row r="467" spans="2:2" ht="15" customHeight="1">
      <c r="B467" s="190"/>
    </row>
    <row r="468" spans="2:2" ht="15" customHeight="1">
      <c r="B468" s="190"/>
    </row>
    <row r="469" spans="2:2" ht="15" customHeight="1">
      <c r="B469" s="190"/>
    </row>
    <row r="470" spans="2:2" ht="15" customHeight="1">
      <c r="B470" s="190"/>
    </row>
    <row r="471" spans="2:2" ht="15" customHeight="1">
      <c r="B471" s="190"/>
    </row>
    <row r="472" spans="2:2" ht="15" customHeight="1">
      <c r="B472" s="190"/>
    </row>
    <row r="473" spans="2:2" ht="15" customHeight="1">
      <c r="B473" s="190"/>
    </row>
    <row r="474" spans="2:2" ht="15" customHeight="1">
      <c r="B474" s="190"/>
    </row>
    <row r="475" spans="2:2" ht="15" customHeight="1">
      <c r="B475" s="190"/>
    </row>
    <row r="476" spans="2:2" ht="15" customHeight="1">
      <c r="B476" s="190"/>
    </row>
    <row r="477" spans="2:2" ht="15" customHeight="1">
      <c r="B477" s="190"/>
    </row>
    <row r="478" spans="2:2" ht="15" customHeight="1">
      <c r="B478" s="190"/>
    </row>
    <row r="479" spans="2:2" ht="15" customHeight="1">
      <c r="B479" s="190"/>
    </row>
    <row r="480" spans="2:2" ht="15" customHeight="1">
      <c r="B480" s="190"/>
    </row>
    <row r="481" spans="2:2" ht="15" customHeight="1">
      <c r="B481" s="190"/>
    </row>
    <row r="482" spans="2:2" ht="15" customHeight="1">
      <c r="B482" s="190"/>
    </row>
    <row r="483" spans="2:2" ht="15" customHeight="1">
      <c r="B483" s="190"/>
    </row>
    <row r="484" spans="2:2" ht="15" customHeight="1">
      <c r="B484" s="190"/>
    </row>
    <row r="485" spans="2:2" ht="15" customHeight="1">
      <c r="B485" s="190"/>
    </row>
    <row r="486" spans="2:2" ht="15" customHeight="1">
      <c r="B486" s="190"/>
    </row>
    <row r="487" spans="2:2" ht="15" customHeight="1">
      <c r="B487" s="190"/>
    </row>
    <row r="488" spans="2:2" ht="15" customHeight="1">
      <c r="B488" s="190"/>
    </row>
    <row r="489" spans="2:2" ht="15" customHeight="1">
      <c r="B489" s="190"/>
    </row>
    <row r="490" spans="2:2" ht="15" customHeight="1">
      <c r="B490" s="190"/>
    </row>
    <row r="491" spans="2:2" ht="15" customHeight="1">
      <c r="B491" s="190"/>
    </row>
    <row r="492" spans="2:2" ht="15" customHeight="1">
      <c r="B492" s="190"/>
    </row>
    <row r="493" spans="2:2" ht="15" customHeight="1">
      <c r="B493" s="190"/>
    </row>
    <row r="494" spans="2:2" ht="15" customHeight="1">
      <c r="B494" s="190"/>
    </row>
    <row r="495" spans="2:2" ht="15" customHeight="1">
      <c r="B495" s="190"/>
    </row>
    <row r="496" spans="2:2" ht="15" customHeight="1">
      <c r="B496" s="190"/>
    </row>
    <row r="497" spans="2:2" ht="15" customHeight="1">
      <c r="B497" s="190"/>
    </row>
    <row r="498" spans="2:2" ht="15" customHeight="1">
      <c r="B498" s="190"/>
    </row>
    <row r="499" spans="2:2" ht="15" customHeight="1">
      <c r="B499" s="190"/>
    </row>
    <row r="500" spans="2:2" ht="15" customHeight="1">
      <c r="B500" s="190"/>
    </row>
    <row r="501" spans="2:2" ht="15" customHeight="1">
      <c r="B501" s="190"/>
    </row>
    <row r="502" spans="2:2" ht="15" customHeight="1">
      <c r="B502" s="190"/>
    </row>
    <row r="503" spans="2:2" ht="15" customHeight="1">
      <c r="B503" s="190"/>
    </row>
    <row r="504" spans="2:2" ht="15" customHeight="1">
      <c r="B504" s="190"/>
    </row>
    <row r="505" spans="2:2" ht="15" customHeight="1">
      <c r="B505" s="190"/>
    </row>
    <row r="506" spans="2:2" ht="15" customHeight="1">
      <c r="B506" s="190"/>
    </row>
    <row r="507" spans="2:2" ht="15" customHeight="1">
      <c r="B507" s="190"/>
    </row>
    <row r="508" spans="2:2" ht="15" customHeight="1">
      <c r="B508" s="190"/>
    </row>
    <row r="509" spans="2:2" ht="15" customHeight="1">
      <c r="B509" s="190"/>
    </row>
    <row r="510" spans="2:2" ht="15" customHeight="1">
      <c r="B510" s="190"/>
    </row>
    <row r="511" spans="2:2" ht="15" customHeight="1">
      <c r="B511" s="190"/>
    </row>
    <row r="512" spans="2:2" ht="15" customHeight="1">
      <c r="B512" s="190"/>
    </row>
    <row r="513" spans="2:2" ht="15" customHeight="1">
      <c r="B513" s="190"/>
    </row>
    <row r="514" spans="2:2" ht="15" customHeight="1">
      <c r="B514" s="190"/>
    </row>
    <row r="515" spans="2:2" ht="15" customHeight="1">
      <c r="B515" s="190"/>
    </row>
    <row r="516" spans="2:2" ht="15" customHeight="1">
      <c r="B516" s="190"/>
    </row>
    <row r="517" spans="2:2" ht="15" customHeight="1">
      <c r="B517" s="190"/>
    </row>
    <row r="518" spans="2:2" ht="15" customHeight="1">
      <c r="B518" s="190"/>
    </row>
    <row r="519" spans="2:2" ht="15" customHeight="1">
      <c r="B519" s="190"/>
    </row>
    <row r="520" spans="2:2" ht="15" customHeight="1">
      <c r="B520" s="190"/>
    </row>
    <row r="521" spans="2:2" ht="15" customHeight="1">
      <c r="B521" s="190"/>
    </row>
    <row r="522" spans="2:2" ht="15" customHeight="1">
      <c r="B522" s="190"/>
    </row>
    <row r="523" spans="2:2" ht="15" customHeight="1">
      <c r="B523" s="190"/>
    </row>
    <row r="524" spans="2:2" ht="15" customHeight="1">
      <c r="B524" s="190"/>
    </row>
    <row r="525" spans="2:2" ht="15" customHeight="1">
      <c r="B525" s="190"/>
    </row>
    <row r="526" spans="2:2" ht="15" customHeight="1">
      <c r="B526" s="190"/>
    </row>
    <row r="527" spans="2:2" ht="15" customHeight="1">
      <c r="B527" s="190"/>
    </row>
    <row r="528" spans="2:2" ht="15" customHeight="1">
      <c r="B528" s="190"/>
    </row>
    <row r="529" spans="2:2" ht="15" customHeight="1">
      <c r="B529" s="190"/>
    </row>
    <row r="530" spans="2:2" ht="15" customHeight="1">
      <c r="B530" s="190"/>
    </row>
    <row r="531" spans="2:2" ht="15" customHeight="1">
      <c r="B531" s="190"/>
    </row>
    <row r="532" spans="2:2" ht="15" customHeight="1">
      <c r="B532" s="190"/>
    </row>
    <row r="533" spans="2:2" ht="15" customHeight="1">
      <c r="B533" s="190"/>
    </row>
    <row r="534" spans="2:2" ht="15" customHeight="1">
      <c r="B534" s="190"/>
    </row>
    <row r="535" spans="2:2" ht="15" customHeight="1">
      <c r="B535" s="190"/>
    </row>
    <row r="536" spans="2:2" ht="15" customHeight="1">
      <c r="B536" s="190"/>
    </row>
    <row r="537" spans="2:2" ht="15" customHeight="1">
      <c r="B537" s="190"/>
    </row>
    <row r="538" spans="2:2" ht="15" customHeight="1">
      <c r="B538" s="190"/>
    </row>
    <row r="539" spans="2:2" ht="15" customHeight="1">
      <c r="B539" s="190"/>
    </row>
    <row r="540" spans="2:2" ht="15" customHeight="1">
      <c r="B540" s="190"/>
    </row>
    <row r="541" spans="2:2" ht="15" customHeight="1">
      <c r="B541" s="190"/>
    </row>
    <row r="542" spans="2:2" ht="15" customHeight="1">
      <c r="B542" s="190"/>
    </row>
    <row r="543" spans="2:2" ht="15" customHeight="1">
      <c r="B543" s="190"/>
    </row>
    <row r="544" spans="2:2" ht="15" customHeight="1">
      <c r="B544" s="190"/>
    </row>
    <row r="545" spans="2:2" ht="15" customHeight="1">
      <c r="B545" s="190"/>
    </row>
    <row r="546" spans="2:2" ht="15" customHeight="1">
      <c r="B546" s="190"/>
    </row>
    <row r="547" spans="2:2" ht="15" customHeight="1">
      <c r="B547" s="190"/>
    </row>
    <row r="548" spans="2:2" ht="15" customHeight="1">
      <c r="B548" s="190"/>
    </row>
    <row r="549" spans="2:2" ht="15" customHeight="1">
      <c r="B549" s="190"/>
    </row>
    <row r="550" spans="2:2" ht="15" customHeight="1">
      <c r="B550" s="190"/>
    </row>
    <row r="551" spans="2:2" ht="15" customHeight="1">
      <c r="B551" s="190"/>
    </row>
    <row r="552" spans="2:2" ht="15" customHeight="1">
      <c r="B552" s="190"/>
    </row>
    <row r="553" spans="2:2" ht="15" customHeight="1">
      <c r="B553" s="190"/>
    </row>
    <row r="554" spans="2:2" ht="15" customHeight="1">
      <c r="B554" s="190"/>
    </row>
    <row r="555" spans="2:2" ht="15" customHeight="1">
      <c r="B555" s="190"/>
    </row>
    <row r="556" spans="2:2" ht="15" customHeight="1">
      <c r="B556" s="190"/>
    </row>
    <row r="557" spans="2:2" ht="15" customHeight="1">
      <c r="B557" s="190"/>
    </row>
    <row r="558" spans="2:2" ht="15" customHeight="1">
      <c r="B558" s="190"/>
    </row>
    <row r="559" spans="2:2" ht="15" customHeight="1">
      <c r="B559" s="190"/>
    </row>
    <row r="560" spans="2:2" ht="15" customHeight="1">
      <c r="B560" s="190"/>
    </row>
    <row r="561" spans="2:2" ht="15" customHeight="1">
      <c r="B561" s="190"/>
    </row>
    <row r="562" spans="2:2" ht="15" customHeight="1">
      <c r="B562" s="190"/>
    </row>
    <row r="563" spans="2:2" ht="15" customHeight="1">
      <c r="B563" s="190"/>
    </row>
    <row r="564" spans="2:2" ht="15" customHeight="1">
      <c r="B564" s="190"/>
    </row>
    <row r="565" spans="2:2" ht="15" customHeight="1">
      <c r="B565" s="190"/>
    </row>
    <row r="566" spans="2:2" ht="15" customHeight="1">
      <c r="B566" s="190"/>
    </row>
    <row r="567" spans="2:2" ht="15" customHeight="1">
      <c r="B567" s="190"/>
    </row>
    <row r="568" spans="2:2" ht="15" customHeight="1">
      <c r="B568" s="190"/>
    </row>
    <row r="569" spans="2:2" ht="15" customHeight="1">
      <c r="B569" s="190"/>
    </row>
    <row r="570" spans="2:2" ht="15" customHeight="1">
      <c r="B570" s="190"/>
    </row>
    <row r="571" spans="2:2" ht="15" customHeight="1">
      <c r="B571" s="190"/>
    </row>
    <row r="572" spans="2:2" ht="15" customHeight="1">
      <c r="B572" s="190"/>
    </row>
    <row r="573" spans="2:2" ht="15" customHeight="1">
      <c r="B573" s="190"/>
    </row>
    <row r="574" spans="2:2" ht="15" customHeight="1">
      <c r="B574" s="190"/>
    </row>
    <row r="575" spans="2:2" ht="15" customHeight="1">
      <c r="B575" s="190"/>
    </row>
    <row r="576" spans="2:2" ht="15" customHeight="1">
      <c r="B576" s="190"/>
    </row>
    <row r="577" spans="2:2" ht="15" customHeight="1">
      <c r="B577" s="190"/>
    </row>
    <row r="578" spans="2:2" ht="15" customHeight="1">
      <c r="B578" s="190"/>
    </row>
    <row r="579" spans="2:2" ht="15" customHeight="1">
      <c r="B579" s="190"/>
    </row>
    <row r="580" spans="2:2" ht="15" customHeight="1">
      <c r="B580" s="190"/>
    </row>
    <row r="581" spans="2:2" ht="15" customHeight="1">
      <c r="B581" s="190"/>
    </row>
    <row r="582" spans="2:2" ht="15" customHeight="1">
      <c r="B582" s="190"/>
    </row>
    <row r="583" spans="2:2" ht="15" customHeight="1">
      <c r="B583" s="190"/>
    </row>
    <row r="584" spans="2:2" ht="15" customHeight="1">
      <c r="B584" s="190"/>
    </row>
    <row r="585" spans="2:2" ht="15" customHeight="1">
      <c r="B585" s="190"/>
    </row>
    <row r="586" spans="2:2" ht="15" customHeight="1">
      <c r="B586" s="190"/>
    </row>
    <row r="587" spans="2:2" ht="15" customHeight="1">
      <c r="B587" s="190"/>
    </row>
    <row r="588" spans="2:2" ht="15" customHeight="1">
      <c r="B588" s="190"/>
    </row>
    <row r="589" spans="2:2" ht="15" customHeight="1">
      <c r="B589" s="190"/>
    </row>
    <row r="590" spans="2:2" ht="15" customHeight="1">
      <c r="B590" s="190"/>
    </row>
    <row r="591" spans="2:2" ht="15" customHeight="1">
      <c r="B591" s="190"/>
    </row>
    <row r="592" spans="2:2" ht="15" customHeight="1">
      <c r="B592" s="190"/>
    </row>
    <row r="593" spans="2:2" ht="15" customHeight="1">
      <c r="B593" s="190"/>
    </row>
    <row r="594" spans="2:2" ht="15" customHeight="1">
      <c r="B594" s="190"/>
    </row>
    <row r="595" spans="2:2" ht="15" customHeight="1">
      <c r="B595" s="190"/>
    </row>
    <row r="596" spans="2:2" ht="15" customHeight="1">
      <c r="B596" s="190"/>
    </row>
    <row r="597" spans="2:2" ht="15" customHeight="1">
      <c r="B597" s="190"/>
    </row>
    <row r="598" spans="2:2" ht="15" customHeight="1">
      <c r="B598" s="190"/>
    </row>
    <row r="599" spans="2:2" ht="15" customHeight="1">
      <c r="B599" s="190"/>
    </row>
    <row r="600" spans="2:2" ht="15" customHeight="1">
      <c r="B600" s="190"/>
    </row>
    <row r="601" spans="2:2" ht="15" customHeight="1">
      <c r="B601" s="190"/>
    </row>
    <row r="602" spans="2:2" ht="15" customHeight="1">
      <c r="B602" s="190"/>
    </row>
    <row r="603" spans="2:2" ht="15" customHeight="1">
      <c r="B603" s="190"/>
    </row>
    <row r="604" spans="2:2" ht="15" customHeight="1">
      <c r="B604" s="190"/>
    </row>
    <row r="605" spans="2:2" ht="15" customHeight="1">
      <c r="B605" s="190"/>
    </row>
    <row r="606" spans="2:2" ht="15" customHeight="1">
      <c r="B606" s="190"/>
    </row>
    <row r="607" spans="2:2" ht="15" customHeight="1">
      <c r="B607" s="190"/>
    </row>
    <row r="608" spans="2:2" ht="15" customHeight="1">
      <c r="B608" s="190"/>
    </row>
    <row r="609" spans="2:2" ht="15" customHeight="1">
      <c r="B609" s="190"/>
    </row>
    <row r="610" spans="2:2" ht="15" customHeight="1">
      <c r="B610" s="190"/>
    </row>
    <row r="611" spans="2:2" ht="15" customHeight="1">
      <c r="B611" s="190"/>
    </row>
    <row r="612" spans="2:2" ht="15" customHeight="1">
      <c r="B612" s="190"/>
    </row>
    <row r="613" spans="2:2" ht="15" customHeight="1">
      <c r="B613" s="190"/>
    </row>
    <row r="614" spans="2:2" ht="15" customHeight="1">
      <c r="B614" s="190"/>
    </row>
    <row r="615" spans="2:2" ht="15" customHeight="1">
      <c r="B615" s="190"/>
    </row>
    <row r="616" spans="2:2" ht="15" customHeight="1">
      <c r="B616" s="190"/>
    </row>
    <row r="617" spans="2:2" ht="15" customHeight="1">
      <c r="B617" s="190"/>
    </row>
    <row r="618" spans="2:2" ht="15" customHeight="1">
      <c r="B618" s="190"/>
    </row>
    <row r="619" spans="2:2" ht="15" customHeight="1">
      <c r="B619" s="190"/>
    </row>
    <row r="620" spans="2:2" ht="15" customHeight="1">
      <c r="B620" s="190"/>
    </row>
    <row r="621" spans="2:2" ht="15" customHeight="1">
      <c r="B621" s="190"/>
    </row>
    <row r="622" spans="2:2" ht="15" customHeight="1">
      <c r="B622" s="190"/>
    </row>
    <row r="623" spans="2:2" ht="15" customHeight="1">
      <c r="B623" s="190"/>
    </row>
    <row r="624" spans="2:2" ht="15" customHeight="1">
      <c r="B624" s="190"/>
    </row>
    <row r="625" spans="2:2" ht="15" customHeight="1">
      <c r="B625" s="190"/>
    </row>
    <row r="626" spans="2:2" ht="15" customHeight="1">
      <c r="B626" s="190"/>
    </row>
    <row r="627" spans="2:2" ht="15" customHeight="1">
      <c r="B627" s="190"/>
    </row>
    <row r="628" spans="2:2" ht="15" customHeight="1">
      <c r="B628" s="190"/>
    </row>
    <row r="629" spans="2:2" ht="15" customHeight="1">
      <c r="B629" s="190"/>
    </row>
    <row r="630" spans="2:2" ht="15" customHeight="1">
      <c r="B630" s="190"/>
    </row>
    <row r="631" spans="2:2" ht="15" customHeight="1">
      <c r="B631" s="190"/>
    </row>
    <row r="632" spans="2:2" ht="15" customHeight="1">
      <c r="B632" s="190"/>
    </row>
    <row r="633" spans="2:2" ht="15" customHeight="1">
      <c r="B633" s="190"/>
    </row>
    <row r="634" spans="2:2" ht="15" customHeight="1">
      <c r="B634" s="190"/>
    </row>
    <row r="635" spans="2:2" ht="15" customHeight="1">
      <c r="B635" s="190"/>
    </row>
    <row r="636" spans="2:2" ht="15" customHeight="1">
      <c r="B636" s="190"/>
    </row>
    <row r="637" spans="2:2" ht="15" customHeight="1">
      <c r="B637" s="190"/>
    </row>
    <row r="638" spans="2:2" ht="15" customHeight="1">
      <c r="B638" s="190"/>
    </row>
    <row r="639" spans="2:2" ht="15" customHeight="1">
      <c r="B639" s="190"/>
    </row>
    <row r="640" spans="2:2" ht="15" customHeight="1">
      <c r="B640" s="190"/>
    </row>
    <row r="641" spans="2:2" ht="15" customHeight="1">
      <c r="B641" s="190"/>
    </row>
    <row r="642" spans="2:2" ht="15" customHeight="1">
      <c r="B642" s="190"/>
    </row>
    <row r="643" spans="2:2" ht="15" customHeight="1">
      <c r="B643" s="190"/>
    </row>
    <row r="644" spans="2:2" ht="15" customHeight="1">
      <c r="B644" s="190"/>
    </row>
    <row r="645" spans="2:2" ht="15" customHeight="1">
      <c r="B645" s="190"/>
    </row>
    <row r="646" spans="2:2" ht="15" customHeight="1">
      <c r="B646" s="190"/>
    </row>
    <row r="647" spans="2:2" ht="15" customHeight="1">
      <c r="B647" s="190"/>
    </row>
    <row r="648" spans="2:2" ht="15" customHeight="1">
      <c r="B648" s="190"/>
    </row>
    <row r="649" spans="2:2" ht="15" customHeight="1">
      <c r="B649" s="190"/>
    </row>
    <row r="650" spans="2:2" ht="15" customHeight="1">
      <c r="B650" s="190"/>
    </row>
    <row r="651" spans="2:2" ht="15" customHeight="1">
      <c r="B651" s="190"/>
    </row>
    <row r="652" spans="2:2" ht="15" customHeight="1">
      <c r="B652" s="190"/>
    </row>
    <row r="653" spans="2:2" ht="15" customHeight="1">
      <c r="B653" s="190"/>
    </row>
    <row r="654" spans="2:2" ht="15" customHeight="1">
      <c r="B654" s="190"/>
    </row>
    <row r="655" spans="2:2" ht="15" customHeight="1">
      <c r="B655" s="190"/>
    </row>
    <row r="656" spans="2:2" ht="15" customHeight="1">
      <c r="B656" s="190"/>
    </row>
    <row r="657" spans="2:2" ht="15" customHeight="1">
      <c r="B657" s="190"/>
    </row>
    <row r="658" spans="2:2" ht="15" customHeight="1">
      <c r="B658" s="190"/>
    </row>
    <row r="659" spans="2:2" ht="15" customHeight="1">
      <c r="B659" s="190"/>
    </row>
    <row r="660" spans="2:2" ht="15" customHeight="1">
      <c r="B660" s="190"/>
    </row>
    <row r="661" spans="2:2" ht="15" customHeight="1">
      <c r="B661" s="190"/>
    </row>
    <row r="662" spans="2:2" ht="15" customHeight="1">
      <c r="B662" s="190"/>
    </row>
    <row r="663" spans="2:2" ht="15" customHeight="1">
      <c r="B663" s="190"/>
    </row>
    <row r="664" spans="2:2" ht="15" customHeight="1">
      <c r="B664" s="190"/>
    </row>
    <row r="665" spans="2:2" ht="15" customHeight="1">
      <c r="B665" s="190"/>
    </row>
    <row r="666" spans="2:2" ht="15" customHeight="1">
      <c r="B666" s="190"/>
    </row>
    <row r="667" spans="2:2" ht="15" customHeight="1">
      <c r="B667" s="190"/>
    </row>
    <row r="668" spans="2:2" ht="15" customHeight="1">
      <c r="B668" s="190"/>
    </row>
    <row r="669" spans="2:2" ht="15" customHeight="1">
      <c r="B669" s="190"/>
    </row>
    <row r="670" spans="2:2" ht="15" customHeight="1">
      <c r="B670" s="190"/>
    </row>
    <row r="671" spans="2:2" ht="15" customHeight="1">
      <c r="B671" s="190"/>
    </row>
    <row r="672" spans="2:2" ht="15" customHeight="1">
      <c r="B672" s="190"/>
    </row>
    <row r="673" spans="2:2" ht="15" customHeight="1">
      <c r="B673" s="190"/>
    </row>
    <row r="674" spans="2:2" ht="15" customHeight="1">
      <c r="B674" s="190"/>
    </row>
    <row r="675" spans="2:2" ht="15" customHeight="1">
      <c r="B675" s="190"/>
    </row>
    <row r="676" spans="2:2" ht="15" customHeight="1">
      <c r="B676" s="190"/>
    </row>
    <row r="677" spans="2:2" ht="15" customHeight="1">
      <c r="B677" s="190"/>
    </row>
    <row r="678" spans="2:2" ht="15" customHeight="1">
      <c r="B678" s="190"/>
    </row>
    <row r="679" spans="2:2" ht="15" customHeight="1">
      <c r="B679" s="190"/>
    </row>
    <row r="680" spans="2:2" ht="15" customHeight="1">
      <c r="B680" s="190"/>
    </row>
    <row r="681" spans="2:2" ht="15" customHeight="1">
      <c r="B681" s="190"/>
    </row>
    <row r="682" spans="2:2" ht="15" customHeight="1">
      <c r="B682" s="190"/>
    </row>
    <row r="683" spans="2:2" ht="15" customHeight="1">
      <c r="B683" s="190"/>
    </row>
    <row r="684" spans="2:2" ht="15" customHeight="1">
      <c r="B684" s="190"/>
    </row>
    <row r="685" spans="2:2" ht="15" customHeight="1">
      <c r="B685" s="190"/>
    </row>
    <row r="686" spans="2:2" ht="15" customHeight="1">
      <c r="B686" s="190"/>
    </row>
    <row r="687" spans="2:2" ht="15" customHeight="1">
      <c r="B687" s="190"/>
    </row>
    <row r="688" spans="2:2" ht="15" customHeight="1">
      <c r="B688" s="190"/>
    </row>
    <row r="689" spans="2:2" ht="15" customHeight="1">
      <c r="B689" s="190"/>
    </row>
    <row r="690" spans="2:2" ht="15" customHeight="1">
      <c r="B690" s="190"/>
    </row>
    <row r="691" spans="2:2" ht="15" customHeight="1">
      <c r="B691" s="190"/>
    </row>
    <row r="692" spans="2:2" ht="15" customHeight="1">
      <c r="B692" s="190"/>
    </row>
    <row r="693" spans="2:2" ht="15" customHeight="1">
      <c r="B693" s="190"/>
    </row>
    <row r="694" spans="2:2" ht="15" customHeight="1">
      <c r="B694" s="190"/>
    </row>
    <row r="695" spans="2:2" ht="15" customHeight="1">
      <c r="B695" s="190"/>
    </row>
    <row r="696" spans="2:2" ht="15" customHeight="1">
      <c r="B696" s="190"/>
    </row>
    <row r="697" spans="2:2" ht="15" customHeight="1">
      <c r="B697" s="190"/>
    </row>
    <row r="698" spans="2:2" ht="15" customHeight="1">
      <c r="B698" s="190"/>
    </row>
    <row r="699" spans="2:2" ht="15" customHeight="1">
      <c r="B699" s="190"/>
    </row>
    <row r="700" spans="2:2" ht="15" customHeight="1">
      <c r="B700" s="190"/>
    </row>
    <row r="701" spans="2:2" ht="15" customHeight="1">
      <c r="B701" s="190"/>
    </row>
    <row r="702" spans="2:2" ht="15" customHeight="1">
      <c r="B702" s="190"/>
    </row>
    <row r="703" spans="2:2" ht="15" customHeight="1">
      <c r="B703" s="190"/>
    </row>
    <row r="704" spans="2:2" ht="15" customHeight="1">
      <c r="B704" s="190"/>
    </row>
    <row r="705" spans="2:2" ht="15" customHeight="1">
      <c r="B705" s="190"/>
    </row>
    <row r="706" spans="2:2" ht="15" customHeight="1">
      <c r="B706" s="190"/>
    </row>
    <row r="707" spans="2:2" ht="15" customHeight="1">
      <c r="B707" s="190"/>
    </row>
    <row r="708" spans="2:2" ht="15" customHeight="1">
      <c r="B708" s="190"/>
    </row>
    <row r="709" spans="2:2" ht="15" customHeight="1">
      <c r="B709" s="190"/>
    </row>
    <row r="710" spans="2:2" ht="15" customHeight="1">
      <c r="B710" s="190"/>
    </row>
    <row r="711" spans="2:2" ht="15" customHeight="1">
      <c r="B711" s="190"/>
    </row>
    <row r="712" spans="2:2" ht="15" customHeight="1">
      <c r="B712" s="190"/>
    </row>
    <row r="713" spans="2:2" ht="15" customHeight="1">
      <c r="B713" s="190"/>
    </row>
    <row r="714" spans="2:2" ht="15" customHeight="1">
      <c r="B714" s="190"/>
    </row>
    <row r="715" spans="2:2" ht="15" customHeight="1">
      <c r="B715" s="190"/>
    </row>
    <row r="716" spans="2:2" ht="15" customHeight="1">
      <c r="B716" s="190"/>
    </row>
    <row r="717" spans="2:2" ht="15" customHeight="1">
      <c r="B717" s="190"/>
    </row>
    <row r="718" spans="2:2" ht="15" customHeight="1">
      <c r="B718" s="190"/>
    </row>
    <row r="719" spans="2:2" ht="15" customHeight="1">
      <c r="B719" s="190"/>
    </row>
    <row r="720" spans="2:2" ht="15" customHeight="1">
      <c r="B720" s="190"/>
    </row>
    <row r="721" spans="2:2" ht="15" customHeight="1">
      <c r="B721" s="190"/>
    </row>
    <row r="722" spans="2:2" ht="15" customHeight="1">
      <c r="B722" s="190"/>
    </row>
    <row r="723" spans="2:2" ht="15" customHeight="1">
      <c r="B723" s="190"/>
    </row>
    <row r="724" spans="2:2" ht="15" customHeight="1">
      <c r="B724" s="190"/>
    </row>
    <row r="725" spans="2:2" ht="15" customHeight="1">
      <c r="B725" s="190"/>
    </row>
    <row r="726" spans="2:2" ht="15" customHeight="1">
      <c r="B726" s="190"/>
    </row>
    <row r="727" spans="2:2" ht="15" customHeight="1">
      <c r="B727" s="190"/>
    </row>
    <row r="728" spans="2:2" ht="15" customHeight="1">
      <c r="B728" s="190"/>
    </row>
    <row r="729" spans="2:2" ht="15" customHeight="1">
      <c r="B729" s="190"/>
    </row>
    <row r="730" spans="2:2" ht="15" customHeight="1">
      <c r="B730" s="190"/>
    </row>
    <row r="731" spans="2:2" ht="15" customHeight="1">
      <c r="B731" s="190"/>
    </row>
    <row r="732" spans="2:2" ht="15" customHeight="1">
      <c r="B732" s="190"/>
    </row>
    <row r="733" spans="2:2" ht="15" customHeight="1">
      <c r="B733" s="190"/>
    </row>
    <row r="734" spans="2:2" ht="15" customHeight="1">
      <c r="B734" s="190"/>
    </row>
    <row r="735" spans="2:2" ht="15" customHeight="1">
      <c r="B735" s="190"/>
    </row>
    <row r="736" spans="2:2" ht="15" customHeight="1">
      <c r="B736" s="190"/>
    </row>
    <row r="737" spans="2:2" ht="15" customHeight="1">
      <c r="B737" s="190"/>
    </row>
    <row r="738" spans="2:2" ht="15" customHeight="1">
      <c r="B738" s="190"/>
    </row>
    <row r="739" spans="2:2" ht="15" customHeight="1">
      <c r="B739" s="190"/>
    </row>
    <row r="740" spans="2:2" ht="15" customHeight="1">
      <c r="B740" s="190"/>
    </row>
    <row r="741" spans="2:2" ht="15" customHeight="1">
      <c r="B741" s="190"/>
    </row>
    <row r="742" spans="2:2" ht="15" customHeight="1">
      <c r="B742" s="190"/>
    </row>
    <row r="743" spans="2:2" ht="15" customHeight="1">
      <c r="B743" s="190"/>
    </row>
    <row r="744" spans="2:2" ht="15" customHeight="1">
      <c r="B744" s="190"/>
    </row>
    <row r="745" spans="2:2" ht="15" customHeight="1">
      <c r="B745" s="190"/>
    </row>
    <row r="746" spans="2:2" ht="15" customHeight="1">
      <c r="B746" s="190"/>
    </row>
    <row r="747" spans="2:2" ht="15" customHeight="1">
      <c r="B747" s="190"/>
    </row>
    <row r="748" spans="2:2" ht="15" customHeight="1">
      <c r="B748" s="190"/>
    </row>
    <row r="749" spans="2:2" ht="15" customHeight="1">
      <c r="B749" s="190"/>
    </row>
    <row r="750" spans="2:2" ht="15" customHeight="1">
      <c r="B750" s="190"/>
    </row>
    <row r="751" spans="2:2" ht="15" customHeight="1">
      <c r="B751" s="190"/>
    </row>
    <row r="752" spans="2:2" ht="15" customHeight="1">
      <c r="B752" s="190"/>
    </row>
    <row r="753" spans="2:2" ht="15" customHeight="1">
      <c r="B753" s="190"/>
    </row>
    <row r="754" spans="2:2" ht="15" customHeight="1">
      <c r="B754" s="190"/>
    </row>
    <row r="755" spans="2:2" ht="15" customHeight="1">
      <c r="B755" s="190"/>
    </row>
    <row r="756" spans="2:2" ht="15" customHeight="1">
      <c r="B756" s="190"/>
    </row>
    <row r="757" spans="2:2" ht="15" customHeight="1">
      <c r="B757" s="190"/>
    </row>
    <row r="758" spans="2:2" ht="15" customHeight="1">
      <c r="B758" s="190"/>
    </row>
    <row r="759" spans="2:2" ht="15" customHeight="1">
      <c r="B759" s="190"/>
    </row>
    <row r="760" spans="2:2" ht="15" customHeight="1">
      <c r="B760" s="190"/>
    </row>
    <row r="761" spans="2:2" ht="15" customHeight="1">
      <c r="B761" s="190"/>
    </row>
    <row r="762" spans="2:2" ht="15" customHeight="1">
      <c r="B762" s="190"/>
    </row>
    <row r="763" spans="2:2" ht="15" customHeight="1">
      <c r="B763" s="190"/>
    </row>
    <row r="764" spans="2:2" ht="15" customHeight="1">
      <c r="B764" s="190"/>
    </row>
    <row r="765" spans="2:2" ht="15" customHeight="1">
      <c r="B765" s="190"/>
    </row>
    <row r="766" spans="2:2" ht="15" customHeight="1">
      <c r="B766" s="190"/>
    </row>
    <row r="767" spans="2:2" ht="15" customHeight="1">
      <c r="B767" s="190"/>
    </row>
    <row r="768" spans="2:2" ht="15" customHeight="1">
      <c r="B768" s="190"/>
    </row>
    <row r="769" spans="2:2" ht="15" customHeight="1">
      <c r="B769" s="190"/>
    </row>
    <row r="770" spans="2:2" ht="15" customHeight="1">
      <c r="B770" s="190"/>
    </row>
    <row r="771" spans="2:2" ht="15" customHeight="1">
      <c r="B771" s="190"/>
    </row>
    <row r="772" spans="2:2" ht="15" customHeight="1">
      <c r="B772" s="190"/>
    </row>
    <row r="773" spans="2:2" ht="15" customHeight="1">
      <c r="B773" s="190"/>
    </row>
    <row r="774" spans="2:2" ht="15" customHeight="1">
      <c r="B774" s="190"/>
    </row>
    <row r="775" spans="2:2" ht="15" customHeight="1">
      <c r="B775" s="190"/>
    </row>
    <row r="776" spans="2:2" ht="15" customHeight="1">
      <c r="B776" s="190"/>
    </row>
    <row r="777" spans="2:2" ht="15" customHeight="1">
      <c r="B777" s="190"/>
    </row>
    <row r="778" spans="2:2" ht="15" customHeight="1">
      <c r="B778" s="190"/>
    </row>
    <row r="779" spans="2:2" ht="15" customHeight="1">
      <c r="B779" s="190"/>
    </row>
    <row r="780" spans="2:2" ht="15" customHeight="1">
      <c r="B780" s="190"/>
    </row>
    <row r="781" spans="2:2" ht="15" customHeight="1">
      <c r="B781" s="190"/>
    </row>
    <row r="782" spans="2:2" ht="15" customHeight="1">
      <c r="B782" s="190"/>
    </row>
    <row r="783" spans="2:2" ht="15" customHeight="1">
      <c r="B783" s="190"/>
    </row>
    <row r="784" spans="2:2" ht="15" customHeight="1">
      <c r="B784" s="190"/>
    </row>
    <row r="785" spans="2:2" ht="15" customHeight="1">
      <c r="B785" s="190"/>
    </row>
    <row r="786" spans="2:2" ht="15" customHeight="1">
      <c r="B786" s="190"/>
    </row>
    <row r="787" spans="2:2" ht="15" customHeight="1">
      <c r="B787" s="190"/>
    </row>
    <row r="788" spans="2:2" ht="15" customHeight="1">
      <c r="B788" s="190"/>
    </row>
    <row r="789" spans="2:2" ht="15" customHeight="1">
      <c r="B789" s="190"/>
    </row>
    <row r="790" spans="2:2" ht="15" customHeight="1">
      <c r="B790" s="190"/>
    </row>
    <row r="791" spans="2:2" ht="15" customHeight="1">
      <c r="B791" s="190"/>
    </row>
    <row r="792" spans="2:2" ht="15" customHeight="1">
      <c r="B792" s="190"/>
    </row>
    <row r="793" spans="2:2" ht="15" customHeight="1">
      <c r="B793" s="190"/>
    </row>
    <row r="794" spans="2:2" ht="15" customHeight="1">
      <c r="B794" s="190"/>
    </row>
    <row r="795" spans="2:2" ht="15" customHeight="1">
      <c r="B795" s="190"/>
    </row>
    <row r="796" spans="2:2" ht="15" customHeight="1">
      <c r="B796" s="190"/>
    </row>
    <row r="797" spans="2:2" ht="15" customHeight="1">
      <c r="B797" s="190"/>
    </row>
    <row r="798" spans="2:2" ht="15" customHeight="1">
      <c r="B798" s="190"/>
    </row>
    <row r="799" spans="2:2" ht="15" customHeight="1">
      <c r="B799" s="190"/>
    </row>
    <row r="800" spans="2:2" ht="15" customHeight="1">
      <c r="B800" s="190"/>
    </row>
    <row r="801" spans="2:2" ht="15" customHeight="1">
      <c r="B801" s="190"/>
    </row>
    <row r="802" spans="2:2" ht="15" customHeight="1">
      <c r="B802" s="190"/>
    </row>
    <row r="803" spans="2:2" ht="15" customHeight="1">
      <c r="B803" s="190"/>
    </row>
    <row r="804" spans="2:2" ht="15" customHeight="1">
      <c r="B804" s="190"/>
    </row>
    <row r="805" spans="2:2" ht="15" customHeight="1">
      <c r="B805" s="190"/>
    </row>
    <row r="806" spans="2:2" ht="15" customHeight="1">
      <c r="B806" s="190"/>
    </row>
    <row r="807" spans="2:2" ht="15" customHeight="1">
      <c r="B807" s="190"/>
    </row>
    <row r="808" spans="2:2" ht="15" customHeight="1">
      <c r="B808" s="190"/>
    </row>
    <row r="809" spans="2:2" ht="15" customHeight="1">
      <c r="B809" s="190"/>
    </row>
    <row r="810" spans="2:2" ht="15" customHeight="1">
      <c r="B810" s="190"/>
    </row>
    <row r="811" spans="2:2" ht="15" customHeight="1">
      <c r="B811" s="190"/>
    </row>
    <row r="812" spans="2:2" ht="15" customHeight="1">
      <c r="B812" s="190"/>
    </row>
    <row r="813" spans="2:2" ht="15" customHeight="1">
      <c r="B813" s="190"/>
    </row>
    <row r="814" spans="2:2" ht="15" customHeight="1">
      <c r="B814" s="190"/>
    </row>
    <row r="815" spans="2:2" ht="15" customHeight="1">
      <c r="B815" s="190"/>
    </row>
    <row r="816" spans="2:2" ht="15" customHeight="1">
      <c r="B816" s="190"/>
    </row>
    <row r="817" spans="2:2" ht="15" customHeight="1">
      <c r="B817" s="190"/>
    </row>
    <row r="818" spans="2:2" ht="15" customHeight="1">
      <c r="B818" s="190"/>
    </row>
    <row r="819" spans="2:2" ht="15" customHeight="1">
      <c r="B819" s="190"/>
    </row>
    <row r="820" spans="2:2" ht="15" customHeight="1">
      <c r="B820" s="190"/>
    </row>
    <row r="821" spans="2:2" ht="15" customHeight="1">
      <c r="B821" s="190"/>
    </row>
    <row r="822" spans="2:2" ht="15" customHeight="1">
      <c r="B822" s="190"/>
    </row>
    <row r="823" spans="2:2" ht="15" customHeight="1">
      <c r="B823" s="190"/>
    </row>
    <row r="824" spans="2:2" ht="15" customHeight="1">
      <c r="B824" s="190"/>
    </row>
    <row r="825" spans="2:2" ht="15" customHeight="1">
      <c r="B825" s="190"/>
    </row>
    <row r="826" spans="2:2" ht="15" customHeight="1">
      <c r="B826" s="190"/>
    </row>
    <row r="827" spans="2:2" ht="15" customHeight="1">
      <c r="B827" s="190"/>
    </row>
    <row r="828" spans="2:2" ht="15" customHeight="1">
      <c r="B828" s="190"/>
    </row>
    <row r="829" spans="2:2" ht="15" customHeight="1">
      <c r="B829" s="190"/>
    </row>
    <row r="830" spans="2:2" ht="15" customHeight="1">
      <c r="B830" s="190"/>
    </row>
    <row r="831" spans="2:2" ht="15" customHeight="1">
      <c r="B831" s="190"/>
    </row>
    <row r="832" spans="2:2" ht="15" customHeight="1">
      <c r="B832" s="190"/>
    </row>
    <row r="833" spans="2:2" ht="15" customHeight="1">
      <c r="B833" s="190"/>
    </row>
    <row r="834" spans="2:2" ht="15" customHeight="1">
      <c r="B834" s="190"/>
    </row>
    <row r="835" spans="2:2" ht="15" customHeight="1">
      <c r="B835" s="190"/>
    </row>
    <row r="836" spans="2:2" ht="15" customHeight="1">
      <c r="B836" s="190"/>
    </row>
    <row r="837" spans="2:2" ht="15" customHeight="1">
      <c r="B837" s="190"/>
    </row>
    <row r="838" spans="2:2" ht="15" customHeight="1">
      <c r="B838" s="190"/>
    </row>
    <row r="839" spans="2:2" ht="15" customHeight="1">
      <c r="B839" s="190"/>
    </row>
    <row r="840" spans="2:2" ht="15" customHeight="1">
      <c r="B840" s="190"/>
    </row>
    <row r="841" spans="2:2" ht="15" customHeight="1">
      <c r="B841" s="190"/>
    </row>
    <row r="842" spans="2:2" ht="15" customHeight="1">
      <c r="B842" s="190"/>
    </row>
    <row r="843" spans="2:2" ht="15" customHeight="1">
      <c r="B843" s="190"/>
    </row>
    <row r="844" spans="2:2" ht="15" customHeight="1">
      <c r="B844" s="190"/>
    </row>
    <row r="845" spans="2:2" ht="15" customHeight="1">
      <c r="B845" s="190"/>
    </row>
    <row r="846" spans="2:2" ht="15" customHeight="1">
      <c r="B846" s="190"/>
    </row>
    <row r="847" spans="2:2" ht="15" customHeight="1">
      <c r="B847" s="190"/>
    </row>
    <row r="848" spans="2:2" ht="15" customHeight="1">
      <c r="B848" s="190"/>
    </row>
    <row r="849" spans="2:2" ht="15" customHeight="1">
      <c r="B849" s="190"/>
    </row>
    <row r="850" spans="2:2" ht="15" customHeight="1">
      <c r="B850" s="190"/>
    </row>
    <row r="851" spans="2:2" ht="15" customHeight="1">
      <c r="B851" s="190"/>
    </row>
    <row r="852" spans="2:2" ht="15" customHeight="1">
      <c r="B852" s="190"/>
    </row>
    <row r="853" spans="2:2" ht="15" customHeight="1">
      <c r="B853" s="190"/>
    </row>
    <row r="854" spans="2:2" ht="15" customHeight="1">
      <c r="B854" s="190"/>
    </row>
    <row r="855" spans="2:2" ht="15" customHeight="1">
      <c r="B855" s="190"/>
    </row>
    <row r="856" spans="2:2" ht="15" customHeight="1">
      <c r="B856" s="190"/>
    </row>
    <row r="857" spans="2:2" ht="15" customHeight="1">
      <c r="B857" s="190"/>
    </row>
    <row r="858" spans="2:2" ht="15" customHeight="1">
      <c r="B858" s="190"/>
    </row>
    <row r="859" spans="2:2" ht="15" customHeight="1">
      <c r="B859" s="190"/>
    </row>
    <row r="860" spans="2:2" ht="15" customHeight="1">
      <c r="B860" s="190"/>
    </row>
    <row r="861" spans="2:2" ht="15" customHeight="1">
      <c r="B861" s="190"/>
    </row>
    <row r="862" spans="2:2" ht="15" customHeight="1">
      <c r="B862" s="190"/>
    </row>
    <row r="863" spans="2:2" ht="15" customHeight="1">
      <c r="B863" s="190"/>
    </row>
    <row r="864" spans="2:2" ht="15" customHeight="1">
      <c r="B864" s="190"/>
    </row>
    <row r="865" spans="2:2" ht="15" customHeight="1">
      <c r="B865" s="190"/>
    </row>
    <row r="866" spans="2:2" ht="15" customHeight="1">
      <c r="B866" s="190"/>
    </row>
    <row r="867" spans="2:2" ht="15" customHeight="1">
      <c r="B867" s="190"/>
    </row>
    <row r="868" spans="2:2" ht="15" customHeight="1">
      <c r="B868" s="190"/>
    </row>
    <row r="869" spans="2:2" ht="15" customHeight="1">
      <c r="B869" s="190"/>
    </row>
    <row r="870" spans="2:2" ht="15" customHeight="1">
      <c r="B870" s="190"/>
    </row>
    <row r="871" spans="2:2" ht="15" customHeight="1">
      <c r="B871" s="190"/>
    </row>
    <row r="872" spans="2:2" ht="15" customHeight="1">
      <c r="B872" s="190"/>
    </row>
    <row r="873" spans="2:2" ht="15" customHeight="1">
      <c r="B873" s="190"/>
    </row>
    <row r="874" spans="2:2" ht="15" customHeight="1">
      <c r="B874" s="190"/>
    </row>
    <row r="875" spans="2:2" ht="15" customHeight="1">
      <c r="B875" s="190"/>
    </row>
    <row r="876" spans="2:2" ht="15" customHeight="1">
      <c r="B876" s="190"/>
    </row>
    <row r="877" spans="2:2" ht="15" customHeight="1">
      <c r="B877" s="190"/>
    </row>
    <row r="878" spans="2:2" ht="15" customHeight="1">
      <c r="B878" s="190"/>
    </row>
    <row r="879" spans="2:2" ht="15" customHeight="1">
      <c r="B879" s="190"/>
    </row>
    <row r="880" spans="2:2" ht="15" customHeight="1">
      <c r="B880" s="190"/>
    </row>
    <row r="881" spans="2:2" ht="15" customHeight="1">
      <c r="B881" s="190"/>
    </row>
    <row r="882" spans="2:2" ht="15" customHeight="1">
      <c r="B882" s="190"/>
    </row>
    <row r="883" spans="2:2" ht="15" customHeight="1">
      <c r="B883" s="190"/>
    </row>
    <row r="884" spans="2:2" ht="15" customHeight="1">
      <c r="B884" s="190"/>
    </row>
    <row r="885" spans="2:2" ht="15" customHeight="1">
      <c r="B885" s="190"/>
    </row>
    <row r="886" spans="2:2" ht="15" customHeight="1">
      <c r="B886" s="190"/>
    </row>
    <row r="887" spans="2:2" ht="15" customHeight="1">
      <c r="B887" s="190"/>
    </row>
    <row r="888" spans="2:2" ht="15" customHeight="1">
      <c r="B888" s="190"/>
    </row>
    <row r="889" spans="2:2" ht="15" customHeight="1">
      <c r="B889" s="190"/>
    </row>
    <row r="890" spans="2:2" ht="15" customHeight="1">
      <c r="B890" s="190"/>
    </row>
    <row r="891" spans="2:2" ht="15" customHeight="1">
      <c r="B891" s="190"/>
    </row>
    <row r="892" spans="2:2" ht="15" customHeight="1">
      <c r="B892" s="190"/>
    </row>
    <row r="893" spans="2:2" ht="15" customHeight="1">
      <c r="B893" s="190"/>
    </row>
    <row r="894" spans="2:2" ht="15" customHeight="1">
      <c r="B894" s="190"/>
    </row>
    <row r="895" spans="2:2" ht="15" customHeight="1">
      <c r="B895" s="190"/>
    </row>
    <row r="896" spans="2:2" ht="15" customHeight="1">
      <c r="B896" s="190"/>
    </row>
    <row r="897" spans="2:2" ht="15" customHeight="1">
      <c r="B897" s="190"/>
    </row>
    <row r="898" spans="2:2" ht="15" customHeight="1">
      <c r="B898" s="190"/>
    </row>
    <row r="899" spans="2:2" ht="15" customHeight="1">
      <c r="B899" s="190"/>
    </row>
    <row r="900" spans="2:2" ht="15" customHeight="1">
      <c r="B900" s="190"/>
    </row>
    <row r="901" spans="2:2" ht="15" customHeight="1">
      <c r="B901" s="190"/>
    </row>
    <row r="902" spans="2:2" ht="15" customHeight="1">
      <c r="B902" s="190"/>
    </row>
    <row r="903" spans="2:2" ht="15" customHeight="1">
      <c r="B903" s="190"/>
    </row>
    <row r="904" spans="2:2" ht="15" customHeight="1">
      <c r="B904" s="190"/>
    </row>
    <row r="905" spans="2:2" ht="15" customHeight="1">
      <c r="B905" s="190"/>
    </row>
    <row r="906" spans="2:2" ht="15" customHeight="1">
      <c r="B906" s="190"/>
    </row>
    <row r="907" spans="2:2" ht="15" customHeight="1">
      <c r="B907" s="190"/>
    </row>
    <row r="908" spans="2:2" ht="15" customHeight="1">
      <c r="B908" s="190"/>
    </row>
    <row r="909" spans="2:2" ht="15" customHeight="1">
      <c r="B909" s="190"/>
    </row>
    <row r="910" spans="2:2" ht="15" customHeight="1">
      <c r="B910" s="190"/>
    </row>
    <row r="911" spans="2:2" ht="15" customHeight="1">
      <c r="B911" s="190"/>
    </row>
    <row r="912" spans="2:2" ht="15" customHeight="1">
      <c r="B912" s="190"/>
    </row>
    <row r="913" spans="2:2" ht="15" customHeight="1">
      <c r="B913" s="190"/>
    </row>
    <row r="914" spans="2:2" ht="15" customHeight="1">
      <c r="B914" s="190"/>
    </row>
    <row r="915" spans="2:2" ht="15" customHeight="1">
      <c r="B915" s="190"/>
    </row>
    <row r="916" spans="2:2" ht="15" customHeight="1">
      <c r="B916" s="190"/>
    </row>
    <row r="917" spans="2:2" ht="15" customHeight="1">
      <c r="B917" s="190"/>
    </row>
    <row r="918" spans="2:2" ht="15" customHeight="1">
      <c r="B918" s="190"/>
    </row>
    <row r="919" spans="2:2" ht="15" customHeight="1">
      <c r="B919" s="190"/>
    </row>
    <row r="920" spans="2:2" ht="15" customHeight="1">
      <c r="B920" s="190"/>
    </row>
    <row r="921" spans="2:2" ht="15" customHeight="1">
      <c r="B921" s="190"/>
    </row>
    <row r="922" spans="2:2" ht="15" customHeight="1">
      <c r="B922" s="190"/>
    </row>
    <row r="923" spans="2:2" ht="15" customHeight="1">
      <c r="B923" s="190"/>
    </row>
    <row r="924" spans="2:2" ht="15" customHeight="1">
      <c r="B924" s="190"/>
    </row>
    <row r="925" spans="2:2" ht="15" customHeight="1">
      <c r="B925" s="190"/>
    </row>
    <row r="926" spans="2:2" ht="15" customHeight="1">
      <c r="B926" s="190"/>
    </row>
    <row r="927" spans="2:2" ht="15" customHeight="1">
      <c r="B927" s="190"/>
    </row>
    <row r="928" spans="2:2" ht="15" customHeight="1">
      <c r="B928" s="190"/>
    </row>
    <row r="929" spans="2:2" ht="15" customHeight="1">
      <c r="B929" s="190"/>
    </row>
    <row r="930" spans="2:2" ht="15" customHeight="1">
      <c r="B930" s="190"/>
    </row>
    <row r="931" spans="2:2" ht="15" customHeight="1">
      <c r="B931" s="190"/>
    </row>
    <row r="932" spans="2:2" ht="15" customHeight="1">
      <c r="B932" s="190"/>
    </row>
    <row r="933" spans="2:2" ht="15" customHeight="1">
      <c r="B933" s="190"/>
    </row>
    <row r="934" spans="2:2" ht="15" customHeight="1">
      <c r="B934" s="190"/>
    </row>
    <row r="935" spans="2:2" ht="15" customHeight="1">
      <c r="B935" s="190"/>
    </row>
    <row r="936" spans="2:2" ht="15" customHeight="1">
      <c r="B936" s="190"/>
    </row>
    <row r="937" spans="2:2" ht="15" customHeight="1">
      <c r="B937" s="190"/>
    </row>
    <row r="938" spans="2:2" ht="15" customHeight="1">
      <c r="B938" s="190"/>
    </row>
    <row r="939" spans="2:2" ht="15" customHeight="1">
      <c r="B939" s="190"/>
    </row>
    <row r="940" spans="2:2" ht="15" customHeight="1">
      <c r="B940" s="190"/>
    </row>
    <row r="941" spans="2:2" ht="15" customHeight="1">
      <c r="B941" s="190"/>
    </row>
    <row r="942" spans="2:2" ht="15" customHeight="1">
      <c r="B942" s="190"/>
    </row>
    <row r="943" spans="2:2" ht="15" customHeight="1">
      <c r="B943" s="190"/>
    </row>
    <row r="944" spans="2:2" ht="15" customHeight="1">
      <c r="B944" s="190"/>
    </row>
    <row r="945" spans="2:2" ht="15" customHeight="1">
      <c r="B945" s="190"/>
    </row>
    <row r="946" spans="2:2" ht="15" customHeight="1">
      <c r="B946" s="190"/>
    </row>
    <row r="947" spans="2:2" ht="15" customHeight="1">
      <c r="B947" s="190"/>
    </row>
    <row r="948" spans="2:2" ht="15" customHeight="1">
      <c r="B948" s="190"/>
    </row>
    <row r="949" spans="2:2" ht="15" customHeight="1">
      <c r="B949" s="190"/>
    </row>
    <row r="950" spans="2:2" ht="15" customHeight="1">
      <c r="B950" s="190"/>
    </row>
    <row r="951" spans="2:2" ht="15" customHeight="1">
      <c r="B951" s="190"/>
    </row>
    <row r="952" spans="2:2" ht="15" customHeight="1">
      <c r="B952" s="190"/>
    </row>
    <row r="953" spans="2:2" ht="15" customHeight="1">
      <c r="B953" s="190"/>
    </row>
    <row r="954" spans="2:2" ht="15" customHeight="1">
      <c r="B954" s="190"/>
    </row>
    <row r="955" spans="2:2" ht="15" customHeight="1">
      <c r="B955" s="190"/>
    </row>
    <row r="956" spans="2:2" ht="15" customHeight="1">
      <c r="B956" s="190"/>
    </row>
    <row r="957" spans="2:2" ht="15" customHeight="1">
      <c r="B957" s="190"/>
    </row>
    <row r="958" spans="2:2" ht="15" customHeight="1">
      <c r="B958" s="190"/>
    </row>
    <row r="959" spans="2:2" ht="15" customHeight="1">
      <c r="B959" s="190"/>
    </row>
    <row r="960" spans="2:2" ht="15" customHeight="1">
      <c r="B960" s="190"/>
    </row>
    <row r="961" spans="2:2" ht="15" customHeight="1">
      <c r="B961" s="190"/>
    </row>
    <row r="962" spans="2:2" ht="15" customHeight="1">
      <c r="B962" s="190"/>
    </row>
    <row r="963" spans="2:2" ht="15" customHeight="1">
      <c r="B963" s="190"/>
    </row>
    <row r="964" spans="2:2" ht="15" customHeight="1">
      <c r="B964" s="190"/>
    </row>
    <row r="965" spans="2:2" ht="15" customHeight="1">
      <c r="B965" s="190"/>
    </row>
    <row r="966" spans="2:2" ht="15" customHeight="1">
      <c r="B966" s="190"/>
    </row>
    <row r="967" spans="2:2" ht="15" customHeight="1">
      <c r="B967" s="190"/>
    </row>
    <row r="968" spans="2:2" ht="15" customHeight="1">
      <c r="B968" s="190"/>
    </row>
    <row r="969" spans="2:2" ht="15" customHeight="1">
      <c r="B969" s="190"/>
    </row>
    <row r="970" spans="2:2" ht="15" customHeight="1">
      <c r="B970" s="190"/>
    </row>
    <row r="971" spans="2:2" ht="15" customHeight="1">
      <c r="B971" s="190"/>
    </row>
    <row r="972" spans="2:2" ht="15" customHeight="1">
      <c r="B972" s="190"/>
    </row>
    <row r="973" spans="2:2" ht="15" customHeight="1">
      <c r="B973" s="190"/>
    </row>
    <row r="974" spans="2:2" ht="15" customHeight="1">
      <c r="B974" s="190"/>
    </row>
    <row r="975" spans="2:2" ht="15" customHeight="1">
      <c r="B975" s="190"/>
    </row>
    <row r="976" spans="2:2" ht="15" customHeight="1">
      <c r="B976" s="190"/>
    </row>
    <row r="977" spans="2:2" ht="15" customHeight="1">
      <c r="B977" s="190"/>
    </row>
    <row r="978" spans="2:2" ht="15" customHeight="1">
      <c r="B978" s="190"/>
    </row>
    <row r="979" spans="2:2" ht="15" customHeight="1">
      <c r="B979" s="190"/>
    </row>
    <row r="980" spans="2:2" ht="15" customHeight="1">
      <c r="B980" s="190"/>
    </row>
    <row r="981" spans="2:2" ht="15" customHeight="1">
      <c r="B981" s="190"/>
    </row>
    <row r="982" spans="2:2" ht="15" customHeight="1">
      <c r="B982" s="190"/>
    </row>
    <row r="983" spans="2:2" ht="15" customHeight="1">
      <c r="B983" s="190"/>
    </row>
    <row r="984" spans="2:2" ht="15" customHeight="1">
      <c r="B984" s="190"/>
    </row>
    <row r="985" spans="2:2" ht="15" customHeight="1">
      <c r="B985" s="190"/>
    </row>
    <row r="986" spans="2:2" ht="15" customHeight="1">
      <c r="B986" s="190"/>
    </row>
    <row r="987" spans="2:2" ht="15" customHeight="1">
      <c r="B987" s="190"/>
    </row>
    <row r="988" spans="2:2" ht="15" customHeight="1">
      <c r="B988" s="190"/>
    </row>
    <row r="989" spans="2:2" ht="15" customHeight="1">
      <c r="B989" s="190"/>
    </row>
    <row r="990" spans="2:2" ht="15" customHeight="1">
      <c r="B990" s="190"/>
    </row>
    <row r="991" spans="2:2" ht="15" customHeight="1">
      <c r="B991" s="190"/>
    </row>
    <row r="992" spans="2:2" ht="15" customHeight="1">
      <c r="B992" s="190"/>
    </row>
    <row r="993" spans="2:2" ht="15" customHeight="1">
      <c r="B993" s="190"/>
    </row>
    <row r="994" spans="2:2" ht="15" customHeight="1">
      <c r="B994" s="190"/>
    </row>
    <row r="995" spans="2:2" ht="15" customHeight="1">
      <c r="B995" s="190"/>
    </row>
    <row r="996" spans="2:2" ht="15" customHeight="1">
      <c r="B996" s="190"/>
    </row>
    <row r="997" spans="2:2" ht="15" customHeight="1">
      <c r="B997" s="190"/>
    </row>
    <row r="998" spans="2:2" ht="15" customHeight="1">
      <c r="B998" s="190"/>
    </row>
    <row r="999" spans="2:2" ht="15" customHeight="1">
      <c r="B999" s="190"/>
    </row>
    <row r="1000" spans="2:2" ht="15" customHeight="1">
      <c r="B1000" s="190"/>
    </row>
    <row r="1001" spans="2:2" ht="15" customHeight="1">
      <c r="B1001" s="190"/>
    </row>
    <row r="1002" spans="2:2" ht="15" customHeight="1">
      <c r="B1002" s="190"/>
    </row>
    <row r="1003" spans="2:2" ht="15" customHeight="1">
      <c r="B1003" s="190"/>
    </row>
    <row r="1004" spans="2:2" ht="15" customHeight="1">
      <c r="B1004" s="190"/>
    </row>
    <row r="1005" spans="2:2" ht="15" customHeight="1">
      <c r="B1005" s="190"/>
    </row>
    <row r="1006" spans="2:2" ht="15" customHeight="1">
      <c r="B1006" s="190"/>
    </row>
    <row r="1007" spans="2:2" ht="15" customHeight="1">
      <c r="B1007" s="190"/>
    </row>
    <row r="1008" spans="2:2" ht="15" customHeight="1">
      <c r="B1008" s="190"/>
    </row>
    <row r="1009" spans="2:2" ht="15" customHeight="1">
      <c r="B1009" s="190"/>
    </row>
    <row r="1010" spans="2:2" ht="15" customHeight="1">
      <c r="B1010" s="190"/>
    </row>
    <row r="1011" spans="2:2" ht="15" customHeight="1">
      <c r="B1011" s="190"/>
    </row>
    <row r="1012" spans="2:2" ht="15" customHeight="1">
      <c r="B1012" s="190"/>
    </row>
    <row r="1013" spans="2:2" ht="15" customHeight="1">
      <c r="B1013" s="190"/>
    </row>
    <row r="1014" spans="2:2" ht="15" customHeight="1">
      <c r="B1014" s="190"/>
    </row>
    <row r="1015" spans="2:2" ht="15" customHeight="1">
      <c r="B1015" s="190"/>
    </row>
    <row r="1016" spans="2:2" ht="15" customHeight="1">
      <c r="B1016" s="190"/>
    </row>
    <row r="1017" spans="2:2" ht="15" customHeight="1">
      <c r="B1017" s="190"/>
    </row>
    <row r="1018" spans="2:2" ht="15" customHeight="1">
      <c r="B1018" s="190"/>
    </row>
    <row r="1019" spans="2:2" ht="15" customHeight="1">
      <c r="B1019" s="190"/>
    </row>
    <row r="1020" spans="2:2" ht="15" customHeight="1">
      <c r="B1020" s="190"/>
    </row>
    <row r="1021" spans="2:2" ht="15" customHeight="1">
      <c r="B1021" s="190"/>
    </row>
    <row r="1022" spans="2:2" ht="15" customHeight="1">
      <c r="B1022" s="190"/>
    </row>
    <row r="1023" spans="2:2" ht="15" customHeight="1">
      <c r="B1023" s="190"/>
    </row>
    <row r="1024" spans="2:2" ht="15" customHeight="1">
      <c r="B1024" s="190"/>
    </row>
    <row r="1025" spans="2:2" ht="15" customHeight="1">
      <c r="B1025" s="190"/>
    </row>
    <row r="1026" spans="2:2" ht="15" customHeight="1">
      <c r="B1026" s="190"/>
    </row>
    <row r="1027" spans="2:2" ht="15" customHeight="1">
      <c r="B1027" s="190"/>
    </row>
    <row r="1028" spans="2:2" ht="15" customHeight="1">
      <c r="B1028" s="190"/>
    </row>
    <row r="1029" spans="2:2" ht="15" customHeight="1">
      <c r="B1029" s="190"/>
    </row>
    <row r="1030" spans="2:2" ht="15" customHeight="1">
      <c r="B1030" s="190"/>
    </row>
    <row r="1031" spans="2:2" ht="15" customHeight="1">
      <c r="B1031" s="190"/>
    </row>
    <row r="1032" spans="2:2" ht="15" customHeight="1">
      <c r="B1032" s="190"/>
    </row>
    <row r="1033" spans="2:2" ht="15" customHeight="1">
      <c r="B1033" s="190"/>
    </row>
    <row r="1034" spans="2:2" ht="15" customHeight="1">
      <c r="B1034" s="190"/>
    </row>
    <row r="1035" spans="2:2" ht="15" customHeight="1">
      <c r="B1035" s="190"/>
    </row>
    <row r="1036" spans="2:2" ht="15" customHeight="1">
      <c r="B1036" s="190"/>
    </row>
    <row r="1037" spans="2:2" ht="15" customHeight="1">
      <c r="B1037" s="190"/>
    </row>
    <row r="1038" spans="2:2" ht="15" customHeight="1">
      <c r="B1038" s="190"/>
    </row>
    <row r="1039" spans="2:2" ht="15" customHeight="1">
      <c r="B1039" s="190"/>
    </row>
    <row r="1040" spans="2:2" ht="15" customHeight="1">
      <c r="B1040" s="190"/>
    </row>
    <row r="1041" spans="2:2" ht="15" customHeight="1">
      <c r="B1041" s="190"/>
    </row>
    <row r="1042" spans="2:2" ht="15" customHeight="1">
      <c r="B1042" s="190"/>
    </row>
    <row r="1043" spans="2:2" ht="15" customHeight="1">
      <c r="B1043" s="190"/>
    </row>
    <row r="1044" spans="2:2" ht="15" customHeight="1">
      <c r="B1044" s="190"/>
    </row>
    <row r="1045" spans="2:2" ht="15" customHeight="1">
      <c r="B1045" s="190"/>
    </row>
    <row r="1046" spans="2:2" ht="15" customHeight="1">
      <c r="B1046" s="190"/>
    </row>
    <row r="1047" spans="2:2" ht="15" customHeight="1">
      <c r="B1047" s="190"/>
    </row>
    <row r="1048" spans="2:2" ht="15" customHeight="1">
      <c r="B1048" s="190"/>
    </row>
    <row r="1049" spans="2:2" ht="15" customHeight="1">
      <c r="B1049" s="190"/>
    </row>
    <row r="1050" spans="2:2" ht="15" customHeight="1">
      <c r="B1050" s="190"/>
    </row>
    <row r="1051" spans="2:2" ht="15" customHeight="1">
      <c r="B1051" s="190"/>
    </row>
    <row r="1052" spans="2:2" ht="15" customHeight="1">
      <c r="B1052" s="190"/>
    </row>
    <row r="1053" spans="2:2" ht="15" customHeight="1">
      <c r="B1053" s="190"/>
    </row>
    <row r="1054" spans="2:2" ht="15" customHeight="1">
      <c r="B1054" s="190"/>
    </row>
    <row r="1055" spans="2:2" ht="15" customHeight="1">
      <c r="B1055" s="190"/>
    </row>
    <row r="1056" spans="2:2" ht="15" customHeight="1">
      <c r="B1056" s="190"/>
    </row>
    <row r="1057" spans="2:2" ht="15" customHeight="1">
      <c r="B1057" s="190"/>
    </row>
    <row r="1058" spans="2:2" ht="15" customHeight="1">
      <c r="B1058" s="190"/>
    </row>
    <row r="1059" spans="2:2" ht="15" customHeight="1">
      <c r="B1059" s="190"/>
    </row>
    <row r="1060" spans="2:2" ht="15" customHeight="1">
      <c r="B1060" s="190"/>
    </row>
    <row r="1061" spans="2:2" ht="15" customHeight="1">
      <c r="B1061" s="190"/>
    </row>
    <row r="1062" spans="2:2" ht="15" customHeight="1">
      <c r="B1062" s="190"/>
    </row>
    <row r="1063" spans="2:2" ht="15" customHeight="1">
      <c r="B1063" s="190"/>
    </row>
    <row r="1064" spans="2:2" ht="15" customHeight="1">
      <c r="B1064" s="190"/>
    </row>
    <row r="1065" spans="2:2" ht="15" customHeight="1">
      <c r="B1065" s="190"/>
    </row>
    <row r="1066" spans="2:2" ht="15" customHeight="1">
      <c r="B1066" s="190"/>
    </row>
    <row r="1067" spans="2:2" ht="15" customHeight="1">
      <c r="B1067" s="190"/>
    </row>
    <row r="1068" spans="2:2" ht="15" customHeight="1">
      <c r="B1068" s="190"/>
    </row>
    <row r="1069" spans="2:2" ht="15" customHeight="1">
      <c r="B1069" s="190"/>
    </row>
    <row r="1070" spans="2:2" ht="15" customHeight="1">
      <c r="B1070" s="190"/>
    </row>
    <row r="1071" spans="2:2" ht="15" customHeight="1">
      <c r="B1071" s="190"/>
    </row>
    <row r="1072" spans="2:2" ht="15" customHeight="1">
      <c r="B1072" s="190"/>
    </row>
    <row r="1073" spans="2:2" ht="15" customHeight="1">
      <c r="B1073" s="190"/>
    </row>
    <row r="1074" spans="2:2" ht="15" customHeight="1">
      <c r="B1074" s="190"/>
    </row>
    <row r="1075" spans="2:2" ht="15" customHeight="1">
      <c r="B1075" s="190"/>
    </row>
    <row r="1076" spans="2:2" ht="15" customHeight="1">
      <c r="B1076" s="190"/>
    </row>
    <row r="1077" spans="2:2" ht="15" customHeight="1">
      <c r="B1077" s="190"/>
    </row>
    <row r="1078" spans="2:2" ht="15" customHeight="1">
      <c r="B1078" s="190"/>
    </row>
    <row r="1079" spans="2:2" ht="15" customHeight="1">
      <c r="B1079" s="190"/>
    </row>
    <row r="1080" spans="2:2" ht="15" customHeight="1">
      <c r="B1080" s="190"/>
    </row>
    <row r="1081" spans="2:2" ht="15" customHeight="1">
      <c r="B1081" s="190"/>
    </row>
    <row r="1082" spans="2:2" ht="15" customHeight="1">
      <c r="B1082" s="190"/>
    </row>
    <row r="1083" spans="2:2" ht="15" customHeight="1">
      <c r="B1083" s="190"/>
    </row>
    <row r="1084" spans="2:2" ht="15" customHeight="1">
      <c r="B1084" s="190"/>
    </row>
    <row r="1085" spans="2:2" ht="15" customHeight="1">
      <c r="B1085" s="190"/>
    </row>
    <row r="1086" spans="2:2" ht="15" customHeight="1">
      <c r="B1086" s="190"/>
    </row>
    <row r="1087" spans="2:2" ht="15" customHeight="1">
      <c r="B1087" s="190"/>
    </row>
    <row r="1088" spans="2:2" ht="15" customHeight="1">
      <c r="B1088" s="190"/>
    </row>
    <row r="1089" spans="2:2" ht="15" customHeight="1">
      <c r="B1089" s="190"/>
    </row>
    <row r="1090" spans="2:2" ht="15" customHeight="1">
      <c r="B1090" s="190"/>
    </row>
    <row r="1091" spans="2:2" ht="15" customHeight="1">
      <c r="B1091" s="190"/>
    </row>
    <row r="1092" spans="2:2" ht="15" customHeight="1">
      <c r="B1092" s="190"/>
    </row>
    <row r="1093" spans="2:2" ht="15" customHeight="1">
      <c r="B1093" s="190"/>
    </row>
    <row r="1094" spans="2:2" ht="15" customHeight="1">
      <c r="B1094" s="190"/>
    </row>
    <row r="1095" spans="2:2" ht="15" customHeight="1">
      <c r="B1095" s="190"/>
    </row>
    <row r="1096" spans="2:2" ht="15" customHeight="1">
      <c r="B1096" s="190"/>
    </row>
    <row r="1097" spans="2:2" ht="15" customHeight="1">
      <c r="B1097" s="190"/>
    </row>
    <row r="1098" spans="2:2" ht="15" customHeight="1">
      <c r="B1098" s="190"/>
    </row>
    <row r="1099" spans="2:2" ht="15" customHeight="1">
      <c r="B1099" s="190"/>
    </row>
    <row r="1100" spans="2:2" ht="15" customHeight="1">
      <c r="B1100" s="190"/>
    </row>
    <row r="1101" spans="2:2" ht="15" customHeight="1">
      <c r="B1101" s="190"/>
    </row>
    <row r="1102" spans="2:2" ht="15" customHeight="1">
      <c r="B1102" s="190"/>
    </row>
    <row r="1103" spans="2:2" ht="15" customHeight="1">
      <c r="B1103" s="190"/>
    </row>
    <row r="1104" spans="2:2" ht="15" customHeight="1">
      <c r="B1104" s="190"/>
    </row>
    <row r="1105" spans="2:2" ht="15" customHeight="1">
      <c r="B1105" s="190"/>
    </row>
    <row r="1106" spans="2:2" ht="15" customHeight="1">
      <c r="B1106" s="190"/>
    </row>
    <row r="1107" spans="2:2" ht="15" customHeight="1">
      <c r="B1107" s="190"/>
    </row>
    <row r="1108" spans="2:2" ht="15" customHeight="1">
      <c r="B1108" s="190"/>
    </row>
    <row r="1109" spans="2:2" ht="15" customHeight="1">
      <c r="B1109" s="190"/>
    </row>
    <row r="1110" spans="2:2" ht="15" customHeight="1">
      <c r="B1110" s="190"/>
    </row>
    <row r="1111" spans="2:2" ht="15" customHeight="1">
      <c r="B1111" s="190"/>
    </row>
    <row r="1112" spans="2:2" ht="15" customHeight="1">
      <c r="B1112" s="190"/>
    </row>
    <row r="1113" spans="2:2" ht="15" customHeight="1">
      <c r="B1113" s="190"/>
    </row>
    <row r="1114" spans="2:2" ht="15" customHeight="1">
      <c r="B1114" s="190"/>
    </row>
    <row r="1115" spans="2:2" ht="15" customHeight="1">
      <c r="B1115" s="190"/>
    </row>
    <row r="1116" spans="2:2" ht="15" customHeight="1">
      <c r="B1116" s="190"/>
    </row>
    <row r="1117" spans="2:2" ht="15" customHeight="1">
      <c r="B1117" s="190"/>
    </row>
    <row r="1118" spans="2:2" ht="15" customHeight="1">
      <c r="B1118" s="190"/>
    </row>
    <row r="1119" spans="2:2" ht="15" customHeight="1">
      <c r="B1119" s="190"/>
    </row>
    <row r="1120" spans="2:2" ht="15" customHeight="1">
      <c r="B1120" s="190"/>
    </row>
    <row r="1121" spans="2:2" ht="15" customHeight="1">
      <c r="B1121" s="190"/>
    </row>
    <row r="1122" spans="2:2" ht="15" customHeight="1">
      <c r="B1122" s="190"/>
    </row>
    <row r="1123" spans="2:2" ht="15" customHeight="1">
      <c r="B1123" s="190"/>
    </row>
    <row r="1124" spans="2:2" ht="15" customHeight="1">
      <c r="B1124" s="190"/>
    </row>
    <row r="1125" spans="2:2" ht="15" customHeight="1">
      <c r="B1125" s="190"/>
    </row>
    <row r="1126" spans="2:2" ht="15" customHeight="1">
      <c r="B1126" s="190"/>
    </row>
    <row r="1127" spans="2:2" ht="15" customHeight="1">
      <c r="B1127" s="190"/>
    </row>
    <row r="1128" spans="2:2" ht="15" customHeight="1">
      <c r="B1128" s="190"/>
    </row>
    <row r="1129" spans="2:2" ht="15" customHeight="1">
      <c r="B1129" s="190"/>
    </row>
    <row r="1130" spans="2:2" ht="15" customHeight="1">
      <c r="B1130" s="190"/>
    </row>
    <row r="1131" spans="2:2" ht="15" customHeight="1">
      <c r="B1131" s="190"/>
    </row>
    <row r="1132" spans="2:2" ht="15" customHeight="1">
      <c r="B1132" s="190"/>
    </row>
    <row r="1133" spans="2:2" ht="15" customHeight="1">
      <c r="B1133" s="190"/>
    </row>
    <row r="1134" spans="2:2" ht="15" customHeight="1">
      <c r="B1134" s="190"/>
    </row>
    <row r="1135" spans="2:2" ht="15" customHeight="1">
      <c r="B1135" s="190"/>
    </row>
    <row r="1136" spans="2:2" ht="15" customHeight="1">
      <c r="B1136" s="190"/>
    </row>
    <row r="1137" spans="2:2" ht="15" customHeight="1">
      <c r="B1137" s="190"/>
    </row>
    <row r="1138" spans="2:2" ht="15" customHeight="1">
      <c r="B1138" s="190"/>
    </row>
    <row r="1139" spans="2:2" ht="15" customHeight="1">
      <c r="B1139" s="190"/>
    </row>
    <row r="1140" spans="2:2" ht="15" customHeight="1">
      <c r="B1140" s="190"/>
    </row>
    <row r="1141" spans="2:2" ht="15" customHeight="1">
      <c r="B1141" s="190"/>
    </row>
    <row r="1142" spans="2:2" ht="15" customHeight="1">
      <c r="B1142" s="190"/>
    </row>
    <row r="1143" spans="2:2" ht="15" customHeight="1">
      <c r="B1143" s="190"/>
    </row>
    <row r="1144" spans="2:2" ht="15" customHeight="1">
      <c r="B1144" s="190"/>
    </row>
    <row r="1145" spans="2:2" ht="15" customHeight="1">
      <c r="B1145" s="190"/>
    </row>
    <row r="1146" spans="2:2" ht="15" customHeight="1">
      <c r="B1146" s="190"/>
    </row>
    <row r="1147" spans="2:2" ht="15" customHeight="1">
      <c r="B1147" s="190"/>
    </row>
    <row r="1148" spans="2:2" ht="15" customHeight="1">
      <c r="B1148" s="190"/>
    </row>
    <row r="1149" spans="2:2" ht="15" customHeight="1">
      <c r="B1149" s="190"/>
    </row>
    <row r="1150" spans="2:2" ht="15" customHeight="1">
      <c r="B1150" s="190"/>
    </row>
    <row r="1151" spans="2:2" ht="15" customHeight="1">
      <c r="B1151" s="190"/>
    </row>
    <row r="1152" spans="2:2" ht="15" customHeight="1">
      <c r="B1152" s="190"/>
    </row>
    <row r="1153" spans="2:2" ht="15" customHeight="1">
      <c r="B1153" s="190"/>
    </row>
    <row r="1154" spans="2:2" ht="15" customHeight="1">
      <c r="B1154" s="190"/>
    </row>
    <row r="1155" spans="2:2" ht="15" customHeight="1">
      <c r="B1155" s="190"/>
    </row>
    <row r="1156" spans="2:2" ht="15" customHeight="1">
      <c r="B1156" s="190"/>
    </row>
    <row r="1157" spans="2:2" ht="15" customHeight="1">
      <c r="B1157" s="190"/>
    </row>
    <row r="1158" spans="2:2" ht="15" customHeight="1">
      <c r="B1158" s="190"/>
    </row>
    <row r="1159" spans="2:2" ht="15" customHeight="1">
      <c r="B1159" s="190"/>
    </row>
    <row r="1160" spans="2:2" ht="15" customHeight="1">
      <c r="B1160" s="190"/>
    </row>
    <row r="1161" spans="2:2" ht="15" customHeight="1">
      <c r="B1161" s="190"/>
    </row>
    <row r="1162" spans="2:2" ht="15" customHeight="1">
      <c r="B1162" s="190"/>
    </row>
    <row r="1163" spans="2:2" ht="15" customHeight="1">
      <c r="B1163" s="190"/>
    </row>
    <row r="1164" spans="2:2" ht="15" customHeight="1">
      <c r="B1164" s="190"/>
    </row>
    <row r="1165" spans="2:2" ht="15" customHeight="1">
      <c r="B1165" s="190"/>
    </row>
    <row r="1166" spans="2:2" ht="15" customHeight="1">
      <c r="B1166" s="190"/>
    </row>
    <row r="1167" spans="2:2" ht="15" customHeight="1">
      <c r="B1167" s="190"/>
    </row>
    <row r="1168" spans="2:2" ht="15" customHeight="1">
      <c r="B1168" s="190"/>
    </row>
    <row r="1169" spans="2:2" ht="15" customHeight="1">
      <c r="B1169" s="190"/>
    </row>
    <row r="1170" spans="2:2" ht="15" customHeight="1">
      <c r="B1170" s="190"/>
    </row>
    <row r="1171" spans="2:2" ht="15" customHeight="1">
      <c r="B1171" s="190"/>
    </row>
    <row r="1172" spans="2:2" ht="15" customHeight="1">
      <c r="B1172" s="190"/>
    </row>
    <row r="1173" spans="2:2" ht="15" customHeight="1">
      <c r="B1173" s="190"/>
    </row>
    <row r="1174" spans="2:2" ht="15" customHeight="1">
      <c r="B1174" s="190"/>
    </row>
    <row r="1175" spans="2:2" ht="15" customHeight="1">
      <c r="B1175" s="190"/>
    </row>
    <row r="1176" spans="2:2" ht="15" customHeight="1">
      <c r="B1176" s="190"/>
    </row>
    <row r="1177" spans="2:2" ht="15" customHeight="1">
      <c r="B1177" s="190"/>
    </row>
    <row r="1178" spans="2:2" ht="15" customHeight="1">
      <c r="B1178" s="190"/>
    </row>
    <row r="1179" spans="2:2" ht="15" customHeight="1">
      <c r="B1179" s="190"/>
    </row>
    <row r="1180" spans="2:2" ht="15" customHeight="1">
      <c r="B1180" s="190"/>
    </row>
    <row r="1181" spans="2:2" ht="15" customHeight="1">
      <c r="B1181" s="190"/>
    </row>
    <row r="1182" spans="2:2" ht="15" customHeight="1">
      <c r="B1182" s="190"/>
    </row>
    <row r="1183" spans="2:2" ht="15" customHeight="1">
      <c r="B1183" s="190"/>
    </row>
    <row r="1184" spans="2:2" ht="15" customHeight="1">
      <c r="B1184" s="190"/>
    </row>
    <row r="1185" spans="2:2" ht="15" customHeight="1">
      <c r="B1185" s="190"/>
    </row>
    <row r="1186" spans="2:2" ht="15" customHeight="1">
      <c r="B1186" s="190"/>
    </row>
    <row r="1187" spans="2:2" ht="15" customHeight="1">
      <c r="B1187" s="190"/>
    </row>
    <row r="1188" spans="2:2" ht="15" customHeight="1">
      <c r="B1188" s="190"/>
    </row>
    <row r="1189" spans="2:2" ht="15" customHeight="1">
      <c r="B1189" s="190"/>
    </row>
    <row r="1190" spans="2:2" ht="15" customHeight="1">
      <c r="B1190" s="190"/>
    </row>
    <row r="1191" spans="2:2" ht="15" customHeight="1">
      <c r="B1191" s="190"/>
    </row>
    <row r="1192" spans="2:2" ht="15" customHeight="1">
      <c r="B1192" s="190"/>
    </row>
    <row r="1193" spans="2:2" ht="15" customHeight="1">
      <c r="B1193" s="190"/>
    </row>
    <row r="1194" spans="2:2" ht="15" customHeight="1">
      <c r="B1194" s="190"/>
    </row>
    <row r="1195" spans="2:2" ht="15" customHeight="1">
      <c r="B1195" s="190"/>
    </row>
    <row r="1196" spans="2:2" ht="15" customHeight="1">
      <c r="B1196" s="190"/>
    </row>
    <row r="1197" spans="2:2" ht="15" customHeight="1">
      <c r="B1197" s="190"/>
    </row>
    <row r="1198" spans="2:2" ht="15" customHeight="1">
      <c r="B1198" s="190"/>
    </row>
    <row r="1199" spans="2:2" ht="15" customHeight="1">
      <c r="B1199" s="190"/>
    </row>
    <row r="1200" spans="2:2" ht="15" customHeight="1">
      <c r="B1200" s="190"/>
    </row>
    <row r="1201" spans="2:2" ht="15" customHeight="1">
      <c r="B1201" s="190"/>
    </row>
    <row r="1202" spans="2:2" ht="15" customHeight="1">
      <c r="B1202" s="190"/>
    </row>
    <row r="1203" spans="2:2" ht="15" customHeight="1">
      <c r="B1203" s="190"/>
    </row>
    <row r="1204" spans="2:2" ht="15" customHeight="1">
      <c r="B1204" s="190"/>
    </row>
    <row r="1205" spans="2:2" ht="15" customHeight="1">
      <c r="B1205" s="190"/>
    </row>
    <row r="1206" spans="2:2" ht="15" customHeight="1">
      <c r="B1206" s="190"/>
    </row>
    <row r="1207" spans="2:2" ht="15" customHeight="1">
      <c r="B1207" s="190"/>
    </row>
    <row r="1208" spans="2:2" ht="15" customHeight="1">
      <c r="B1208" s="190"/>
    </row>
    <row r="1209" spans="2:2" ht="15" customHeight="1">
      <c r="B1209" s="190"/>
    </row>
    <row r="1210" spans="2:2" ht="15" customHeight="1">
      <c r="B1210" s="190"/>
    </row>
    <row r="1211" spans="2:2" ht="15" customHeight="1">
      <c r="B1211" s="190"/>
    </row>
    <row r="1212" spans="2:2" ht="15" customHeight="1">
      <c r="B1212" s="190"/>
    </row>
    <row r="1213" spans="2:2" ht="15" customHeight="1">
      <c r="B1213" s="190"/>
    </row>
    <row r="1214" spans="2:2" ht="15" customHeight="1">
      <c r="B1214" s="190"/>
    </row>
    <row r="1215" spans="2:2" ht="15" customHeight="1">
      <c r="B1215" s="190"/>
    </row>
    <row r="1216" spans="2:2" ht="15" customHeight="1">
      <c r="B1216" s="190"/>
    </row>
    <row r="1217" spans="2:2" ht="15" customHeight="1">
      <c r="B1217" s="190"/>
    </row>
    <row r="1218" spans="2:2" ht="15" customHeight="1">
      <c r="B1218" s="190"/>
    </row>
    <row r="1219" spans="2:2" ht="15" customHeight="1">
      <c r="B1219" s="190"/>
    </row>
    <row r="1220" spans="2:2" ht="15" customHeight="1">
      <c r="B1220" s="190"/>
    </row>
    <row r="1221" spans="2:2" ht="15" customHeight="1">
      <c r="B1221" s="190"/>
    </row>
    <row r="1222" spans="2:2" ht="15" customHeight="1">
      <c r="B1222" s="190"/>
    </row>
    <row r="1223" spans="2:2" ht="15" customHeight="1">
      <c r="B1223" s="190"/>
    </row>
    <row r="1224" spans="2:2" ht="15" customHeight="1">
      <c r="B1224" s="190"/>
    </row>
    <row r="1225" spans="2:2" ht="15" customHeight="1">
      <c r="B1225" s="190"/>
    </row>
    <row r="1226" spans="2:2" ht="15" customHeight="1">
      <c r="B1226" s="190"/>
    </row>
    <row r="1227" spans="2:2" ht="15" customHeight="1">
      <c r="B1227" s="190"/>
    </row>
    <row r="1228" spans="2:2" ht="15" customHeight="1">
      <c r="B1228" s="190"/>
    </row>
    <row r="1229" spans="2:2" ht="15" customHeight="1">
      <c r="B1229" s="190"/>
    </row>
    <row r="1230" spans="2:2" ht="15" customHeight="1">
      <c r="B1230" s="190"/>
    </row>
    <row r="1231" spans="2:2" ht="15" customHeight="1">
      <c r="B1231" s="190"/>
    </row>
    <row r="1232" spans="2:2" ht="15" customHeight="1">
      <c r="B1232" s="190"/>
    </row>
    <row r="1233" spans="2:2" ht="15" customHeight="1">
      <c r="B1233" s="190"/>
    </row>
    <row r="1234" spans="2:2" ht="15" customHeight="1">
      <c r="B1234" s="190"/>
    </row>
    <row r="1235" spans="2:2" ht="15" customHeight="1">
      <c r="B1235" s="190"/>
    </row>
    <row r="1236" spans="2:2" ht="15" customHeight="1">
      <c r="B1236" s="190"/>
    </row>
    <row r="1237" spans="2:2" ht="15" customHeight="1">
      <c r="B1237" s="190"/>
    </row>
    <row r="1238" spans="2:2" ht="15" customHeight="1">
      <c r="B1238" s="190"/>
    </row>
    <row r="1239" spans="2:2" ht="15" customHeight="1">
      <c r="B1239" s="190"/>
    </row>
    <row r="1240" spans="2:2" ht="15" customHeight="1">
      <c r="B1240" s="190"/>
    </row>
    <row r="1241" spans="2:2" ht="15" customHeight="1">
      <c r="B1241" s="190"/>
    </row>
    <row r="1242" spans="2:2" ht="15" customHeight="1">
      <c r="B1242" s="190"/>
    </row>
    <row r="1243" spans="2:2" ht="15" customHeight="1">
      <c r="B1243" s="190"/>
    </row>
    <row r="1244" spans="2:2" ht="15" customHeight="1">
      <c r="B1244" s="190"/>
    </row>
    <row r="1245" spans="2:2" ht="15" customHeight="1">
      <c r="B1245" s="190"/>
    </row>
    <row r="1246" spans="2:2" ht="15" customHeight="1">
      <c r="B1246" s="190"/>
    </row>
    <row r="1247" spans="2:2" ht="15" customHeight="1">
      <c r="B1247" s="190"/>
    </row>
    <row r="1248" spans="2:2" ht="15" customHeight="1">
      <c r="B1248" s="190"/>
    </row>
    <row r="1249" spans="2:2" ht="15" customHeight="1">
      <c r="B1249" s="190"/>
    </row>
    <row r="1250" spans="2:2" ht="15" customHeight="1">
      <c r="B1250" s="190"/>
    </row>
    <row r="1251" spans="2:2" ht="15" customHeight="1">
      <c r="B1251" s="190"/>
    </row>
    <row r="1252" spans="2:2" ht="15" customHeight="1">
      <c r="B1252" s="190"/>
    </row>
    <row r="1253" spans="2:2" ht="15" customHeight="1">
      <c r="B1253" s="190"/>
    </row>
    <row r="1254" spans="2:2" ht="15" customHeight="1">
      <c r="B1254" s="190"/>
    </row>
    <row r="1255" spans="2:2" ht="15" customHeight="1">
      <c r="B1255" s="190"/>
    </row>
    <row r="1256" spans="2:2" ht="15" customHeight="1">
      <c r="B1256" s="190"/>
    </row>
    <row r="1257" spans="2:2" ht="15" customHeight="1">
      <c r="B1257" s="190"/>
    </row>
    <row r="1258" spans="2:2" ht="15" customHeight="1">
      <c r="B1258" s="190"/>
    </row>
    <row r="1259" spans="2:2" ht="15" customHeight="1">
      <c r="B1259" s="190"/>
    </row>
    <row r="1260" spans="2:2" ht="15" customHeight="1">
      <c r="B1260" s="190"/>
    </row>
    <row r="1261" spans="2:2" ht="15" customHeight="1">
      <c r="B1261" s="190"/>
    </row>
    <row r="1262" spans="2:2" ht="15" customHeight="1">
      <c r="B1262" s="190"/>
    </row>
    <row r="1263" spans="2:2" ht="15" customHeight="1">
      <c r="B1263" s="190"/>
    </row>
    <row r="1264" spans="2:2" ht="15" customHeight="1">
      <c r="B1264" s="190"/>
    </row>
    <row r="1265" spans="2:2" ht="15" customHeight="1">
      <c r="B1265" s="190"/>
    </row>
    <row r="1266" spans="2:2" ht="15" customHeight="1">
      <c r="B1266" s="190"/>
    </row>
    <row r="1267" spans="2:2" ht="15" customHeight="1">
      <c r="B1267" s="190"/>
    </row>
    <row r="1268" spans="2:2" ht="15" customHeight="1">
      <c r="B1268" s="190"/>
    </row>
    <row r="1269" spans="2:2" ht="15" customHeight="1">
      <c r="B1269" s="190"/>
    </row>
    <row r="1270" spans="2:2" ht="15" customHeight="1">
      <c r="B1270" s="190"/>
    </row>
    <row r="1271" spans="2:2" ht="15" customHeight="1">
      <c r="B1271" s="190"/>
    </row>
    <row r="1272" spans="2:2" ht="15" customHeight="1">
      <c r="B1272" s="190"/>
    </row>
    <row r="1273" spans="2:2" ht="15" customHeight="1">
      <c r="B1273" s="190"/>
    </row>
    <row r="1274" spans="2:2" ht="15" customHeight="1">
      <c r="B1274" s="190"/>
    </row>
    <row r="1275" spans="2:2" ht="15" customHeight="1">
      <c r="B1275" s="190"/>
    </row>
    <row r="1276" spans="2:2" ht="15" customHeight="1">
      <c r="B1276" s="190"/>
    </row>
    <row r="1277" spans="2:2" ht="15" customHeight="1">
      <c r="B1277" s="190"/>
    </row>
    <row r="1278" spans="2:2" ht="15" customHeight="1">
      <c r="B1278" s="190"/>
    </row>
    <row r="1279" spans="2:2" ht="15" customHeight="1">
      <c r="B1279" s="190"/>
    </row>
    <row r="1280" spans="2:2" ht="15" customHeight="1">
      <c r="B1280" s="190"/>
    </row>
    <row r="1281" spans="2:2" ht="15" customHeight="1">
      <c r="B1281" s="190"/>
    </row>
    <row r="1282" spans="2:2" ht="15" customHeight="1">
      <c r="B1282" s="190"/>
    </row>
    <row r="1283" spans="2:2" ht="15" customHeight="1">
      <c r="B1283" s="190"/>
    </row>
    <row r="1284" spans="2:2" ht="15" customHeight="1">
      <c r="B1284" s="190"/>
    </row>
    <row r="1285" spans="2:2" ht="15" customHeight="1">
      <c r="B1285" s="190"/>
    </row>
    <row r="1286" spans="2:2" ht="15" customHeight="1">
      <c r="B1286" s="190"/>
    </row>
    <row r="1287" spans="2:2" ht="15" customHeight="1">
      <c r="B1287" s="190"/>
    </row>
    <row r="1288" spans="2:2" ht="15" customHeight="1">
      <c r="B1288" s="190"/>
    </row>
    <row r="1289" spans="2:2" ht="15" customHeight="1">
      <c r="B1289" s="190"/>
    </row>
    <row r="1290" spans="2:2" ht="15" customHeight="1">
      <c r="B1290" s="190"/>
    </row>
    <row r="1291" spans="2:2" ht="15" customHeight="1">
      <c r="B1291" s="190"/>
    </row>
    <row r="1292" spans="2:2" ht="15" customHeight="1">
      <c r="B1292" s="190"/>
    </row>
    <row r="1293" spans="2:2" ht="15" customHeight="1">
      <c r="B1293" s="190"/>
    </row>
    <row r="1294" spans="2:2" ht="15" customHeight="1">
      <c r="B1294" s="190"/>
    </row>
    <row r="1295" spans="2:2" ht="15" customHeight="1">
      <c r="B1295" s="190"/>
    </row>
    <row r="1296" spans="2:2" ht="15" customHeight="1">
      <c r="B1296" s="190"/>
    </row>
    <row r="1297" spans="2:2" ht="15" customHeight="1">
      <c r="B1297" s="190"/>
    </row>
    <row r="1298" spans="2:2" ht="15" customHeight="1">
      <c r="B1298" s="190"/>
    </row>
    <row r="1299" spans="2:2" ht="15" customHeight="1">
      <c r="B1299" s="190"/>
    </row>
    <row r="1300" spans="2:2" ht="15" customHeight="1">
      <c r="B1300" s="190"/>
    </row>
    <row r="1301" spans="2:2" ht="15" customHeight="1">
      <c r="B1301" s="190"/>
    </row>
    <row r="1302" spans="2:2" ht="15" customHeight="1">
      <c r="B1302" s="190"/>
    </row>
    <row r="1303" spans="2:2" ht="15" customHeight="1">
      <c r="B1303" s="190"/>
    </row>
    <row r="1304" spans="2:2" ht="15" customHeight="1">
      <c r="B1304" s="190"/>
    </row>
    <row r="1305" spans="2:2" ht="15" customHeight="1">
      <c r="B1305" s="190"/>
    </row>
    <row r="1306" spans="2:2" ht="15" customHeight="1">
      <c r="B1306" s="190"/>
    </row>
    <row r="1307" spans="2:2" ht="15" customHeight="1">
      <c r="B1307" s="190"/>
    </row>
    <row r="1308" spans="2:2" ht="15" customHeight="1">
      <c r="B1308" s="190"/>
    </row>
    <row r="1309" spans="2:2" ht="15" customHeight="1">
      <c r="B1309" s="190"/>
    </row>
    <row r="1310" spans="2:2" ht="15" customHeight="1">
      <c r="B1310" s="190"/>
    </row>
    <row r="1311" spans="2:2" ht="15" customHeight="1">
      <c r="B1311" s="190"/>
    </row>
    <row r="1312" spans="2:2" ht="15" customHeight="1">
      <c r="B1312" s="190"/>
    </row>
    <row r="1313" spans="2:2" ht="15" customHeight="1">
      <c r="B1313" s="190"/>
    </row>
    <row r="1314" spans="2:2" ht="15" customHeight="1">
      <c r="B1314" s="190"/>
    </row>
    <row r="1315" spans="2:2" ht="15" customHeight="1">
      <c r="B1315" s="190"/>
    </row>
    <row r="1316" spans="2:2" ht="15" customHeight="1">
      <c r="B1316" s="190"/>
    </row>
    <row r="1317" spans="2:2" ht="15" customHeight="1">
      <c r="B1317" s="190"/>
    </row>
    <row r="1318" spans="2:2" ht="15" customHeight="1">
      <c r="B1318" s="190"/>
    </row>
    <row r="1319" spans="2:2" ht="15" customHeight="1">
      <c r="B1319" s="190"/>
    </row>
    <row r="1320" spans="2:2" ht="15" customHeight="1">
      <c r="B1320" s="190"/>
    </row>
    <row r="1321" spans="2:2" ht="15" customHeight="1">
      <c r="B1321" s="190"/>
    </row>
    <row r="1322" spans="2:2" ht="15" customHeight="1">
      <c r="B1322" s="190"/>
    </row>
    <row r="1323" spans="2:2" ht="15" customHeight="1">
      <c r="B1323" s="190"/>
    </row>
    <row r="1324" spans="2:2" ht="15" customHeight="1">
      <c r="B1324" s="190"/>
    </row>
    <row r="1325" spans="2:2" ht="15" customHeight="1">
      <c r="B1325" s="190"/>
    </row>
    <row r="1326" spans="2:2" ht="15" customHeight="1">
      <c r="B1326" s="190"/>
    </row>
    <row r="1327" spans="2:2" ht="15" customHeight="1">
      <c r="B1327" s="190"/>
    </row>
    <row r="1328" spans="2:2" ht="15" customHeight="1">
      <c r="B1328" s="190"/>
    </row>
    <row r="1329" spans="2:2" ht="15" customHeight="1">
      <c r="B1329" s="190"/>
    </row>
    <row r="1330" spans="2:2" ht="15" customHeight="1">
      <c r="B1330" s="190"/>
    </row>
    <row r="1331" spans="2:2" ht="15" customHeight="1">
      <c r="B1331" s="190"/>
    </row>
    <row r="1332" spans="2:2" ht="15" customHeight="1">
      <c r="B1332" s="190"/>
    </row>
    <row r="1333" spans="2:2" ht="15" customHeight="1">
      <c r="B1333" s="190"/>
    </row>
    <row r="1334" spans="2:2" ht="15" customHeight="1">
      <c r="B1334" s="190"/>
    </row>
    <row r="1335" spans="2:2" ht="15" customHeight="1">
      <c r="B1335" s="190"/>
    </row>
    <row r="1336" spans="2:2" ht="15" customHeight="1">
      <c r="B1336" s="190"/>
    </row>
    <row r="1337" spans="2:2" ht="15" customHeight="1">
      <c r="B1337" s="190"/>
    </row>
    <row r="1338" spans="2:2" ht="15" customHeight="1">
      <c r="B1338" s="190"/>
    </row>
    <row r="1339" spans="2:2" ht="15" customHeight="1">
      <c r="B1339" s="190"/>
    </row>
    <row r="1340" spans="2:2" ht="15" customHeight="1">
      <c r="B1340" s="190"/>
    </row>
    <row r="1341" spans="2:2" ht="15" customHeight="1">
      <c r="B1341" s="190"/>
    </row>
    <row r="1342" spans="2:2" ht="15" customHeight="1">
      <c r="B1342" s="190"/>
    </row>
    <row r="1343" spans="2:2" ht="15" customHeight="1">
      <c r="B1343" s="190"/>
    </row>
    <row r="1344" spans="2:2" ht="15" customHeight="1">
      <c r="B1344" s="190"/>
    </row>
    <row r="1345" spans="2:2" ht="15" customHeight="1">
      <c r="B1345" s="190"/>
    </row>
    <row r="1346" spans="2:2" ht="15" customHeight="1">
      <c r="B1346" s="190"/>
    </row>
    <row r="1347" spans="2:2" ht="15" customHeight="1">
      <c r="B1347" s="190"/>
    </row>
    <row r="1348" spans="2:2" ht="15" customHeight="1">
      <c r="B1348" s="190"/>
    </row>
    <row r="1349" spans="2:2" ht="15" customHeight="1">
      <c r="B1349" s="190"/>
    </row>
    <row r="1350" spans="2:2" ht="15" customHeight="1">
      <c r="B1350" s="190"/>
    </row>
    <row r="1351" spans="2:2" ht="15" customHeight="1">
      <c r="B1351" s="190"/>
    </row>
    <row r="1352" spans="2:2" ht="15" customHeight="1">
      <c r="B1352" s="190"/>
    </row>
    <row r="1353" spans="2:2" ht="15" customHeight="1">
      <c r="B1353" s="190"/>
    </row>
    <row r="1354" spans="2:2" ht="15" customHeight="1">
      <c r="B1354" s="190"/>
    </row>
    <row r="1355" spans="2:2" ht="15" customHeight="1">
      <c r="B1355" s="190"/>
    </row>
    <row r="1356" spans="2:2" ht="15" customHeight="1">
      <c r="B1356" s="190"/>
    </row>
    <row r="1357" spans="2:2" ht="15" customHeight="1">
      <c r="B1357" s="190"/>
    </row>
    <row r="1358" spans="2:2" ht="15" customHeight="1">
      <c r="B1358" s="190"/>
    </row>
    <row r="1359" spans="2:2" ht="15" customHeight="1">
      <c r="B1359" s="190"/>
    </row>
    <row r="1360" spans="2:2" ht="15" customHeight="1">
      <c r="B1360" s="190"/>
    </row>
    <row r="1361" spans="2:2" ht="15" customHeight="1">
      <c r="B1361" s="190"/>
    </row>
    <row r="1362" spans="2:2" ht="15" customHeight="1">
      <c r="B1362" s="190"/>
    </row>
    <row r="1363" spans="2:2" ht="15" customHeight="1">
      <c r="B1363" s="190"/>
    </row>
    <row r="1364" spans="2:2" ht="15" customHeight="1">
      <c r="B1364" s="190"/>
    </row>
    <row r="1365" spans="2:2" ht="15" customHeight="1">
      <c r="B1365" s="190"/>
    </row>
    <row r="1366" spans="2:2" ht="15" customHeight="1">
      <c r="B1366" s="190"/>
    </row>
    <row r="1367" spans="2:2" ht="15" customHeight="1">
      <c r="B1367" s="190"/>
    </row>
    <row r="1368" spans="2:2" ht="15" customHeight="1">
      <c r="B1368" s="190"/>
    </row>
    <row r="1369" spans="2:2" ht="15" customHeight="1">
      <c r="B1369" s="190"/>
    </row>
    <row r="1370" spans="2:2" ht="15" customHeight="1">
      <c r="B1370" s="190"/>
    </row>
    <row r="1371" spans="2:2" ht="15" customHeight="1">
      <c r="B1371" s="190"/>
    </row>
    <row r="1372" spans="2:2" ht="15" customHeight="1">
      <c r="B1372" s="190"/>
    </row>
    <row r="1373" spans="2:2" ht="15" customHeight="1">
      <c r="B1373" s="190"/>
    </row>
    <row r="1374" spans="2:2" ht="15" customHeight="1">
      <c r="B1374" s="190"/>
    </row>
    <row r="1375" spans="2:2" ht="15" customHeight="1">
      <c r="B1375" s="190"/>
    </row>
    <row r="1376" spans="2:2" ht="15" customHeight="1">
      <c r="B1376" s="190"/>
    </row>
    <row r="1377" spans="2:2" ht="15" customHeight="1">
      <c r="B1377" s="190"/>
    </row>
    <row r="1378" spans="2:2" ht="15" customHeight="1">
      <c r="B1378" s="190"/>
    </row>
    <row r="1379" spans="2:2" ht="15" customHeight="1">
      <c r="B1379" s="190"/>
    </row>
    <row r="1380" spans="2:2" ht="15" customHeight="1">
      <c r="B1380" s="190"/>
    </row>
    <row r="1381" spans="2:2" ht="15" customHeight="1">
      <c r="B1381" s="190"/>
    </row>
    <row r="1382" spans="2:2" ht="15" customHeight="1">
      <c r="B1382" s="190"/>
    </row>
    <row r="1383" spans="2:2" ht="15" customHeight="1">
      <c r="B1383" s="190"/>
    </row>
    <row r="1384" spans="2:2" ht="15" customHeight="1">
      <c r="B1384" s="190"/>
    </row>
    <row r="1385" spans="2:2" ht="15" customHeight="1">
      <c r="B1385" s="190"/>
    </row>
    <row r="1386" spans="2:2" ht="15" customHeight="1">
      <c r="B1386" s="190"/>
    </row>
    <row r="1387" spans="2:2" ht="15" customHeight="1">
      <c r="B1387" s="190"/>
    </row>
    <row r="1388" spans="2:2" ht="15" customHeight="1">
      <c r="B1388" s="190"/>
    </row>
    <row r="1389" spans="2:2" ht="15" customHeight="1">
      <c r="B1389" s="190"/>
    </row>
    <row r="1390" spans="2:2" ht="15" customHeight="1">
      <c r="B1390" s="190"/>
    </row>
    <row r="1391" spans="2:2" ht="15" customHeight="1">
      <c r="B1391" s="190"/>
    </row>
    <row r="1392" spans="2:2" ht="15" customHeight="1">
      <c r="B1392" s="190"/>
    </row>
    <row r="1393" spans="2:2" ht="15" customHeight="1">
      <c r="B1393" s="190"/>
    </row>
    <row r="1394" spans="2:2" ht="15" customHeight="1">
      <c r="B1394" s="190"/>
    </row>
    <row r="1395" spans="2:2" ht="15" customHeight="1">
      <c r="B1395" s="190"/>
    </row>
    <row r="1396" spans="2:2" ht="15" customHeight="1">
      <c r="B1396" s="190"/>
    </row>
    <row r="1397" spans="2:2" ht="15" customHeight="1">
      <c r="B1397" s="190"/>
    </row>
    <row r="1398" spans="2:2" ht="15" customHeight="1">
      <c r="B1398" s="190"/>
    </row>
    <row r="1399" spans="2:2" ht="15" customHeight="1">
      <c r="B1399" s="190"/>
    </row>
    <row r="1400" spans="2:2" ht="15" customHeight="1">
      <c r="B1400" s="190"/>
    </row>
    <row r="1401" spans="2:2" ht="15" customHeight="1">
      <c r="B1401" s="190"/>
    </row>
    <row r="1402" spans="2:2" ht="15" customHeight="1">
      <c r="B1402" s="190"/>
    </row>
    <row r="1403" spans="2:2" ht="15" customHeight="1">
      <c r="B1403" s="190"/>
    </row>
    <row r="1404" spans="2:2" ht="15" customHeight="1">
      <c r="B1404" s="190"/>
    </row>
    <row r="1405" spans="2:2" ht="15" customHeight="1">
      <c r="B1405" s="190"/>
    </row>
    <row r="1406" spans="2:2" ht="15" customHeight="1">
      <c r="B1406" s="190"/>
    </row>
    <row r="1407" spans="2:2" ht="15" customHeight="1">
      <c r="B1407" s="190"/>
    </row>
    <row r="1408" spans="2:2" ht="15" customHeight="1">
      <c r="B1408" s="190"/>
    </row>
    <row r="1409" spans="2:2" ht="15" customHeight="1">
      <c r="B1409" s="190"/>
    </row>
    <row r="1410" spans="2:2" ht="15" customHeight="1">
      <c r="B1410" s="190"/>
    </row>
    <row r="1411" spans="2:2" ht="15" customHeight="1">
      <c r="B1411" s="190"/>
    </row>
    <row r="1412" spans="2:2" ht="15" customHeight="1">
      <c r="B1412" s="190"/>
    </row>
    <row r="1413" spans="2:2" ht="15" customHeight="1">
      <c r="B1413" s="190"/>
    </row>
    <row r="1414" spans="2:2" ht="15" customHeight="1">
      <c r="B1414" s="190"/>
    </row>
    <row r="1415" spans="2:2" ht="15" customHeight="1">
      <c r="B1415" s="190"/>
    </row>
    <row r="1416" spans="2:2" ht="15" customHeight="1">
      <c r="B1416" s="190"/>
    </row>
    <row r="1417" spans="2:2" ht="15" customHeight="1">
      <c r="B1417" s="190"/>
    </row>
    <row r="1418" spans="2:2" ht="15" customHeight="1">
      <c r="B1418" s="190"/>
    </row>
    <row r="1419" spans="2:2" ht="15" customHeight="1">
      <c r="B1419" s="190"/>
    </row>
    <row r="1420" spans="2:2" ht="15" customHeight="1">
      <c r="B1420" s="190"/>
    </row>
    <row r="1421" spans="2:2" ht="15" customHeight="1">
      <c r="B1421" s="190"/>
    </row>
    <row r="1422" spans="2:2" ht="15" customHeight="1">
      <c r="B1422" s="190"/>
    </row>
    <row r="1423" spans="2:2" ht="15" customHeight="1">
      <c r="B1423" s="190"/>
    </row>
    <row r="1424" spans="2:2" ht="15" customHeight="1">
      <c r="B1424" s="190"/>
    </row>
    <row r="1425" spans="2:2" ht="15" customHeight="1">
      <c r="B1425" s="190"/>
    </row>
    <row r="1426" spans="2:2" ht="15" customHeight="1">
      <c r="B1426" s="190"/>
    </row>
    <row r="1427" spans="2:2" ht="15" customHeight="1">
      <c r="B1427" s="190"/>
    </row>
    <row r="1428" spans="2:2" ht="15" customHeight="1">
      <c r="B1428" s="190"/>
    </row>
    <row r="1429" spans="2:2" ht="15" customHeight="1">
      <c r="B1429" s="190"/>
    </row>
    <row r="1430" spans="2:2" ht="15" customHeight="1">
      <c r="B1430" s="190"/>
    </row>
    <row r="1431" spans="2:2" ht="15" customHeight="1">
      <c r="B1431" s="190"/>
    </row>
    <row r="1432" spans="2:2" ht="15" customHeight="1">
      <c r="B1432" s="190"/>
    </row>
    <row r="1433" spans="2:2" ht="15" customHeight="1">
      <c r="B1433" s="190"/>
    </row>
    <row r="1434" spans="2:2" ht="15" customHeight="1">
      <c r="B1434" s="190"/>
    </row>
    <row r="1435" spans="2:2" ht="15" customHeight="1">
      <c r="B1435" s="190"/>
    </row>
    <row r="1436" spans="2:2" ht="15" customHeight="1">
      <c r="B1436" s="190"/>
    </row>
    <row r="1437" spans="2:2" ht="15" customHeight="1">
      <c r="B1437" s="190"/>
    </row>
    <row r="1438" spans="2:2" ht="15" customHeight="1">
      <c r="B1438" s="190"/>
    </row>
    <row r="1439" spans="2:2" ht="15" customHeight="1">
      <c r="B1439" s="190"/>
    </row>
    <row r="1440" spans="2:2" ht="15" customHeight="1">
      <c r="B1440" s="190"/>
    </row>
    <row r="1441" spans="2:2" ht="15" customHeight="1">
      <c r="B1441" s="190"/>
    </row>
    <row r="1442" spans="2:2" ht="15" customHeight="1">
      <c r="B1442" s="190"/>
    </row>
    <row r="1443" spans="2:2" ht="15" customHeight="1">
      <c r="B1443" s="190"/>
    </row>
    <row r="1444" spans="2:2" ht="15" customHeight="1">
      <c r="B1444" s="190"/>
    </row>
    <row r="1445" spans="2:2" ht="15" customHeight="1">
      <c r="B1445" s="190"/>
    </row>
    <row r="1446" spans="2:2" ht="15" customHeight="1">
      <c r="B1446" s="190"/>
    </row>
    <row r="1447" spans="2:2" ht="15" customHeight="1">
      <c r="B1447" s="190"/>
    </row>
    <row r="1448" spans="2:2" ht="15" customHeight="1">
      <c r="B1448" s="190"/>
    </row>
    <row r="1449" spans="2:2" ht="15" customHeight="1">
      <c r="B1449" s="190"/>
    </row>
    <row r="1450" spans="2:2" ht="15" customHeight="1">
      <c r="B1450" s="190"/>
    </row>
    <row r="1451" spans="2:2" ht="15" customHeight="1">
      <c r="B1451" s="190"/>
    </row>
    <row r="1452" spans="2:2" ht="15" customHeight="1">
      <c r="B1452" s="190"/>
    </row>
    <row r="1453" spans="2:2" ht="15" customHeight="1">
      <c r="B1453" s="190"/>
    </row>
    <row r="1454" spans="2:2" ht="15" customHeight="1">
      <c r="B1454" s="190"/>
    </row>
    <row r="1455" spans="2:2" ht="15" customHeight="1">
      <c r="B1455" s="190"/>
    </row>
    <row r="1456" spans="2:2" ht="15" customHeight="1">
      <c r="B1456" s="190"/>
    </row>
    <row r="1457" spans="2:2" ht="15" customHeight="1">
      <c r="B1457" s="190"/>
    </row>
    <row r="1458" spans="2:2" ht="15" customHeight="1">
      <c r="B1458" s="190"/>
    </row>
    <row r="1459" spans="2:2" ht="15" customHeight="1">
      <c r="B1459" s="190"/>
    </row>
    <row r="1460" spans="2:2" ht="15" customHeight="1">
      <c r="B1460" s="190"/>
    </row>
    <row r="1461" spans="2:2" ht="15" customHeight="1">
      <c r="B1461" s="190"/>
    </row>
    <row r="1462" spans="2:2" ht="15" customHeight="1">
      <c r="B1462" s="190"/>
    </row>
    <row r="1463" spans="2:2" ht="15" customHeight="1">
      <c r="B1463" s="190"/>
    </row>
    <row r="1464" spans="2:2" ht="15" customHeight="1">
      <c r="B1464" s="190"/>
    </row>
    <row r="1465" spans="2:2" ht="15" customHeight="1">
      <c r="B1465" s="190"/>
    </row>
    <row r="1466" spans="2:2" ht="15" customHeight="1">
      <c r="B1466" s="190"/>
    </row>
    <row r="1467" spans="2:2" ht="15" customHeight="1">
      <c r="B1467" s="190"/>
    </row>
    <row r="1468" spans="2:2" ht="15" customHeight="1">
      <c r="B1468" s="190"/>
    </row>
    <row r="1469" spans="2:2" ht="15" customHeight="1">
      <c r="B1469" s="190"/>
    </row>
    <row r="1470" spans="2:2" ht="15" customHeight="1">
      <c r="B1470" s="190"/>
    </row>
    <row r="1471" spans="2:2" ht="15" customHeight="1">
      <c r="B1471" s="190"/>
    </row>
    <row r="1472" spans="2:2" ht="15" customHeight="1">
      <c r="B1472" s="190"/>
    </row>
    <row r="1473" spans="2:2" ht="15" customHeight="1">
      <c r="B1473" s="190"/>
    </row>
    <row r="1474" spans="2:2" ht="15" customHeight="1">
      <c r="B1474" s="190"/>
    </row>
    <row r="1475" spans="2:2" ht="15" customHeight="1">
      <c r="B1475" s="190"/>
    </row>
    <row r="1476" spans="2:2" ht="15" customHeight="1">
      <c r="B1476" s="190"/>
    </row>
    <row r="1477" spans="2:2" ht="15" customHeight="1">
      <c r="B1477" s="190"/>
    </row>
    <row r="1478" spans="2:2" ht="15" customHeight="1">
      <c r="B1478" s="190"/>
    </row>
    <row r="1479" spans="2:2" ht="15" customHeight="1">
      <c r="B1479" s="190"/>
    </row>
    <row r="1480" spans="2:2" ht="15" customHeight="1">
      <c r="B1480" s="190"/>
    </row>
    <row r="1481" spans="2:2" ht="15" customHeight="1">
      <c r="B1481" s="190"/>
    </row>
    <row r="1482" spans="2:2" ht="15" customHeight="1">
      <c r="B1482" s="190"/>
    </row>
    <row r="1483" spans="2:2" ht="15" customHeight="1">
      <c r="B1483" s="190"/>
    </row>
    <row r="1484" spans="2:2" ht="15" customHeight="1">
      <c r="B1484" s="190"/>
    </row>
    <row r="1485" spans="2:2" ht="15" customHeight="1">
      <c r="B1485" s="190"/>
    </row>
    <row r="1486" spans="2:2" ht="15" customHeight="1">
      <c r="B1486" s="190"/>
    </row>
    <row r="1487" spans="2:2" ht="15" customHeight="1">
      <c r="B1487" s="190"/>
    </row>
    <row r="1488" spans="2:2" ht="15" customHeight="1">
      <c r="B1488" s="190"/>
    </row>
    <row r="1489" spans="2:2" ht="15" customHeight="1">
      <c r="B1489" s="190"/>
    </row>
    <row r="1490" spans="2:2" ht="15" customHeight="1">
      <c r="B1490" s="190"/>
    </row>
    <row r="1491" spans="2:2" ht="15" customHeight="1">
      <c r="B1491" s="190"/>
    </row>
    <row r="1492" spans="2:2" ht="15" customHeight="1">
      <c r="B1492" s="190"/>
    </row>
    <row r="1493" spans="2:2" ht="15" customHeight="1">
      <c r="B1493" s="190"/>
    </row>
    <row r="1494" spans="2:2" ht="15" customHeight="1">
      <c r="B1494" s="190"/>
    </row>
    <row r="1495" spans="2:2" ht="15" customHeight="1">
      <c r="B1495" s="190"/>
    </row>
    <row r="1496" spans="2:2" ht="15" customHeight="1">
      <c r="B1496" s="190"/>
    </row>
    <row r="1497" spans="2:2" ht="15" customHeight="1">
      <c r="B1497" s="190"/>
    </row>
    <row r="1498" spans="2:2" ht="15" customHeight="1">
      <c r="B1498" s="190"/>
    </row>
    <row r="1499" spans="2:2" ht="15" customHeight="1">
      <c r="B1499" s="190"/>
    </row>
    <row r="1500" spans="2:2" ht="15" customHeight="1">
      <c r="B1500" s="190"/>
    </row>
    <row r="1501" spans="2:2" ht="15" customHeight="1">
      <c r="B1501" s="190"/>
    </row>
    <row r="1502" spans="2:2" ht="15" customHeight="1">
      <c r="B1502" s="190"/>
    </row>
    <row r="1503" spans="2:2" ht="15" customHeight="1">
      <c r="B1503" s="190"/>
    </row>
    <row r="1504" spans="2:2" ht="15" customHeight="1">
      <c r="B1504" s="190"/>
    </row>
    <row r="1505" spans="2:2" ht="15" customHeight="1">
      <c r="B1505" s="190"/>
    </row>
    <row r="1506" spans="2:2" ht="15" customHeight="1">
      <c r="B1506" s="190"/>
    </row>
    <row r="1507" spans="2:2" ht="15" customHeight="1">
      <c r="B1507" s="190"/>
    </row>
    <row r="1508" spans="2:2" ht="15" customHeight="1">
      <c r="B1508" s="190"/>
    </row>
    <row r="1509" spans="2:2" ht="15" customHeight="1">
      <c r="B1509" s="190"/>
    </row>
    <row r="1510" spans="2:2" ht="15" customHeight="1">
      <c r="B1510" s="190"/>
    </row>
    <row r="1511" spans="2:2" ht="15" customHeight="1">
      <c r="B1511" s="190"/>
    </row>
    <row r="1512" spans="2:2" ht="15" customHeight="1">
      <c r="B1512" s="190"/>
    </row>
    <row r="1513" spans="2:2" ht="15" customHeight="1">
      <c r="B1513" s="190"/>
    </row>
    <row r="1514" spans="2:2" ht="15" customHeight="1">
      <c r="B1514" s="190"/>
    </row>
    <row r="1515" spans="2:2" ht="15" customHeight="1">
      <c r="B1515" s="190"/>
    </row>
    <row r="1516" spans="2:2" ht="15" customHeight="1">
      <c r="B1516" s="190"/>
    </row>
    <row r="1517" spans="2:2" ht="15" customHeight="1">
      <c r="B1517" s="190"/>
    </row>
    <row r="1518" spans="2:2" ht="15" customHeight="1">
      <c r="B1518" s="190"/>
    </row>
    <row r="1519" spans="2:2" ht="15" customHeight="1">
      <c r="B1519" s="190"/>
    </row>
    <row r="1520" spans="2:2" ht="15" customHeight="1">
      <c r="B1520" s="190"/>
    </row>
    <row r="1521" spans="2:2" ht="15" customHeight="1">
      <c r="B1521" s="190"/>
    </row>
    <row r="1522" spans="2:2" ht="15" customHeight="1">
      <c r="B1522" s="190"/>
    </row>
    <row r="1523" spans="2:2" ht="15" customHeight="1">
      <c r="B1523" s="190"/>
    </row>
    <row r="1524" spans="2:2" ht="15" customHeight="1">
      <c r="B1524" s="190"/>
    </row>
    <row r="1525" spans="2:2" ht="15" customHeight="1">
      <c r="B1525" s="190"/>
    </row>
    <row r="1526" spans="2:2" ht="15" customHeight="1">
      <c r="B1526" s="190"/>
    </row>
    <row r="1527" spans="2:2" ht="15" customHeight="1">
      <c r="B1527" s="190"/>
    </row>
    <row r="1528" spans="2:2" ht="15" customHeight="1">
      <c r="B1528" s="190"/>
    </row>
    <row r="1529" spans="2:2" ht="15" customHeight="1">
      <c r="B1529" s="190"/>
    </row>
    <row r="1530" spans="2:2" ht="15" customHeight="1">
      <c r="B1530" s="190"/>
    </row>
    <row r="1531" spans="2:2" ht="15" customHeight="1">
      <c r="B1531" s="190"/>
    </row>
    <row r="1532" spans="2:2" ht="15" customHeight="1">
      <c r="B1532" s="190"/>
    </row>
    <row r="1533" spans="2:2" ht="15" customHeight="1">
      <c r="B1533" s="190"/>
    </row>
    <row r="1534" spans="2:2" ht="15" customHeight="1">
      <c r="B1534" s="190"/>
    </row>
    <row r="1535" spans="2:2" ht="15" customHeight="1">
      <c r="B1535" s="190"/>
    </row>
    <row r="1536" spans="2:2" ht="15" customHeight="1">
      <c r="B1536" s="190"/>
    </row>
    <row r="1537" spans="2:2" ht="15" customHeight="1">
      <c r="B1537" s="190"/>
    </row>
    <row r="1538" spans="2:2" ht="15" customHeight="1">
      <c r="B1538" s="190"/>
    </row>
    <row r="1539" spans="2:2" ht="15" customHeight="1">
      <c r="B1539" s="190"/>
    </row>
    <row r="1540" spans="2:2" ht="15" customHeight="1">
      <c r="B1540" s="190"/>
    </row>
    <row r="1541" spans="2:2" ht="15" customHeight="1">
      <c r="B1541" s="190"/>
    </row>
    <row r="1542" spans="2:2" ht="15" customHeight="1">
      <c r="B1542" s="190"/>
    </row>
    <row r="1543" spans="2:2" ht="15" customHeight="1">
      <c r="B1543" s="190"/>
    </row>
    <row r="1544" spans="2:2" ht="15" customHeight="1">
      <c r="B1544" s="190"/>
    </row>
    <row r="1545" spans="2:2" ht="15" customHeight="1">
      <c r="B1545" s="190"/>
    </row>
    <row r="1546" spans="2:2" ht="15" customHeight="1">
      <c r="B1546" s="190"/>
    </row>
    <row r="1547" spans="2:2" ht="15" customHeight="1">
      <c r="B1547" s="190"/>
    </row>
    <row r="1548" spans="2:2" ht="15" customHeight="1">
      <c r="B1548" s="190"/>
    </row>
    <row r="1549" spans="2:2" ht="15" customHeight="1">
      <c r="B1549" s="190"/>
    </row>
    <row r="1550" spans="2:2" ht="15" customHeight="1">
      <c r="B1550" s="190"/>
    </row>
    <row r="1551" spans="2:2" ht="15" customHeight="1">
      <c r="B1551" s="190"/>
    </row>
    <row r="1552" spans="2:2" ht="15" customHeight="1">
      <c r="B1552" s="190"/>
    </row>
    <row r="1553" spans="2:2" ht="15" customHeight="1">
      <c r="B1553" s="190"/>
    </row>
    <row r="1554" spans="2:2" ht="15" customHeight="1">
      <c r="B1554" s="190"/>
    </row>
    <row r="1555" spans="2:2" ht="15" customHeight="1">
      <c r="B1555" s="190"/>
    </row>
    <row r="1556" spans="2:2" ht="15" customHeight="1">
      <c r="B1556" s="190"/>
    </row>
    <row r="1557" spans="2:2" ht="15" customHeight="1">
      <c r="B1557" s="190"/>
    </row>
    <row r="1558" spans="2:2" ht="15" customHeight="1">
      <c r="B1558" s="190"/>
    </row>
    <row r="1559" spans="2:2" ht="15" customHeight="1">
      <c r="B1559" s="190"/>
    </row>
    <row r="1560" spans="2:2" ht="15" customHeight="1">
      <c r="B1560" s="190"/>
    </row>
    <row r="1561" spans="2:2" ht="15" customHeight="1">
      <c r="B1561" s="190"/>
    </row>
    <row r="1562" spans="2:2" ht="15" customHeight="1">
      <c r="B1562" s="190"/>
    </row>
    <row r="1563" spans="2:2" ht="15" customHeight="1">
      <c r="B1563" s="190"/>
    </row>
    <row r="1564" spans="2:2" ht="15" customHeight="1">
      <c r="B1564" s="190"/>
    </row>
    <row r="1565" spans="2:2" ht="15" customHeight="1">
      <c r="B1565" s="190"/>
    </row>
    <row r="1566" spans="2:2" ht="15" customHeight="1">
      <c r="B1566" s="190"/>
    </row>
    <row r="1567" spans="2:2" ht="15" customHeight="1">
      <c r="B1567" s="190"/>
    </row>
    <row r="1568" spans="2:2" ht="15" customHeight="1">
      <c r="B1568" s="190"/>
    </row>
    <row r="1569" spans="2:2" ht="15" customHeight="1">
      <c r="B1569" s="190"/>
    </row>
    <row r="1570" spans="2:2" ht="15" customHeight="1">
      <c r="B1570" s="190"/>
    </row>
    <row r="1571" spans="2:2" ht="15" customHeight="1">
      <c r="B1571" s="190"/>
    </row>
    <row r="1572" spans="2:2" ht="15" customHeight="1">
      <c r="B1572" s="190"/>
    </row>
    <row r="1573" spans="2:2" ht="15" customHeight="1">
      <c r="B1573" s="190"/>
    </row>
    <row r="1574" spans="2:2" ht="15" customHeight="1">
      <c r="B1574" s="190"/>
    </row>
    <row r="1575" spans="2:2" ht="15" customHeight="1">
      <c r="B1575" s="190"/>
    </row>
    <row r="1576" spans="2:2" ht="15" customHeight="1">
      <c r="B1576" s="190"/>
    </row>
    <row r="1577" spans="2:2" ht="15" customHeight="1">
      <c r="B1577" s="190"/>
    </row>
    <row r="1578" spans="2:2" ht="15" customHeight="1">
      <c r="B1578" s="190"/>
    </row>
    <row r="1579" spans="2:2" ht="15" customHeight="1">
      <c r="B1579" s="190"/>
    </row>
    <row r="1580" spans="2:2" ht="15" customHeight="1">
      <c r="B1580" s="190"/>
    </row>
    <row r="1581" spans="2:2" ht="15" customHeight="1">
      <c r="B1581" s="190"/>
    </row>
    <row r="1582" spans="2:2" ht="15" customHeight="1">
      <c r="B1582" s="190"/>
    </row>
    <row r="1583" spans="2:2" ht="15" customHeight="1">
      <c r="B1583" s="190"/>
    </row>
    <row r="1584" spans="2:2" ht="15" customHeight="1">
      <c r="B1584" s="190"/>
    </row>
    <row r="1585" spans="2:2" ht="15" customHeight="1">
      <c r="B1585" s="190"/>
    </row>
    <row r="1586" spans="2:2" ht="15" customHeight="1">
      <c r="B1586" s="190"/>
    </row>
    <row r="1587" spans="2:2" ht="15" customHeight="1">
      <c r="B1587" s="190"/>
    </row>
    <row r="1588" spans="2:2" ht="15" customHeight="1">
      <c r="B1588" s="190"/>
    </row>
    <row r="1589" spans="2:2" ht="15" customHeight="1">
      <c r="B1589" s="190"/>
    </row>
    <row r="1590" spans="2:2" ht="15" customHeight="1">
      <c r="B1590" s="190"/>
    </row>
    <row r="1591" spans="2:2" ht="15" customHeight="1">
      <c r="B1591" s="190"/>
    </row>
    <row r="1592" spans="2:2" ht="15" customHeight="1">
      <c r="B1592" s="190"/>
    </row>
    <row r="1593" spans="2:2" ht="15" customHeight="1">
      <c r="B1593" s="190"/>
    </row>
    <row r="1594" spans="2:2" ht="15" customHeight="1">
      <c r="B1594" s="190"/>
    </row>
    <row r="1595" spans="2:2" ht="15" customHeight="1">
      <c r="B1595" s="190"/>
    </row>
    <row r="1596" spans="2:2" ht="15" customHeight="1">
      <c r="B1596" s="190"/>
    </row>
    <row r="1597" spans="2:2" ht="15" customHeight="1">
      <c r="B1597" s="190"/>
    </row>
    <row r="1598" spans="2:2" ht="15" customHeight="1">
      <c r="B1598" s="190"/>
    </row>
    <row r="1599" spans="2:2" ht="15" customHeight="1">
      <c r="B1599" s="190"/>
    </row>
    <row r="1600" spans="2:2" ht="15" customHeight="1">
      <c r="B1600" s="190"/>
    </row>
    <row r="1601" spans="2:2" ht="15" customHeight="1">
      <c r="B1601" s="190"/>
    </row>
    <row r="1602" spans="2:2" ht="15" customHeight="1">
      <c r="B1602" s="190"/>
    </row>
    <row r="1603" spans="2:2" ht="15" customHeight="1">
      <c r="B1603" s="190"/>
    </row>
    <row r="1604" spans="2:2" ht="15" customHeight="1">
      <c r="B1604" s="190"/>
    </row>
    <row r="1605" spans="2:2" ht="15" customHeight="1">
      <c r="B1605" s="190"/>
    </row>
    <row r="1606" spans="2:2" ht="15" customHeight="1">
      <c r="B1606" s="190"/>
    </row>
    <row r="1607" spans="2:2" ht="15" customHeight="1">
      <c r="B1607" s="190"/>
    </row>
    <row r="1608" spans="2:2" ht="15" customHeight="1">
      <c r="B1608" s="190"/>
    </row>
    <row r="1609" spans="2:2" ht="15" customHeight="1">
      <c r="B1609" s="190"/>
    </row>
    <row r="1610" spans="2:2" ht="15" customHeight="1">
      <c r="B1610" s="190"/>
    </row>
    <row r="1611" spans="2:2" ht="15" customHeight="1">
      <c r="B1611" s="190"/>
    </row>
    <row r="1612" spans="2:2" ht="15" customHeight="1">
      <c r="B1612" s="190"/>
    </row>
    <row r="1613" spans="2:2" ht="15" customHeight="1">
      <c r="B1613" s="190"/>
    </row>
    <row r="1614" spans="2:2" ht="15" customHeight="1">
      <c r="B1614" s="190"/>
    </row>
    <row r="1615" spans="2:2" ht="15" customHeight="1">
      <c r="B1615" s="190"/>
    </row>
    <row r="1616" spans="2:2" ht="15" customHeight="1">
      <c r="B1616" s="190"/>
    </row>
    <row r="1617" spans="2:2" ht="15" customHeight="1">
      <c r="B1617" s="190"/>
    </row>
    <row r="1618" spans="2:2" ht="15" customHeight="1">
      <c r="B1618" s="190"/>
    </row>
    <row r="1619" spans="2:2" ht="15" customHeight="1">
      <c r="B1619" s="190"/>
    </row>
    <row r="1620" spans="2:2" ht="15" customHeight="1">
      <c r="B1620" s="190"/>
    </row>
    <row r="1621" spans="2:2" ht="15" customHeight="1">
      <c r="B1621" s="190"/>
    </row>
    <row r="1622" spans="2:2" ht="15" customHeight="1">
      <c r="B1622" s="190"/>
    </row>
    <row r="1623" spans="2:2" ht="15" customHeight="1">
      <c r="B1623" s="190"/>
    </row>
    <row r="1624" spans="2:2" ht="15" customHeight="1">
      <c r="B1624" s="190"/>
    </row>
    <row r="1625" spans="2:2" ht="15" customHeight="1">
      <c r="B1625" s="190"/>
    </row>
    <row r="1626" spans="2:2" ht="15" customHeight="1">
      <c r="B1626" s="190"/>
    </row>
    <row r="1627" spans="2:2" ht="15" customHeight="1">
      <c r="B1627" s="190"/>
    </row>
    <row r="1628" spans="2:2" ht="15" customHeight="1">
      <c r="B1628" s="190"/>
    </row>
    <row r="1629" spans="2:2" ht="15" customHeight="1">
      <c r="B1629" s="190"/>
    </row>
    <row r="1630" spans="2:2" ht="15" customHeight="1">
      <c r="B1630" s="190"/>
    </row>
    <row r="1631" spans="2:2" ht="15" customHeight="1">
      <c r="B1631" s="190"/>
    </row>
    <row r="1632" spans="2:2" ht="15" customHeight="1">
      <c r="B1632" s="190"/>
    </row>
    <row r="1633" spans="2:2" ht="15" customHeight="1">
      <c r="B1633" s="190"/>
    </row>
    <row r="1634" spans="2:2" ht="15" customHeight="1">
      <c r="B1634" s="190"/>
    </row>
    <row r="1635" spans="2:2" ht="15" customHeight="1">
      <c r="B1635" s="190"/>
    </row>
    <row r="1636" spans="2:2" ht="15" customHeight="1">
      <c r="B1636" s="190"/>
    </row>
    <row r="1637" spans="2:2" ht="15" customHeight="1">
      <c r="B1637" s="190"/>
    </row>
    <row r="1638" spans="2:2" ht="15" customHeight="1">
      <c r="B1638" s="190"/>
    </row>
    <row r="1639" spans="2:2" ht="15" customHeight="1">
      <c r="B1639" s="190"/>
    </row>
    <row r="1640" spans="2:2" ht="15" customHeight="1">
      <c r="B1640" s="190"/>
    </row>
    <row r="1641" spans="2:2" ht="15" customHeight="1">
      <c r="B1641" s="190"/>
    </row>
    <row r="1642" spans="2:2" ht="15" customHeight="1">
      <c r="B1642" s="190"/>
    </row>
    <row r="1643" spans="2:2" ht="15" customHeight="1">
      <c r="B1643" s="190"/>
    </row>
    <row r="1644" spans="2:2" ht="15" customHeight="1">
      <c r="B1644" s="190"/>
    </row>
    <row r="1645" spans="2:2" ht="15" customHeight="1">
      <c r="B1645" s="190"/>
    </row>
    <row r="1646" spans="2:2" ht="15" customHeight="1">
      <c r="B1646" s="190"/>
    </row>
    <row r="1647" spans="2:2" ht="15" customHeight="1">
      <c r="B1647" s="190"/>
    </row>
    <row r="1648" spans="2:2" ht="15" customHeight="1">
      <c r="B1648" s="190"/>
    </row>
    <row r="1649" spans="2:2" ht="15" customHeight="1">
      <c r="B1649" s="190"/>
    </row>
    <row r="1650" spans="2:2" ht="15" customHeight="1">
      <c r="B1650" s="190"/>
    </row>
    <row r="1651" spans="2:2" ht="15" customHeight="1">
      <c r="B1651" s="190"/>
    </row>
    <row r="1652" spans="2:2" ht="15" customHeight="1">
      <c r="B1652" s="190"/>
    </row>
    <row r="1653" spans="2:2" ht="15" customHeight="1">
      <c r="B1653" s="190"/>
    </row>
    <row r="1654" spans="2:2" ht="15" customHeight="1">
      <c r="B1654" s="190"/>
    </row>
    <row r="1655" spans="2:2" ht="15" customHeight="1">
      <c r="B1655" s="190"/>
    </row>
    <row r="1656" spans="2:2" ht="15" customHeight="1">
      <c r="B1656" s="190"/>
    </row>
    <row r="1657" spans="2:2" ht="15" customHeight="1">
      <c r="B1657" s="190"/>
    </row>
    <row r="1658" spans="2:2" ht="15" customHeight="1">
      <c r="B1658" s="190"/>
    </row>
    <row r="1659" spans="2:2" ht="15" customHeight="1">
      <c r="B1659" s="190"/>
    </row>
    <row r="1660" spans="2:2" ht="15" customHeight="1">
      <c r="B1660" s="190"/>
    </row>
    <row r="1661" spans="2:2" ht="15" customHeight="1">
      <c r="B1661" s="190"/>
    </row>
    <row r="1662" spans="2:2" ht="15" customHeight="1">
      <c r="B1662" s="190"/>
    </row>
    <row r="1663" spans="2:2" ht="15" customHeight="1">
      <c r="B1663" s="190"/>
    </row>
    <row r="1664" spans="2:2" ht="15" customHeight="1">
      <c r="B1664" s="190"/>
    </row>
    <row r="1665" spans="2:2" ht="15" customHeight="1">
      <c r="B1665" s="190"/>
    </row>
    <row r="1666" spans="2:2" ht="15" customHeight="1">
      <c r="B1666" s="190"/>
    </row>
    <row r="1667" spans="2:2" ht="15" customHeight="1">
      <c r="B1667" s="190"/>
    </row>
    <row r="1668" spans="2:2" ht="15" customHeight="1">
      <c r="B1668" s="190"/>
    </row>
    <row r="1669" spans="2:2" ht="15" customHeight="1">
      <c r="B1669" s="190"/>
    </row>
    <row r="1670" spans="2:2" ht="15" customHeight="1">
      <c r="B1670" s="190"/>
    </row>
    <row r="1671" spans="2:2" ht="15" customHeight="1">
      <c r="B1671" s="190"/>
    </row>
    <row r="1672" spans="2:2" ht="15" customHeight="1">
      <c r="B1672" s="190"/>
    </row>
    <row r="1673" spans="2:2" ht="15" customHeight="1">
      <c r="B1673" s="190"/>
    </row>
    <row r="1674" spans="2:2" ht="15" customHeight="1">
      <c r="B1674" s="190"/>
    </row>
    <row r="1675" spans="2:2" ht="15" customHeight="1">
      <c r="B1675" s="190"/>
    </row>
    <row r="1676" spans="2:2" ht="15" customHeight="1">
      <c r="B1676" s="190"/>
    </row>
    <row r="1677" spans="2:2" ht="15" customHeight="1">
      <c r="B1677" s="190"/>
    </row>
    <row r="1678" spans="2:2" ht="15" customHeight="1">
      <c r="B1678" s="190"/>
    </row>
    <row r="1679" spans="2:2" ht="15" customHeight="1">
      <c r="B1679" s="190"/>
    </row>
    <row r="1680" spans="2:2" ht="15" customHeight="1">
      <c r="B1680" s="190"/>
    </row>
    <row r="1681" spans="2:2" ht="15" customHeight="1">
      <c r="B1681" s="190"/>
    </row>
    <row r="1682" spans="2:2" ht="15" customHeight="1">
      <c r="B1682" s="190"/>
    </row>
    <row r="1683" spans="2:2" ht="15" customHeight="1">
      <c r="B1683" s="190"/>
    </row>
    <row r="1684" spans="2:2" ht="15" customHeight="1">
      <c r="B1684" s="190"/>
    </row>
    <row r="1685" spans="2:2" ht="15" customHeight="1">
      <c r="B1685" s="190"/>
    </row>
    <row r="1686" spans="2:2" ht="15" customHeight="1">
      <c r="B1686" s="190"/>
    </row>
    <row r="1687" spans="2:2" ht="15" customHeight="1">
      <c r="B1687" s="190"/>
    </row>
    <row r="1688" spans="2:2" ht="15" customHeight="1">
      <c r="B1688" s="190"/>
    </row>
    <row r="1689" spans="2:2" ht="15" customHeight="1">
      <c r="B1689" s="190"/>
    </row>
    <row r="1690" spans="2:2" ht="15" customHeight="1">
      <c r="B1690" s="190"/>
    </row>
    <row r="1691" spans="2:2" ht="15" customHeight="1">
      <c r="B1691" s="190"/>
    </row>
    <row r="1692" spans="2:2" ht="15" customHeight="1">
      <c r="B1692" s="190"/>
    </row>
    <row r="1693" spans="2:2" ht="15" customHeight="1">
      <c r="B1693" s="190"/>
    </row>
    <row r="1694" spans="2:2" ht="15" customHeight="1">
      <c r="B1694" s="190"/>
    </row>
    <row r="1695" spans="2:2" ht="15" customHeight="1">
      <c r="B1695" s="190"/>
    </row>
    <row r="1696" spans="2:2" ht="15" customHeight="1">
      <c r="B1696" s="190"/>
    </row>
    <row r="1697" spans="2:2" ht="15" customHeight="1">
      <c r="B1697" s="190"/>
    </row>
    <row r="1698" spans="2:2" ht="15" customHeight="1">
      <c r="B1698" s="190"/>
    </row>
    <row r="1699" spans="2:2" ht="15" customHeight="1">
      <c r="B1699" s="190"/>
    </row>
    <row r="1700" spans="2:2" ht="15" customHeight="1">
      <c r="B1700" s="190"/>
    </row>
    <row r="1701" spans="2:2" ht="15" customHeight="1">
      <c r="B1701" s="190"/>
    </row>
    <row r="1702" spans="2:2" ht="15" customHeight="1">
      <c r="B1702" s="190"/>
    </row>
    <row r="1703" spans="2:2" ht="15" customHeight="1">
      <c r="B1703" s="190"/>
    </row>
    <row r="1704" spans="2:2" ht="15" customHeight="1">
      <c r="B1704" s="190"/>
    </row>
    <row r="1705" spans="2:2" ht="15" customHeight="1">
      <c r="B1705" s="190"/>
    </row>
    <row r="1706" spans="2:2" ht="15" customHeight="1">
      <c r="B1706" s="190"/>
    </row>
    <row r="1707" spans="2:2" ht="15" customHeight="1">
      <c r="B1707" s="190"/>
    </row>
    <row r="1708" spans="2:2" ht="15" customHeight="1">
      <c r="B1708" s="190"/>
    </row>
    <row r="1709" spans="2:2" ht="15" customHeight="1">
      <c r="B1709" s="190"/>
    </row>
    <row r="1710" spans="2:2" ht="15" customHeight="1">
      <c r="B1710" s="190"/>
    </row>
    <row r="1711" spans="2:2" ht="15" customHeight="1">
      <c r="B1711" s="190"/>
    </row>
    <row r="1712" spans="2:2" ht="15" customHeight="1">
      <c r="B1712" s="190"/>
    </row>
    <row r="1713" spans="2:2" ht="15" customHeight="1">
      <c r="B1713" s="190"/>
    </row>
    <row r="1714" spans="2:2" ht="15" customHeight="1">
      <c r="B1714" s="190"/>
    </row>
    <row r="1715" spans="2:2" ht="15" customHeight="1">
      <c r="B1715" s="190"/>
    </row>
    <row r="1716" spans="2:2" ht="15" customHeight="1">
      <c r="B1716" s="190"/>
    </row>
    <row r="1717" spans="2:2" ht="15" customHeight="1">
      <c r="B1717" s="190"/>
    </row>
    <row r="1718" spans="2:2" ht="15" customHeight="1">
      <c r="B1718" s="190"/>
    </row>
    <row r="1719" spans="2:2" ht="15" customHeight="1">
      <c r="B1719" s="190"/>
    </row>
    <row r="1720" spans="2:2" ht="15" customHeight="1">
      <c r="B1720" s="190"/>
    </row>
    <row r="1721" spans="2:2" ht="15" customHeight="1">
      <c r="B1721" s="190"/>
    </row>
    <row r="1722" spans="2:2" ht="15" customHeight="1">
      <c r="B1722" s="190"/>
    </row>
    <row r="1723" spans="2:2" ht="15" customHeight="1">
      <c r="B1723" s="190"/>
    </row>
    <row r="1724" spans="2:2" ht="15" customHeight="1">
      <c r="B1724" s="190"/>
    </row>
    <row r="1725" spans="2:2" ht="15" customHeight="1">
      <c r="B1725" s="190"/>
    </row>
    <row r="1726" spans="2:2" ht="15" customHeight="1">
      <c r="B1726" s="190"/>
    </row>
    <row r="1727" spans="2:2" ht="15" customHeight="1">
      <c r="B1727" s="190"/>
    </row>
    <row r="1728" spans="2:2" ht="15" customHeight="1">
      <c r="B1728" s="190"/>
    </row>
    <row r="1729" spans="2:2" ht="15" customHeight="1">
      <c r="B1729" s="190"/>
    </row>
    <row r="1730" spans="2:2" ht="15" customHeight="1">
      <c r="B1730" s="190"/>
    </row>
    <row r="1731" spans="2:2" ht="15" customHeight="1">
      <c r="B1731" s="190"/>
    </row>
    <row r="1732" spans="2:2" ht="15" customHeight="1">
      <c r="B1732" s="190"/>
    </row>
    <row r="1733" spans="2:2" ht="15" customHeight="1">
      <c r="B1733" s="190"/>
    </row>
    <row r="1734" spans="2:2" ht="15" customHeight="1">
      <c r="B1734" s="190"/>
    </row>
    <row r="1735" spans="2:2" ht="15" customHeight="1">
      <c r="B1735" s="190"/>
    </row>
    <row r="1736" spans="2:2" ht="15" customHeight="1">
      <c r="B1736" s="190"/>
    </row>
    <row r="1737" spans="2:2" ht="15" customHeight="1">
      <c r="B1737" s="190"/>
    </row>
    <row r="1738" spans="2:2" ht="15" customHeight="1">
      <c r="B1738" s="190"/>
    </row>
    <row r="1739" spans="2:2" ht="15" customHeight="1">
      <c r="B1739" s="190"/>
    </row>
    <row r="1740" spans="2:2" ht="15" customHeight="1">
      <c r="B1740" s="190"/>
    </row>
    <row r="1741" spans="2:2" ht="15" customHeight="1">
      <c r="B1741" s="190"/>
    </row>
    <row r="1742" spans="2:2" ht="15" customHeight="1">
      <c r="B1742" s="190"/>
    </row>
    <row r="1743" spans="2:2" ht="15" customHeight="1">
      <c r="B1743" s="190"/>
    </row>
    <row r="1744" spans="2:2" ht="15" customHeight="1">
      <c r="B1744" s="190"/>
    </row>
    <row r="1745" spans="2:2" ht="15" customHeight="1">
      <c r="B1745" s="190"/>
    </row>
    <row r="1746" spans="2:2" ht="15" customHeight="1">
      <c r="B1746" s="190"/>
    </row>
    <row r="1747" spans="2:2" ht="15" customHeight="1">
      <c r="B1747" s="190"/>
    </row>
    <row r="1748" spans="2:2" ht="15" customHeight="1">
      <c r="B1748" s="190"/>
    </row>
    <row r="1749" spans="2:2" ht="15" customHeight="1">
      <c r="B1749" s="190"/>
    </row>
    <row r="1750" spans="2:2" ht="15" customHeight="1">
      <c r="B1750" s="190"/>
    </row>
    <row r="1751" spans="2:2" ht="15" customHeight="1">
      <c r="B1751" s="190"/>
    </row>
    <row r="1752" spans="2:2" ht="15" customHeight="1">
      <c r="B1752" s="190"/>
    </row>
    <row r="1753" spans="2:2" ht="15" customHeight="1">
      <c r="B1753" s="190"/>
    </row>
    <row r="1754" spans="2:2" ht="15" customHeight="1">
      <c r="B1754" s="190"/>
    </row>
    <row r="1755" spans="2:2" ht="15" customHeight="1">
      <c r="B1755" s="190"/>
    </row>
    <row r="1756" spans="2:2" ht="15" customHeight="1">
      <c r="B1756" s="190"/>
    </row>
    <row r="1757" spans="2:2" ht="15" customHeight="1">
      <c r="B1757" s="190"/>
    </row>
    <row r="1758" spans="2:2" ht="15" customHeight="1">
      <c r="B1758" s="190"/>
    </row>
    <row r="1759" spans="2:2" ht="15" customHeight="1">
      <c r="B1759" s="190"/>
    </row>
    <row r="1760" spans="2:2" ht="15" customHeight="1">
      <c r="B1760" s="190"/>
    </row>
    <row r="1761" spans="2:2" ht="15" customHeight="1">
      <c r="B1761" s="190"/>
    </row>
    <row r="1762" spans="2:2" ht="15" customHeight="1">
      <c r="B1762" s="190"/>
    </row>
    <row r="1763" spans="2:2" ht="15" customHeight="1">
      <c r="B1763" s="190"/>
    </row>
    <row r="1764" spans="2:2" ht="15" customHeight="1">
      <c r="B1764" s="190"/>
    </row>
    <row r="1765" spans="2:2" ht="15" customHeight="1">
      <c r="B1765" s="190"/>
    </row>
    <row r="1766" spans="2:2" ht="15" customHeight="1">
      <c r="B1766" s="190"/>
    </row>
    <row r="1767" spans="2:2" ht="15" customHeight="1">
      <c r="B1767" s="190"/>
    </row>
    <row r="1768" spans="2:2" ht="15" customHeight="1">
      <c r="B1768" s="190"/>
    </row>
    <row r="1769" spans="2:2" ht="15" customHeight="1">
      <c r="B1769" s="190"/>
    </row>
    <row r="1770" spans="2:2" ht="15" customHeight="1">
      <c r="B1770" s="190"/>
    </row>
    <row r="1771" spans="2:2" ht="15" customHeight="1">
      <c r="B1771" s="190"/>
    </row>
    <row r="1772" spans="2:2" ht="15" customHeight="1">
      <c r="B1772" s="190"/>
    </row>
    <row r="1773" spans="2:2" ht="15" customHeight="1">
      <c r="B1773" s="190"/>
    </row>
    <row r="1774" spans="2:2" ht="15" customHeight="1">
      <c r="B1774" s="190"/>
    </row>
    <row r="1775" spans="2:2" ht="15" customHeight="1">
      <c r="B1775" s="190"/>
    </row>
    <row r="1776" spans="2:2" ht="15" customHeight="1">
      <c r="B1776" s="190"/>
    </row>
    <row r="1777" spans="2:2" ht="15" customHeight="1">
      <c r="B1777" s="190"/>
    </row>
    <row r="1778" spans="2:2" ht="15" customHeight="1">
      <c r="B1778" s="190"/>
    </row>
    <row r="1779" spans="2:2" ht="15" customHeight="1">
      <c r="B1779" s="190"/>
    </row>
    <row r="1780" spans="2:2" ht="15" customHeight="1">
      <c r="B1780" s="190"/>
    </row>
    <row r="1781" spans="2:2" ht="15" customHeight="1">
      <c r="B1781" s="190"/>
    </row>
    <row r="1782" spans="2:2" ht="15" customHeight="1">
      <c r="B1782" s="190"/>
    </row>
    <row r="1783" spans="2:2" ht="15" customHeight="1">
      <c r="B1783" s="190"/>
    </row>
    <row r="1784" spans="2:2" ht="15" customHeight="1">
      <c r="B1784" s="190"/>
    </row>
    <row r="1785" spans="2:2" ht="15" customHeight="1">
      <c r="B1785" s="190"/>
    </row>
    <row r="1786" spans="2:2" ht="15" customHeight="1">
      <c r="B1786" s="190"/>
    </row>
    <row r="1787" spans="2:2" ht="15" customHeight="1">
      <c r="B1787" s="190"/>
    </row>
    <row r="1788" spans="2:2" ht="15" customHeight="1">
      <c r="B1788" s="190"/>
    </row>
    <row r="1789" spans="2:2" ht="15" customHeight="1">
      <c r="B1789" s="190"/>
    </row>
    <row r="1790" spans="2:2" ht="15" customHeight="1">
      <c r="B1790" s="190"/>
    </row>
    <row r="1791" spans="2:2" ht="15" customHeight="1">
      <c r="B1791" s="190"/>
    </row>
    <row r="1792" spans="2:2" ht="15" customHeight="1">
      <c r="B1792" s="190"/>
    </row>
    <row r="1793" spans="2:2" ht="15" customHeight="1">
      <c r="B1793" s="190"/>
    </row>
    <row r="1794" spans="2:2" ht="15" customHeight="1">
      <c r="B1794" s="190"/>
    </row>
    <row r="1795" spans="2:2" ht="15" customHeight="1">
      <c r="B1795" s="190"/>
    </row>
    <row r="1796" spans="2:2" ht="15" customHeight="1">
      <c r="B1796" s="190"/>
    </row>
    <row r="1797" spans="2:2" ht="15" customHeight="1">
      <c r="B1797" s="190"/>
    </row>
    <row r="1798" spans="2:2" ht="15" customHeight="1">
      <c r="B1798" s="190"/>
    </row>
    <row r="1799" spans="2:2" ht="15" customHeight="1">
      <c r="B1799" s="190"/>
    </row>
    <row r="1800" spans="2:2" ht="15" customHeight="1">
      <c r="B1800" s="190"/>
    </row>
    <row r="1801" spans="2:2" ht="15" customHeight="1">
      <c r="B1801" s="190"/>
    </row>
    <row r="1802" spans="2:2" ht="15" customHeight="1">
      <c r="B1802" s="190"/>
    </row>
    <row r="1803" spans="2:2" ht="15" customHeight="1">
      <c r="B1803" s="190"/>
    </row>
    <row r="1804" spans="2:2" ht="15" customHeight="1">
      <c r="B1804" s="190"/>
    </row>
    <row r="1805" spans="2:2" ht="15" customHeight="1">
      <c r="B1805" s="190"/>
    </row>
    <row r="1806" spans="2:2" ht="15" customHeight="1">
      <c r="B1806" s="190"/>
    </row>
    <row r="1807" spans="2:2" ht="15" customHeight="1">
      <c r="B1807" s="190"/>
    </row>
    <row r="1808" spans="2:2" ht="15" customHeight="1">
      <c r="B1808" s="190"/>
    </row>
    <row r="1809" spans="2:2" ht="15" customHeight="1">
      <c r="B1809" s="190"/>
    </row>
    <row r="1810" spans="2:2" ht="15" customHeight="1">
      <c r="B1810" s="190"/>
    </row>
    <row r="1811" spans="2:2" ht="15" customHeight="1">
      <c r="B1811" s="190"/>
    </row>
    <row r="1812" spans="2:2" ht="15" customHeight="1">
      <c r="B1812" s="190"/>
    </row>
    <row r="1813" spans="2:2" ht="15" customHeight="1">
      <c r="B1813" s="190"/>
    </row>
    <row r="1814" spans="2:2" ht="15" customHeight="1">
      <c r="B1814" s="190"/>
    </row>
    <row r="1815" spans="2:2" ht="15" customHeight="1">
      <c r="B1815" s="190"/>
    </row>
    <row r="1816" spans="2:2" ht="15" customHeight="1">
      <c r="B1816" s="190"/>
    </row>
    <row r="1817" spans="2:2" ht="15" customHeight="1">
      <c r="B1817" s="190"/>
    </row>
    <row r="1818" spans="2:2" ht="15" customHeight="1">
      <c r="B1818" s="190"/>
    </row>
    <row r="1819" spans="2:2" ht="15" customHeight="1">
      <c r="B1819" s="190"/>
    </row>
    <row r="1820" spans="2:2" ht="15" customHeight="1">
      <c r="B1820" s="190"/>
    </row>
    <row r="1821" spans="2:2" ht="15" customHeight="1">
      <c r="B1821" s="190"/>
    </row>
    <row r="1822" spans="2:2" ht="15" customHeight="1">
      <c r="B1822" s="190"/>
    </row>
    <row r="1823" spans="2:2" ht="15" customHeight="1">
      <c r="B1823" s="190"/>
    </row>
    <row r="1824" spans="2:2" ht="15" customHeight="1">
      <c r="B1824" s="190"/>
    </row>
    <row r="1825" spans="2:2" ht="15" customHeight="1">
      <c r="B1825" s="190"/>
    </row>
    <row r="1826" spans="2:2" ht="15" customHeight="1">
      <c r="B1826" s="190"/>
    </row>
    <row r="1827" spans="2:2" ht="15" customHeight="1">
      <c r="B1827" s="190"/>
    </row>
    <row r="1828" spans="2:2" ht="15" customHeight="1">
      <c r="B1828" s="190"/>
    </row>
    <row r="1829" spans="2:2" ht="15" customHeight="1">
      <c r="B1829" s="190"/>
    </row>
    <row r="1830" spans="2:2" ht="15" customHeight="1">
      <c r="B1830" s="190"/>
    </row>
    <row r="1831" spans="2:2" ht="15" customHeight="1">
      <c r="B1831" s="190"/>
    </row>
    <row r="1832" spans="2:2" ht="15" customHeight="1">
      <c r="B1832" s="190"/>
    </row>
    <row r="1833" spans="2:2" ht="15" customHeight="1">
      <c r="B1833" s="190"/>
    </row>
    <row r="1834" spans="2:2" ht="15" customHeight="1">
      <c r="B1834" s="190"/>
    </row>
    <row r="1835" spans="2:2" ht="15" customHeight="1">
      <c r="B1835" s="190"/>
    </row>
    <row r="1836" spans="2:2" ht="15" customHeight="1">
      <c r="B1836" s="190"/>
    </row>
    <row r="1837" spans="2:2" ht="15" customHeight="1">
      <c r="B1837" s="190"/>
    </row>
    <row r="1838" spans="2:2" ht="15" customHeight="1">
      <c r="B1838" s="190"/>
    </row>
    <row r="1839" spans="2:2" ht="15" customHeight="1">
      <c r="B1839" s="190"/>
    </row>
    <row r="1840" spans="2:2" ht="15" customHeight="1">
      <c r="B1840" s="190"/>
    </row>
    <row r="1841" spans="2:2" ht="15" customHeight="1">
      <c r="B1841" s="190"/>
    </row>
    <row r="1842" spans="2:2" ht="15" customHeight="1">
      <c r="B1842" s="190"/>
    </row>
    <row r="1843" spans="2:2" ht="15" customHeight="1">
      <c r="B1843" s="190"/>
    </row>
    <row r="1844" spans="2:2" ht="15" customHeight="1">
      <c r="B1844" s="190"/>
    </row>
    <row r="1845" spans="2:2" ht="15" customHeight="1">
      <c r="B1845" s="190"/>
    </row>
    <row r="1846" spans="2:2" ht="15" customHeight="1">
      <c r="B1846" s="190"/>
    </row>
    <row r="1847" spans="2:2" ht="15" customHeight="1">
      <c r="B1847" s="190"/>
    </row>
    <row r="1848" spans="2:2" ht="15" customHeight="1">
      <c r="B1848" s="190"/>
    </row>
    <row r="1849" spans="2:2" ht="15" customHeight="1">
      <c r="B1849" s="190"/>
    </row>
    <row r="1850" spans="2:2" ht="15" customHeight="1">
      <c r="B1850" s="190"/>
    </row>
    <row r="1851" spans="2:2" ht="15" customHeight="1">
      <c r="B1851" s="190"/>
    </row>
    <row r="1852" spans="2:2" ht="15" customHeight="1">
      <c r="B1852" s="190"/>
    </row>
    <row r="1853" spans="2:2" ht="15" customHeight="1">
      <c r="B1853" s="190"/>
    </row>
    <row r="1854" spans="2:2" ht="15" customHeight="1">
      <c r="B1854" s="190"/>
    </row>
    <row r="1855" spans="2:2" ht="15" customHeight="1">
      <c r="B1855" s="190"/>
    </row>
    <row r="1856" spans="2:2" ht="15" customHeight="1">
      <c r="B1856" s="190"/>
    </row>
    <row r="1857" spans="2:2" ht="15" customHeight="1">
      <c r="B1857" s="190"/>
    </row>
    <row r="1858" spans="2:2" ht="15" customHeight="1">
      <c r="B1858" s="190"/>
    </row>
    <row r="1859" spans="2:2" ht="15" customHeight="1">
      <c r="B1859" s="190"/>
    </row>
    <row r="1860" spans="2:2" ht="15" customHeight="1">
      <c r="B1860" s="190"/>
    </row>
    <row r="1861" spans="2:2" ht="15" customHeight="1">
      <c r="B1861" s="190"/>
    </row>
    <row r="1862" spans="2:2" ht="15" customHeight="1">
      <c r="B1862" s="190"/>
    </row>
    <row r="1863" spans="2:2" ht="15" customHeight="1">
      <c r="B1863" s="190"/>
    </row>
    <row r="1864" spans="2:2" ht="15" customHeight="1">
      <c r="B1864" s="190"/>
    </row>
    <row r="1865" spans="2:2" ht="15" customHeight="1">
      <c r="B1865" s="190"/>
    </row>
    <row r="1866" spans="2:2" ht="15" customHeight="1">
      <c r="B1866" s="190"/>
    </row>
    <row r="1867" spans="2:2" ht="15" customHeight="1">
      <c r="B1867" s="190"/>
    </row>
    <row r="1868" spans="2:2" ht="15" customHeight="1">
      <c r="B1868" s="190"/>
    </row>
    <row r="1869" spans="2:2" ht="15" customHeight="1">
      <c r="B1869" s="190"/>
    </row>
    <row r="1870" spans="2:2" ht="15" customHeight="1">
      <c r="B1870" s="190"/>
    </row>
    <row r="1871" spans="2:2" ht="15" customHeight="1">
      <c r="B1871" s="190"/>
    </row>
    <row r="1872" spans="2:2" ht="15" customHeight="1">
      <c r="B1872" s="190"/>
    </row>
    <row r="1873" spans="2:2" ht="15" customHeight="1">
      <c r="B1873" s="190"/>
    </row>
    <row r="1874" spans="2:2" ht="15" customHeight="1">
      <c r="B1874" s="190"/>
    </row>
    <row r="1875" spans="2:2" ht="15" customHeight="1">
      <c r="B1875" s="190"/>
    </row>
    <row r="1876" spans="2:2" ht="15" customHeight="1">
      <c r="B1876" s="190"/>
    </row>
    <row r="1877" spans="2:2" ht="15" customHeight="1">
      <c r="B1877" s="190"/>
    </row>
    <row r="1878" spans="2:2" ht="15" customHeight="1">
      <c r="B1878" s="190"/>
    </row>
    <row r="1879" spans="2:2" ht="15" customHeight="1">
      <c r="B1879" s="190"/>
    </row>
    <row r="1880" spans="2:2" ht="15" customHeight="1">
      <c r="B1880" s="190"/>
    </row>
    <row r="1881" spans="2:2" ht="15" customHeight="1">
      <c r="B1881" s="190"/>
    </row>
    <row r="1882" spans="2:2" ht="15" customHeight="1">
      <c r="B1882" s="190"/>
    </row>
    <row r="1883" spans="2:2" ht="15" customHeight="1">
      <c r="B1883" s="190"/>
    </row>
    <row r="1884" spans="2:2" ht="15" customHeight="1">
      <c r="B1884" s="190"/>
    </row>
    <row r="1885" spans="2:2" ht="15" customHeight="1">
      <c r="B1885" s="190"/>
    </row>
    <row r="1886" spans="2:2" ht="15" customHeight="1">
      <c r="B1886" s="190"/>
    </row>
    <row r="1887" spans="2:2" ht="15" customHeight="1">
      <c r="B1887" s="190"/>
    </row>
    <row r="1888" spans="2:2" ht="15" customHeight="1">
      <c r="B1888" s="190"/>
    </row>
    <row r="1889" spans="2:2" ht="15" customHeight="1">
      <c r="B1889" s="190"/>
    </row>
    <row r="1890" spans="2:2" ht="15" customHeight="1">
      <c r="B1890" s="190"/>
    </row>
    <row r="1891" spans="2:2" ht="15" customHeight="1">
      <c r="B1891" s="190"/>
    </row>
    <row r="1892" spans="2:2" ht="15" customHeight="1">
      <c r="B1892" s="190"/>
    </row>
    <row r="1893" spans="2:2" ht="15" customHeight="1">
      <c r="B1893" s="190"/>
    </row>
    <row r="1894" spans="2:2" ht="15" customHeight="1">
      <c r="B1894" s="190"/>
    </row>
    <row r="1895" spans="2:2" ht="15" customHeight="1">
      <c r="B1895" s="190"/>
    </row>
    <row r="1896" spans="2:2" ht="15" customHeight="1">
      <c r="B1896" s="190"/>
    </row>
    <row r="1897" spans="2:2" ht="15" customHeight="1">
      <c r="B1897" s="190"/>
    </row>
    <row r="1898" spans="2:2" ht="15" customHeight="1">
      <c r="B1898" s="190"/>
    </row>
    <row r="1899" spans="2:2" ht="15" customHeight="1">
      <c r="B1899" s="190"/>
    </row>
    <row r="1900" spans="2:2" ht="15" customHeight="1">
      <c r="B1900" s="190"/>
    </row>
    <row r="1901" spans="2:2" ht="15" customHeight="1">
      <c r="B1901" s="190"/>
    </row>
    <row r="1902" spans="2:2" ht="15" customHeight="1">
      <c r="B1902" s="190"/>
    </row>
    <row r="1903" spans="2:2" ht="15" customHeight="1">
      <c r="B1903" s="190"/>
    </row>
    <row r="1904" spans="2:2" ht="15" customHeight="1">
      <c r="B1904" s="190"/>
    </row>
    <row r="1905" spans="2:2" ht="15" customHeight="1">
      <c r="B1905" s="190"/>
    </row>
    <row r="1906" spans="2:2" ht="15" customHeight="1">
      <c r="B1906" s="190"/>
    </row>
    <row r="1907" spans="2:2" ht="15" customHeight="1">
      <c r="B1907" s="190"/>
    </row>
    <row r="1908" spans="2:2" ht="15" customHeight="1">
      <c r="B1908" s="190"/>
    </row>
    <row r="1909" spans="2:2" ht="15" customHeight="1">
      <c r="B1909" s="190"/>
    </row>
    <row r="1910" spans="2:2" ht="15" customHeight="1">
      <c r="B1910" s="190"/>
    </row>
    <row r="1911" spans="2:2" ht="15" customHeight="1">
      <c r="B1911" s="190"/>
    </row>
    <row r="1912" spans="2:2" ht="15" customHeight="1">
      <c r="B1912" s="190"/>
    </row>
    <row r="1913" spans="2:2" ht="15" customHeight="1">
      <c r="B1913" s="190"/>
    </row>
    <row r="1914" spans="2:2" ht="15" customHeight="1">
      <c r="B1914" s="190"/>
    </row>
    <row r="1915" spans="2:2" ht="15" customHeight="1">
      <c r="B1915" s="190"/>
    </row>
    <row r="1916" spans="2:2" ht="15" customHeight="1">
      <c r="B1916" s="190"/>
    </row>
    <row r="1917" spans="2:2" ht="15" customHeight="1">
      <c r="B1917" s="190"/>
    </row>
    <row r="1918" spans="2:2" ht="15" customHeight="1">
      <c r="B1918" s="190"/>
    </row>
    <row r="1919" spans="2:2" ht="15" customHeight="1">
      <c r="B1919" s="190"/>
    </row>
    <row r="1920" spans="2:2" ht="15" customHeight="1">
      <c r="B1920" s="190"/>
    </row>
    <row r="1921" spans="2:2" ht="15" customHeight="1">
      <c r="B1921" s="190"/>
    </row>
    <row r="1922" spans="2:2" ht="15" customHeight="1">
      <c r="B1922" s="190"/>
    </row>
    <row r="1923" spans="2:2" ht="15" customHeight="1">
      <c r="B1923" s="190"/>
    </row>
    <row r="1924" spans="2:2" ht="15" customHeight="1">
      <c r="B1924" s="190"/>
    </row>
    <row r="1925" spans="2:2" ht="15" customHeight="1">
      <c r="B1925" s="190"/>
    </row>
    <row r="1926" spans="2:2" ht="15" customHeight="1">
      <c r="B1926" s="190"/>
    </row>
    <row r="1927" spans="2:2" ht="15" customHeight="1">
      <c r="B1927" s="190"/>
    </row>
    <row r="1928" spans="2:2" ht="15" customHeight="1">
      <c r="B1928" s="190"/>
    </row>
    <row r="1929" spans="2:2" ht="15" customHeight="1">
      <c r="B1929" s="190"/>
    </row>
    <row r="1930" spans="2:2" ht="15" customHeight="1">
      <c r="B1930" s="190"/>
    </row>
    <row r="1931" spans="2:2" ht="15" customHeight="1">
      <c r="B1931" s="190"/>
    </row>
    <row r="1932" spans="2:2" ht="15" customHeight="1">
      <c r="B1932" s="190"/>
    </row>
    <row r="1933" spans="2:2" ht="15" customHeight="1">
      <c r="B1933" s="190"/>
    </row>
    <row r="1934" spans="2:2" ht="15" customHeight="1">
      <c r="B1934" s="190"/>
    </row>
    <row r="1935" spans="2:2" ht="15" customHeight="1">
      <c r="B1935" s="190"/>
    </row>
    <row r="1936" spans="2:2" ht="15" customHeight="1">
      <c r="B1936" s="190"/>
    </row>
    <row r="1937" spans="2:2" ht="15" customHeight="1">
      <c r="B1937" s="190"/>
    </row>
    <row r="1938" spans="2:2" ht="15" customHeight="1">
      <c r="B1938" s="190"/>
    </row>
    <row r="1939" spans="2:2" ht="15" customHeight="1">
      <c r="B1939" s="190"/>
    </row>
    <row r="1940" spans="2:2" ht="15" customHeight="1">
      <c r="B1940" s="190"/>
    </row>
    <row r="1941" spans="2:2" ht="15" customHeight="1">
      <c r="B1941" s="190"/>
    </row>
    <row r="1942" spans="2:2" ht="15" customHeight="1">
      <c r="B1942" s="190"/>
    </row>
    <row r="1943" spans="2:2" ht="15" customHeight="1">
      <c r="B1943" s="190"/>
    </row>
    <row r="1944" spans="2:2" ht="15" customHeight="1">
      <c r="B1944" s="190"/>
    </row>
    <row r="1945" spans="2:2" ht="15" customHeight="1">
      <c r="B1945" s="190"/>
    </row>
    <row r="1946" spans="2:2" ht="15" customHeight="1">
      <c r="B1946" s="190"/>
    </row>
    <row r="1947" spans="2:2" ht="15" customHeight="1">
      <c r="B1947" s="190"/>
    </row>
    <row r="1948" spans="2:2" ht="15" customHeight="1">
      <c r="B1948" s="190"/>
    </row>
    <row r="1949" spans="2:2" ht="15" customHeight="1">
      <c r="B1949" s="190"/>
    </row>
    <row r="1950" spans="2:2" ht="15" customHeight="1">
      <c r="B1950" s="190"/>
    </row>
    <row r="1951" spans="2:2" ht="15" customHeight="1">
      <c r="B1951" s="190"/>
    </row>
    <row r="1952" spans="2:2" ht="15" customHeight="1">
      <c r="B1952" s="190"/>
    </row>
    <row r="1953" spans="2:2" ht="15" customHeight="1">
      <c r="B1953" s="190"/>
    </row>
    <row r="1954" spans="2:2" ht="15" customHeight="1">
      <c r="B1954" s="190"/>
    </row>
    <row r="1955" spans="2:2" ht="15" customHeight="1">
      <c r="B1955" s="190"/>
    </row>
    <row r="1956" spans="2:2" ht="15" customHeight="1">
      <c r="B1956" s="190"/>
    </row>
    <row r="1957" spans="2:2" ht="15" customHeight="1">
      <c r="B1957" s="190"/>
    </row>
    <row r="1958" spans="2:2" ht="15" customHeight="1">
      <c r="B1958" s="190"/>
    </row>
    <row r="1959" spans="2:2" ht="15" customHeight="1">
      <c r="B1959" s="190"/>
    </row>
    <row r="1960" spans="2:2" ht="15" customHeight="1">
      <c r="B1960" s="190"/>
    </row>
    <row r="1961" spans="2:2" ht="15" customHeight="1">
      <c r="B1961" s="190"/>
    </row>
    <row r="1962" spans="2:2" ht="15" customHeight="1">
      <c r="B1962" s="190"/>
    </row>
    <row r="1963" spans="2:2" ht="15" customHeight="1">
      <c r="B1963" s="190"/>
    </row>
    <row r="1964" spans="2:2" ht="15" customHeight="1">
      <c r="B1964" s="190"/>
    </row>
    <row r="1965" spans="2:2" ht="15" customHeight="1">
      <c r="B1965" s="190"/>
    </row>
    <row r="1966" spans="2:2" ht="15" customHeight="1">
      <c r="B1966" s="190"/>
    </row>
    <row r="1967" spans="2:2" ht="15" customHeight="1">
      <c r="B1967" s="190"/>
    </row>
    <row r="1968" spans="2:2" ht="15" customHeight="1">
      <c r="B1968" s="190"/>
    </row>
    <row r="1969" spans="2:2" ht="15" customHeight="1">
      <c r="B1969" s="190"/>
    </row>
    <row r="1970" spans="2:2" ht="15" customHeight="1">
      <c r="B1970" s="190"/>
    </row>
    <row r="1971" spans="2:2" ht="15" customHeight="1">
      <c r="B1971" s="190"/>
    </row>
    <row r="1972" spans="2:2" ht="15" customHeight="1">
      <c r="B1972" s="190"/>
    </row>
    <row r="1973" spans="2:2" ht="15" customHeight="1">
      <c r="B1973" s="190"/>
    </row>
    <row r="1974" spans="2:2" ht="15" customHeight="1">
      <c r="B1974" s="190"/>
    </row>
    <row r="1975" spans="2:2" ht="15" customHeight="1">
      <c r="B1975" s="190"/>
    </row>
    <row r="1976" spans="2:2" ht="15" customHeight="1">
      <c r="B1976" s="190"/>
    </row>
    <row r="1977" spans="2:2" ht="15" customHeight="1">
      <c r="B1977" s="190"/>
    </row>
    <row r="1978" spans="2:2" ht="15" customHeight="1">
      <c r="B1978" s="190"/>
    </row>
    <row r="1979" spans="2:2" ht="15" customHeight="1">
      <c r="B1979" s="190"/>
    </row>
    <row r="1980" spans="2:2" ht="15" customHeight="1">
      <c r="B1980" s="190"/>
    </row>
    <row r="1981" spans="2:2" ht="15" customHeight="1">
      <c r="B1981" s="190"/>
    </row>
    <row r="1982" spans="2:2" ht="15" customHeight="1">
      <c r="B1982" s="190"/>
    </row>
    <row r="1983" spans="2:2" ht="15" customHeight="1">
      <c r="B1983" s="190"/>
    </row>
    <row r="1984" spans="2:2" ht="15" customHeight="1">
      <c r="B1984" s="190"/>
    </row>
    <row r="1985" spans="2:2" ht="15" customHeight="1">
      <c r="B1985" s="190"/>
    </row>
    <row r="1986" spans="2:2" ht="15" customHeight="1">
      <c r="B1986" s="190"/>
    </row>
    <row r="1987" spans="2:2" ht="15" customHeight="1">
      <c r="B1987" s="190"/>
    </row>
    <row r="1988" spans="2:2" ht="15" customHeight="1">
      <c r="B1988" s="190"/>
    </row>
    <row r="1989" spans="2:2" ht="15" customHeight="1">
      <c r="B1989" s="190"/>
    </row>
    <row r="1990" spans="2:2" ht="15" customHeight="1">
      <c r="B1990" s="190"/>
    </row>
    <row r="1991" spans="2:2" ht="15" customHeight="1">
      <c r="B1991" s="190"/>
    </row>
    <row r="1992" spans="2:2" ht="15" customHeight="1">
      <c r="B1992" s="190"/>
    </row>
    <row r="1993" spans="2:2" ht="15" customHeight="1">
      <c r="B1993" s="190"/>
    </row>
    <row r="1994" spans="2:2" ht="15" customHeight="1">
      <c r="B1994" s="190"/>
    </row>
    <row r="1995" spans="2:2" ht="15" customHeight="1">
      <c r="B1995" s="190"/>
    </row>
    <row r="1996" spans="2:2" ht="15" customHeight="1">
      <c r="B1996" s="190"/>
    </row>
    <row r="1997" spans="2:2" ht="15" customHeight="1">
      <c r="B1997" s="190"/>
    </row>
    <row r="1998" spans="2:2" ht="15" customHeight="1">
      <c r="B1998" s="190"/>
    </row>
    <row r="1999" spans="2:2" ht="15" customHeight="1">
      <c r="B1999" s="190"/>
    </row>
    <row r="2000" spans="2:2" ht="15" customHeight="1">
      <c r="B2000" s="190"/>
    </row>
    <row r="2001" spans="2:2" ht="15" customHeight="1">
      <c r="B2001" s="190"/>
    </row>
    <row r="2002" spans="2:2" ht="15" customHeight="1">
      <c r="B2002" s="190"/>
    </row>
    <row r="2003" spans="2:2" ht="15" customHeight="1">
      <c r="B2003" s="190"/>
    </row>
    <row r="2004" spans="2:2" ht="15" customHeight="1">
      <c r="B2004" s="190"/>
    </row>
    <row r="2005" spans="2:2" ht="15" customHeight="1">
      <c r="B2005" s="190"/>
    </row>
    <row r="2006" spans="2:2" ht="15" customHeight="1">
      <c r="B2006" s="190"/>
    </row>
    <row r="2007" spans="2:2" ht="15" customHeight="1">
      <c r="B2007" s="190"/>
    </row>
    <row r="2008" spans="2:2" ht="15" customHeight="1">
      <c r="B2008" s="190"/>
    </row>
    <row r="2009" spans="2:2" ht="15" customHeight="1">
      <c r="B2009" s="190"/>
    </row>
    <row r="2010" spans="2:2" ht="15" customHeight="1">
      <c r="B2010" s="190"/>
    </row>
    <row r="2011" spans="2:2" ht="15" customHeight="1">
      <c r="B2011" s="190"/>
    </row>
    <row r="2012" spans="2:2" ht="15" customHeight="1">
      <c r="B2012" s="190"/>
    </row>
    <row r="2013" spans="2:2" ht="15" customHeight="1">
      <c r="B2013" s="190"/>
    </row>
    <row r="2014" spans="2:2" ht="15" customHeight="1">
      <c r="B2014" s="190"/>
    </row>
    <row r="2015" spans="2:2" ht="15" customHeight="1">
      <c r="B2015" s="190"/>
    </row>
    <row r="2016" spans="2:2" ht="15" customHeight="1">
      <c r="B2016" s="190"/>
    </row>
    <row r="2017" spans="2:2" ht="15" customHeight="1">
      <c r="B2017" s="190"/>
    </row>
    <row r="2018" spans="2:2" ht="15" customHeight="1">
      <c r="B2018" s="190"/>
    </row>
    <row r="2019" spans="2:2" ht="15" customHeight="1">
      <c r="B2019" s="190"/>
    </row>
    <row r="2020" spans="2:2" ht="15" customHeight="1">
      <c r="B2020" s="190"/>
    </row>
    <row r="2021" spans="2:2" ht="15" customHeight="1">
      <c r="B2021" s="190"/>
    </row>
    <row r="2022" spans="2:2" ht="15" customHeight="1">
      <c r="B2022" s="190"/>
    </row>
    <row r="2023" spans="2:2" ht="15" customHeight="1">
      <c r="B2023" s="190"/>
    </row>
    <row r="2024" spans="2:2" ht="15" customHeight="1">
      <c r="B2024" s="190"/>
    </row>
    <row r="2025" spans="2:2" ht="15" customHeight="1">
      <c r="B2025" s="190"/>
    </row>
    <row r="2026" spans="2:2" ht="15" customHeight="1">
      <c r="B2026" s="190"/>
    </row>
    <row r="2027" spans="2:2" ht="15" customHeight="1">
      <c r="B2027" s="190"/>
    </row>
    <row r="2028" spans="2:2" ht="15" customHeight="1">
      <c r="B2028" s="190"/>
    </row>
    <row r="2029" spans="2:2" ht="15" customHeight="1">
      <c r="B2029" s="190"/>
    </row>
    <row r="2030" spans="2:2" ht="15" customHeight="1">
      <c r="B2030" s="190"/>
    </row>
    <row r="2031" spans="2:2" ht="15" customHeight="1">
      <c r="B2031" s="190"/>
    </row>
    <row r="2032" spans="2:2" ht="15" customHeight="1">
      <c r="B2032" s="190"/>
    </row>
    <row r="2033" spans="2:2" ht="15" customHeight="1">
      <c r="B2033" s="190"/>
    </row>
    <row r="2034" spans="2:2" ht="15" customHeight="1">
      <c r="B2034" s="190"/>
    </row>
    <row r="2035" spans="2:2" ht="15" customHeight="1">
      <c r="B2035" s="190"/>
    </row>
    <row r="2036" spans="2:2" ht="15" customHeight="1">
      <c r="B2036" s="190"/>
    </row>
    <row r="2037" spans="2:2" ht="15" customHeight="1">
      <c r="B2037" s="190"/>
    </row>
    <row r="2038" spans="2:2" ht="15" customHeight="1">
      <c r="B2038" s="190"/>
    </row>
    <row r="2039" spans="2:2" ht="15" customHeight="1">
      <c r="B2039" s="190"/>
    </row>
    <row r="2040" spans="2:2" ht="15" customHeight="1">
      <c r="B2040" s="190"/>
    </row>
    <row r="2041" spans="2:2" ht="15" customHeight="1">
      <c r="B2041" s="190"/>
    </row>
    <row r="2042" spans="2:2" ht="15" customHeight="1">
      <c r="B2042" s="190"/>
    </row>
    <row r="2043" spans="2:2" ht="15" customHeight="1">
      <c r="B2043" s="190"/>
    </row>
    <row r="2044" spans="2:2" ht="15" customHeight="1">
      <c r="B2044" s="190"/>
    </row>
    <row r="2045" spans="2:2" ht="15" customHeight="1">
      <c r="B2045" s="190"/>
    </row>
    <row r="2046" spans="2:2" ht="15" customHeight="1">
      <c r="B2046" s="190"/>
    </row>
    <row r="2047" spans="2:2" ht="15" customHeight="1">
      <c r="B2047" s="190"/>
    </row>
    <row r="2048" spans="2:2" ht="15" customHeight="1">
      <c r="B2048" s="190"/>
    </row>
    <row r="2049" spans="2:2" ht="15" customHeight="1">
      <c r="B2049" s="190"/>
    </row>
    <row r="2050" spans="2:2" ht="15" customHeight="1">
      <c r="B2050" s="190"/>
    </row>
    <row r="2051" spans="2:2" ht="15" customHeight="1">
      <c r="B2051" s="190"/>
    </row>
    <row r="2052" spans="2:2" ht="15" customHeight="1">
      <c r="B2052" s="190"/>
    </row>
    <row r="2053" spans="2:2" ht="15" customHeight="1">
      <c r="B2053" s="190"/>
    </row>
    <row r="2054" spans="2:2" ht="15" customHeight="1">
      <c r="B2054" s="190"/>
    </row>
    <row r="2055" spans="2:2" ht="15" customHeight="1">
      <c r="B2055" s="190"/>
    </row>
    <row r="2056" spans="2:2" ht="15" customHeight="1">
      <c r="B2056" s="190"/>
    </row>
    <row r="2057" spans="2:2" ht="15" customHeight="1">
      <c r="B2057" s="190"/>
    </row>
    <row r="2058" spans="2:2" ht="15" customHeight="1">
      <c r="B2058" s="190"/>
    </row>
    <row r="2059" spans="2:2" ht="15" customHeight="1">
      <c r="B2059" s="190"/>
    </row>
    <row r="2060" spans="2:2" ht="15" customHeight="1">
      <c r="B2060" s="190"/>
    </row>
    <row r="2061" spans="2:2" ht="15" customHeight="1">
      <c r="B2061" s="190"/>
    </row>
    <row r="2062" spans="2:2" ht="15" customHeight="1">
      <c r="B2062" s="190"/>
    </row>
    <row r="2063" spans="2:2" ht="15" customHeight="1">
      <c r="B2063" s="190"/>
    </row>
    <row r="2064" spans="2:2" ht="15" customHeight="1">
      <c r="B2064" s="190"/>
    </row>
    <row r="2065" spans="2:2" ht="15" customHeight="1">
      <c r="B2065" s="190"/>
    </row>
    <row r="2066" spans="2:2" ht="15" customHeight="1">
      <c r="B2066" s="190"/>
    </row>
    <row r="2067" spans="2:2" ht="15" customHeight="1">
      <c r="B2067" s="190"/>
    </row>
    <row r="2068" spans="2:2" ht="15" customHeight="1">
      <c r="B2068" s="190"/>
    </row>
    <row r="2069" spans="2:2" ht="15" customHeight="1">
      <c r="B2069" s="190"/>
    </row>
    <row r="2070" spans="2:2" ht="15" customHeight="1">
      <c r="B2070" s="190"/>
    </row>
    <row r="2071" spans="2:2" ht="15" customHeight="1">
      <c r="B2071" s="190"/>
    </row>
    <row r="2072" spans="2:2" ht="15" customHeight="1">
      <c r="B2072" s="190"/>
    </row>
    <row r="2073" spans="2:2" ht="15" customHeight="1">
      <c r="B2073" s="190"/>
    </row>
    <row r="2074" spans="2:2" ht="15" customHeight="1">
      <c r="B2074" s="190"/>
    </row>
    <row r="2075" spans="2:2" ht="15" customHeight="1">
      <c r="B2075" s="190"/>
    </row>
    <row r="2076" spans="2:2" ht="15" customHeight="1">
      <c r="B2076" s="190"/>
    </row>
    <row r="2077" spans="2:2" ht="15" customHeight="1">
      <c r="B2077" s="190"/>
    </row>
    <row r="2078" spans="2:2" ht="15" customHeight="1">
      <c r="B2078" s="190"/>
    </row>
    <row r="2079" spans="2:2" ht="15" customHeight="1">
      <c r="B2079" s="190"/>
    </row>
    <row r="2080" spans="2:2" ht="15" customHeight="1">
      <c r="B2080" s="190"/>
    </row>
    <row r="2081" spans="2:2" ht="15" customHeight="1">
      <c r="B2081" s="190"/>
    </row>
    <row r="2082" spans="2:2" ht="15" customHeight="1">
      <c r="B2082" s="190"/>
    </row>
    <row r="2083" spans="2:2" ht="15" customHeight="1">
      <c r="B2083" s="190"/>
    </row>
    <row r="2084" spans="2:2" ht="15" customHeight="1">
      <c r="B2084" s="190"/>
    </row>
    <row r="2085" spans="2:2" ht="15" customHeight="1">
      <c r="B2085" s="190"/>
    </row>
    <row r="2086" spans="2:2" ht="15" customHeight="1">
      <c r="B2086" s="190"/>
    </row>
    <row r="2087" spans="2:2" ht="15" customHeight="1">
      <c r="B2087" s="190"/>
    </row>
    <row r="2088" spans="2:2" ht="15" customHeight="1">
      <c r="B2088" s="190"/>
    </row>
    <row r="2089" spans="2:2" ht="15" customHeight="1">
      <c r="B2089" s="190"/>
    </row>
    <row r="2090" spans="2:2" ht="15" customHeight="1">
      <c r="B2090" s="190"/>
    </row>
    <row r="2091" spans="2:2" ht="15" customHeight="1">
      <c r="B2091" s="190"/>
    </row>
    <row r="2092" spans="2:2" ht="15" customHeight="1">
      <c r="B2092" s="190"/>
    </row>
    <row r="2093" spans="2:2" ht="15" customHeight="1">
      <c r="B2093" s="190"/>
    </row>
    <row r="2094" spans="2:2" ht="15" customHeight="1">
      <c r="B2094" s="190"/>
    </row>
    <row r="2095" spans="2:2" ht="15" customHeight="1">
      <c r="B2095" s="190"/>
    </row>
    <row r="2096" spans="2:2" ht="15" customHeight="1">
      <c r="B2096" s="190"/>
    </row>
    <row r="2097" spans="2:2" ht="15" customHeight="1">
      <c r="B2097" s="190"/>
    </row>
    <row r="2098" spans="2:2" ht="15" customHeight="1">
      <c r="B2098" s="190"/>
    </row>
    <row r="2099" spans="2:2" ht="15" customHeight="1">
      <c r="B2099" s="190"/>
    </row>
    <row r="2100" spans="2:2" ht="15" customHeight="1">
      <c r="B2100" s="190"/>
    </row>
    <row r="2101" spans="2:2" ht="15" customHeight="1">
      <c r="B2101" s="190"/>
    </row>
    <row r="2102" spans="2:2" ht="15" customHeight="1">
      <c r="B2102" s="190"/>
    </row>
    <row r="2103" spans="2:2" ht="15" customHeight="1">
      <c r="B2103" s="190"/>
    </row>
    <row r="2104" spans="2:2" ht="15" customHeight="1">
      <c r="B2104" s="190"/>
    </row>
    <row r="2105" spans="2:2" ht="15" customHeight="1">
      <c r="B2105" s="190"/>
    </row>
    <row r="2106" spans="2:2" ht="15" customHeight="1">
      <c r="B2106" s="190"/>
    </row>
    <row r="2107" spans="2:2" ht="15" customHeight="1">
      <c r="B2107" s="190"/>
    </row>
    <row r="2108" spans="2:2" ht="15" customHeight="1">
      <c r="B2108" s="190"/>
    </row>
    <row r="2109" spans="2:2" ht="15" customHeight="1">
      <c r="B2109" s="190"/>
    </row>
    <row r="2110" spans="2:2" ht="15" customHeight="1">
      <c r="B2110" s="190"/>
    </row>
    <row r="2111" spans="2:2" ht="15" customHeight="1">
      <c r="B2111" s="190"/>
    </row>
    <row r="2112" spans="2:2" ht="15" customHeight="1">
      <c r="B2112" s="190"/>
    </row>
    <row r="2113" spans="2:2" ht="15" customHeight="1">
      <c r="B2113" s="190"/>
    </row>
    <row r="2114" spans="2:2" ht="15" customHeight="1">
      <c r="B2114" s="190"/>
    </row>
    <row r="2115" spans="2:2" ht="15" customHeight="1">
      <c r="B2115" s="190"/>
    </row>
    <row r="2116" spans="2:2" ht="15" customHeight="1">
      <c r="B2116" s="190"/>
    </row>
    <row r="2117" spans="2:2" ht="15" customHeight="1">
      <c r="B2117" s="190"/>
    </row>
    <row r="2118" spans="2:2" ht="15" customHeight="1">
      <c r="B2118" s="190"/>
    </row>
    <row r="2119" spans="2:2" ht="15" customHeight="1">
      <c r="B2119" s="190"/>
    </row>
    <row r="2120" spans="2:2" ht="15" customHeight="1">
      <c r="B2120" s="190"/>
    </row>
    <row r="2121" spans="2:2" ht="15" customHeight="1">
      <c r="B2121" s="190"/>
    </row>
    <row r="2122" spans="2:2" ht="15" customHeight="1">
      <c r="B2122" s="190"/>
    </row>
    <row r="2123" spans="2:2" ht="15" customHeight="1">
      <c r="B2123" s="190"/>
    </row>
    <row r="2124" spans="2:2" ht="15" customHeight="1">
      <c r="B2124" s="190"/>
    </row>
    <row r="2125" spans="2:2" ht="15" customHeight="1">
      <c r="B2125" s="190"/>
    </row>
    <row r="2126" spans="2:2" ht="15" customHeight="1">
      <c r="B2126" s="190"/>
    </row>
    <row r="2127" spans="2:2" ht="15" customHeight="1">
      <c r="B2127" s="190"/>
    </row>
    <row r="2128" spans="2:2" ht="15" customHeight="1">
      <c r="B2128" s="190"/>
    </row>
    <row r="2129" spans="2:2" ht="15" customHeight="1">
      <c r="B2129" s="190"/>
    </row>
    <row r="2130" spans="2:2" ht="15" customHeight="1">
      <c r="B2130" s="190"/>
    </row>
    <row r="2131" spans="2:2" ht="15" customHeight="1">
      <c r="B2131" s="190"/>
    </row>
    <row r="2132" spans="2:2" ht="15" customHeight="1">
      <c r="B2132" s="190"/>
    </row>
    <row r="2133" spans="2:2" ht="15" customHeight="1">
      <c r="B2133" s="190"/>
    </row>
    <row r="2134" spans="2:2" ht="15" customHeight="1">
      <c r="B2134" s="190"/>
    </row>
    <row r="2135" spans="2:2" ht="15" customHeight="1">
      <c r="B2135" s="190"/>
    </row>
    <row r="2136" spans="2:2" ht="15" customHeight="1">
      <c r="B2136" s="190"/>
    </row>
    <row r="2137" spans="2:2" ht="15" customHeight="1">
      <c r="B2137" s="190"/>
    </row>
    <row r="2138" spans="2:2" ht="15" customHeight="1">
      <c r="B2138" s="190"/>
    </row>
    <row r="2139" spans="2:2" ht="15" customHeight="1">
      <c r="B2139" s="190"/>
    </row>
    <row r="2140" spans="2:2" ht="15" customHeight="1">
      <c r="B2140" s="190"/>
    </row>
    <row r="2141" spans="2:2" ht="15" customHeight="1">
      <c r="B2141" s="190"/>
    </row>
    <row r="2142" spans="2:2" ht="15" customHeight="1">
      <c r="B2142" s="190"/>
    </row>
    <row r="2143" spans="2:2" ht="15" customHeight="1">
      <c r="B2143" s="190"/>
    </row>
    <row r="2144" spans="2:2" ht="15" customHeight="1">
      <c r="B2144" s="190"/>
    </row>
    <row r="2145" spans="2:2" ht="15" customHeight="1">
      <c r="B2145" s="190"/>
    </row>
    <row r="2146" spans="2:2" ht="15" customHeight="1">
      <c r="B2146" s="190"/>
    </row>
    <row r="2147" spans="2:2" ht="15" customHeight="1">
      <c r="B2147" s="190"/>
    </row>
    <row r="2148" spans="2:2" ht="15" customHeight="1">
      <c r="B2148" s="190"/>
    </row>
    <row r="2149" spans="2:2" ht="15" customHeight="1">
      <c r="B2149" s="190"/>
    </row>
    <row r="2150" spans="2:2" ht="15" customHeight="1">
      <c r="B2150" s="190"/>
    </row>
    <row r="2151" spans="2:2" ht="15" customHeight="1">
      <c r="B2151" s="190"/>
    </row>
    <row r="2152" spans="2:2" ht="15" customHeight="1">
      <c r="B2152" s="190"/>
    </row>
    <row r="2153" spans="2:2" ht="15" customHeight="1">
      <c r="B2153" s="190"/>
    </row>
    <row r="2154" spans="2:2" ht="15" customHeight="1">
      <c r="B2154" s="190"/>
    </row>
    <row r="2155" spans="2:2" ht="15" customHeight="1">
      <c r="B2155" s="190"/>
    </row>
    <row r="2156" spans="2:2" ht="15" customHeight="1">
      <c r="B2156" s="190"/>
    </row>
    <row r="2157" spans="2:2" ht="15" customHeight="1">
      <c r="B2157" s="190"/>
    </row>
    <row r="2158" spans="2:2" ht="15" customHeight="1">
      <c r="B2158" s="190"/>
    </row>
    <row r="2159" spans="2:2" ht="15" customHeight="1">
      <c r="B2159" s="190"/>
    </row>
    <row r="2160" spans="2:2" ht="15" customHeight="1">
      <c r="B2160" s="190"/>
    </row>
    <row r="2161" spans="2:2" ht="15" customHeight="1">
      <c r="B2161" s="190"/>
    </row>
    <row r="2162" spans="2:2" ht="15" customHeight="1">
      <c r="B2162" s="190"/>
    </row>
    <row r="2163" spans="2:2" ht="15" customHeight="1">
      <c r="B2163" s="190"/>
    </row>
    <row r="2164" spans="2:2" ht="15" customHeight="1">
      <c r="B2164" s="190"/>
    </row>
    <row r="2165" spans="2:2" ht="15" customHeight="1">
      <c r="B2165" s="190"/>
    </row>
    <row r="2166" spans="2:2" ht="15" customHeight="1">
      <c r="B2166" s="190"/>
    </row>
    <row r="2167" spans="2:2" ht="15" customHeight="1">
      <c r="B2167" s="190"/>
    </row>
    <row r="2168" spans="2:2" ht="15" customHeight="1">
      <c r="B2168" s="190"/>
    </row>
    <row r="2169" spans="2:2" ht="15" customHeight="1">
      <c r="B2169" s="190"/>
    </row>
    <row r="2170" spans="2:2" ht="15" customHeight="1">
      <c r="B2170" s="190"/>
    </row>
    <row r="2171" spans="2:2" ht="15" customHeight="1">
      <c r="B2171" s="190"/>
    </row>
    <row r="2172" spans="2:2" ht="15" customHeight="1">
      <c r="B2172" s="190"/>
    </row>
    <row r="2173" spans="2:2" ht="15" customHeight="1">
      <c r="B2173" s="190"/>
    </row>
    <row r="2174" spans="2:2" ht="15" customHeight="1">
      <c r="B2174" s="190"/>
    </row>
    <row r="2175" spans="2:2" ht="15" customHeight="1">
      <c r="B2175" s="190"/>
    </row>
    <row r="2176" spans="2:2" ht="15" customHeight="1">
      <c r="B2176" s="190"/>
    </row>
    <row r="2177" spans="2:2" ht="15" customHeight="1">
      <c r="B2177" s="190"/>
    </row>
    <row r="2178" spans="2:2" ht="15" customHeight="1">
      <c r="B2178" s="190"/>
    </row>
    <row r="2179" spans="2:2" ht="15" customHeight="1">
      <c r="B2179" s="190"/>
    </row>
    <row r="2180" spans="2:2" ht="15" customHeight="1">
      <c r="B2180" s="190"/>
    </row>
    <row r="2181" spans="2:2" ht="15" customHeight="1">
      <c r="B2181" s="190"/>
    </row>
    <row r="2182" spans="2:2" ht="15" customHeight="1">
      <c r="B2182" s="190"/>
    </row>
    <row r="2183" spans="2:2" ht="15" customHeight="1">
      <c r="B2183" s="190"/>
    </row>
    <row r="2184" spans="2:2" ht="15" customHeight="1">
      <c r="B2184" s="190"/>
    </row>
    <row r="2185" spans="2:2" ht="15" customHeight="1">
      <c r="B2185" s="190"/>
    </row>
    <row r="2186" spans="2:2" ht="15" customHeight="1">
      <c r="B2186" s="190"/>
    </row>
    <row r="2187" spans="2:2" ht="15" customHeight="1">
      <c r="B2187" s="190"/>
    </row>
    <row r="2188" spans="2:2" ht="15" customHeight="1">
      <c r="B2188" s="190"/>
    </row>
    <row r="2189" spans="2:2" ht="15" customHeight="1">
      <c r="B2189" s="190"/>
    </row>
    <row r="2190" spans="2:2" ht="15" customHeight="1">
      <c r="B2190" s="190"/>
    </row>
    <row r="2191" spans="2:2" ht="15" customHeight="1">
      <c r="B2191" s="190"/>
    </row>
    <row r="2192" spans="2:2" ht="15" customHeight="1">
      <c r="B2192" s="190"/>
    </row>
    <row r="2193" spans="2:2" ht="15" customHeight="1">
      <c r="B2193" s="190"/>
    </row>
    <row r="2194" spans="2:2" ht="15" customHeight="1">
      <c r="B2194" s="190"/>
    </row>
    <row r="2195" spans="2:2" ht="15" customHeight="1">
      <c r="B2195" s="190"/>
    </row>
    <row r="2196" spans="2:2" ht="15" customHeight="1">
      <c r="B2196" s="190"/>
    </row>
    <row r="2197" spans="2:2" ht="15" customHeight="1">
      <c r="B2197" s="190"/>
    </row>
    <row r="2198" spans="2:2" ht="15" customHeight="1">
      <c r="B2198" s="190"/>
    </row>
    <row r="2199" spans="2:2" ht="15" customHeight="1">
      <c r="B2199" s="190"/>
    </row>
    <row r="2200" spans="2:2" ht="15" customHeight="1">
      <c r="B2200" s="190"/>
    </row>
    <row r="2201" spans="2:2" ht="15" customHeight="1">
      <c r="B2201" s="190"/>
    </row>
    <row r="2202" spans="2:2" ht="15" customHeight="1">
      <c r="B2202" s="190"/>
    </row>
    <row r="2203" spans="2:2" ht="15" customHeight="1">
      <c r="B2203" s="190"/>
    </row>
    <row r="2204" spans="2:2" ht="15" customHeight="1">
      <c r="B2204" s="190"/>
    </row>
    <row r="2205" spans="2:2" ht="15" customHeight="1">
      <c r="B2205" s="190"/>
    </row>
    <row r="2206" spans="2:2" ht="15" customHeight="1">
      <c r="B2206" s="190"/>
    </row>
    <row r="2207" spans="2:2" ht="15" customHeight="1">
      <c r="B2207" s="190"/>
    </row>
    <row r="2208" spans="2:2" ht="15" customHeight="1">
      <c r="B2208" s="190"/>
    </row>
    <row r="2209" spans="2:2" ht="15" customHeight="1">
      <c r="B2209" s="190"/>
    </row>
    <row r="2210" spans="2:2" ht="15" customHeight="1">
      <c r="B2210" s="190"/>
    </row>
    <row r="2211" spans="2:2" ht="15" customHeight="1">
      <c r="B2211" s="190"/>
    </row>
    <row r="2212" spans="2:2" ht="15" customHeight="1">
      <c r="B2212" s="190"/>
    </row>
    <row r="2213" spans="2:2" ht="15" customHeight="1">
      <c r="B2213" s="190"/>
    </row>
    <row r="2214" spans="2:2" ht="15" customHeight="1">
      <c r="B2214" s="190"/>
    </row>
    <row r="2215" spans="2:2" ht="15" customHeight="1">
      <c r="B2215" s="190"/>
    </row>
    <row r="2216" spans="2:2" ht="15" customHeight="1">
      <c r="B2216" s="190"/>
    </row>
    <row r="2217" spans="2:2" ht="15" customHeight="1">
      <c r="B2217" s="190"/>
    </row>
    <row r="2218" spans="2:2" ht="15" customHeight="1">
      <c r="B2218" s="190"/>
    </row>
    <row r="2219" spans="2:2" ht="15" customHeight="1">
      <c r="B2219" s="190"/>
    </row>
    <row r="2220" spans="2:2" ht="15" customHeight="1">
      <c r="B2220" s="190"/>
    </row>
    <row r="2221" spans="2:2" ht="15" customHeight="1">
      <c r="B2221" s="190"/>
    </row>
    <row r="2222" spans="2:2" ht="15" customHeight="1">
      <c r="B2222" s="190"/>
    </row>
    <row r="2223" spans="2:2" ht="15" customHeight="1">
      <c r="B2223" s="190"/>
    </row>
    <row r="2224" spans="2:2" ht="15" customHeight="1">
      <c r="B2224" s="190"/>
    </row>
    <row r="2225" spans="2:2" ht="15" customHeight="1">
      <c r="B2225" s="190"/>
    </row>
    <row r="2226" spans="2:2" ht="15" customHeight="1">
      <c r="B2226" s="190"/>
    </row>
    <row r="2227" spans="2:2" ht="15" customHeight="1">
      <c r="B2227" s="190"/>
    </row>
    <row r="2228" spans="2:2" ht="15" customHeight="1">
      <c r="B2228" s="190"/>
    </row>
    <row r="2229" spans="2:2" ht="15" customHeight="1">
      <c r="B2229" s="190"/>
    </row>
    <row r="2230" spans="2:2" ht="15" customHeight="1">
      <c r="B2230" s="190"/>
    </row>
    <row r="2231" spans="2:2" ht="15" customHeight="1">
      <c r="B2231" s="190"/>
    </row>
    <row r="2232" spans="2:2" ht="15" customHeight="1">
      <c r="B2232" s="190"/>
    </row>
    <row r="2233" spans="2:2" ht="15" customHeight="1">
      <c r="B2233" s="190"/>
    </row>
    <row r="2234" spans="2:2" ht="15" customHeight="1">
      <c r="B2234" s="190"/>
    </row>
    <row r="2235" spans="2:2" ht="15" customHeight="1">
      <c r="B2235" s="190"/>
    </row>
    <row r="2236" spans="2:2" ht="15" customHeight="1">
      <c r="B2236" s="190"/>
    </row>
    <row r="2237" spans="2:2" ht="15" customHeight="1">
      <c r="B2237" s="190"/>
    </row>
    <row r="2238" spans="2:2" ht="15" customHeight="1">
      <c r="B2238" s="190"/>
    </row>
    <row r="2239" spans="2:2" ht="15" customHeight="1">
      <c r="B2239" s="190"/>
    </row>
    <row r="2240" spans="2:2" ht="15" customHeight="1">
      <c r="B2240" s="190"/>
    </row>
    <row r="2241" spans="2:2" ht="15" customHeight="1">
      <c r="B2241" s="190"/>
    </row>
    <row r="2242" spans="2:2" ht="15" customHeight="1">
      <c r="B2242" s="190"/>
    </row>
    <row r="2243" spans="2:2" ht="15" customHeight="1">
      <c r="B2243" s="190"/>
    </row>
    <row r="2244" spans="2:2" ht="15" customHeight="1">
      <c r="B2244" s="190"/>
    </row>
    <row r="2245" spans="2:2" ht="15" customHeight="1">
      <c r="B2245" s="190"/>
    </row>
    <row r="2246" spans="2:2" ht="15" customHeight="1">
      <c r="B2246" s="190"/>
    </row>
    <row r="2247" spans="2:2" ht="15" customHeight="1">
      <c r="B2247" s="190"/>
    </row>
    <row r="2248" spans="2:2" ht="15" customHeight="1">
      <c r="B2248" s="190"/>
    </row>
    <row r="2249" spans="2:2" ht="15" customHeight="1">
      <c r="B2249" s="190"/>
    </row>
    <row r="2250" spans="2:2" ht="15" customHeight="1">
      <c r="B2250" s="190"/>
    </row>
    <row r="2251" spans="2:2" ht="15" customHeight="1">
      <c r="B2251" s="190"/>
    </row>
    <row r="2252" spans="2:2" ht="15" customHeight="1">
      <c r="B2252" s="190"/>
    </row>
    <row r="2253" spans="2:2" ht="15" customHeight="1">
      <c r="B2253" s="190"/>
    </row>
    <row r="2254" spans="2:2" ht="15" customHeight="1">
      <c r="B2254" s="190"/>
    </row>
    <row r="2255" spans="2:2" ht="15" customHeight="1">
      <c r="B2255" s="190"/>
    </row>
    <row r="2256" spans="2:2" ht="15" customHeight="1">
      <c r="B2256" s="190"/>
    </row>
    <row r="2257" spans="2:2" ht="15" customHeight="1">
      <c r="B2257" s="190"/>
    </row>
    <row r="2258" spans="2:2" ht="15" customHeight="1">
      <c r="B2258" s="190"/>
    </row>
    <row r="2259" spans="2:2" ht="15" customHeight="1">
      <c r="B2259" s="190"/>
    </row>
    <row r="2260" spans="2:2" ht="15" customHeight="1">
      <c r="B2260" s="190"/>
    </row>
    <row r="2261" spans="2:2" ht="15" customHeight="1">
      <c r="B2261" s="190"/>
    </row>
    <row r="2262" spans="2:2" ht="15" customHeight="1">
      <c r="B2262" s="190"/>
    </row>
    <row r="2263" spans="2:2" ht="15" customHeight="1">
      <c r="B2263" s="190"/>
    </row>
    <row r="2264" spans="2:2" ht="15" customHeight="1">
      <c r="B2264" s="190"/>
    </row>
    <row r="2265" spans="2:2" ht="15" customHeight="1">
      <c r="B2265" s="190"/>
    </row>
    <row r="2266" spans="2:2" ht="15" customHeight="1">
      <c r="B2266" s="190"/>
    </row>
    <row r="2267" spans="2:2" ht="15" customHeight="1">
      <c r="B2267" s="190"/>
    </row>
    <row r="2268" spans="2:2" ht="15" customHeight="1">
      <c r="B2268" s="190"/>
    </row>
    <row r="2269" spans="2:2" ht="15" customHeight="1">
      <c r="B2269" s="190"/>
    </row>
    <row r="2270" spans="2:2" ht="15" customHeight="1">
      <c r="B2270" s="190"/>
    </row>
    <row r="2271" spans="2:2" ht="15" customHeight="1">
      <c r="B2271" s="190"/>
    </row>
    <row r="2272" spans="2:2" ht="15" customHeight="1">
      <c r="B2272" s="190"/>
    </row>
    <row r="2273" spans="2:2" ht="15" customHeight="1">
      <c r="B2273" s="190"/>
    </row>
    <row r="2274" spans="2:2" ht="15" customHeight="1">
      <c r="B2274" s="190"/>
    </row>
    <row r="2275" spans="2:2" ht="15" customHeight="1">
      <c r="B2275" s="190"/>
    </row>
    <row r="2276" spans="2:2" ht="15" customHeight="1">
      <c r="B2276" s="190"/>
    </row>
    <row r="2277" spans="2:2" ht="15" customHeight="1">
      <c r="B2277" s="190"/>
    </row>
    <row r="2278" spans="2:2" ht="15" customHeight="1">
      <c r="B2278" s="190"/>
    </row>
    <row r="2279" spans="2:2" ht="15" customHeight="1">
      <c r="B2279" s="190"/>
    </row>
    <row r="2280" spans="2:2" ht="15" customHeight="1">
      <c r="B2280" s="190"/>
    </row>
    <row r="2281" spans="2:2" ht="15" customHeight="1">
      <c r="B2281" s="190"/>
    </row>
    <row r="2282" spans="2:2" ht="15" customHeight="1">
      <c r="B2282" s="190"/>
    </row>
    <row r="2283" spans="2:2" ht="15" customHeight="1">
      <c r="B2283" s="190"/>
    </row>
    <row r="2284" spans="2:2" ht="15" customHeight="1">
      <c r="B2284" s="190"/>
    </row>
    <row r="2285" spans="2:2" ht="15" customHeight="1">
      <c r="B2285" s="190"/>
    </row>
    <row r="2286" spans="2:2" ht="15" customHeight="1">
      <c r="B2286" s="190"/>
    </row>
    <row r="2287" spans="2:2" ht="15" customHeight="1">
      <c r="B2287" s="190"/>
    </row>
    <row r="2288" spans="2:2" ht="15" customHeight="1">
      <c r="B2288" s="190"/>
    </row>
    <row r="2289" spans="2:2" ht="15" customHeight="1">
      <c r="B2289" s="190"/>
    </row>
    <row r="2290" spans="2:2" ht="15" customHeight="1">
      <c r="B2290" s="190"/>
    </row>
    <row r="2291" spans="2:2" ht="15" customHeight="1">
      <c r="B2291" s="190"/>
    </row>
    <row r="2292" spans="2:2" ht="15" customHeight="1">
      <c r="B2292" s="190"/>
    </row>
    <row r="2293" spans="2:2" ht="15" customHeight="1">
      <c r="B2293" s="190"/>
    </row>
    <row r="2294" spans="2:2" ht="15" customHeight="1">
      <c r="B2294" s="190"/>
    </row>
    <row r="2295" spans="2:2" ht="15" customHeight="1">
      <c r="B2295" s="190"/>
    </row>
    <row r="2296" spans="2:2" ht="15" customHeight="1">
      <c r="B2296" s="190"/>
    </row>
    <row r="2297" spans="2:2" ht="15" customHeight="1">
      <c r="B2297" s="190"/>
    </row>
    <row r="2298" spans="2:2" ht="15" customHeight="1">
      <c r="B2298" s="190"/>
    </row>
    <row r="2299" spans="2:2" ht="15" customHeight="1">
      <c r="B2299" s="190"/>
    </row>
    <row r="2300" spans="2:2" ht="15" customHeight="1">
      <c r="B2300" s="190"/>
    </row>
    <row r="2301" spans="2:2" ht="15" customHeight="1">
      <c r="B2301" s="190"/>
    </row>
    <row r="2302" spans="2:2" ht="15" customHeight="1">
      <c r="B2302" s="190"/>
    </row>
    <row r="2303" spans="2:2" ht="15" customHeight="1">
      <c r="B2303" s="190"/>
    </row>
    <row r="2304" spans="2:2" ht="15" customHeight="1">
      <c r="B2304" s="190"/>
    </row>
    <row r="2305" spans="2:2" ht="15" customHeight="1">
      <c r="B2305" s="190"/>
    </row>
    <row r="2306" spans="2:2" ht="15" customHeight="1">
      <c r="B2306" s="190"/>
    </row>
    <row r="2307" spans="2:2" ht="15" customHeight="1">
      <c r="B2307" s="190"/>
    </row>
    <row r="2308" spans="2:2" ht="15" customHeight="1">
      <c r="B2308" s="190"/>
    </row>
    <row r="2309" spans="2:2" ht="15" customHeight="1">
      <c r="B2309" s="190"/>
    </row>
    <row r="2310" spans="2:2" ht="15" customHeight="1">
      <c r="B2310" s="190"/>
    </row>
    <row r="2311" spans="2:2" ht="15" customHeight="1">
      <c r="B2311" s="190"/>
    </row>
    <row r="2312" spans="2:2" ht="15" customHeight="1">
      <c r="B2312" s="190"/>
    </row>
    <row r="2313" spans="2:2" ht="15" customHeight="1">
      <c r="B2313" s="190"/>
    </row>
    <row r="2314" spans="2:2" ht="15" customHeight="1">
      <c r="B2314" s="190"/>
    </row>
    <row r="2315" spans="2:2" ht="15" customHeight="1">
      <c r="B2315" s="190"/>
    </row>
    <row r="2316" spans="2:2" ht="15" customHeight="1">
      <c r="B2316" s="190"/>
    </row>
    <row r="2317" spans="2:2" ht="15" customHeight="1">
      <c r="B2317" s="190"/>
    </row>
    <row r="2318" spans="2:2" ht="15" customHeight="1">
      <c r="B2318" s="190"/>
    </row>
    <row r="2319" spans="2:2" ht="15" customHeight="1">
      <c r="B2319" s="190"/>
    </row>
    <row r="2320" spans="2:2" ht="15" customHeight="1">
      <c r="B2320" s="190"/>
    </row>
    <row r="2321" spans="2:2" ht="15" customHeight="1">
      <c r="B2321" s="190"/>
    </row>
    <row r="2322" spans="2:2" ht="15" customHeight="1">
      <c r="B2322" s="190"/>
    </row>
    <row r="2323" spans="2:2" ht="15" customHeight="1">
      <c r="B2323" s="190"/>
    </row>
    <row r="2324" spans="2:2" ht="15" customHeight="1">
      <c r="B2324" s="190"/>
    </row>
    <row r="2325" spans="2:2" ht="15" customHeight="1">
      <c r="B2325" s="190"/>
    </row>
    <row r="2326" spans="2:2" ht="15" customHeight="1">
      <c r="B2326" s="190"/>
    </row>
    <row r="2327" spans="2:2" ht="15" customHeight="1">
      <c r="B2327" s="190"/>
    </row>
    <row r="2328" spans="2:2" ht="15" customHeight="1">
      <c r="B2328" s="190"/>
    </row>
    <row r="2329" spans="2:2" ht="15" customHeight="1">
      <c r="B2329" s="190"/>
    </row>
    <row r="2330" spans="2:2" ht="15" customHeight="1">
      <c r="B2330" s="190"/>
    </row>
    <row r="2331" spans="2:2" ht="15" customHeight="1">
      <c r="B2331" s="190"/>
    </row>
    <row r="2332" spans="2:2" ht="15" customHeight="1">
      <c r="B2332" s="190"/>
    </row>
    <row r="2333" spans="2:2" ht="15" customHeight="1">
      <c r="B2333" s="190"/>
    </row>
    <row r="2334" spans="2:2" ht="15" customHeight="1">
      <c r="B2334" s="190"/>
    </row>
    <row r="2335" spans="2:2" ht="15" customHeight="1">
      <c r="B2335" s="190"/>
    </row>
    <row r="2336" spans="2:2" ht="15" customHeight="1">
      <c r="B2336" s="190"/>
    </row>
    <row r="2337" spans="2:2" ht="15" customHeight="1">
      <c r="B2337" s="190"/>
    </row>
    <row r="2338" spans="2:2" ht="15" customHeight="1">
      <c r="B2338" s="190"/>
    </row>
    <row r="2339" spans="2:2" ht="15" customHeight="1">
      <c r="B2339" s="190"/>
    </row>
    <row r="2340" spans="2:2" ht="15" customHeight="1">
      <c r="B2340" s="190"/>
    </row>
    <row r="2341" spans="2:2" ht="15" customHeight="1">
      <c r="B2341" s="190"/>
    </row>
    <row r="2342" spans="2:2" ht="15" customHeight="1">
      <c r="B2342" s="190"/>
    </row>
    <row r="2343" spans="2:2" ht="15" customHeight="1">
      <c r="B2343" s="190"/>
    </row>
    <row r="2344" spans="2:2" ht="15" customHeight="1">
      <c r="B2344" s="190"/>
    </row>
    <row r="2345" spans="2:2" ht="15" customHeight="1">
      <c r="B2345" s="190"/>
    </row>
    <row r="2346" spans="2:2" ht="15" customHeight="1">
      <c r="B2346" s="190"/>
    </row>
    <row r="2347" spans="2:2" ht="15" customHeight="1">
      <c r="B2347" s="190"/>
    </row>
    <row r="2348" spans="2:2" ht="15" customHeight="1">
      <c r="B2348" s="190"/>
    </row>
    <row r="2349" spans="2:2" ht="15" customHeight="1">
      <c r="B2349" s="190"/>
    </row>
    <row r="2350" spans="2:2" ht="15" customHeight="1">
      <c r="B2350" s="190"/>
    </row>
    <row r="2351" spans="2:2" ht="15" customHeight="1">
      <c r="B2351" s="190"/>
    </row>
    <row r="2352" spans="2:2" ht="15" customHeight="1">
      <c r="B2352" s="190"/>
    </row>
    <row r="2353" spans="2:2" ht="15" customHeight="1">
      <c r="B2353" s="190"/>
    </row>
    <row r="2354" spans="2:2" ht="15" customHeight="1">
      <c r="B2354" s="190"/>
    </row>
    <row r="2355" spans="2:2" ht="15" customHeight="1">
      <c r="B2355" s="190"/>
    </row>
    <row r="2356" spans="2:2" ht="15" customHeight="1">
      <c r="B2356" s="190"/>
    </row>
    <row r="2357" spans="2:2" ht="15" customHeight="1">
      <c r="B2357" s="190"/>
    </row>
    <row r="2358" spans="2:2" ht="15" customHeight="1">
      <c r="B2358" s="190"/>
    </row>
    <row r="2359" spans="2:2" ht="15" customHeight="1">
      <c r="B2359" s="190"/>
    </row>
    <row r="2360" spans="2:2" ht="15" customHeight="1">
      <c r="B2360" s="190"/>
    </row>
    <row r="2361" spans="2:2" ht="15" customHeight="1">
      <c r="B2361" s="190"/>
    </row>
    <row r="2362" spans="2:2" ht="15" customHeight="1">
      <c r="B2362" s="190"/>
    </row>
    <row r="2363" spans="2:2" ht="15" customHeight="1">
      <c r="B2363" s="190"/>
    </row>
    <row r="2364" spans="2:2" ht="15" customHeight="1">
      <c r="B2364" s="190"/>
    </row>
    <row r="2365" spans="2:2" ht="15" customHeight="1">
      <c r="B2365" s="190"/>
    </row>
    <row r="2366" spans="2:2" ht="15" customHeight="1">
      <c r="B2366" s="190"/>
    </row>
    <row r="2367" spans="2:2" ht="15" customHeight="1">
      <c r="B2367" s="190"/>
    </row>
    <row r="2368" spans="2:2" ht="15" customHeight="1">
      <c r="B2368" s="190"/>
    </row>
    <row r="2369" spans="2:2" ht="15" customHeight="1">
      <c r="B2369" s="190"/>
    </row>
    <row r="2370" spans="2:2" ht="15" customHeight="1">
      <c r="B2370" s="190"/>
    </row>
    <row r="2371" spans="2:2" ht="15" customHeight="1">
      <c r="B2371" s="190"/>
    </row>
    <row r="2372" spans="2:2" ht="15" customHeight="1">
      <c r="B2372" s="190"/>
    </row>
    <row r="2373" spans="2:2" ht="15" customHeight="1">
      <c r="B2373" s="190"/>
    </row>
    <row r="2374" spans="2:2" ht="15" customHeight="1">
      <c r="B2374" s="190"/>
    </row>
    <row r="2375" spans="2:2" ht="15" customHeight="1">
      <c r="B2375" s="190"/>
    </row>
    <row r="2376" spans="2:2" ht="15" customHeight="1">
      <c r="B2376" s="190"/>
    </row>
    <row r="2377" spans="2:2" ht="15" customHeight="1">
      <c r="B2377" s="190"/>
    </row>
    <row r="2378" spans="2:2" ht="15" customHeight="1">
      <c r="B2378" s="190"/>
    </row>
    <row r="2379" spans="2:2" ht="15" customHeight="1">
      <c r="B2379" s="190"/>
    </row>
    <row r="2380" spans="2:2" ht="15" customHeight="1">
      <c r="B2380" s="190"/>
    </row>
    <row r="2381" spans="2:2" ht="15" customHeight="1">
      <c r="B2381" s="190"/>
    </row>
    <row r="2382" spans="2:2" ht="15" customHeight="1">
      <c r="B2382" s="190"/>
    </row>
    <row r="2383" spans="2:2" ht="15" customHeight="1">
      <c r="B2383" s="190"/>
    </row>
    <row r="2384" spans="2:2" ht="15" customHeight="1">
      <c r="B2384" s="190"/>
    </row>
    <row r="2385" spans="2:2" ht="15" customHeight="1">
      <c r="B2385" s="190"/>
    </row>
    <row r="2386" spans="2:2" ht="15" customHeight="1">
      <c r="B2386" s="190"/>
    </row>
    <row r="2387" spans="2:2" ht="15" customHeight="1">
      <c r="B2387" s="190"/>
    </row>
    <row r="2388" spans="2:2" ht="15" customHeight="1">
      <c r="B2388" s="190"/>
    </row>
    <row r="2389" spans="2:2" ht="15" customHeight="1">
      <c r="B2389" s="190"/>
    </row>
    <row r="2390" spans="2:2" ht="15" customHeight="1">
      <c r="B2390" s="190"/>
    </row>
    <row r="2391" spans="2:2" ht="15" customHeight="1">
      <c r="B2391" s="190"/>
    </row>
    <row r="2392" spans="2:2" ht="15" customHeight="1">
      <c r="B2392" s="190"/>
    </row>
    <row r="2393" spans="2:2" ht="15" customHeight="1">
      <c r="B2393" s="190"/>
    </row>
    <row r="2394" spans="2:2" ht="15" customHeight="1">
      <c r="B2394" s="190"/>
    </row>
    <row r="2395" spans="2:2" ht="15" customHeight="1">
      <c r="B2395" s="190"/>
    </row>
    <row r="2396" spans="2:2" ht="15" customHeight="1">
      <c r="B2396" s="190"/>
    </row>
    <row r="2397" spans="2:2" ht="15" customHeight="1">
      <c r="B2397" s="190"/>
    </row>
    <row r="2398" spans="2:2" ht="15" customHeight="1">
      <c r="B2398" s="190"/>
    </row>
    <row r="2399" spans="2:2" ht="15" customHeight="1">
      <c r="B2399" s="190"/>
    </row>
    <row r="2400" spans="2:2" ht="15" customHeight="1">
      <c r="B2400" s="190"/>
    </row>
    <row r="2401" spans="2:2" ht="15" customHeight="1">
      <c r="B2401" s="190"/>
    </row>
    <row r="2402" spans="2:2" ht="15" customHeight="1">
      <c r="B2402" s="190"/>
    </row>
    <row r="2403" spans="2:2" ht="15" customHeight="1">
      <c r="B2403" s="190"/>
    </row>
    <row r="2404" spans="2:2" ht="15" customHeight="1">
      <c r="B2404" s="190"/>
    </row>
    <row r="2405" spans="2:2" ht="15" customHeight="1">
      <c r="B2405" s="190"/>
    </row>
    <row r="2406" spans="2:2" ht="15" customHeight="1">
      <c r="B2406" s="190"/>
    </row>
    <row r="2407" spans="2:2" ht="15" customHeight="1">
      <c r="B2407" s="190"/>
    </row>
    <row r="2408" spans="2:2" ht="15" customHeight="1">
      <c r="B2408" s="190"/>
    </row>
    <row r="2409" spans="2:2" ht="15" customHeight="1">
      <c r="B2409" s="190"/>
    </row>
    <row r="2410" spans="2:2" ht="15" customHeight="1">
      <c r="B2410" s="190"/>
    </row>
    <row r="2411" spans="2:2" ht="15" customHeight="1">
      <c r="B2411" s="190"/>
    </row>
    <row r="2412" spans="2:2" ht="15" customHeight="1">
      <c r="B2412" s="190"/>
    </row>
    <row r="2413" spans="2:2" ht="15" customHeight="1">
      <c r="B2413" s="190"/>
    </row>
    <row r="2414" spans="2:2" ht="15" customHeight="1">
      <c r="B2414" s="190"/>
    </row>
    <row r="2415" spans="2:2" ht="15" customHeight="1">
      <c r="B2415" s="190"/>
    </row>
    <row r="2416" spans="2:2" ht="15" customHeight="1">
      <c r="B2416" s="190"/>
    </row>
    <row r="2417" spans="2:2" ht="15" customHeight="1">
      <c r="B2417" s="190"/>
    </row>
    <row r="2418" spans="2:2" ht="15" customHeight="1">
      <c r="B2418" s="190"/>
    </row>
    <row r="2419" spans="2:2" ht="15" customHeight="1">
      <c r="B2419" s="190"/>
    </row>
    <row r="2420" spans="2:2" ht="15" customHeight="1">
      <c r="B2420" s="190"/>
    </row>
    <row r="2421" spans="2:2" ht="15" customHeight="1">
      <c r="B2421" s="190"/>
    </row>
    <row r="2422" spans="2:2" ht="15" customHeight="1">
      <c r="B2422" s="190"/>
    </row>
    <row r="2423" spans="2:2" ht="15" customHeight="1">
      <c r="B2423" s="190"/>
    </row>
    <row r="2424" spans="2:2" ht="15" customHeight="1">
      <c r="B2424" s="190"/>
    </row>
    <row r="2425" spans="2:2" ht="15" customHeight="1">
      <c r="B2425" s="190"/>
    </row>
    <row r="2426" spans="2:2" ht="15" customHeight="1">
      <c r="B2426" s="190"/>
    </row>
    <row r="2427" spans="2:2" ht="15" customHeight="1">
      <c r="B2427" s="190"/>
    </row>
    <row r="2428" spans="2:2" ht="15" customHeight="1">
      <c r="B2428" s="190"/>
    </row>
    <row r="2429" spans="2:2" ht="15" customHeight="1">
      <c r="B2429" s="190"/>
    </row>
    <row r="2430" spans="2:2" ht="15" customHeight="1">
      <c r="B2430" s="190"/>
    </row>
    <row r="2431" spans="2:2" ht="15" customHeight="1">
      <c r="B2431" s="190"/>
    </row>
    <row r="2432" spans="2:2" ht="15" customHeight="1">
      <c r="B2432" s="190"/>
    </row>
    <row r="2433" spans="2:2" ht="15" customHeight="1">
      <c r="B2433" s="190"/>
    </row>
    <row r="2434" spans="2:2" ht="15" customHeight="1">
      <c r="B2434" s="190"/>
    </row>
    <row r="2435" spans="2:2" ht="15" customHeight="1">
      <c r="B2435" s="190"/>
    </row>
    <row r="2436" spans="2:2" ht="15" customHeight="1">
      <c r="B2436" s="190"/>
    </row>
    <row r="2437" spans="2:2" ht="15" customHeight="1">
      <c r="B2437" s="190"/>
    </row>
    <row r="2438" spans="2:2" ht="15" customHeight="1">
      <c r="B2438" s="190"/>
    </row>
    <row r="2439" spans="2:2" ht="15" customHeight="1">
      <c r="B2439" s="190"/>
    </row>
    <row r="2440" spans="2:2" ht="15" customHeight="1">
      <c r="B2440" s="190"/>
    </row>
    <row r="2441" spans="2:2" ht="15" customHeight="1">
      <c r="B2441" s="190"/>
    </row>
    <row r="2442" spans="2:2" ht="15" customHeight="1">
      <c r="B2442" s="190"/>
    </row>
    <row r="2443" spans="2:2" ht="15" customHeight="1">
      <c r="B2443" s="190"/>
    </row>
    <row r="2444" spans="2:2" ht="15" customHeight="1">
      <c r="B2444" s="190"/>
    </row>
    <row r="2445" spans="2:2" ht="15" customHeight="1">
      <c r="B2445" s="190"/>
    </row>
    <row r="2446" spans="2:2" ht="15" customHeight="1">
      <c r="B2446" s="190"/>
    </row>
    <row r="2447" spans="2:2" ht="15" customHeight="1">
      <c r="B2447" s="190"/>
    </row>
    <row r="2448" spans="2:2" ht="15" customHeight="1">
      <c r="B2448" s="190"/>
    </row>
    <row r="2449" spans="2:2" ht="15" customHeight="1">
      <c r="B2449" s="190"/>
    </row>
    <row r="2450" spans="2:2" ht="15" customHeight="1">
      <c r="B2450" s="190"/>
    </row>
    <row r="2451" spans="2:2" ht="15" customHeight="1">
      <c r="B2451" s="190"/>
    </row>
    <row r="2452" spans="2:2" ht="15" customHeight="1">
      <c r="B2452" s="190"/>
    </row>
    <row r="2453" spans="2:2" ht="15" customHeight="1">
      <c r="B2453" s="190"/>
    </row>
    <row r="2454" spans="2:2" ht="15" customHeight="1">
      <c r="B2454" s="190"/>
    </row>
    <row r="2455" spans="2:2" ht="15" customHeight="1">
      <c r="B2455" s="190"/>
    </row>
    <row r="2456" spans="2:2" ht="15" customHeight="1">
      <c r="B2456" s="190"/>
    </row>
    <row r="2457" spans="2:2" ht="15" customHeight="1">
      <c r="B2457" s="190"/>
    </row>
    <row r="2458" spans="2:2" ht="15" customHeight="1">
      <c r="B2458" s="190"/>
    </row>
    <row r="2459" spans="2:2" ht="15" customHeight="1">
      <c r="B2459" s="190"/>
    </row>
    <row r="2460" spans="2:2" ht="15" customHeight="1">
      <c r="B2460" s="190"/>
    </row>
    <row r="2461" spans="2:2" ht="15" customHeight="1">
      <c r="B2461" s="190"/>
    </row>
    <row r="2462" spans="2:2" ht="15" customHeight="1">
      <c r="B2462" s="190"/>
    </row>
    <row r="2463" spans="2:2" ht="15" customHeight="1">
      <c r="B2463" s="190"/>
    </row>
    <row r="2464" spans="2:2" ht="15" customHeight="1">
      <c r="B2464" s="190"/>
    </row>
    <row r="2465" spans="2:2" ht="15" customHeight="1">
      <c r="B2465" s="190"/>
    </row>
    <row r="2466" spans="2:2" ht="15" customHeight="1">
      <c r="B2466" s="190"/>
    </row>
    <row r="2467" spans="2:2" ht="15" customHeight="1">
      <c r="B2467" s="190"/>
    </row>
    <row r="2468" spans="2:2" ht="15" customHeight="1">
      <c r="B2468" s="190"/>
    </row>
    <row r="2469" spans="2:2" ht="15" customHeight="1">
      <c r="B2469" s="190"/>
    </row>
    <row r="2470" spans="2:2" ht="15" customHeight="1">
      <c r="B2470" s="190"/>
    </row>
    <row r="2471" spans="2:2" ht="15" customHeight="1">
      <c r="B2471" s="190"/>
    </row>
    <row r="2472" spans="2:2" ht="15" customHeight="1">
      <c r="B2472" s="190"/>
    </row>
    <row r="2473" spans="2:2" ht="15" customHeight="1">
      <c r="B2473" s="190"/>
    </row>
    <row r="2474" spans="2:2" ht="15" customHeight="1">
      <c r="B2474" s="190"/>
    </row>
    <row r="2475" spans="2:2" ht="15" customHeight="1">
      <c r="B2475" s="190"/>
    </row>
    <row r="2476" spans="2:2" ht="15" customHeight="1">
      <c r="B2476" s="190"/>
    </row>
    <row r="2477" spans="2:2" ht="15" customHeight="1">
      <c r="B2477" s="190"/>
    </row>
    <row r="2478" spans="2:2" ht="15" customHeight="1">
      <c r="B2478" s="190"/>
    </row>
    <row r="2479" spans="2:2" ht="15" customHeight="1">
      <c r="B2479" s="190"/>
    </row>
    <row r="2480" spans="2:2" ht="15" customHeight="1">
      <c r="B2480" s="190"/>
    </row>
    <row r="2481" spans="2:2" ht="15" customHeight="1">
      <c r="B2481" s="190"/>
    </row>
    <row r="2482" spans="2:2" ht="15" customHeight="1">
      <c r="B2482" s="190"/>
    </row>
    <row r="2483" spans="2:2" ht="15" customHeight="1">
      <c r="B2483" s="190"/>
    </row>
    <row r="2484" spans="2:2" ht="15" customHeight="1">
      <c r="B2484" s="190"/>
    </row>
    <row r="2485" spans="2:2" ht="15" customHeight="1">
      <c r="B2485" s="190"/>
    </row>
    <row r="2486" spans="2:2" ht="15" customHeight="1">
      <c r="B2486" s="190"/>
    </row>
    <row r="2487" spans="2:2" ht="15" customHeight="1">
      <c r="B2487" s="190"/>
    </row>
    <row r="2488" spans="2:2" ht="15" customHeight="1">
      <c r="B2488" s="190"/>
    </row>
    <row r="2489" spans="2:2" ht="15" customHeight="1">
      <c r="B2489" s="190"/>
    </row>
    <row r="2490" spans="2:2" ht="15" customHeight="1">
      <c r="B2490" s="190"/>
    </row>
    <row r="2491" spans="2:2" ht="15" customHeight="1">
      <c r="B2491" s="190"/>
    </row>
    <row r="2492" spans="2:2" ht="15" customHeight="1">
      <c r="B2492" s="190"/>
    </row>
    <row r="2493" spans="2:2" ht="15" customHeight="1">
      <c r="B2493" s="190"/>
    </row>
    <row r="2494" spans="2:2" ht="15" customHeight="1">
      <c r="B2494" s="190"/>
    </row>
    <row r="2495" spans="2:2" ht="15" customHeight="1">
      <c r="B2495" s="190"/>
    </row>
    <row r="2496" spans="2:2" ht="15" customHeight="1">
      <c r="B2496" s="190"/>
    </row>
    <row r="2497" spans="2:2" ht="15" customHeight="1">
      <c r="B2497" s="190"/>
    </row>
    <row r="2498" spans="2:2" ht="15" customHeight="1">
      <c r="B2498" s="190"/>
    </row>
    <row r="2499" spans="2:2" ht="15" customHeight="1">
      <c r="B2499" s="190"/>
    </row>
    <row r="2500" spans="2:2" ht="15" customHeight="1">
      <c r="B2500" s="190"/>
    </row>
    <row r="2501" spans="2:2" ht="15" customHeight="1">
      <c r="B2501" s="190"/>
    </row>
    <row r="2502" spans="2:2" ht="15" customHeight="1">
      <c r="B2502" s="190"/>
    </row>
    <row r="2503" spans="2:2" ht="15" customHeight="1">
      <c r="B2503" s="190"/>
    </row>
    <row r="2504" spans="2:2" ht="15" customHeight="1">
      <c r="B2504" s="190"/>
    </row>
    <row r="2505" spans="2:2" ht="15" customHeight="1">
      <c r="B2505" s="190"/>
    </row>
    <row r="2506" spans="2:2" ht="15" customHeight="1">
      <c r="B2506" s="190"/>
    </row>
    <row r="2507" spans="2:2" ht="15" customHeight="1">
      <c r="B2507" s="190"/>
    </row>
    <row r="2508" spans="2:2" ht="15" customHeight="1">
      <c r="B2508" s="190"/>
    </row>
    <row r="2509" spans="2:2" ht="15" customHeight="1">
      <c r="B2509" s="190"/>
    </row>
    <row r="2510" spans="2:2" ht="15" customHeight="1">
      <c r="B2510" s="190"/>
    </row>
    <row r="2511" spans="2:2" ht="15" customHeight="1">
      <c r="B2511" s="190"/>
    </row>
    <row r="2512" spans="2:2" ht="15" customHeight="1">
      <c r="B2512" s="190"/>
    </row>
    <row r="2513" spans="2:2" ht="15" customHeight="1">
      <c r="B2513" s="190"/>
    </row>
    <row r="2514" spans="2:2" ht="15" customHeight="1">
      <c r="B2514" s="190"/>
    </row>
    <row r="2515" spans="2:2" ht="15" customHeight="1">
      <c r="B2515" s="190"/>
    </row>
    <row r="2516" spans="2:2" ht="15" customHeight="1">
      <c r="B2516" s="190"/>
    </row>
    <row r="2517" spans="2:2" ht="15" customHeight="1">
      <c r="B2517" s="190"/>
    </row>
    <row r="2518" spans="2:2" ht="15" customHeight="1">
      <c r="B2518" s="190"/>
    </row>
    <row r="2519" spans="2:2" ht="15" customHeight="1">
      <c r="B2519" s="190"/>
    </row>
    <row r="2520" spans="2:2" ht="15" customHeight="1">
      <c r="B2520" s="190"/>
    </row>
    <row r="2521" spans="2:2" ht="15" customHeight="1">
      <c r="B2521" s="190"/>
    </row>
    <row r="2522" spans="2:2" ht="15" customHeight="1">
      <c r="B2522" s="190"/>
    </row>
    <row r="2523" spans="2:2" ht="15" customHeight="1">
      <c r="B2523" s="190"/>
    </row>
    <row r="2524" spans="2:2" ht="15" customHeight="1">
      <c r="B2524" s="190"/>
    </row>
    <row r="2525" spans="2:2" ht="15" customHeight="1">
      <c r="B2525" s="190"/>
    </row>
    <row r="2526" spans="2:2" ht="15" customHeight="1">
      <c r="B2526" s="190"/>
    </row>
    <row r="2527" spans="2:2" ht="15" customHeight="1">
      <c r="B2527" s="190"/>
    </row>
    <row r="2528" spans="2:2" ht="15" customHeight="1">
      <c r="B2528" s="190"/>
    </row>
    <row r="2529" spans="2:2" ht="15" customHeight="1">
      <c r="B2529" s="190"/>
    </row>
    <row r="2530" spans="2:2" ht="15" customHeight="1">
      <c r="B2530" s="190"/>
    </row>
    <row r="2531" spans="2:2" ht="15" customHeight="1">
      <c r="B2531" s="190"/>
    </row>
    <row r="2532" spans="2:2" ht="15" customHeight="1">
      <c r="B2532" s="190"/>
    </row>
    <row r="2533" spans="2:2" ht="15" customHeight="1">
      <c r="B2533" s="190"/>
    </row>
    <row r="2534" spans="2:2" ht="15" customHeight="1">
      <c r="B2534" s="190"/>
    </row>
    <row r="2535" spans="2:2" ht="15" customHeight="1">
      <c r="B2535" s="190"/>
    </row>
    <row r="2536" spans="2:2" ht="15" customHeight="1">
      <c r="B2536" s="190"/>
    </row>
    <row r="2537" spans="2:2" ht="15" customHeight="1">
      <c r="B2537" s="190"/>
    </row>
    <row r="2538" spans="2:2" ht="15" customHeight="1">
      <c r="B2538" s="190"/>
    </row>
    <row r="2539" spans="2:2" ht="15" customHeight="1">
      <c r="B2539" s="190"/>
    </row>
    <row r="2540" spans="2:2" ht="15" customHeight="1">
      <c r="B2540" s="190"/>
    </row>
    <row r="2541" spans="2:2" ht="15" customHeight="1">
      <c r="B2541" s="190"/>
    </row>
    <row r="2542" spans="2:2" ht="15" customHeight="1">
      <c r="B2542" s="190"/>
    </row>
    <row r="2543" spans="2:2" ht="15" customHeight="1">
      <c r="B2543" s="190"/>
    </row>
    <row r="2544" spans="2:2" ht="15" customHeight="1">
      <c r="B2544" s="190"/>
    </row>
    <row r="2545" spans="2:2" ht="15" customHeight="1">
      <c r="B2545" s="190"/>
    </row>
    <row r="2546" spans="2:2" ht="15" customHeight="1">
      <c r="B2546" s="190"/>
    </row>
    <row r="2547" spans="2:2" ht="15" customHeight="1">
      <c r="B2547" s="190"/>
    </row>
    <row r="2548" spans="2:2" ht="15" customHeight="1">
      <c r="B2548" s="190"/>
    </row>
    <row r="2549" spans="2:2" ht="15" customHeight="1">
      <c r="B2549" s="190"/>
    </row>
    <row r="2550" spans="2:2" ht="15" customHeight="1">
      <c r="B2550" s="190"/>
    </row>
    <row r="2551" spans="2:2" ht="15" customHeight="1">
      <c r="B2551" s="190"/>
    </row>
    <row r="2552" spans="2:2" ht="15" customHeight="1">
      <c r="B2552" s="190"/>
    </row>
    <row r="2553" spans="2:2" ht="15" customHeight="1">
      <c r="B2553" s="190"/>
    </row>
    <row r="2554" spans="2:2" ht="15" customHeight="1">
      <c r="B2554" s="190"/>
    </row>
    <row r="2555" spans="2:2" ht="15" customHeight="1">
      <c r="B2555" s="190"/>
    </row>
    <row r="2556" spans="2:2" ht="15" customHeight="1">
      <c r="B2556" s="190"/>
    </row>
    <row r="2557" spans="2:2" ht="15" customHeight="1">
      <c r="B2557" s="190"/>
    </row>
    <row r="2558" spans="2:2" ht="15" customHeight="1">
      <c r="B2558" s="190"/>
    </row>
    <row r="2559" spans="2:2" ht="15" customHeight="1">
      <c r="B2559" s="190"/>
    </row>
    <row r="2560" spans="2:2" ht="15" customHeight="1">
      <c r="B2560" s="190"/>
    </row>
    <row r="2561" spans="2:2" ht="15" customHeight="1">
      <c r="B2561" s="190"/>
    </row>
    <row r="2562" spans="2:2" ht="15" customHeight="1">
      <c r="B2562" s="190"/>
    </row>
    <row r="2563" spans="2:2" ht="15" customHeight="1">
      <c r="B2563" s="190"/>
    </row>
    <row r="2564" spans="2:2" ht="15" customHeight="1">
      <c r="B2564" s="190"/>
    </row>
    <row r="2565" spans="2:2" ht="15" customHeight="1">
      <c r="B2565" s="190"/>
    </row>
    <row r="2566" spans="2:2" ht="15" customHeight="1">
      <c r="B2566" s="190"/>
    </row>
    <row r="2567" spans="2:2" ht="15" customHeight="1">
      <c r="B2567" s="190"/>
    </row>
    <row r="2568" spans="2:2" ht="15" customHeight="1">
      <c r="B2568" s="190"/>
    </row>
    <row r="2569" spans="2:2" ht="15" customHeight="1">
      <c r="B2569" s="190"/>
    </row>
    <row r="2570" spans="2:2" ht="15" customHeight="1">
      <c r="B2570" s="190"/>
    </row>
    <row r="2571" spans="2:2" ht="15" customHeight="1">
      <c r="B2571" s="190"/>
    </row>
    <row r="2572" spans="2:2" ht="15" customHeight="1">
      <c r="B2572" s="190"/>
    </row>
    <row r="2573" spans="2:2" ht="15" customHeight="1">
      <c r="B2573" s="190"/>
    </row>
    <row r="2574" spans="2:2" ht="15" customHeight="1">
      <c r="B2574" s="190"/>
    </row>
    <row r="2575" spans="2:2" ht="15" customHeight="1">
      <c r="B2575" s="190"/>
    </row>
    <row r="2576" spans="2:2" ht="15" customHeight="1">
      <c r="B2576" s="190"/>
    </row>
    <row r="2577" spans="2:2" ht="15" customHeight="1">
      <c r="B2577" s="190"/>
    </row>
    <row r="2578" spans="2:2" ht="15" customHeight="1">
      <c r="B2578" s="190"/>
    </row>
    <row r="2579" spans="2:2" ht="15" customHeight="1">
      <c r="B2579" s="190"/>
    </row>
    <row r="2580" spans="2:2" ht="15" customHeight="1">
      <c r="B2580" s="190"/>
    </row>
    <row r="2581" spans="2:2" ht="15" customHeight="1">
      <c r="B2581" s="190"/>
    </row>
    <row r="2582" spans="2:2" ht="15" customHeight="1">
      <c r="B2582" s="190"/>
    </row>
    <row r="2583" spans="2:2" ht="15" customHeight="1">
      <c r="B2583" s="190"/>
    </row>
    <row r="2584" spans="2:2" ht="15" customHeight="1">
      <c r="B2584" s="190"/>
    </row>
    <row r="2585" spans="2:2" ht="15" customHeight="1">
      <c r="B2585" s="190"/>
    </row>
    <row r="2586" spans="2:2" ht="15" customHeight="1">
      <c r="B2586" s="190"/>
    </row>
    <row r="2587" spans="2:2" ht="15" customHeight="1">
      <c r="B2587" s="190"/>
    </row>
    <row r="2588" spans="2:2" ht="15" customHeight="1">
      <c r="B2588" s="190"/>
    </row>
    <row r="2589" spans="2:2" ht="15" customHeight="1">
      <c r="B2589" s="190"/>
    </row>
    <row r="2590" spans="2:2" ht="15" customHeight="1">
      <c r="B2590" s="190"/>
    </row>
    <row r="2591" spans="2:2" ht="15" customHeight="1">
      <c r="B2591" s="190"/>
    </row>
    <row r="2592" spans="2:2" ht="15" customHeight="1">
      <c r="B2592" s="190"/>
    </row>
    <row r="2593" spans="2:2" ht="15" customHeight="1">
      <c r="B2593" s="190"/>
    </row>
    <row r="2594" spans="2:2" ht="15" customHeight="1">
      <c r="B2594" s="190"/>
    </row>
    <row r="2595" spans="2:2" ht="15" customHeight="1">
      <c r="B2595" s="190"/>
    </row>
    <row r="2596" spans="2:2" ht="15" customHeight="1">
      <c r="B2596" s="190"/>
    </row>
    <row r="2597" spans="2:2" ht="15" customHeight="1">
      <c r="B2597" s="190"/>
    </row>
    <row r="2598" spans="2:2" ht="15" customHeight="1">
      <c r="B2598" s="190"/>
    </row>
    <row r="2599" spans="2:2" ht="15" customHeight="1">
      <c r="B2599" s="190"/>
    </row>
    <row r="2600" spans="2:2" ht="15" customHeight="1">
      <c r="B2600" s="190"/>
    </row>
    <row r="2601" spans="2:2" ht="15" customHeight="1">
      <c r="B2601" s="190"/>
    </row>
    <row r="2602" spans="2:2" ht="15" customHeight="1">
      <c r="B2602" s="190"/>
    </row>
    <row r="2603" spans="2:2" ht="15" customHeight="1">
      <c r="B2603" s="190"/>
    </row>
    <row r="2604" spans="2:2" ht="15" customHeight="1">
      <c r="B2604" s="190"/>
    </row>
    <row r="2605" spans="2:2" ht="15" customHeight="1">
      <c r="B2605" s="190"/>
    </row>
    <row r="2606" spans="2:2" ht="15" customHeight="1">
      <c r="B2606" s="190"/>
    </row>
    <row r="2607" spans="2:2" ht="15" customHeight="1">
      <c r="B2607" s="190"/>
    </row>
    <row r="2608" spans="2:2" ht="15" customHeight="1">
      <c r="B2608" s="190"/>
    </row>
    <row r="2609" spans="2:2" ht="15" customHeight="1">
      <c r="B2609" s="190"/>
    </row>
    <row r="2610" spans="2:2" ht="15" customHeight="1">
      <c r="B2610" s="190"/>
    </row>
    <row r="2611" spans="2:2" ht="15" customHeight="1">
      <c r="B2611" s="190"/>
    </row>
    <row r="2612" spans="2:2" ht="15" customHeight="1">
      <c r="B2612" s="190"/>
    </row>
    <row r="2613" spans="2:2" ht="15" customHeight="1">
      <c r="B2613" s="190"/>
    </row>
    <row r="2614" spans="2:2" ht="15" customHeight="1">
      <c r="B2614" s="190"/>
    </row>
    <row r="2615" spans="2:2" ht="15" customHeight="1">
      <c r="B2615" s="190"/>
    </row>
    <row r="2616" spans="2:2" ht="15" customHeight="1">
      <c r="B2616" s="190"/>
    </row>
    <row r="2617" spans="2:2" ht="15" customHeight="1">
      <c r="B2617" s="190"/>
    </row>
    <row r="2618" spans="2:2" ht="15" customHeight="1">
      <c r="B2618" s="190"/>
    </row>
    <row r="2619" spans="2:2" ht="15" customHeight="1">
      <c r="B2619" s="190"/>
    </row>
    <row r="2620" spans="2:2" ht="15" customHeight="1">
      <c r="B2620" s="190"/>
    </row>
    <row r="2621" spans="2:2" ht="15" customHeight="1">
      <c r="B2621" s="190"/>
    </row>
    <row r="2622" spans="2:2" ht="15" customHeight="1">
      <c r="B2622" s="190"/>
    </row>
    <row r="2623" spans="2:2" ht="15" customHeight="1">
      <c r="B2623" s="190"/>
    </row>
    <row r="2624" spans="2:2" ht="15" customHeight="1">
      <c r="B2624" s="190"/>
    </row>
    <row r="2625" spans="2:2" ht="15" customHeight="1">
      <c r="B2625" s="190"/>
    </row>
    <row r="2626" spans="2:2" ht="15" customHeight="1">
      <c r="B2626" s="190"/>
    </row>
    <row r="2627" spans="2:2" ht="15" customHeight="1">
      <c r="B2627" s="190"/>
    </row>
    <row r="2628" spans="2:2" ht="15" customHeight="1">
      <c r="B2628" s="190"/>
    </row>
    <row r="2629" spans="2:2" ht="15" customHeight="1">
      <c r="B2629" s="190"/>
    </row>
    <row r="2630" spans="2:2" ht="15" customHeight="1">
      <c r="B2630" s="190"/>
    </row>
    <row r="2631" spans="2:2" ht="15" customHeight="1">
      <c r="B2631" s="190"/>
    </row>
    <row r="2632" spans="2:2" ht="15" customHeight="1">
      <c r="B2632" s="190"/>
    </row>
    <row r="2633" spans="2:2" ht="15" customHeight="1">
      <c r="B2633" s="190"/>
    </row>
    <row r="2634" spans="2:2" ht="15" customHeight="1">
      <c r="B2634" s="190"/>
    </row>
    <row r="2635" spans="2:2" ht="15" customHeight="1">
      <c r="B2635" s="190"/>
    </row>
    <row r="2636" spans="2:2" ht="15" customHeight="1">
      <c r="B2636" s="190"/>
    </row>
    <row r="2637" spans="2:2" ht="15" customHeight="1">
      <c r="B2637" s="190"/>
    </row>
    <row r="2638" spans="2:2" ht="15" customHeight="1">
      <c r="B2638" s="190"/>
    </row>
    <row r="2639" spans="2:2" ht="15" customHeight="1">
      <c r="B2639" s="190"/>
    </row>
    <row r="2640" spans="2:2" ht="15" customHeight="1">
      <c r="B2640" s="190"/>
    </row>
    <row r="2641" spans="2:2" ht="15" customHeight="1">
      <c r="B2641" s="190"/>
    </row>
    <row r="2642" spans="2:2" ht="15" customHeight="1">
      <c r="B2642" s="190"/>
    </row>
    <row r="2643" spans="2:2" ht="15" customHeight="1">
      <c r="B2643" s="190"/>
    </row>
    <row r="2644" spans="2:2" ht="15" customHeight="1">
      <c r="B2644" s="190"/>
    </row>
    <row r="2645" spans="2:2" ht="15" customHeight="1">
      <c r="B2645" s="190"/>
    </row>
    <row r="2646" spans="2:2" ht="15" customHeight="1">
      <c r="B2646" s="190"/>
    </row>
    <row r="2647" spans="2:2" ht="15" customHeight="1">
      <c r="B2647" s="190"/>
    </row>
    <row r="2648" spans="2:2" ht="15" customHeight="1">
      <c r="B2648" s="190"/>
    </row>
    <row r="2649" spans="2:2" ht="15" customHeight="1">
      <c r="B2649" s="190"/>
    </row>
    <row r="2650" spans="2:2" ht="15" customHeight="1">
      <c r="B2650" s="190"/>
    </row>
    <row r="2651" spans="2:2" ht="15" customHeight="1">
      <c r="B2651" s="190"/>
    </row>
    <row r="2652" spans="2:2" ht="15" customHeight="1">
      <c r="B2652" s="190"/>
    </row>
    <row r="2653" spans="2:2" ht="15" customHeight="1">
      <c r="B2653" s="190"/>
    </row>
    <row r="2654" spans="2:2" ht="15" customHeight="1">
      <c r="B2654" s="190"/>
    </row>
    <row r="2655" spans="2:2" ht="15" customHeight="1">
      <c r="B2655" s="190"/>
    </row>
    <row r="2656" spans="2:2" ht="15" customHeight="1">
      <c r="B2656" s="190"/>
    </row>
    <row r="2657" spans="2:2" ht="15" customHeight="1">
      <c r="B2657" s="190"/>
    </row>
    <row r="2658" spans="2:2" ht="15" customHeight="1">
      <c r="B2658" s="190"/>
    </row>
    <row r="2659" spans="2:2" ht="15" customHeight="1">
      <c r="B2659" s="190"/>
    </row>
    <row r="2660" spans="2:2" ht="15" customHeight="1">
      <c r="B2660" s="190"/>
    </row>
    <row r="2661" spans="2:2" ht="15" customHeight="1">
      <c r="B2661" s="190"/>
    </row>
    <row r="2662" spans="2:2" ht="15" customHeight="1">
      <c r="B2662" s="190"/>
    </row>
    <row r="2663" spans="2:2" ht="15" customHeight="1">
      <c r="B2663" s="190"/>
    </row>
    <row r="2664" spans="2:2" ht="15" customHeight="1">
      <c r="B2664" s="190"/>
    </row>
    <row r="2665" spans="2:2" ht="15" customHeight="1">
      <c r="B2665" s="190"/>
    </row>
    <row r="2666" spans="2:2" ht="15" customHeight="1">
      <c r="B2666" s="190"/>
    </row>
    <row r="2667" spans="2:2" ht="15" customHeight="1">
      <c r="B2667" s="190"/>
    </row>
    <row r="2668" spans="2:2" ht="15" customHeight="1">
      <c r="B2668" s="190"/>
    </row>
    <row r="2669" spans="2:2" ht="15" customHeight="1">
      <c r="B2669" s="190"/>
    </row>
    <row r="2670" spans="2:2" ht="15" customHeight="1">
      <c r="B2670" s="190"/>
    </row>
    <row r="2671" spans="2:2" ht="15" customHeight="1">
      <c r="B2671" s="190"/>
    </row>
    <row r="2672" spans="2:2" ht="15" customHeight="1">
      <c r="B2672" s="190"/>
    </row>
    <row r="2673" spans="2:2" ht="15" customHeight="1">
      <c r="B2673" s="190"/>
    </row>
    <row r="2674" spans="2:2" ht="15" customHeight="1">
      <c r="B2674" s="190"/>
    </row>
    <row r="2675" spans="2:2" ht="15" customHeight="1">
      <c r="B2675" s="190"/>
    </row>
    <row r="2676" spans="2:2" ht="15" customHeight="1">
      <c r="B2676" s="190"/>
    </row>
    <row r="2677" spans="2:2" ht="15" customHeight="1">
      <c r="B2677" s="190"/>
    </row>
    <row r="2678" spans="2:2" ht="15" customHeight="1">
      <c r="B2678" s="190"/>
    </row>
    <row r="2679" spans="2:2" ht="15" customHeight="1">
      <c r="B2679" s="190"/>
    </row>
    <row r="2680" spans="2:2" ht="15" customHeight="1">
      <c r="B2680" s="190"/>
    </row>
    <row r="2681" spans="2:2" ht="15" customHeight="1">
      <c r="B2681" s="190"/>
    </row>
    <row r="2682" spans="2:2" ht="15" customHeight="1">
      <c r="B2682" s="190"/>
    </row>
    <row r="2683" spans="2:2" ht="15" customHeight="1">
      <c r="B2683" s="190"/>
    </row>
    <row r="2684" spans="2:2" ht="15" customHeight="1">
      <c r="B2684" s="190"/>
    </row>
    <row r="2685" spans="2:2" ht="15" customHeight="1">
      <c r="B2685" s="190"/>
    </row>
    <row r="2686" spans="2:2" ht="15" customHeight="1">
      <c r="B2686" s="190"/>
    </row>
    <row r="2687" spans="2:2" ht="15" customHeight="1">
      <c r="B2687" s="190"/>
    </row>
    <row r="2688" spans="2:2" ht="15" customHeight="1">
      <c r="B2688" s="190"/>
    </row>
    <row r="2689" spans="2:2" ht="15" customHeight="1">
      <c r="B2689" s="190"/>
    </row>
    <row r="2690" spans="2:2" ht="15" customHeight="1">
      <c r="B2690" s="190"/>
    </row>
    <row r="2691" spans="2:2" ht="15" customHeight="1">
      <c r="B2691" s="190"/>
    </row>
    <row r="2692" spans="2:2" ht="15" customHeight="1">
      <c r="B2692" s="190"/>
    </row>
    <row r="2693" spans="2:2" ht="15" customHeight="1">
      <c r="B2693" s="190"/>
    </row>
    <row r="2694" spans="2:2" ht="15" customHeight="1">
      <c r="B2694" s="190"/>
    </row>
    <row r="2695" spans="2:2" ht="15" customHeight="1">
      <c r="B2695" s="190"/>
    </row>
    <row r="2696" spans="2:2" ht="15" customHeight="1">
      <c r="B2696" s="190"/>
    </row>
    <row r="2697" spans="2:2" ht="15" customHeight="1">
      <c r="B2697" s="190"/>
    </row>
    <row r="2698" spans="2:2" ht="15" customHeight="1">
      <c r="B2698" s="190"/>
    </row>
    <row r="2699" spans="2:2" ht="15" customHeight="1">
      <c r="B2699" s="190"/>
    </row>
    <row r="2700" spans="2:2" ht="15" customHeight="1">
      <c r="B2700" s="190"/>
    </row>
    <row r="2701" spans="2:2" ht="15" customHeight="1">
      <c r="B2701" s="190"/>
    </row>
    <row r="2702" spans="2:2" ht="15" customHeight="1">
      <c r="B2702" s="190"/>
    </row>
    <row r="2703" spans="2:2" ht="15" customHeight="1">
      <c r="B2703" s="190"/>
    </row>
    <row r="2704" spans="2:2" ht="15" customHeight="1">
      <c r="B2704" s="190"/>
    </row>
    <row r="2705" spans="2:2" ht="15" customHeight="1">
      <c r="B2705" s="190"/>
    </row>
    <row r="2706" spans="2:2" ht="15" customHeight="1">
      <c r="B2706" s="190"/>
    </row>
    <row r="2707" spans="2:2" ht="15" customHeight="1">
      <c r="B2707" s="190"/>
    </row>
    <row r="2708" spans="2:2" ht="15" customHeight="1">
      <c r="B2708" s="190"/>
    </row>
    <row r="2709" spans="2:2" ht="15" customHeight="1">
      <c r="B2709" s="190"/>
    </row>
    <row r="2710" spans="2:2" ht="15" customHeight="1">
      <c r="B2710" s="190"/>
    </row>
    <row r="2711" spans="2:2" ht="15" customHeight="1">
      <c r="B2711" s="190"/>
    </row>
    <row r="2712" spans="2:2" ht="15" customHeight="1">
      <c r="B2712" s="190"/>
    </row>
    <row r="2713" spans="2:2" ht="15" customHeight="1">
      <c r="B2713" s="190"/>
    </row>
    <row r="2714" spans="2:2" ht="15" customHeight="1">
      <c r="B2714" s="190"/>
    </row>
    <row r="2715" spans="2:2" ht="15" customHeight="1">
      <c r="B2715" s="190"/>
    </row>
    <row r="2716" spans="2:2" ht="15" customHeight="1">
      <c r="B2716" s="190"/>
    </row>
    <row r="2717" spans="2:2" ht="15" customHeight="1">
      <c r="B2717" s="190"/>
    </row>
    <row r="2718" spans="2:2" ht="15" customHeight="1">
      <c r="B2718" s="190"/>
    </row>
    <row r="2719" spans="2:2" ht="15" customHeight="1">
      <c r="B2719" s="190"/>
    </row>
    <row r="2720" spans="2:2" ht="15" customHeight="1">
      <c r="B2720" s="190"/>
    </row>
    <row r="2721" spans="2:2" ht="15" customHeight="1">
      <c r="B2721" s="190"/>
    </row>
    <row r="2722" spans="2:2" ht="15" customHeight="1">
      <c r="B2722" s="190"/>
    </row>
    <row r="2723" spans="2:2" ht="15" customHeight="1">
      <c r="B2723" s="190"/>
    </row>
    <row r="2724" spans="2:2" ht="15" customHeight="1">
      <c r="B2724" s="190"/>
    </row>
    <row r="2725" spans="2:2" ht="15" customHeight="1">
      <c r="B2725" s="190"/>
    </row>
    <row r="2726" spans="2:2" ht="15" customHeight="1">
      <c r="B2726" s="190"/>
    </row>
    <row r="2727" spans="2:2" ht="15" customHeight="1">
      <c r="B2727" s="190"/>
    </row>
    <row r="2728" spans="2:2" ht="15" customHeight="1">
      <c r="B2728" s="190"/>
    </row>
    <row r="2729" spans="2:2" ht="15" customHeight="1">
      <c r="B2729" s="190"/>
    </row>
    <row r="2730" spans="2:2" ht="15" customHeight="1">
      <c r="B2730" s="190"/>
    </row>
    <row r="2731" spans="2:2" ht="15" customHeight="1">
      <c r="B2731" s="190"/>
    </row>
    <row r="2732" spans="2:2" ht="15" customHeight="1">
      <c r="B2732" s="190"/>
    </row>
    <row r="2733" spans="2:2" ht="15" customHeight="1">
      <c r="B2733" s="190"/>
    </row>
    <row r="2734" spans="2:2" ht="15" customHeight="1">
      <c r="B2734" s="190"/>
    </row>
    <row r="2735" spans="2:2" ht="15" customHeight="1">
      <c r="B2735" s="190"/>
    </row>
    <row r="2736" spans="2:2" ht="15" customHeight="1">
      <c r="B2736" s="190"/>
    </row>
    <row r="2737" spans="2:2" ht="15" customHeight="1">
      <c r="B2737" s="190"/>
    </row>
    <row r="2738" spans="2:2" ht="15" customHeight="1">
      <c r="B2738" s="190"/>
    </row>
    <row r="2739" spans="2:2" ht="15" customHeight="1">
      <c r="B2739" s="190"/>
    </row>
    <row r="2740" spans="2:2" ht="15" customHeight="1">
      <c r="B2740" s="190"/>
    </row>
    <row r="2741" spans="2:2" ht="15" customHeight="1">
      <c r="B2741" s="190"/>
    </row>
    <row r="2742" spans="2:2" ht="15" customHeight="1">
      <c r="B2742" s="190"/>
    </row>
    <row r="2743" spans="2:2" ht="15" customHeight="1">
      <c r="B2743" s="190"/>
    </row>
    <row r="2744" spans="2:2" ht="15" customHeight="1">
      <c r="B2744" s="190"/>
    </row>
    <row r="2745" spans="2:2" ht="15" customHeight="1">
      <c r="B2745" s="190"/>
    </row>
    <row r="2746" spans="2:2" ht="15" customHeight="1">
      <c r="B2746" s="190"/>
    </row>
    <row r="2747" spans="2:2" ht="15" customHeight="1">
      <c r="B2747" s="190"/>
    </row>
    <row r="2748" spans="2:2" ht="15" customHeight="1">
      <c r="B2748" s="190"/>
    </row>
    <row r="2749" spans="2:2" ht="15" customHeight="1">
      <c r="B2749" s="190"/>
    </row>
    <row r="2750" spans="2:2" ht="15" customHeight="1">
      <c r="B2750" s="190"/>
    </row>
    <row r="2751" spans="2:2" ht="15" customHeight="1">
      <c r="B2751" s="190"/>
    </row>
    <row r="2752" spans="2:2" ht="15" customHeight="1">
      <c r="B2752" s="190"/>
    </row>
    <row r="2753" spans="2:2" ht="15" customHeight="1">
      <c r="B2753" s="190"/>
    </row>
    <row r="2754" spans="2:2" ht="15" customHeight="1">
      <c r="B2754" s="190"/>
    </row>
    <row r="2755" spans="2:2" ht="15" customHeight="1">
      <c r="B2755" s="190"/>
    </row>
    <row r="2756" spans="2:2" ht="15" customHeight="1">
      <c r="B2756" s="190"/>
    </row>
    <row r="2757" spans="2:2" ht="15" customHeight="1">
      <c r="B2757" s="190"/>
    </row>
    <row r="2758" spans="2:2" ht="15" customHeight="1">
      <c r="B2758" s="190"/>
    </row>
    <row r="2759" spans="2:2" ht="15" customHeight="1">
      <c r="B2759" s="190"/>
    </row>
    <row r="2760" spans="2:2" ht="15" customHeight="1">
      <c r="B2760" s="190"/>
    </row>
    <row r="2761" spans="2:2" ht="15" customHeight="1">
      <c r="B2761" s="190"/>
    </row>
    <row r="2762" spans="2:2" ht="15" customHeight="1">
      <c r="B2762" s="190"/>
    </row>
    <row r="2763" spans="2:2" ht="15" customHeight="1">
      <c r="B2763" s="190"/>
    </row>
    <row r="2764" spans="2:2" ht="15" customHeight="1">
      <c r="B2764" s="190"/>
    </row>
    <row r="2765" spans="2:2" ht="15" customHeight="1">
      <c r="B2765" s="190"/>
    </row>
    <row r="2766" spans="2:2" ht="15" customHeight="1">
      <c r="B2766" s="190"/>
    </row>
    <row r="2767" spans="2:2" ht="15" customHeight="1">
      <c r="B2767" s="190"/>
    </row>
    <row r="2768" spans="2:2" ht="15" customHeight="1">
      <c r="B2768" s="190"/>
    </row>
    <row r="2769" spans="2:2" ht="15" customHeight="1">
      <c r="B2769" s="190"/>
    </row>
    <row r="2770" spans="2:2" ht="15" customHeight="1">
      <c r="B2770" s="190"/>
    </row>
    <row r="2771" spans="2:2" ht="15" customHeight="1">
      <c r="B2771" s="190"/>
    </row>
    <row r="2772" spans="2:2" ht="15" customHeight="1">
      <c r="B2772" s="190"/>
    </row>
    <row r="2773" spans="2:2" ht="15" customHeight="1">
      <c r="B2773" s="190"/>
    </row>
    <row r="2774" spans="2:2" ht="15" customHeight="1">
      <c r="B2774" s="190"/>
    </row>
    <row r="2775" spans="2:2" ht="15" customHeight="1">
      <c r="B2775" s="190"/>
    </row>
    <row r="2776" spans="2:2" ht="15" customHeight="1">
      <c r="B2776" s="190"/>
    </row>
    <row r="2777" spans="2:2" ht="15" customHeight="1">
      <c r="B2777" s="190"/>
    </row>
    <row r="2778" spans="2:2" ht="15" customHeight="1">
      <c r="B2778" s="190"/>
    </row>
    <row r="2779" spans="2:2" ht="15" customHeight="1">
      <c r="B2779" s="190"/>
    </row>
    <row r="2780" spans="2:2" ht="15" customHeight="1">
      <c r="B2780" s="190"/>
    </row>
    <row r="2781" spans="2:2" ht="15" customHeight="1">
      <c r="B2781" s="190"/>
    </row>
    <row r="2782" spans="2:2" ht="15" customHeight="1">
      <c r="B2782" s="190"/>
    </row>
    <row r="2783" spans="2:2" ht="15" customHeight="1">
      <c r="B2783" s="190"/>
    </row>
    <row r="2784" spans="2:2" ht="15" customHeight="1">
      <c r="B2784" s="190"/>
    </row>
    <row r="2785" spans="2:2" ht="15" customHeight="1">
      <c r="B2785" s="190"/>
    </row>
    <row r="2786" spans="2:2" ht="15" customHeight="1">
      <c r="B2786" s="190"/>
    </row>
    <row r="2787" spans="2:2" ht="15" customHeight="1">
      <c r="B2787" s="190"/>
    </row>
    <row r="2788" spans="2:2" ht="15" customHeight="1">
      <c r="B2788" s="190"/>
    </row>
    <row r="2789" spans="2:2" ht="15" customHeight="1">
      <c r="B2789" s="190"/>
    </row>
    <row r="2790" spans="2:2" ht="15" customHeight="1">
      <c r="B2790" s="190"/>
    </row>
    <row r="2791" spans="2:2" ht="15" customHeight="1">
      <c r="B2791" s="190"/>
    </row>
    <row r="2792" spans="2:2" ht="15" customHeight="1">
      <c r="B2792" s="190"/>
    </row>
    <row r="2793" spans="2:2" ht="15" customHeight="1">
      <c r="B2793" s="190"/>
    </row>
    <row r="2794" spans="2:2" ht="15" customHeight="1">
      <c r="B2794" s="190"/>
    </row>
    <row r="2795" spans="2:2" ht="15" customHeight="1">
      <c r="B2795" s="190"/>
    </row>
    <row r="2796" spans="2:2" ht="15" customHeight="1">
      <c r="B2796" s="190"/>
    </row>
    <row r="2797" spans="2:2" ht="15" customHeight="1">
      <c r="B2797" s="190"/>
    </row>
    <row r="2798" spans="2:2" ht="15" customHeight="1">
      <c r="B2798" s="190"/>
    </row>
    <row r="2799" spans="2:2" ht="15" customHeight="1">
      <c r="B2799" s="190"/>
    </row>
    <row r="2800" spans="2:2" ht="15" customHeight="1">
      <c r="B2800" s="190"/>
    </row>
    <row r="2801" spans="2:2" ht="15" customHeight="1">
      <c r="B2801" s="190"/>
    </row>
    <row r="2802" spans="2:2" ht="15" customHeight="1">
      <c r="B2802" s="190"/>
    </row>
    <row r="2803" spans="2:2" ht="15" customHeight="1">
      <c r="B2803" s="190"/>
    </row>
    <row r="2804" spans="2:2" ht="15" customHeight="1">
      <c r="B2804" s="190"/>
    </row>
    <row r="2805" spans="2:2" ht="15" customHeight="1">
      <c r="B2805" s="190"/>
    </row>
    <row r="2806" spans="2:2" ht="15" customHeight="1">
      <c r="B2806" s="190"/>
    </row>
    <row r="2807" spans="2:2" ht="15" customHeight="1">
      <c r="B2807" s="190"/>
    </row>
    <row r="2808" spans="2:2" ht="15" customHeight="1">
      <c r="B2808" s="190"/>
    </row>
    <row r="2809" spans="2:2" ht="15" customHeight="1">
      <c r="B2809" s="190"/>
    </row>
    <row r="2810" spans="2:2" ht="15" customHeight="1">
      <c r="B2810" s="190"/>
    </row>
    <row r="2811" spans="2:2" ht="15" customHeight="1">
      <c r="B2811" s="190"/>
    </row>
    <row r="2812" spans="2:2" ht="15" customHeight="1">
      <c r="B2812" s="190"/>
    </row>
    <row r="2813" spans="2:2" ht="15" customHeight="1">
      <c r="B2813" s="190"/>
    </row>
    <row r="2814" spans="2:2" ht="15" customHeight="1">
      <c r="B2814" s="190"/>
    </row>
    <row r="2815" spans="2:2" ht="15" customHeight="1">
      <c r="B2815" s="190"/>
    </row>
    <row r="2816" spans="2:2" ht="15" customHeight="1">
      <c r="B2816" s="190"/>
    </row>
    <row r="2817" spans="2:2" ht="15" customHeight="1">
      <c r="B2817" s="190"/>
    </row>
    <row r="2818" spans="2:2" ht="15" customHeight="1">
      <c r="B2818" s="190"/>
    </row>
    <row r="2819" spans="2:2" ht="15" customHeight="1">
      <c r="B2819" s="190"/>
    </row>
    <row r="2820" spans="2:2" ht="15" customHeight="1">
      <c r="B2820" s="190"/>
    </row>
    <row r="2821" spans="2:2" ht="15" customHeight="1">
      <c r="B2821" s="190"/>
    </row>
    <row r="2822" spans="2:2" ht="15" customHeight="1">
      <c r="B2822" s="190"/>
    </row>
    <row r="2823" spans="2:2" ht="15" customHeight="1">
      <c r="B2823" s="190"/>
    </row>
    <row r="2824" spans="2:2" ht="15" customHeight="1">
      <c r="B2824" s="190"/>
    </row>
    <row r="2825" spans="2:2" ht="15" customHeight="1">
      <c r="B2825" s="190"/>
    </row>
    <row r="2826" spans="2:2" ht="15" customHeight="1">
      <c r="B2826" s="190"/>
    </row>
    <row r="2827" spans="2:2" ht="15" customHeight="1">
      <c r="B2827" s="190"/>
    </row>
    <row r="2828" spans="2:2" ht="15" customHeight="1">
      <c r="B2828" s="190"/>
    </row>
    <row r="2829" spans="2:2" ht="15" customHeight="1">
      <c r="B2829" s="190"/>
    </row>
    <row r="2830" spans="2:2" ht="15" customHeight="1">
      <c r="B2830" s="190"/>
    </row>
    <row r="2831" spans="2:2" ht="15" customHeight="1">
      <c r="B2831" s="190"/>
    </row>
    <row r="2832" spans="2:2" ht="15" customHeight="1">
      <c r="B2832" s="190"/>
    </row>
    <row r="2833" spans="2:2" ht="15" customHeight="1">
      <c r="B2833" s="190"/>
    </row>
    <row r="2834" spans="2:2" ht="15" customHeight="1">
      <c r="B2834" s="190"/>
    </row>
    <row r="2835" spans="2:2" ht="15" customHeight="1">
      <c r="B2835" s="190"/>
    </row>
    <row r="2836" spans="2:2" ht="15" customHeight="1">
      <c r="B2836" s="190"/>
    </row>
    <row r="2837" spans="2:2" ht="15" customHeight="1">
      <c r="B2837" s="190"/>
    </row>
    <row r="2838" spans="2:2" ht="15" customHeight="1">
      <c r="B2838" s="190"/>
    </row>
    <row r="2839" spans="2:2" ht="15" customHeight="1">
      <c r="B2839" s="190"/>
    </row>
    <row r="2840" spans="2:2" ht="15" customHeight="1">
      <c r="B2840" s="190"/>
    </row>
    <row r="2841" spans="2:2" ht="15" customHeight="1">
      <c r="B2841" s="190"/>
    </row>
    <row r="2842" spans="2:2" ht="15" customHeight="1">
      <c r="B2842" s="190"/>
    </row>
    <row r="2843" spans="2:2" ht="15" customHeight="1">
      <c r="B2843" s="190"/>
    </row>
    <row r="2844" spans="2:2" ht="15" customHeight="1">
      <c r="B2844" s="190"/>
    </row>
    <row r="2845" spans="2:2" ht="15" customHeight="1">
      <c r="B2845" s="190"/>
    </row>
    <row r="2846" spans="2:2" ht="15" customHeight="1">
      <c r="B2846" s="190"/>
    </row>
    <row r="2847" spans="2:2" ht="15" customHeight="1">
      <c r="B2847" s="190"/>
    </row>
    <row r="2848" spans="2:2" ht="15" customHeight="1">
      <c r="B2848" s="190"/>
    </row>
    <row r="2849" spans="2:2" ht="15" customHeight="1">
      <c r="B2849" s="190"/>
    </row>
    <row r="2850" spans="2:2" ht="15" customHeight="1">
      <c r="B2850" s="190"/>
    </row>
    <row r="2851" spans="2:2" ht="15" customHeight="1">
      <c r="B2851" s="190"/>
    </row>
    <row r="2852" spans="2:2" ht="15" customHeight="1">
      <c r="B2852" s="190"/>
    </row>
    <row r="2853" spans="2:2" ht="15" customHeight="1">
      <c r="B2853" s="190"/>
    </row>
    <row r="2854" spans="2:2" ht="15" customHeight="1">
      <c r="B2854" s="190"/>
    </row>
    <row r="2855" spans="2:2" ht="15" customHeight="1">
      <c r="B2855" s="190"/>
    </row>
    <row r="2856" spans="2:2" ht="15" customHeight="1">
      <c r="B2856" s="190"/>
    </row>
    <row r="2857" spans="2:2" ht="15" customHeight="1">
      <c r="B2857" s="190"/>
    </row>
    <row r="2858" spans="2:2" ht="15" customHeight="1">
      <c r="B2858" s="190"/>
    </row>
    <row r="2859" spans="2:2" ht="15" customHeight="1">
      <c r="B2859" s="190"/>
    </row>
    <row r="2860" spans="2:2" ht="15" customHeight="1">
      <c r="B2860" s="190"/>
    </row>
    <row r="2861" spans="2:2" ht="15" customHeight="1">
      <c r="B2861" s="190"/>
    </row>
    <row r="2862" spans="2:2" ht="15" customHeight="1">
      <c r="B2862" s="190"/>
    </row>
    <row r="2863" spans="2:2" ht="15" customHeight="1">
      <c r="B2863" s="190"/>
    </row>
    <row r="2864" spans="2:2" ht="15" customHeight="1">
      <c r="B2864" s="190"/>
    </row>
    <row r="2865" spans="2:2" ht="15" customHeight="1">
      <c r="B2865" s="190"/>
    </row>
    <row r="2866" spans="2:2" ht="15" customHeight="1">
      <c r="B2866" s="190"/>
    </row>
    <row r="2867" spans="2:2" ht="15" customHeight="1">
      <c r="B2867" s="190"/>
    </row>
    <row r="2868" spans="2:2" ht="15" customHeight="1">
      <c r="B2868" s="190"/>
    </row>
    <row r="2869" spans="2:2" ht="15" customHeight="1">
      <c r="B2869" s="190"/>
    </row>
    <row r="2870" spans="2:2" ht="15" customHeight="1">
      <c r="B2870" s="190"/>
    </row>
    <row r="2871" spans="2:2" ht="15" customHeight="1">
      <c r="B2871" s="190"/>
    </row>
    <row r="2872" spans="2:2" ht="15" customHeight="1">
      <c r="B2872" s="190"/>
    </row>
    <row r="2873" spans="2:2" ht="15" customHeight="1">
      <c r="B2873" s="190"/>
    </row>
    <row r="2874" spans="2:2" ht="15" customHeight="1">
      <c r="B2874" s="190"/>
    </row>
    <row r="2875" spans="2:2" ht="15" customHeight="1">
      <c r="B2875" s="190"/>
    </row>
    <row r="2876" spans="2:2" ht="15" customHeight="1">
      <c r="B2876" s="190"/>
    </row>
    <row r="2877" spans="2:2" ht="15" customHeight="1">
      <c r="B2877" s="190"/>
    </row>
    <row r="2878" spans="2:2" ht="15" customHeight="1">
      <c r="B2878" s="190"/>
    </row>
    <row r="2879" spans="2:2" ht="15" customHeight="1">
      <c r="B2879" s="190"/>
    </row>
    <row r="2880" spans="2:2" ht="15" customHeight="1">
      <c r="B2880" s="190"/>
    </row>
    <row r="2881" spans="2:2" ht="15" customHeight="1">
      <c r="B2881" s="190"/>
    </row>
    <row r="2882" spans="2:2" ht="15" customHeight="1">
      <c r="B2882" s="190"/>
    </row>
    <row r="2883" spans="2:2" ht="15" customHeight="1">
      <c r="B2883" s="190"/>
    </row>
    <row r="2884" spans="2:2" ht="15" customHeight="1">
      <c r="B2884" s="190"/>
    </row>
    <row r="2885" spans="2:2" ht="15" customHeight="1">
      <c r="B2885" s="190"/>
    </row>
    <row r="2886" spans="2:2" ht="15" customHeight="1">
      <c r="B2886" s="190"/>
    </row>
    <row r="2887" spans="2:2" ht="15" customHeight="1">
      <c r="B2887" s="190"/>
    </row>
    <row r="2888" spans="2:2" ht="15" customHeight="1">
      <c r="B2888" s="190"/>
    </row>
    <row r="2889" spans="2:2" ht="15" customHeight="1">
      <c r="B2889" s="190"/>
    </row>
    <row r="2890" spans="2:2" ht="15" customHeight="1">
      <c r="B2890" s="190"/>
    </row>
    <row r="2891" spans="2:2" ht="15" customHeight="1">
      <c r="B2891" s="190"/>
    </row>
    <row r="2892" spans="2:2" ht="15" customHeight="1">
      <c r="B2892" s="190"/>
    </row>
    <row r="2893" spans="2:2" ht="15" customHeight="1">
      <c r="B2893" s="190"/>
    </row>
    <row r="2894" spans="2:2" ht="15" customHeight="1">
      <c r="B2894" s="190"/>
    </row>
    <row r="2895" spans="2:2" ht="15" customHeight="1">
      <c r="B2895" s="190"/>
    </row>
    <row r="2896" spans="2:2" ht="15" customHeight="1">
      <c r="B2896" s="190"/>
    </row>
    <row r="2897" spans="2:2" ht="15" customHeight="1">
      <c r="B2897" s="190"/>
    </row>
    <row r="2898" spans="2:2" ht="15" customHeight="1">
      <c r="B2898" s="190"/>
    </row>
    <row r="2899" spans="2:2" ht="15" customHeight="1">
      <c r="B2899" s="190"/>
    </row>
    <row r="2900" spans="2:2" ht="15" customHeight="1">
      <c r="B2900" s="190"/>
    </row>
    <row r="2901" spans="2:2" ht="15" customHeight="1">
      <c r="B2901" s="190"/>
    </row>
    <row r="2902" spans="2:2" ht="15" customHeight="1">
      <c r="B2902" s="190"/>
    </row>
    <row r="2903" spans="2:2" ht="15" customHeight="1">
      <c r="B2903" s="190"/>
    </row>
    <row r="2904" spans="2:2" ht="15" customHeight="1">
      <c r="B2904" s="190"/>
    </row>
    <row r="2905" spans="2:2" ht="15" customHeight="1">
      <c r="B2905" s="190"/>
    </row>
    <row r="2906" spans="2:2" ht="15" customHeight="1">
      <c r="B2906" s="190"/>
    </row>
    <row r="2907" spans="2:2" ht="15" customHeight="1">
      <c r="B2907" s="190"/>
    </row>
    <row r="2908" spans="2:2" ht="15" customHeight="1">
      <c r="B2908" s="190"/>
    </row>
    <row r="2909" spans="2:2" ht="15" customHeight="1">
      <c r="B2909" s="190"/>
    </row>
    <row r="2910" spans="2:2" ht="15" customHeight="1">
      <c r="B2910" s="190"/>
    </row>
    <row r="2911" spans="2:2" ht="15" customHeight="1">
      <c r="B2911" s="190"/>
    </row>
    <row r="2912" spans="2:2" ht="15" customHeight="1">
      <c r="B2912" s="190"/>
    </row>
    <row r="2913" spans="2:2" ht="15" customHeight="1">
      <c r="B2913" s="190"/>
    </row>
    <row r="2914" spans="2:2" ht="15" customHeight="1">
      <c r="B2914" s="190"/>
    </row>
    <row r="2915" spans="2:2" ht="15" customHeight="1">
      <c r="B2915" s="190"/>
    </row>
    <row r="2916" spans="2:2" ht="15" customHeight="1">
      <c r="B2916" s="190"/>
    </row>
    <row r="2917" spans="2:2" ht="15" customHeight="1">
      <c r="B2917" s="190"/>
    </row>
    <row r="2918" spans="2:2" ht="15" customHeight="1">
      <c r="B2918" s="190"/>
    </row>
    <row r="2919" spans="2:2" ht="15" customHeight="1">
      <c r="B2919" s="190"/>
    </row>
    <row r="2920" spans="2:2" ht="15" customHeight="1">
      <c r="B2920" s="190"/>
    </row>
    <row r="2921" spans="2:2" ht="15" customHeight="1">
      <c r="B2921" s="190"/>
    </row>
    <row r="2922" spans="2:2" ht="15" customHeight="1">
      <c r="B2922" s="190"/>
    </row>
    <row r="2923" spans="2:2" ht="15" customHeight="1">
      <c r="B2923" s="190"/>
    </row>
    <row r="2924" spans="2:2" ht="15" customHeight="1">
      <c r="B2924" s="190"/>
    </row>
    <row r="2925" spans="2:2" ht="15" customHeight="1">
      <c r="B2925" s="190"/>
    </row>
    <row r="2926" spans="2:2" ht="15" customHeight="1">
      <c r="B2926" s="190"/>
    </row>
    <row r="2927" spans="2:2" ht="15" customHeight="1">
      <c r="B2927" s="190"/>
    </row>
    <row r="2928" spans="2:2" ht="15" customHeight="1">
      <c r="B2928" s="190"/>
    </row>
    <row r="2929" spans="2:2" ht="15" customHeight="1">
      <c r="B2929" s="190"/>
    </row>
    <row r="2930" spans="2:2" ht="15" customHeight="1">
      <c r="B2930" s="190"/>
    </row>
    <row r="2931" spans="2:2" ht="15" customHeight="1">
      <c r="B2931" s="190"/>
    </row>
    <row r="2932" spans="2:2" ht="15" customHeight="1">
      <c r="B2932" s="190"/>
    </row>
    <row r="2933" spans="2:2" ht="15" customHeight="1">
      <c r="B2933" s="190"/>
    </row>
    <row r="2934" spans="2:2" ht="15" customHeight="1">
      <c r="B2934" s="190"/>
    </row>
    <row r="2935" spans="2:2" ht="15" customHeight="1">
      <c r="B2935" s="190"/>
    </row>
    <row r="2936" spans="2:2" ht="15" customHeight="1">
      <c r="B2936" s="190"/>
    </row>
    <row r="2937" spans="2:2" ht="15" customHeight="1">
      <c r="B2937" s="190"/>
    </row>
    <row r="2938" spans="2:2" ht="15" customHeight="1">
      <c r="B2938" s="190"/>
    </row>
    <row r="2939" spans="2:2" ht="15" customHeight="1">
      <c r="B2939" s="190"/>
    </row>
    <row r="2940" spans="2:2" ht="15" customHeight="1">
      <c r="B2940" s="190"/>
    </row>
    <row r="2941" spans="2:2" ht="15" customHeight="1">
      <c r="B2941" s="190"/>
    </row>
    <row r="2942" spans="2:2" ht="15" customHeight="1">
      <c r="B2942" s="190"/>
    </row>
    <row r="2943" spans="2:2" ht="15" customHeight="1">
      <c r="B2943" s="190"/>
    </row>
    <row r="2944" spans="2:2" ht="15" customHeight="1">
      <c r="B2944" s="190"/>
    </row>
    <row r="2945" spans="2:2" ht="15" customHeight="1">
      <c r="B2945" s="190"/>
    </row>
    <row r="2946" spans="2:2" ht="15" customHeight="1">
      <c r="B2946" s="190"/>
    </row>
    <row r="2947" spans="2:2" ht="15" customHeight="1">
      <c r="B2947" s="190"/>
    </row>
    <row r="2948" spans="2:2" ht="15" customHeight="1">
      <c r="B2948" s="190"/>
    </row>
    <row r="2949" spans="2:2" ht="15" customHeight="1">
      <c r="B2949" s="190"/>
    </row>
    <row r="2950" spans="2:2" ht="15" customHeight="1">
      <c r="B2950" s="190"/>
    </row>
    <row r="2951" spans="2:2" ht="15" customHeight="1">
      <c r="B2951" s="190"/>
    </row>
    <row r="2952" spans="2:2" ht="15" customHeight="1">
      <c r="B2952" s="190"/>
    </row>
    <row r="2953" spans="2:2" ht="15" customHeight="1">
      <c r="B2953" s="190"/>
    </row>
    <row r="2954" spans="2:2" ht="15" customHeight="1">
      <c r="B2954" s="190"/>
    </row>
    <row r="2955" spans="2:2" ht="15" customHeight="1">
      <c r="B2955" s="190"/>
    </row>
    <row r="2956" spans="2:2" ht="15" customHeight="1">
      <c r="B2956" s="190"/>
    </row>
    <row r="2957" spans="2:2" ht="15" customHeight="1">
      <c r="B2957" s="190"/>
    </row>
    <row r="2958" spans="2:2" ht="15" customHeight="1">
      <c r="B2958" s="190"/>
    </row>
    <row r="2959" spans="2:2" ht="15" customHeight="1">
      <c r="B2959" s="190"/>
    </row>
    <row r="2960" spans="2:2" ht="15" customHeight="1">
      <c r="B2960" s="190"/>
    </row>
    <row r="2961" spans="2:2" ht="15" customHeight="1">
      <c r="B2961" s="190"/>
    </row>
    <row r="2962" spans="2:2" ht="15" customHeight="1">
      <c r="B2962" s="190"/>
    </row>
    <row r="2963" spans="2:2" ht="15" customHeight="1">
      <c r="B2963" s="190"/>
    </row>
    <row r="2964" spans="2:2" ht="15" customHeight="1">
      <c r="B2964" s="190"/>
    </row>
    <row r="2965" spans="2:2" ht="15" customHeight="1">
      <c r="B2965" s="190"/>
    </row>
    <row r="2966" spans="2:2" ht="15" customHeight="1">
      <c r="B2966" s="190"/>
    </row>
    <row r="2967" spans="2:2" ht="15" customHeight="1">
      <c r="B2967" s="190"/>
    </row>
    <row r="2968" spans="2:2" ht="15" customHeight="1">
      <c r="B2968" s="190"/>
    </row>
    <row r="2969" spans="2:2" ht="15" customHeight="1">
      <c r="B2969" s="190"/>
    </row>
    <row r="2970" spans="2:2" ht="15" customHeight="1">
      <c r="B2970" s="190"/>
    </row>
    <row r="2971" spans="2:2" ht="15" customHeight="1">
      <c r="B2971" s="190"/>
    </row>
    <row r="2972" spans="2:2" ht="15" customHeight="1">
      <c r="B2972" s="190"/>
    </row>
    <row r="2973" spans="2:2" ht="15" customHeight="1">
      <c r="B2973" s="190"/>
    </row>
    <row r="2974" spans="2:2" ht="15" customHeight="1">
      <c r="B2974" s="190"/>
    </row>
    <row r="2975" spans="2:2" ht="15" customHeight="1">
      <c r="B2975" s="190"/>
    </row>
    <row r="2976" spans="2:2" ht="15" customHeight="1">
      <c r="B2976" s="190"/>
    </row>
    <row r="2977" spans="2:2" ht="15" customHeight="1">
      <c r="B2977" s="190"/>
    </row>
    <row r="2978" spans="2:2" ht="15" customHeight="1">
      <c r="B2978" s="190"/>
    </row>
    <row r="2979" spans="2:2" ht="15" customHeight="1">
      <c r="B2979" s="190"/>
    </row>
    <row r="2980" spans="2:2" ht="15" customHeight="1">
      <c r="B2980" s="190"/>
    </row>
    <row r="2981" spans="2:2" ht="15" customHeight="1">
      <c r="B2981" s="190"/>
    </row>
    <row r="2982" spans="2:2" ht="15" customHeight="1">
      <c r="B2982" s="190"/>
    </row>
    <row r="2983" spans="2:2" ht="15" customHeight="1">
      <c r="B2983" s="190"/>
    </row>
    <row r="2984" spans="2:2" ht="15" customHeight="1">
      <c r="B2984" s="190"/>
    </row>
    <row r="2985" spans="2:2" ht="15" customHeight="1">
      <c r="B2985" s="190"/>
    </row>
    <row r="2986" spans="2:2" ht="15" customHeight="1">
      <c r="B2986" s="190"/>
    </row>
    <row r="2987" spans="2:2" ht="15" customHeight="1">
      <c r="B2987" s="190"/>
    </row>
    <row r="2988" spans="2:2" ht="15" customHeight="1">
      <c r="B2988" s="190"/>
    </row>
    <row r="2989" spans="2:2" ht="15" customHeight="1">
      <c r="B2989" s="190"/>
    </row>
    <row r="2990" spans="2:2" ht="15" customHeight="1">
      <c r="B2990" s="190"/>
    </row>
    <row r="2991" spans="2:2" ht="15" customHeight="1">
      <c r="B2991" s="190"/>
    </row>
    <row r="2992" spans="2:2" ht="15" customHeight="1">
      <c r="B2992" s="190"/>
    </row>
    <row r="2993" spans="2:2" ht="15" customHeight="1">
      <c r="B2993" s="190"/>
    </row>
    <row r="2994" spans="2:2" ht="15" customHeight="1">
      <c r="B2994" s="190"/>
    </row>
    <row r="2995" spans="2:2" ht="15" customHeight="1">
      <c r="B2995" s="190"/>
    </row>
    <row r="2996" spans="2:2" ht="15" customHeight="1">
      <c r="B2996" s="190"/>
    </row>
    <row r="2997" spans="2:2" ht="15" customHeight="1">
      <c r="B2997" s="190"/>
    </row>
    <row r="2998" spans="2:2" ht="15" customHeight="1">
      <c r="B2998" s="190"/>
    </row>
    <row r="2999" spans="2:2" ht="15" customHeight="1">
      <c r="B2999" s="190"/>
    </row>
    <row r="3000" spans="2:2" ht="15" customHeight="1">
      <c r="B3000" s="190"/>
    </row>
    <row r="3001" spans="2:2" ht="15" customHeight="1">
      <c r="B3001" s="190"/>
    </row>
    <row r="3002" spans="2:2" ht="15" customHeight="1">
      <c r="B3002" s="190"/>
    </row>
    <row r="3003" spans="2:2" ht="15" customHeight="1">
      <c r="B3003" s="190"/>
    </row>
    <row r="3004" spans="2:2" ht="15" customHeight="1">
      <c r="B3004" s="190"/>
    </row>
    <row r="3005" spans="2:2" ht="15" customHeight="1">
      <c r="B3005" s="190"/>
    </row>
    <row r="3006" spans="2:2" ht="15" customHeight="1">
      <c r="B3006" s="190"/>
    </row>
    <row r="3007" spans="2:2" ht="15" customHeight="1">
      <c r="B3007" s="190"/>
    </row>
    <row r="3008" spans="2:2" ht="15" customHeight="1">
      <c r="B3008" s="190"/>
    </row>
    <row r="3009" spans="2:2" ht="15" customHeight="1">
      <c r="B3009" s="190"/>
    </row>
    <row r="3010" spans="2:2" ht="15" customHeight="1">
      <c r="B3010" s="190"/>
    </row>
    <row r="3011" spans="2:2" ht="15" customHeight="1">
      <c r="B3011" s="190"/>
    </row>
    <row r="3012" spans="2:2" ht="15" customHeight="1">
      <c r="B3012" s="190"/>
    </row>
    <row r="3013" spans="2:2" ht="15" customHeight="1">
      <c r="B3013" s="190"/>
    </row>
    <row r="3014" spans="2:2" ht="15" customHeight="1">
      <c r="B3014" s="190"/>
    </row>
    <row r="3015" spans="2:2" ht="15" customHeight="1">
      <c r="B3015" s="190"/>
    </row>
    <row r="3016" spans="2:2" ht="15" customHeight="1">
      <c r="B3016" s="190"/>
    </row>
    <row r="3017" spans="2:2" ht="15" customHeight="1">
      <c r="B3017" s="190"/>
    </row>
    <row r="3018" spans="2:2" ht="15" customHeight="1">
      <c r="B3018" s="190"/>
    </row>
    <row r="3019" spans="2:2" ht="15" customHeight="1">
      <c r="B3019" s="190"/>
    </row>
    <row r="3020" spans="2:2" ht="15" customHeight="1">
      <c r="B3020" s="190"/>
    </row>
    <row r="3021" spans="2:2" ht="15" customHeight="1">
      <c r="B3021" s="190"/>
    </row>
    <row r="3022" spans="2:2" ht="15" customHeight="1">
      <c r="B3022" s="190"/>
    </row>
    <row r="3023" spans="2:2" ht="15" customHeight="1">
      <c r="B3023" s="190"/>
    </row>
    <row r="3024" spans="2:2" ht="15" customHeight="1">
      <c r="B3024" s="190"/>
    </row>
    <row r="3025" spans="2:2" ht="15" customHeight="1">
      <c r="B3025" s="190"/>
    </row>
    <row r="3026" spans="2:2" ht="15" customHeight="1">
      <c r="B3026" s="190"/>
    </row>
    <row r="3027" spans="2:2" ht="15" customHeight="1">
      <c r="B3027" s="190"/>
    </row>
    <row r="3028" spans="2:2" ht="15" customHeight="1">
      <c r="B3028" s="190"/>
    </row>
    <row r="3029" spans="2:2" ht="15" customHeight="1">
      <c r="B3029" s="190"/>
    </row>
    <row r="3030" spans="2:2" ht="15" customHeight="1">
      <c r="B3030" s="190"/>
    </row>
    <row r="3031" spans="2:2" ht="15" customHeight="1">
      <c r="B3031" s="190"/>
    </row>
    <row r="3032" spans="2:2" ht="15" customHeight="1">
      <c r="B3032" s="190"/>
    </row>
    <row r="3033" spans="2:2" ht="15" customHeight="1">
      <c r="B3033" s="190"/>
    </row>
    <row r="3034" spans="2:2" ht="15" customHeight="1">
      <c r="B3034" s="190"/>
    </row>
    <row r="3035" spans="2:2" ht="15" customHeight="1">
      <c r="B3035" s="190"/>
    </row>
    <row r="3036" spans="2:2" ht="15" customHeight="1">
      <c r="B3036" s="190"/>
    </row>
    <row r="3037" spans="2:2" ht="15" customHeight="1">
      <c r="B3037" s="190"/>
    </row>
    <row r="3038" spans="2:2" ht="15" customHeight="1">
      <c r="B3038" s="190"/>
    </row>
    <row r="3039" spans="2:2" ht="15" customHeight="1">
      <c r="B3039" s="190"/>
    </row>
    <row r="3040" spans="2:2" ht="15" customHeight="1">
      <c r="B3040" s="190"/>
    </row>
    <row r="3041" spans="2:2" ht="15" customHeight="1">
      <c r="B3041" s="190"/>
    </row>
    <row r="3042" spans="2:2" ht="15" customHeight="1">
      <c r="B3042" s="190"/>
    </row>
    <row r="3043" spans="2:2" ht="15" customHeight="1">
      <c r="B3043" s="190"/>
    </row>
    <row r="3044" spans="2:2" ht="15" customHeight="1">
      <c r="B3044" s="190"/>
    </row>
    <row r="3045" spans="2:2" ht="15" customHeight="1">
      <c r="B3045" s="190"/>
    </row>
    <row r="3046" spans="2:2" ht="15" customHeight="1">
      <c r="B3046" s="190"/>
    </row>
    <row r="3047" spans="2:2" ht="15" customHeight="1">
      <c r="B3047" s="190"/>
    </row>
    <row r="3048" spans="2:2" ht="15" customHeight="1">
      <c r="B3048" s="190"/>
    </row>
    <row r="3049" spans="2:2" ht="15" customHeight="1">
      <c r="B3049" s="190"/>
    </row>
    <row r="3050" spans="2:2" ht="15" customHeight="1">
      <c r="B3050" s="190"/>
    </row>
    <row r="3051" spans="2:2" ht="15" customHeight="1">
      <c r="B3051" s="190"/>
    </row>
    <row r="3052" spans="2:2" ht="15" customHeight="1">
      <c r="B3052" s="190"/>
    </row>
    <row r="3053" spans="2:2" ht="15" customHeight="1">
      <c r="B3053" s="190"/>
    </row>
    <row r="3054" spans="2:2" ht="15" customHeight="1">
      <c r="B3054" s="190"/>
    </row>
    <row r="3055" spans="2:2" ht="15" customHeight="1">
      <c r="B3055" s="190"/>
    </row>
    <row r="3056" spans="2:2" ht="15" customHeight="1">
      <c r="B3056" s="190"/>
    </row>
    <row r="3057" spans="2:2" ht="15" customHeight="1">
      <c r="B3057" s="190"/>
    </row>
    <row r="3058" spans="2:2" ht="15" customHeight="1">
      <c r="B3058" s="190"/>
    </row>
    <row r="3059" spans="2:2" ht="15" customHeight="1">
      <c r="B3059" s="190"/>
    </row>
    <row r="3060" spans="2:2" ht="15" customHeight="1">
      <c r="B3060" s="190"/>
    </row>
    <row r="3061" spans="2:2" ht="15" customHeight="1">
      <c r="B3061" s="190"/>
    </row>
    <row r="3062" spans="2:2" ht="15" customHeight="1">
      <c r="B3062" s="190"/>
    </row>
    <row r="3063" spans="2:2" ht="15" customHeight="1">
      <c r="B3063" s="190"/>
    </row>
    <row r="3064" spans="2:2" ht="15" customHeight="1">
      <c r="B3064" s="190"/>
    </row>
    <row r="3065" spans="2:2" ht="15" customHeight="1">
      <c r="B3065" s="190"/>
    </row>
    <row r="3066" spans="2:2" ht="15" customHeight="1">
      <c r="B3066" s="190"/>
    </row>
    <row r="3067" spans="2:2" ht="15" customHeight="1">
      <c r="B3067" s="190"/>
    </row>
    <row r="3068" spans="2:2" ht="15" customHeight="1">
      <c r="B3068" s="190"/>
    </row>
    <row r="3069" spans="2:2" ht="15" customHeight="1">
      <c r="B3069" s="190"/>
    </row>
    <row r="3070" spans="2:2" ht="15" customHeight="1">
      <c r="B3070" s="190"/>
    </row>
    <row r="3071" spans="2:2" ht="15" customHeight="1">
      <c r="B3071" s="190"/>
    </row>
    <row r="3072" spans="2:2" ht="15" customHeight="1">
      <c r="B3072" s="190"/>
    </row>
    <row r="3073" spans="2:2" ht="15" customHeight="1">
      <c r="B3073" s="190"/>
    </row>
    <row r="3074" spans="2:2" ht="15" customHeight="1">
      <c r="B3074" s="190"/>
    </row>
    <row r="3075" spans="2:2" ht="15" customHeight="1">
      <c r="B3075" s="190"/>
    </row>
    <row r="3076" spans="2:2" ht="15" customHeight="1">
      <c r="B3076" s="190"/>
    </row>
    <row r="3077" spans="2:2" ht="15" customHeight="1">
      <c r="B3077" s="190"/>
    </row>
    <row r="3078" spans="2:2" ht="15" customHeight="1">
      <c r="B3078" s="190"/>
    </row>
    <row r="3079" spans="2:2" ht="15" customHeight="1">
      <c r="B3079" s="190"/>
    </row>
    <row r="3080" spans="2:2" ht="15" customHeight="1">
      <c r="B3080" s="190"/>
    </row>
    <row r="3081" spans="2:2" ht="15" customHeight="1">
      <c r="B3081" s="190"/>
    </row>
    <row r="3082" spans="2:2" ht="15" customHeight="1">
      <c r="B3082" s="190"/>
    </row>
    <row r="3083" spans="2:2" ht="15" customHeight="1">
      <c r="B3083" s="190"/>
    </row>
    <row r="3084" spans="2:2" ht="15" customHeight="1">
      <c r="B3084" s="190"/>
    </row>
    <row r="3085" spans="2:2" ht="15" customHeight="1">
      <c r="B3085" s="190"/>
    </row>
    <row r="3086" spans="2:2" ht="15" customHeight="1">
      <c r="B3086" s="190"/>
    </row>
    <row r="3087" spans="2:2" ht="15" customHeight="1">
      <c r="B3087" s="190"/>
    </row>
    <row r="3088" spans="2:2" ht="15" customHeight="1">
      <c r="B3088" s="190"/>
    </row>
    <row r="3089" spans="2:2" ht="15" customHeight="1">
      <c r="B3089" s="190"/>
    </row>
    <row r="3090" spans="2:2" ht="15" customHeight="1">
      <c r="B3090" s="190"/>
    </row>
    <row r="3091" spans="2:2" ht="15" customHeight="1">
      <c r="B3091" s="190"/>
    </row>
    <row r="3092" spans="2:2" ht="15" customHeight="1">
      <c r="B3092" s="190"/>
    </row>
    <row r="3093" spans="2:2" ht="15" customHeight="1">
      <c r="B3093" s="190"/>
    </row>
    <row r="3094" spans="2:2" ht="15" customHeight="1">
      <c r="B3094" s="190"/>
    </row>
    <row r="3095" spans="2:2" ht="15" customHeight="1">
      <c r="B3095" s="190"/>
    </row>
    <row r="3096" spans="2:2" ht="15" customHeight="1">
      <c r="B3096" s="190"/>
    </row>
    <row r="3097" spans="2:2" ht="15" customHeight="1">
      <c r="B3097" s="190"/>
    </row>
    <row r="3098" spans="2:2" ht="15" customHeight="1">
      <c r="B3098" s="190"/>
    </row>
    <row r="3099" spans="2:2" ht="15" customHeight="1">
      <c r="B3099" s="190"/>
    </row>
    <row r="3100" spans="2:2" ht="15" customHeight="1">
      <c r="B3100" s="190"/>
    </row>
    <row r="3101" spans="2:2" ht="15" customHeight="1">
      <c r="B3101" s="190"/>
    </row>
    <row r="3102" spans="2:2" ht="15" customHeight="1">
      <c r="B3102" s="190"/>
    </row>
    <row r="3103" spans="2:2" ht="15" customHeight="1">
      <c r="B3103" s="190"/>
    </row>
    <row r="3104" spans="2:2" ht="15" customHeight="1">
      <c r="B3104" s="190"/>
    </row>
    <row r="3105" spans="2:2" ht="15" customHeight="1">
      <c r="B3105" s="190"/>
    </row>
    <row r="3106" spans="2:2" ht="15" customHeight="1">
      <c r="B3106" s="190"/>
    </row>
    <row r="3107" spans="2:2" ht="15" customHeight="1">
      <c r="B3107" s="190"/>
    </row>
    <row r="3108" spans="2:2" ht="15" customHeight="1">
      <c r="B3108" s="190"/>
    </row>
    <row r="3109" spans="2:2" ht="15" customHeight="1">
      <c r="B3109" s="190"/>
    </row>
    <row r="3110" spans="2:2" ht="15" customHeight="1">
      <c r="B3110" s="190"/>
    </row>
    <row r="3111" spans="2:2" ht="15" customHeight="1">
      <c r="B3111" s="190"/>
    </row>
    <row r="3112" spans="2:2" ht="15" customHeight="1">
      <c r="B3112" s="190"/>
    </row>
    <row r="3113" spans="2:2" ht="15" customHeight="1">
      <c r="B3113" s="190"/>
    </row>
    <row r="3114" spans="2:2" ht="15" customHeight="1">
      <c r="B3114" s="190"/>
    </row>
    <row r="3115" spans="2:2" ht="15" customHeight="1">
      <c r="B3115" s="190"/>
    </row>
    <row r="3116" spans="2:2" ht="15" customHeight="1">
      <c r="B3116" s="190"/>
    </row>
    <row r="3117" spans="2:2" ht="15" customHeight="1">
      <c r="B3117" s="190"/>
    </row>
    <row r="3118" spans="2:2" ht="15" customHeight="1">
      <c r="B3118" s="190"/>
    </row>
    <row r="3119" spans="2:2" ht="15" customHeight="1">
      <c r="B3119" s="190"/>
    </row>
    <row r="3120" spans="2:2" ht="15" customHeight="1">
      <c r="B3120" s="190"/>
    </row>
    <row r="3121" spans="2:2" ht="15" customHeight="1">
      <c r="B3121" s="190"/>
    </row>
    <row r="3122" spans="2:2" ht="15" customHeight="1">
      <c r="B3122" s="190"/>
    </row>
    <row r="3123" spans="2:2" ht="15" customHeight="1">
      <c r="B3123" s="190"/>
    </row>
    <row r="3124" spans="2:2" ht="15" customHeight="1">
      <c r="B3124" s="190"/>
    </row>
    <row r="3125" spans="2:2" ht="15" customHeight="1">
      <c r="B3125" s="190"/>
    </row>
    <row r="3126" spans="2:2" ht="15" customHeight="1">
      <c r="B3126" s="190"/>
    </row>
    <row r="3127" spans="2:2" ht="15" customHeight="1">
      <c r="B3127" s="190"/>
    </row>
    <row r="3128" spans="2:2" ht="15" customHeight="1">
      <c r="B3128" s="190"/>
    </row>
    <row r="3129" spans="2:2" ht="15" customHeight="1">
      <c r="B3129" s="190"/>
    </row>
    <row r="3130" spans="2:2" ht="15" customHeight="1">
      <c r="B3130" s="190"/>
    </row>
    <row r="3131" spans="2:2" ht="15" customHeight="1">
      <c r="B3131" s="190"/>
    </row>
    <row r="3132" spans="2:2" ht="15" customHeight="1">
      <c r="B3132" s="190"/>
    </row>
    <row r="3133" spans="2:2" ht="15" customHeight="1">
      <c r="B3133" s="190"/>
    </row>
    <row r="3134" spans="2:2" ht="15" customHeight="1">
      <c r="B3134" s="190"/>
    </row>
    <row r="3135" spans="2:2" ht="15" customHeight="1">
      <c r="B3135" s="190"/>
    </row>
    <row r="3136" spans="2:2" ht="15" customHeight="1">
      <c r="B3136" s="190"/>
    </row>
    <row r="3137" spans="2:2" ht="15" customHeight="1">
      <c r="B3137" s="190"/>
    </row>
    <row r="3138" spans="2:2" ht="15" customHeight="1">
      <c r="B3138" s="190"/>
    </row>
    <row r="3139" spans="2:2" ht="15" customHeight="1">
      <c r="B3139" s="190"/>
    </row>
    <row r="3140" spans="2:2" ht="15" customHeight="1">
      <c r="B3140" s="190"/>
    </row>
    <row r="3141" spans="2:2" ht="15" customHeight="1">
      <c r="B3141" s="190"/>
    </row>
    <row r="3142" spans="2:2" ht="15" customHeight="1">
      <c r="B3142" s="190"/>
    </row>
    <row r="3143" spans="2:2" ht="15" customHeight="1">
      <c r="B3143" s="190"/>
    </row>
    <row r="3144" spans="2:2" ht="15" customHeight="1">
      <c r="B3144" s="190"/>
    </row>
    <row r="3145" spans="2:2" ht="15" customHeight="1">
      <c r="B3145" s="190"/>
    </row>
    <row r="3146" spans="2:2" ht="15" customHeight="1">
      <c r="B3146" s="190"/>
    </row>
    <row r="3147" spans="2:2" ht="15" customHeight="1">
      <c r="B3147" s="190"/>
    </row>
    <row r="3148" spans="2:2" ht="15" customHeight="1">
      <c r="B3148" s="190"/>
    </row>
    <row r="3149" spans="2:2" ht="15" customHeight="1">
      <c r="B3149" s="190"/>
    </row>
    <row r="3150" spans="2:2" ht="15" customHeight="1">
      <c r="B3150" s="190"/>
    </row>
    <row r="3151" spans="2:2" ht="15" customHeight="1">
      <c r="B3151" s="190"/>
    </row>
    <row r="3152" spans="2:2" ht="15" customHeight="1">
      <c r="B3152" s="190"/>
    </row>
    <row r="3153" spans="2:2" ht="15" customHeight="1">
      <c r="B3153" s="190"/>
    </row>
    <row r="3154" spans="2:2" ht="15" customHeight="1">
      <c r="B3154" s="190"/>
    </row>
    <row r="3155" spans="2:2" ht="15" customHeight="1">
      <c r="B3155" s="190"/>
    </row>
    <row r="3156" spans="2:2" ht="15" customHeight="1">
      <c r="B3156" s="190"/>
    </row>
    <row r="3157" spans="2:2" ht="15" customHeight="1">
      <c r="B3157" s="190"/>
    </row>
    <row r="3158" spans="2:2" ht="15" customHeight="1">
      <c r="B3158" s="190"/>
    </row>
    <row r="3159" spans="2:2" ht="15" customHeight="1">
      <c r="B3159" s="190"/>
    </row>
    <row r="3160" spans="2:2" ht="15" customHeight="1">
      <c r="B3160" s="190"/>
    </row>
    <row r="3161" spans="2:2" ht="15" customHeight="1">
      <c r="B3161" s="190"/>
    </row>
    <row r="3162" spans="2:2" ht="15" customHeight="1">
      <c r="B3162" s="190"/>
    </row>
    <row r="3163" spans="2:2" ht="15" customHeight="1">
      <c r="B3163" s="190"/>
    </row>
    <row r="3164" spans="2:2" ht="15" customHeight="1">
      <c r="B3164" s="190"/>
    </row>
    <row r="3165" spans="2:2" ht="15" customHeight="1">
      <c r="B3165" s="190"/>
    </row>
    <row r="3166" spans="2:2" ht="15" customHeight="1">
      <c r="B3166" s="190"/>
    </row>
    <row r="3167" spans="2:2" ht="15" customHeight="1">
      <c r="B3167" s="190"/>
    </row>
    <row r="3168" spans="2:2" ht="15" customHeight="1">
      <c r="B3168" s="190"/>
    </row>
    <row r="3169" spans="2:2" ht="15" customHeight="1">
      <c r="B3169" s="190"/>
    </row>
    <row r="3170" spans="2:2" ht="15" customHeight="1">
      <c r="B3170" s="190"/>
    </row>
    <row r="3171" spans="2:2" ht="15" customHeight="1">
      <c r="B3171" s="190"/>
    </row>
    <row r="3172" spans="2:2" ht="15" customHeight="1">
      <c r="B3172" s="190"/>
    </row>
    <row r="3173" spans="2:2" ht="15" customHeight="1">
      <c r="B3173" s="190"/>
    </row>
    <row r="3174" spans="2:2" ht="15" customHeight="1">
      <c r="B3174" s="190"/>
    </row>
    <row r="3175" spans="2:2" ht="15" customHeight="1">
      <c r="B3175" s="190"/>
    </row>
    <row r="3176" spans="2:2" ht="15" customHeight="1">
      <c r="B3176" s="190"/>
    </row>
    <row r="3177" spans="2:2" ht="15" customHeight="1">
      <c r="B3177" s="190"/>
    </row>
    <row r="3178" spans="2:2" ht="15" customHeight="1">
      <c r="B3178" s="190"/>
    </row>
    <row r="3179" spans="2:2" ht="15" customHeight="1">
      <c r="B3179" s="190"/>
    </row>
    <row r="3180" spans="2:2" ht="15" customHeight="1">
      <c r="B3180" s="190"/>
    </row>
    <row r="3181" spans="2:2" ht="15" customHeight="1">
      <c r="B3181" s="190"/>
    </row>
    <row r="3182" spans="2:2" ht="15" customHeight="1">
      <c r="B3182" s="190"/>
    </row>
    <row r="3183" spans="2:2" ht="15" customHeight="1">
      <c r="B3183" s="190"/>
    </row>
    <row r="3184" spans="2:2" ht="15" customHeight="1">
      <c r="B3184" s="190"/>
    </row>
    <row r="3185" spans="2:2" ht="15" customHeight="1">
      <c r="B3185" s="190"/>
    </row>
    <row r="3186" spans="2:2" ht="15" customHeight="1">
      <c r="B3186" s="190"/>
    </row>
    <row r="3187" spans="2:2" ht="15" customHeight="1">
      <c r="B3187" s="190"/>
    </row>
    <row r="3188" spans="2:2" ht="15" customHeight="1">
      <c r="B3188" s="190"/>
    </row>
    <row r="3189" spans="2:2" ht="15" customHeight="1">
      <c r="B3189" s="190"/>
    </row>
    <row r="3190" spans="2:2" ht="15" customHeight="1">
      <c r="B3190" s="190"/>
    </row>
    <row r="3191" spans="2:2" ht="15" customHeight="1">
      <c r="B3191" s="190"/>
    </row>
    <row r="3192" spans="2:2" ht="15" customHeight="1">
      <c r="B3192" s="190"/>
    </row>
    <row r="3193" spans="2:2" ht="15" customHeight="1">
      <c r="B3193" s="190"/>
    </row>
    <row r="3194" spans="2:2" ht="15" customHeight="1">
      <c r="B3194" s="190"/>
    </row>
    <row r="3195" spans="2:2" ht="15" customHeight="1">
      <c r="B3195" s="190"/>
    </row>
    <row r="3196" spans="2:2" ht="15" customHeight="1">
      <c r="B3196" s="190"/>
    </row>
    <row r="3197" spans="2:2" ht="15" customHeight="1">
      <c r="B3197" s="190"/>
    </row>
    <row r="3198" spans="2:2" ht="15" customHeight="1">
      <c r="B3198" s="190"/>
    </row>
    <row r="3199" spans="2:2" ht="15" customHeight="1">
      <c r="B3199" s="190"/>
    </row>
    <row r="3200" spans="2:2" ht="15" customHeight="1">
      <c r="B3200" s="190"/>
    </row>
    <row r="3201" spans="2:2" ht="15" customHeight="1">
      <c r="B3201" s="190"/>
    </row>
    <row r="3202" spans="2:2" ht="15" customHeight="1">
      <c r="B3202" s="190"/>
    </row>
    <row r="3203" spans="2:2" ht="15" customHeight="1">
      <c r="B3203" s="190"/>
    </row>
    <row r="3204" spans="2:2" ht="15" customHeight="1">
      <c r="B3204" s="190"/>
    </row>
    <row r="3205" spans="2:2" ht="15" customHeight="1">
      <c r="B3205" s="190"/>
    </row>
    <row r="3206" spans="2:2" ht="15" customHeight="1">
      <c r="B3206" s="190"/>
    </row>
    <row r="3207" spans="2:2" ht="15" customHeight="1">
      <c r="B3207" s="190"/>
    </row>
    <row r="3208" spans="2:2" ht="15" customHeight="1">
      <c r="B3208" s="190"/>
    </row>
    <row r="3209" spans="2:2" ht="15" customHeight="1">
      <c r="B3209" s="190"/>
    </row>
    <row r="3210" spans="2:2" ht="15" customHeight="1">
      <c r="B3210" s="190"/>
    </row>
    <row r="3211" spans="2:2" ht="15" customHeight="1">
      <c r="B3211" s="190"/>
    </row>
    <row r="3212" spans="2:2" ht="15" customHeight="1">
      <c r="B3212" s="190"/>
    </row>
    <row r="3213" spans="2:2" ht="15" customHeight="1">
      <c r="B3213" s="190"/>
    </row>
    <row r="3214" spans="2:2" ht="15" customHeight="1">
      <c r="B3214" s="190"/>
    </row>
    <row r="3215" spans="2:2" ht="15" customHeight="1">
      <c r="B3215" s="190"/>
    </row>
    <row r="3216" spans="2:2" ht="15" customHeight="1">
      <c r="B3216" s="190"/>
    </row>
    <row r="3217" spans="2:2" ht="15" customHeight="1">
      <c r="B3217" s="190"/>
    </row>
    <row r="3218" spans="2:2" ht="15" customHeight="1">
      <c r="B3218" s="190"/>
    </row>
    <row r="3219" spans="2:2" ht="15" customHeight="1">
      <c r="B3219" s="190"/>
    </row>
    <row r="3220" spans="2:2" ht="15" customHeight="1">
      <c r="B3220" s="190"/>
    </row>
    <row r="3221" spans="2:2" ht="15" customHeight="1">
      <c r="B3221" s="190"/>
    </row>
    <row r="3222" spans="2:2" ht="15" customHeight="1">
      <c r="B3222" s="190"/>
    </row>
    <row r="3223" spans="2:2" ht="15" customHeight="1">
      <c r="B3223" s="190"/>
    </row>
    <row r="3224" spans="2:2" ht="15" customHeight="1">
      <c r="B3224" s="190"/>
    </row>
    <row r="3225" spans="2:2" ht="15" customHeight="1">
      <c r="B3225" s="190"/>
    </row>
    <row r="3226" spans="2:2" ht="15" customHeight="1">
      <c r="B3226" s="190"/>
    </row>
    <row r="3227" spans="2:2" ht="15" customHeight="1">
      <c r="B3227" s="190"/>
    </row>
    <row r="3228" spans="2:2" ht="15" customHeight="1">
      <c r="B3228" s="190"/>
    </row>
    <row r="3229" spans="2:2" ht="15" customHeight="1">
      <c r="B3229" s="190"/>
    </row>
    <row r="3230" spans="2:2" ht="15" customHeight="1">
      <c r="B3230" s="190"/>
    </row>
    <row r="3231" spans="2:2" ht="15" customHeight="1">
      <c r="B3231" s="190"/>
    </row>
    <row r="3232" spans="2:2" ht="15" customHeight="1">
      <c r="B3232" s="190"/>
    </row>
    <row r="3233" spans="2:2" ht="15" customHeight="1">
      <c r="B3233" s="190"/>
    </row>
    <row r="3234" spans="2:2" ht="15" customHeight="1">
      <c r="B3234" s="190"/>
    </row>
    <row r="3235" spans="2:2" ht="15" customHeight="1">
      <c r="B3235" s="190"/>
    </row>
    <row r="3236" spans="2:2" ht="15" customHeight="1">
      <c r="B3236" s="190"/>
    </row>
    <row r="3237" spans="2:2" ht="15" customHeight="1">
      <c r="B3237" s="190"/>
    </row>
    <row r="3238" spans="2:2" ht="15" customHeight="1">
      <c r="B3238" s="190"/>
    </row>
    <row r="3239" spans="2:2" ht="15" customHeight="1">
      <c r="B3239" s="190"/>
    </row>
    <row r="3240" spans="2:2" ht="15" customHeight="1">
      <c r="B3240" s="190"/>
    </row>
    <row r="3241" spans="2:2" ht="15" customHeight="1">
      <c r="B3241" s="190"/>
    </row>
    <row r="3242" spans="2:2" ht="15" customHeight="1">
      <c r="B3242" s="190"/>
    </row>
    <row r="3243" spans="2:2" ht="15" customHeight="1">
      <c r="B3243" s="190"/>
    </row>
    <row r="3244" spans="2:2" ht="15" customHeight="1">
      <c r="B3244" s="190"/>
    </row>
    <row r="3245" spans="2:2" ht="15" customHeight="1">
      <c r="B3245" s="190"/>
    </row>
    <row r="3246" spans="2:2" ht="15" customHeight="1">
      <c r="B3246" s="190"/>
    </row>
    <row r="3247" spans="2:2" ht="15" customHeight="1">
      <c r="B3247" s="190"/>
    </row>
    <row r="3248" spans="2:2" ht="15" customHeight="1">
      <c r="B3248" s="190"/>
    </row>
    <row r="3249" spans="2:2" ht="15" customHeight="1">
      <c r="B3249" s="190"/>
    </row>
    <row r="3250" spans="2:2" ht="15" customHeight="1">
      <c r="B3250" s="190"/>
    </row>
    <row r="3251" spans="2:2" ht="15" customHeight="1">
      <c r="B3251" s="190"/>
    </row>
    <row r="3252" spans="2:2" ht="15" customHeight="1">
      <c r="B3252" s="190"/>
    </row>
    <row r="3253" spans="2:2" ht="15" customHeight="1">
      <c r="B3253" s="190"/>
    </row>
    <row r="3254" spans="2:2" ht="15" customHeight="1">
      <c r="B3254" s="190"/>
    </row>
    <row r="3255" spans="2:2" ht="15" customHeight="1">
      <c r="B3255" s="190"/>
    </row>
    <row r="3256" spans="2:2" ht="15" customHeight="1">
      <c r="B3256" s="190"/>
    </row>
    <row r="3257" spans="2:2" ht="15" customHeight="1">
      <c r="B3257" s="190"/>
    </row>
    <row r="3258" spans="2:2" ht="15" customHeight="1">
      <c r="B3258" s="190"/>
    </row>
    <row r="3259" spans="2:2" ht="15" customHeight="1">
      <c r="B3259" s="190"/>
    </row>
    <row r="3260" spans="2:2" ht="15" customHeight="1">
      <c r="B3260" s="190"/>
    </row>
    <row r="3261" spans="2:2" ht="15" customHeight="1">
      <c r="B3261" s="190"/>
    </row>
    <row r="3262" spans="2:2" ht="15" customHeight="1">
      <c r="B3262" s="190"/>
    </row>
    <row r="3263" spans="2:2" ht="15" customHeight="1">
      <c r="B3263" s="190"/>
    </row>
    <row r="3264" spans="2:2" ht="15" customHeight="1">
      <c r="B3264" s="190"/>
    </row>
    <row r="3265" spans="2:2" ht="15" customHeight="1">
      <c r="B3265" s="190"/>
    </row>
    <row r="3266" spans="2:2" ht="15" customHeight="1">
      <c r="B3266" s="190"/>
    </row>
    <row r="3267" spans="2:2" ht="15" customHeight="1">
      <c r="B3267" s="190"/>
    </row>
    <row r="3268" spans="2:2" ht="15" customHeight="1">
      <c r="B3268" s="190"/>
    </row>
    <row r="3269" spans="2:2" ht="15" customHeight="1">
      <c r="B3269" s="190"/>
    </row>
    <row r="3270" spans="2:2" ht="15" customHeight="1">
      <c r="B3270" s="190"/>
    </row>
    <row r="3271" spans="2:2" ht="15" customHeight="1">
      <c r="B3271" s="190"/>
    </row>
    <row r="3272" spans="2:2" ht="15" customHeight="1">
      <c r="B3272" s="190"/>
    </row>
    <row r="3273" spans="2:2" ht="15" customHeight="1">
      <c r="B3273" s="190"/>
    </row>
    <row r="3274" spans="2:2" ht="15" customHeight="1">
      <c r="B3274" s="190"/>
    </row>
    <row r="3275" spans="2:2" ht="15" customHeight="1">
      <c r="B3275" s="190"/>
    </row>
    <row r="3276" spans="2:2" ht="15" customHeight="1">
      <c r="B3276" s="190"/>
    </row>
    <row r="3277" spans="2:2" ht="15" customHeight="1">
      <c r="B3277" s="190"/>
    </row>
    <row r="3278" spans="2:2" ht="15" customHeight="1">
      <c r="B3278" s="190"/>
    </row>
    <row r="3279" spans="2:2" ht="15" customHeight="1">
      <c r="B3279" s="190"/>
    </row>
    <row r="3280" spans="2:2" ht="15" customHeight="1">
      <c r="B3280" s="190"/>
    </row>
    <row r="3281" spans="2:2" ht="15" customHeight="1">
      <c r="B3281" s="190"/>
    </row>
    <row r="3282" spans="2:2" ht="15" customHeight="1">
      <c r="B3282" s="190"/>
    </row>
    <row r="3283" spans="2:2" ht="15" customHeight="1">
      <c r="B3283" s="190"/>
    </row>
    <row r="3284" spans="2:2" ht="15" customHeight="1">
      <c r="B3284" s="190"/>
    </row>
    <row r="3285" spans="2:2" ht="15" customHeight="1">
      <c r="B3285" s="190"/>
    </row>
    <row r="3286" spans="2:2" ht="15" customHeight="1">
      <c r="B3286" s="190"/>
    </row>
    <row r="3287" spans="2:2" ht="15" customHeight="1">
      <c r="B3287" s="190"/>
    </row>
    <row r="3288" spans="2:2" ht="15" customHeight="1">
      <c r="B3288" s="190"/>
    </row>
    <row r="3289" spans="2:2" ht="15" customHeight="1">
      <c r="B3289" s="190"/>
    </row>
    <row r="3290" spans="2:2" ht="15" customHeight="1">
      <c r="B3290" s="190"/>
    </row>
    <row r="3291" spans="2:2" ht="15" customHeight="1">
      <c r="B3291" s="190"/>
    </row>
    <row r="3292" spans="2:2" ht="15" customHeight="1">
      <c r="B3292" s="190"/>
    </row>
    <row r="3293" spans="2:2" ht="15" customHeight="1">
      <c r="B3293" s="190"/>
    </row>
    <row r="3294" spans="2:2" ht="15" customHeight="1">
      <c r="B3294" s="190"/>
    </row>
    <row r="3295" spans="2:2" ht="15" customHeight="1">
      <c r="B3295" s="190"/>
    </row>
    <row r="3296" spans="2:2" ht="15" customHeight="1">
      <c r="B3296" s="190"/>
    </row>
    <row r="3297" spans="2:2" ht="15" customHeight="1">
      <c r="B3297" s="190"/>
    </row>
    <row r="3298" spans="2:2" ht="15" customHeight="1">
      <c r="B3298" s="190"/>
    </row>
    <row r="3299" spans="2:2" ht="15" customHeight="1">
      <c r="B3299" s="190"/>
    </row>
    <row r="3300" spans="2:2" ht="15" customHeight="1">
      <c r="B3300" s="190"/>
    </row>
    <row r="3301" spans="2:2" ht="15" customHeight="1">
      <c r="B3301" s="190"/>
    </row>
    <row r="3302" spans="2:2" ht="15" customHeight="1">
      <c r="B3302" s="190"/>
    </row>
    <row r="3303" spans="2:2" ht="15" customHeight="1">
      <c r="B3303" s="190"/>
    </row>
    <row r="3304" spans="2:2" ht="15" customHeight="1">
      <c r="B3304" s="190"/>
    </row>
    <row r="3305" spans="2:2" ht="15" customHeight="1">
      <c r="B3305" s="190"/>
    </row>
    <row r="3306" spans="2:2" ht="15" customHeight="1">
      <c r="B3306" s="190"/>
    </row>
    <row r="3307" spans="2:2" ht="15" customHeight="1">
      <c r="B3307" s="190"/>
    </row>
    <row r="3308" spans="2:2" ht="15" customHeight="1">
      <c r="B3308" s="190"/>
    </row>
    <row r="3309" spans="2:2" ht="15" customHeight="1">
      <c r="B3309" s="190"/>
    </row>
    <row r="3310" spans="2:2" ht="15" customHeight="1">
      <c r="B3310" s="190"/>
    </row>
    <row r="3311" spans="2:2" ht="15" customHeight="1">
      <c r="B3311" s="190"/>
    </row>
    <row r="3312" spans="2:2" ht="15" customHeight="1">
      <c r="B3312" s="190"/>
    </row>
    <row r="3313" spans="2:2" ht="15" customHeight="1">
      <c r="B3313" s="190"/>
    </row>
    <row r="3314" spans="2:2" ht="15" customHeight="1">
      <c r="B3314" s="190"/>
    </row>
    <row r="3315" spans="2:2" ht="15" customHeight="1">
      <c r="B3315" s="190"/>
    </row>
    <row r="3316" spans="2:2" ht="15" customHeight="1">
      <c r="B3316" s="190"/>
    </row>
    <row r="3317" spans="2:2" ht="15" customHeight="1">
      <c r="B3317" s="190"/>
    </row>
    <row r="3318" spans="2:2" ht="15" customHeight="1">
      <c r="B3318" s="190"/>
    </row>
    <row r="3319" spans="2:2" ht="15" customHeight="1">
      <c r="B3319" s="190"/>
    </row>
    <row r="3320" spans="2:2" ht="15" customHeight="1">
      <c r="B3320" s="190"/>
    </row>
    <row r="3321" spans="2:2" ht="15" customHeight="1">
      <c r="B3321" s="190"/>
    </row>
    <row r="3322" spans="2:2" ht="15" customHeight="1">
      <c r="B3322" s="190"/>
    </row>
    <row r="3323" spans="2:2" ht="15" customHeight="1">
      <c r="B3323" s="190"/>
    </row>
    <row r="3324" spans="2:2" ht="15" customHeight="1">
      <c r="B3324" s="190"/>
    </row>
    <row r="3325" spans="2:2" ht="15" customHeight="1">
      <c r="B3325" s="190"/>
    </row>
    <row r="3326" spans="2:2" ht="15" customHeight="1">
      <c r="B3326" s="190"/>
    </row>
    <row r="3327" spans="2:2" ht="15" customHeight="1">
      <c r="B3327" s="190"/>
    </row>
    <row r="3328" spans="2:2" ht="15" customHeight="1">
      <c r="B3328" s="190"/>
    </row>
    <row r="3329" spans="2:2" ht="15" customHeight="1">
      <c r="B3329" s="190"/>
    </row>
    <row r="3330" spans="2:2" ht="15" customHeight="1">
      <c r="B3330" s="190"/>
    </row>
    <row r="3331" spans="2:2" ht="15" customHeight="1">
      <c r="B3331" s="190"/>
    </row>
    <row r="3332" spans="2:2" ht="15" customHeight="1">
      <c r="B3332" s="190"/>
    </row>
    <row r="3333" spans="2:2" ht="15" customHeight="1">
      <c r="B3333" s="190"/>
    </row>
    <row r="3334" spans="2:2" ht="15" customHeight="1">
      <c r="B3334" s="190"/>
    </row>
    <row r="3335" spans="2:2" ht="15" customHeight="1">
      <c r="B3335" s="190"/>
    </row>
    <row r="3336" spans="2:2" ht="15" customHeight="1">
      <c r="B3336" s="190"/>
    </row>
    <row r="3337" spans="2:2" ht="15" customHeight="1">
      <c r="B3337" s="190"/>
    </row>
    <row r="3338" spans="2:2" ht="15" customHeight="1">
      <c r="B3338" s="190"/>
    </row>
    <row r="3339" spans="2:2" ht="15" customHeight="1">
      <c r="B3339" s="190"/>
    </row>
    <row r="3340" spans="2:2" ht="15" customHeight="1">
      <c r="B3340" s="190"/>
    </row>
    <row r="3341" spans="2:2" ht="15" customHeight="1">
      <c r="B3341" s="190"/>
    </row>
    <row r="3342" spans="2:2" ht="15" customHeight="1">
      <c r="B3342" s="190"/>
    </row>
    <row r="3343" spans="2:2" ht="15" customHeight="1">
      <c r="B3343" s="190"/>
    </row>
    <row r="3344" spans="2:2" ht="15" customHeight="1">
      <c r="B3344" s="190"/>
    </row>
    <row r="3345" spans="2:2" ht="15" customHeight="1">
      <c r="B3345" s="190"/>
    </row>
    <row r="3346" spans="2:2" ht="15" customHeight="1">
      <c r="B3346" s="190"/>
    </row>
    <row r="3347" spans="2:2" ht="15" customHeight="1">
      <c r="B3347" s="190"/>
    </row>
    <row r="3348" spans="2:2" ht="15" customHeight="1">
      <c r="B3348" s="190"/>
    </row>
    <row r="3349" spans="2:2" ht="15" customHeight="1">
      <c r="B3349" s="190"/>
    </row>
    <row r="3350" spans="2:2" ht="15" customHeight="1">
      <c r="B3350" s="190"/>
    </row>
    <row r="3351" spans="2:2" ht="15" customHeight="1">
      <c r="B3351" s="190"/>
    </row>
    <row r="3352" spans="2:2" ht="15" customHeight="1">
      <c r="B3352" s="190"/>
    </row>
    <row r="3353" spans="2:2" ht="15" customHeight="1">
      <c r="B3353" s="190"/>
    </row>
    <row r="3354" spans="2:2" ht="15" customHeight="1">
      <c r="B3354" s="190"/>
    </row>
    <row r="3355" spans="2:2" ht="15" customHeight="1">
      <c r="B3355" s="190"/>
    </row>
    <row r="3356" spans="2:2" ht="15" customHeight="1">
      <c r="B3356" s="190"/>
    </row>
    <row r="3357" spans="2:2" ht="15" customHeight="1">
      <c r="B3357" s="190"/>
    </row>
    <row r="3358" spans="2:2" ht="15" customHeight="1">
      <c r="B3358" s="190"/>
    </row>
    <row r="3359" spans="2:2" ht="15" customHeight="1">
      <c r="B3359" s="190"/>
    </row>
    <row r="3360" spans="2:2" ht="15" customHeight="1">
      <c r="B3360" s="190"/>
    </row>
    <row r="3361" spans="2:2" ht="15" customHeight="1">
      <c r="B3361" s="190"/>
    </row>
    <row r="3362" spans="2:2" ht="15" customHeight="1">
      <c r="B3362" s="190"/>
    </row>
    <row r="3363" spans="2:2" ht="15" customHeight="1">
      <c r="B3363" s="190"/>
    </row>
    <row r="3364" spans="2:2" ht="15" customHeight="1">
      <c r="B3364" s="190"/>
    </row>
    <row r="3365" spans="2:2" ht="15" customHeight="1">
      <c r="B3365" s="190"/>
    </row>
    <row r="3366" spans="2:2" ht="15" customHeight="1">
      <c r="B3366" s="190"/>
    </row>
    <row r="3367" spans="2:2" ht="15" customHeight="1">
      <c r="B3367" s="190"/>
    </row>
    <row r="3368" spans="2:2" ht="15" customHeight="1">
      <c r="B3368" s="190"/>
    </row>
    <row r="3369" spans="2:2" ht="15" customHeight="1">
      <c r="B3369" s="190"/>
    </row>
    <row r="3370" spans="2:2" ht="15" customHeight="1">
      <c r="B3370" s="190"/>
    </row>
    <row r="3371" spans="2:2" ht="15" customHeight="1">
      <c r="B3371" s="190"/>
    </row>
    <row r="3372" spans="2:2" ht="15" customHeight="1">
      <c r="B3372" s="190"/>
    </row>
    <row r="3373" spans="2:2" ht="15" customHeight="1">
      <c r="B3373" s="190"/>
    </row>
    <row r="3374" spans="2:2" ht="15" customHeight="1">
      <c r="B3374" s="190"/>
    </row>
    <row r="3375" spans="2:2" ht="15" customHeight="1">
      <c r="B3375" s="190"/>
    </row>
    <row r="3376" spans="2:2" ht="15" customHeight="1">
      <c r="B3376" s="190"/>
    </row>
    <row r="3377" spans="2:2" ht="15" customHeight="1">
      <c r="B3377" s="190"/>
    </row>
    <row r="3378" spans="2:2" ht="15" customHeight="1">
      <c r="B3378" s="190"/>
    </row>
    <row r="3379" spans="2:2" ht="15" customHeight="1">
      <c r="B3379" s="190"/>
    </row>
    <row r="3380" spans="2:2" ht="15" customHeight="1">
      <c r="B3380" s="190"/>
    </row>
    <row r="3381" spans="2:2" ht="15" customHeight="1">
      <c r="B3381" s="190"/>
    </row>
    <row r="3382" spans="2:2" ht="15" customHeight="1">
      <c r="B3382" s="190"/>
    </row>
    <row r="3383" spans="2:2" ht="15" customHeight="1">
      <c r="B3383" s="190"/>
    </row>
    <row r="3384" spans="2:2" ht="15" customHeight="1">
      <c r="B3384" s="190"/>
    </row>
    <row r="3385" spans="2:2" ht="15" customHeight="1">
      <c r="B3385" s="190"/>
    </row>
    <row r="3386" spans="2:2" ht="15" customHeight="1">
      <c r="B3386" s="190"/>
    </row>
    <row r="3387" spans="2:2" ht="15" customHeight="1">
      <c r="B3387" s="190"/>
    </row>
    <row r="3388" spans="2:2" ht="15" customHeight="1">
      <c r="B3388" s="190"/>
    </row>
    <row r="3389" spans="2:2" ht="15" customHeight="1">
      <c r="B3389" s="190"/>
    </row>
    <row r="3390" spans="2:2" ht="15" customHeight="1">
      <c r="B3390" s="190"/>
    </row>
    <row r="3391" spans="2:2" ht="15" customHeight="1">
      <c r="B3391" s="190"/>
    </row>
    <row r="3392" spans="2:2" ht="15" customHeight="1">
      <c r="B3392" s="190"/>
    </row>
    <row r="3393" spans="2:2" ht="15" customHeight="1">
      <c r="B3393" s="190"/>
    </row>
    <row r="3394" spans="2:2" ht="15" customHeight="1">
      <c r="B3394" s="190"/>
    </row>
    <row r="3395" spans="2:2" ht="15" customHeight="1">
      <c r="B3395" s="190"/>
    </row>
    <row r="3396" spans="2:2" ht="15" customHeight="1">
      <c r="B3396" s="190"/>
    </row>
    <row r="3397" spans="2:2" ht="15" customHeight="1">
      <c r="B3397" s="190"/>
    </row>
    <row r="3398" spans="2:2" ht="15" customHeight="1">
      <c r="B3398" s="190"/>
    </row>
    <row r="3399" spans="2:2" ht="15" customHeight="1">
      <c r="B3399" s="190"/>
    </row>
    <row r="3400" spans="2:2" ht="15" customHeight="1">
      <c r="B3400" s="190"/>
    </row>
    <row r="3401" spans="2:2" ht="15" customHeight="1">
      <c r="B3401" s="190"/>
    </row>
    <row r="3402" spans="2:2" ht="15" customHeight="1">
      <c r="B3402" s="190"/>
    </row>
    <row r="3403" spans="2:2" ht="15" customHeight="1">
      <c r="B3403" s="190"/>
    </row>
    <row r="3404" spans="2:2" ht="15" customHeight="1">
      <c r="B3404" s="190"/>
    </row>
    <row r="3405" spans="2:2" ht="15" customHeight="1">
      <c r="B3405" s="190"/>
    </row>
    <row r="3406" spans="2:2" ht="15" customHeight="1">
      <c r="B3406" s="190"/>
    </row>
    <row r="3407" spans="2:2" ht="15" customHeight="1">
      <c r="B3407" s="190"/>
    </row>
    <row r="3408" spans="2:2" ht="15" customHeight="1">
      <c r="B3408" s="190"/>
    </row>
    <row r="3409" spans="2:2" ht="15" customHeight="1">
      <c r="B3409" s="190"/>
    </row>
    <row r="3410" spans="2:2" ht="15" customHeight="1">
      <c r="B3410" s="190"/>
    </row>
    <row r="3411" spans="2:2" ht="15" customHeight="1">
      <c r="B3411" s="190"/>
    </row>
    <row r="3412" spans="2:2" ht="15" customHeight="1">
      <c r="B3412" s="190"/>
    </row>
    <row r="3413" spans="2:2" ht="15" customHeight="1">
      <c r="B3413" s="190"/>
    </row>
    <row r="3414" spans="2:2" ht="15" customHeight="1">
      <c r="B3414" s="190"/>
    </row>
    <row r="3415" spans="2:2" ht="15" customHeight="1">
      <c r="B3415" s="190"/>
    </row>
    <row r="3416" spans="2:2" ht="15" customHeight="1">
      <c r="B3416" s="190"/>
    </row>
    <row r="3417" spans="2:2" ht="15" customHeight="1">
      <c r="B3417" s="190"/>
    </row>
    <row r="3418" spans="2:2" ht="15" customHeight="1">
      <c r="B3418" s="190"/>
    </row>
    <row r="3419" spans="2:2" ht="15" customHeight="1">
      <c r="B3419" s="190"/>
    </row>
    <row r="3420" spans="2:2" ht="15" customHeight="1">
      <c r="B3420" s="190"/>
    </row>
    <row r="3421" spans="2:2" ht="15" customHeight="1">
      <c r="B3421" s="190"/>
    </row>
    <row r="3422" spans="2:2" ht="15" customHeight="1">
      <c r="B3422" s="190"/>
    </row>
    <row r="3423" spans="2:2" ht="15" customHeight="1">
      <c r="B3423" s="190"/>
    </row>
    <row r="3424" spans="2:2" ht="15" customHeight="1">
      <c r="B3424" s="190"/>
    </row>
    <row r="3425" spans="2:2" ht="15" customHeight="1">
      <c r="B3425" s="190"/>
    </row>
    <row r="3426" spans="2:2" ht="15" customHeight="1">
      <c r="B3426" s="190"/>
    </row>
    <row r="3427" spans="2:2" ht="15" customHeight="1">
      <c r="B3427" s="190"/>
    </row>
    <row r="3428" spans="2:2" ht="15" customHeight="1">
      <c r="B3428" s="190"/>
    </row>
    <row r="3429" spans="2:2" ht="15" customHeight="1">
      <c r="B3429" s="190"/>
    </row>
    <row r="3430" spans="2:2" ht="15" customHeight="1">
      <c r="B3430" s="190"/>
    </row>
    <row r="3431" spans="2:2" ht="15" customHeight="1">
      <c r="B3431" s="190"/>
    </row>
    <row r="3432" spans="2:2" ht="15" customHeight="1">
      <c r="B3432" s="190"/>
    </row>
    <row r="3433" spans="2:2" ht="15" customHeight="1">
      <c r="B3433" s="190"/>
    </row>
    <row r="3434" spans="2:2" ht="15" customHeight="1">
      <c r="B3434" s="190"/>
    </row>
    <row r="3435" spans="2:2" ht="15" customHeight="1">
      <c r="B3435" s="190"/>
    </row>
    <row r="3436" spans="2:2" ht="15" customHeight="1">
      <c r="B3436" s="190"/>
    </row>
    <row r="3437" spans="2:2" ht="15" customHeight="1">
      <c r="B3437" s="190"/>
    </row>
    <row r="3438" spans="2:2" ht="15" customHeight="1">
      <c r="B3438" s="190"/>
    </row>
    <row r="3439" spans="2:2" ht="15" customHeight="1">
      <c r="B3439" s="190"/>
    </row>
    <row r="3440" spans="2:2" ht="15" customHeight="1">
      <c r="B3440" s="190"/>
    </row>
    <row r="3441" spans="2:2" ht="15" customHeight="1">
      <c r="B3441" s="190"/>
    </row>
    <row r="3442" spans="2:2" ht="15" customHeight="1">
      <c r="B3442" s="190"/>
    </row>
    <row r="3443" spans="2:2" ht="15" customHeight="1">
      <c r="B3443" s="190"/>
    </row>
    <row r="3444" spans="2:2" ht="15" customHeight="1">
      <c r="B3444" s="190"/>
    </row>
    <row r="3445" spans="2:2" ht="15" customHeight="1">
      <c r="B3445" s="190"/>
    </row>
    <row r="3446" spans="2:2" ht="15" customHeight="1">
      <c r="B3446" s="190"/>
    </row>
    <row r="3447" spans="2:2" ht="15" customHeight="1">
      <c r="B3447" s="190"/>
    </row>
    <row r="3448" spans="2:2" ht="15" customHeight="1">
      <c r="B3448" s="190"/>
    </row>
    <row r="3449" spans="2:2" ht="15" customHeight="1">
      <c r="B3449" s="190"/>
    </row>
    <row r="3450" spans="2:2" ht="15" customHeight="1">
      <c r="B3450" s="190"/>
    </row>
    <row r="3451" spans="2:2" ht="15" customHeight="1">
      <c r="B3451" s="190"/>
    </row>
    <row r="3452" spans="2:2" ht="15" customHeight="1">
      <c r="B3452" s="190"/>
    </row>
    <row r="3453" spans="2:2" ht="15" customHeight="1">
      <c r="B3453" s="190"/>
    </row>
    <row r="3454" spans="2:2" ht="15" customHeight="1">
      <c r="B3454" s="190"/>
    </row>
    <row r="3455" spans="2:2" ht="15" customHeight="1">
      <c r="B3455" s="190"/>
    </row>
    <row r="3456" spans="2:2" ht="15" customHeight="1">
      <c r="B3456" s="190"/>
    </row>
    <row r="3457" spans="2:2" ht="15" customHeight="1">
      <c r="B3457" s="190"/>
    </row>
    <row r="3458" spans="2:2" ht="15" customHeight="1">
      <c r="B3458" s="190"/>
    </row>
    <row r="3459" spans="2:2" ht="15" customHeight="1">
      <c r="B3459" s="190"/>
    </row>
    <row r="3460" spans="2:2" ht="15" customHeight="1">
      <c r="B3460" s="190"/>
    </row>
    <row r="3461" spans="2:2" ht="15" customHeight="1">
      <c r="B3461" s="190"/>
    </row>
    <row r="3462" spans="2:2" ht="15" customHeight="1">
      <c r="B3462" s="190"/>
    </row>
    <row r="3463" spans="2:2" ht="15" customHeight="1">
      <c r="B3463" s="190"/>
    </row>
    <row r="3464" spans="2:2" ht="15" customHeight="1">
      <c r="B3464" s="190"/>
    </row>
    <row r="3465" spans="2:2" ht="15" customHeight="1">
      <c r="B3465" s="190"/>
    </row>
    <row r="3466" spans="2:2" ht="15" customHeight="1">
      <c r="B3466" s="190"/>
    </row>
    <row r="3467" spans="2:2" ht="15" customHeight="1">
      <c r="B3467" s="190"/>
    </row>
    <row r="3468" spans="2:2" ht="15" customHeight="1">
      <c r="B3468" s="190"/>
    </row>
    <row r="3469" spans="2:2" ht="15" customHeight="1">
      <c r="B3469" s="190"/>
    </row>
    <row r="3470" spans="2:2" ht="15" customHeight="1">
      <c r="B3470" s="190"/>
    </row>
    <row r="3471" spans="2:2" ht="15" customHeight="1">
      <c r="B3471" s="190"/>
    </row>
    <row r="3472" spans="2:2" ht="15" customHeight="1">
      <c r="B3472" s="190"/>
    </row>
    <row r="3473" spans="2:2" ht="15" customHeight="1">
      <c r="B3473" s="190"/>
    </row>
    <row r="3474" spans="2:2" ht="15" customHeight="1">
      <c r="B3474" s="190"/>
    </row>
    <row r="3475" spans="2:2" ht="15" customHeight="1">
      <c r="B3475" s="190"/>
    </row>
    <row r="3476" spans="2:2" ht="15" customHeight="1">
      <c r="B3476" s="190"/>
    </row>
    <row r="3477" spans="2:2" ht="15" customHeight="1">
      <c r="B3477" s="190"/>
    </row>
    <row r="3478" spans="2:2" ht="15" customHeight="1">
      <c r="B3478" s="190"/>
    </row>
    <row r="3479" spans="2:2" ht="15" customHeight="1">
      <c r="B3479" s="190"/>
    </row>
    <row r="3480" spans="2:2" ht="15" customHeight="1">
      <c r="B3480" s="190"/>
    </row>
    <row r="3481" spans="2:2" ht="15" customHeight="1">
      <c r="B3481" s="190"/>
    </row>
    <row r="3482" spans="2:2" ht="15" customHeight="1">
      <c r="B3482" s="190"/>
    </row>
    <row r="3483" spans="2:2" ht="15" customHeight="1">
      <c r="B3483" s="190"/>
    </row>
    <row r="3484" spans="2:2" ht="15" customHeight="1">
      <c r="B3484" s="190"/>
    </row>
    <row r="3485" spans="2:2" ht="15" customHeight="1">
      <c r="B3485" s="190"/>
    </row>
    <row r="3486" spans="2:2" ht="15" customHeight="1">
      <c r="B3486" s="190"/>
    </row>
    <row r="3487" spans="2:2" ht="15" customHeight="1">
      <c r="B3487" s="190"/>
    </row>
    <row r="3488" spans="2:2" ht="15" customHeight="1">
      <c r="B3488" s="190"/>
    </row>
    <row r="3489" spans="2:2" ht="15" customHeight="1">
      <c r="B3489" s="190"/>
    </row>
    <row r="3490" spans="2:2" ht="15" customHeight="1">
      <c r="B3490" s="190"/>
    </row>
    <row r="3491" spans="2:2" ht="15" customHeight="1">
      <c r="B3491" s="190"/>
    </row>
    <row r="3492" spans="2:2" ht="15" customHeight="1">
      <c r="B3492" s="190"/>
    </row>
    <row r="3493" spans="2:2" ht="15" customHeight="1">
      <c r="B3493" s="190"/>
    </row>
    <row r="3494" spans="2:2" ht="15" customHeight="1">
      <c r="B3494" s="190"/>
    </row>
    <row r="3495" spans="2:2" ht="15" customHeight="1">
      <c r="B3495" s="190"/>
    </row>
    <row r="3496" spans="2:2" ht="15" customHeight="1">
      <c r="B3496" s="190"/>
    </row>
    <row r="3497" spans="2:2" ht="15" customHeight="1">
      <c r="B3497" s="190"/>
    </row>
    <row r="3498" spans="2:2" ht="15" customHeight="1">
      <c r="B3498" s="190"/>
    </row>
    <row r="3499" spans="2:2" ht="15" customHeight="1">
      <c r="B3499" s="190"/>
    </row>
    <row r="3500" spans="2:2" ht="15" customHeight="1">
      <c r="B3500" s="190"/>
    </row>
    <row r="3501" spans="2:2" ht="15" customHeight="1">
      <c r="B3501" s="190"/>
    </row>
    <row r="3502" spans="2:2" ht="15" customHeight="1">
      <c r="B3502" s="190"/>
    </row>
    <row r="3503" spans="2:2" ht="15" customHeight="1">
      <c r="B3503" s="190"/>
    </row>
    <row r="3504" spans="2:2" ht="15" customHeight="1">
      <c r="B3504" s="190"/>
    </row>
    <row r="3505" spans="2:2" ht="15" customHeight="1">
      <c r="B3505" s="190"/>
    </row>
    <row r="3506" spans="2:2" ht="15" customHeight="1">
      <c r="B3506" s="190"/>
    </row>
    <row r="3507" spans="2:2" ht="15" customHeight="1">
      <c r="B3507" s="190"/>
    </row>
    <row r="3508" spans="2:2" ht="15" customHeight="1">
      <c r="B3508" s="190"/>
    </row>
    <row r="3509" spans="2:2" ht="15" customHeight="1">
      <c r="B3509" s="190"/>
    </row>
    <row r="3510" spans="2:2" ht="15" customHeight="1">
      <c r="B3510" s="190"/>
    </row>
    <row r="3511" spans="2:2" ht="15" customHeight="1">
      <c r="B3511" s="190"/>
    </row>
    <row r="3512" spans="2:2" ht="15" customHeight="1">
      <c r="B3512" s="190"/>
    </row>
    <row r="3513" spans="2:2" ht="15" customHeight="1">
      <c r="B3513" s="190"/>
    </row>
    <row r="3514" spans="2:2" ht="15" customHeight="1">
      <c r="B3514" s="190"/>
    </row>
    <row r="3515" spans="2:2" ht="15" customHeight="1">
      <c r="B3515" s="190"/>
    </row>
    <row r="3516" spans="2:2" ht="15" customHeight="1">
      <c r="B3516" s="190"/>
    </row>
    <row r="3517" spans="2:2" ht="15" customHeight="1">
      <c r="B3517" s="190"/>
    </row>
    <row r="3518" spans="2:2" ht="15" customHeight="1">
      <c r="B3518" s="190"/>
    </row>
    <row r="3519" spans="2:2" ht="15" customHeight="1">
      <c r="B3519" s="190"/>
    </row>
    <row r="3520" spans="2:2" ht="15" customHeight="1">
      <c r="B3520" s="190"/>
    </row>
    <row r="3521" spans="2:2" ht="15" customHeight="1">
      <c r="B3521" s="190"/>
    </row>
    <row r="3522" spans="2:2" ht="15" customHeight="1">
      <c r="B3522" s="190"/>
    </row>
    <row r="3523" spans="2:2" ht="15" customHeight="1">
      <c r="B3523" s="190"/>
    </row>
    <row r="3524" spans="2:2" ht="15" customHeight="1">
      <c r="B3524" s="190"/>
    </row>
    <row r="3525" spans="2:2" ht="15" customHeight="1">
      <c r="B3525" s="190"/>
    </row>
    <row r="3526" spans="2:2" ht="15" customHeight="1">
      <c r="B3526" s="190"/>
    </row>
    <row r="3527" spans="2:2" ht="15" customHeight="1">
      <c r="B3527" s="190"/>
    </row>
    <row r="3528" spans="2:2" ht="15" customHeight="1">
      <c r="B3528" s="190"/>
    </row>
    <row r="3529" spans="2:2" ht="15" customHeight="1">
      <c r="B3529" s="190"/>
    </row>
    <row r="3530" spans="2:2" ht="15" customHeight="1">
      <c r="B3530" s="190"/>
    </row>
    <row r="3531" spans="2:2" ht="15" customHeight="1">
      <c r="B3531" s="190"/>
    </row>
    <row r="3532" spans="2:2" ht="15" customHeight="1">
      <c r="B3532" s="190"/>
    </row>
    <row r="3533" spans="2:2" ht="15" customHeight="1">
      <c r="B3533" s="190"/>
    </row>
    <row r="3534" spans="2:2" ht="15" customHeight="1">
      <c r="B3534" s="190"/>
    </row>
    <row r="3535" spans="2:2" ht="15" customHeight="1">
      <c r="B3535" s="190"/>
    </row>
    <row r="3536" spans="2:2" ht="15" customHeight="1">
      <c r="B3536" s="190"/>
    </row>
    <row r="3537" spans="2:2" ht="15" customHeight="1">
      <c r="B3537" s="190"/>
    </row>
    <row r="3538" spans="2:2" ht="15" customHeight="1">
      <c r="B3538" s="190"/>
    </row>
    <row r="3539" spans="2:2" ht="15" customHeight="1">
      <c r="B3539" s="190"/>
    </row>
    <row r="3540" spans="2:2" ht="15" customHeight="1">
      <c r="B3540" s="190"/>
    </row>
    <row r="3541" spans="2:2" ht="15" customHeight="1">
      <c r="B3541" s="190"/>
    </row>
    <row r="3542" spans="2:2" ht="15" customHeight="1">
      <c r="B3542" s="190"/>
    </row>
    <row r="3543" spans="2:2" ht="15" customHeight="1">
      <c r="B3543" s="190"/>
    </row>
    <row r="3544" spans="2:2" ht="15" customHeight="1">
      <c r="B3544" s="190"/>
    </row>
    <row r="3545" spans="2:2" ht="15" customHeight="1">
      <c r="B3545" s="190"/>
    </row>
    <row r="3546" spans="2:2" ht="15" customHeight="1">
      <c r="B3546" s="190"/>
    </row>
    <row r="3547" spans="2:2" ht="15" customHeight="1">
      <c r="B3547" s="190"/>
    </row>
    <row r="3548" spans="2:2" ht="15" customHeight="1">
      <c r="B3548" s="190"/>
    </row>
    <row r="3549" spans="2:2" ht="15" customHeight="1">
      <c r="B3549" s="190"/>
    </row>
    <row r="3550" spans="2:2" ht="15" customHeight="1">
      <c r="B3550" s="190"/>
    </row>
    <row r="3551" spans="2:2" ht="15" customHeight="1">
      <c r="B3551" s="190"/>
    </row>
    <row r="3552" spans="2:2" ht="15" customHeight="1">
      <c r="B3552" s="190"/>
    </row>
    <row r="3553" spans="2:2" ht="15" customHeight="1">
      <c r="B3553" s="190"/>
    </row>
    <row r="3554" spans="2:2" ht="15" customHeight="1">
      <c r="B3554" s="190"/>
    </row>
    <row r="3555" spans="2:2" ht="15" customHeight="1">
      <c r="B3555" s="190"/>
    </row>
    <row r="3556" spans="2:2" ht="15" customHeight="1">
      <c r="B3556" s="190"/>
    </row>
    <row r="3557" spans="2:2" ht="15" customHeight="1">
      <c r="B3557" s="190"/>
    </row>
    <row r="3558" spans="2:2" ht="15" customHeight="1">
      <c r="B3558" s="190"/>
    </row>
    <row r="3559" spans="2:2" ht="15" customHeight="1">
      <c r="B3559" s="190"/>
    </row>
    <row r="3560" spans="2:2" ht="15" customHeight="1">
      <c r="B3560" s="190"/>
    </row>
    <row r="3561" spans="2:2" ht="15" customHeight="1">
      <c r="B3561" s="190"/>
    </row>
    <row r="3562" spans="2:2" ht="15" customHeight="1">
      <c r="B3562" s="190"/>
    </row>
    <row r="3563" spans="2:2" ht="15" customHeight="1">
      <c r="B3563" s="190"/>
    </row>
    <row r="3564" spans="2:2" ht="15" customHeight="1">
      <c r="B3564" s="190"/>
    </row>
    <row r="3565" spans="2:2" ht="15" customHeight="1">
      <c r="B3565" s="190"/>
    </row>
    <row r="3566" spans="2:2" ht="15" customHeight="1">
      <c r="B3566" s="190"/>
    </row>
    <row r="3567" spans="2:2" ht="15" customHeight="1">
      <c r="B3567" s="190"/>
    </row>
    <row r="3568" spans="2:2" ht="15" customHeight="1">
      <c r="B3568" s="190"/>
    </row>
    <row r="3569" spans="2:2" ht="15" customHeight="1">
      <c r="B3569" s="190"/>
    </row>
    <row r="3570" spans="2:2" ht="15" customHeight="1">
      <c r="B3570" s="190"/>
    </row>
    <row r="3571" spans="2:2" ht="15" customHeight="1">
      <c r="B3571" s="190"/>
    </row>
    <row r="3572" spans="2:2" ht="15" customHeight="1">
      <c r="B3572" s="190"/>
    </row>
    <row r="3573" spans="2:2" ht="15" customHeight="1">
      <c r="B3573" s="190"/>
    </row>
    <row r="3574" spans="2:2" ht="15" customHeight="1">
      <c r="B3574" s="190"/>
    </row>
    <row r="3575" spans="2:2" ht="15" customHeight="1">
      <c r="B3575" s="190"/>
    </row>
    <row r="3576" spans="2:2" ht="15" customHeight="1">
      <c r="B3576" s="190"/>
    </row>
    <row r="3577" spans="2:2" ht="15" customHeight="1">
      <c r="B3577" s="190"/>
    </row>
    <row r="3578" spans="2:2" ht="15" customHeight="1">
      <c r="B3578" s="190"/>
    </row>
    <row r="3579" spans="2:2" ht="15" customHeight="1">
      <c r="B3579" s="190"/>
    </row>
    <row r="3580" spans="2:2" ht="15" customHeight="1">
      <c r="B3580" s="190"/>
    </row>
    <row r="3581" spans="2:2" ht="15" customHeight="1">
      <c r="B3581" s="190"/>
    </row>
    <row r="3582" spans="2:2" ht="15" customHeight="1">
      <c r="B3582" s="190"/>
    </row>
    <row r="3583" spans="2:2" ht="15" customHeight="1">
      <c r="B3583" s="190"/>
    </row>
    <row r="3584" spans="2:2" ht="15" customHeight="1">
      <c r="B3584" s="190"/>
    </row>
    <row r="3585" spans="2:2" ht="15" customHeight="1">
      <c r="B3585" s="190"/>
    </row>
    <row r="3586" spans="2:2" ht="15" customHeight="1">
      <c r="B3586" s="190"/>
    </row>
    <row r="3587" spans="2:2" ht="15" customHeight="1">
      <c r="B3587" s="190"/>
    </row>
    <row r="3588" spans="2:2" ht="15" customHeight="1">
      <c r="B3588" s="190"/>
    </row>
    <row r="3589" spans="2:2" ht="15" customHeight="1">
      <c r="B3589" s="190"/>
    </row>
    <row r="3590" spans="2:2" ht="15" customHeight="1">
      <c r="B3590" s="190"/>
    </row>
    <row r="3591" spans="2:2" ht="15" customHeight="1">
      <c r="B3591" s="190"/>
    </row>
    <row r="3592" spans="2:2" ht="15" customHeight="1">
      <c r="B3592" s="190"/>
    </row>
    <row r="3593" spans="2:2" ht="15" customHeight="1">
      <c r="B3593" s="190"/>
    </row>
    <row r="3594" spans="2:2" ht="15" customHeight="1">
      <c r="B3594" s="190"/>
    </row>
    <row r="3595" spans="2:2" ht="15" customHeight="1">
      <c r="B3595" s="190"/>
    </row>
    <row r="3596" spans="2:2" ht="15" customHeight="1">
      <c r="B3596" s="190"/>
    </row>
    <row r="3597" spans="2:2" ht="15" customHeight="1">
      <c r="B3597" s="190"/>
    </row>
    <row r="3598" spans="2:2" ht="15" customHeight="1">
      <c r="B3598" s="190"/>
    </row>
    <row r="3599" spans="2:2" ht="15" customHeight="1">
      <c r="B3599" s="190"/>
    </row>
    <row r="3600" spans="2:2" ht="15" customHeight="1">
      <c r="B3600" s="190"/>
    </row>
    <row r="3601" spans="2:2" ht="15" customHeight="1">
      <c r="B3601" s="190"/>
    </row>
    <row r="3602" spans="2:2" ht="15" customHeight="1">
      <c r="B3602" s="190"/>
    </row>
    <row r="3603" spans="2:2" ht="15" customHeight="1">
      <c r="B3603" s="190"/>
    </row>
    <row r="3604" spans="2:2" ht="15" customHeight="1">
      <c r="B3604" s="190"/>
    </row>
    <row r="3605" spans="2:2" ht="15" customHeight="1">
      <c r="B3605" s="190"/>
    </row>
    <row r="3606" spans="2:2" ht="15" customHeight="1">
      <c r="B3606" s="190"/>
    </row>
    <row r="3607" spans="2:2" ht="15" customHeight="1">
      <c r="B3607" s="190"/>
    </row>
    <row r="3608" spans="2:2" ht="15" customHeight="1">
      <c r="B3608" s="190"/>
    </row>
    <row r="3609" spans="2:2" ht="15" customHeight="1">
      <c r="B3609" s="190"/>
    </row>
    <row r="3610" spans="2:2" ht="15" customHeight="1">
      <c r="B3610" s="190"/>
    </row>
    <row r="3611" spans="2:2" ht="15" customHeight="1">
      <c r="B3611" s="190"/>
    </row>
    <row r="3612" spans="2:2" ht="15" customHeight="1">
      <c r="B3612" s="190"/>
    </row>
    <row r="3613" spans="2:2" ht="15" customHeight="1">
      <c r="B3613" s="190"/>
    </row>
    <row r="3614" spans="2:2" ht="15" customHeight="1">
      <c r="B3614" s="190"/>
    </row>
    <row r="3615" spans="2:2" ht="15" customHeight="1">
      <c r="B3615" s="190"/>
    </row>
    <row r="3616" spans="2:2" ht="15" customHeight="1">
      <c r="B3616" s="190"/>
    </row>
    <row r="3617" spans="2:2" ht="15" customHeight="1">
      <c r="B3617" s="190"/>
    </row>
    <row r="3618" spans="2:2" ht="15" customHeight="1">
      <c r="B3618" s="190"/>
    </row>
    <row r="3619" spans="2:2" ht="15" customHeight="1">
      <c r="B3619" s="190"/>
    </row>
    <row r="3620" spans="2:2" ht="15" customHeight="1">
      <c r="B3620" s="190"/>
    </row>
    <row r="3621" spans="2:2" ht="15" customHeight="1">
      <c r="B3621" s="190"/>
    </row>
    <row r="3622" spans="2:2" ht="15" customHeight="1">
      <c r="B3622" s="190"/>
    </row>
    <row r="3623" spans="2:2" ht="15" customHeight="1">
      <c r="B3623" s="190"/>
    </row>
    <row r="3624" spans="2:2" ht="15" customHeight="1">
      <c r="B3624" s="190"/>
    </row>
    <row r="3625" spans="2:2" ht="15" customHeight="1">
      <c r="B3625" s="190"/>
    </row>
    <row r="3626" spans="2:2" ht="15" customHeight="1">
      <c r="B3626" s="190"/>
    </row>
    <row r="3627" spans="2:2" ht="15" customHeight="1">
      <c r="B3627" s="190"/>
    </row>
    <row r="3628" spans="2:2" ht="15" customHeight="1">
      <c r="B3628" s="190"/>
    </row>
    <row r="3629" spans="2:2" ht="15" customHeight="1">
      <c r="B3629" s="190"/>
    </row>
    <row r="3630" spans="2:2" ht="15" customHeight="1">
      <c r="B3630" s="190"/>
    </row>
    <row r="3631" spans="2:2" ht="15" customHeight="1">
      <c r="B3631" s="190"/>
    </row>
    <row r="3632" spans="2:2" ht="15" customHeight="1">
      <c r="B3632" s="190"/>
    </row>
    <row r="3633" spans="2:2" ht="15" customHeight="1">
      <c r="B3633" s="190"/>
    </row>
    <row r="3634" spans="2:2" ht="15" customHeight="1">
      <c r="B3634" s="190"/>
    </row>
    <row r="3635" spans="2:2" ht="15" customHeight="1">
      <c r="B3635" s="190"/>
    </row>
    <row r="3636" spans="2:2" ht="15" customHeight="1">
      <c r="B3636" s="190"/>
    </row>
    <row r="3637" spans="2:2" ht="15" customHeight="1">
      <c r="B3637" s="190"/>
    </row>
    <row r="3638" spans="2:2" ht="15" customHeight="1">
      <c r="B3638" s="190"/>
    </row>
    <row r="3639" spans="2:2" ht="15" customHeight="1">
      <c r="B3639" s="190"/>
    </row>
    <row r="3640" spans="2:2" ht="15" customHeight="1">
      <c r="B3640" s="190"/>
    </row>
    <row r="3641" spans="2:2" ht="15" customHeight="1">
      <c r="B3641" s="190"/>
    </row>
    <row r="3642" spans="2:2" ht="15" customHeight="1">
      <c r="B3642" s="190"/>
    </row>
    <row r="3643" spans="2:2" ht="15" customHeight="1">
      <c r="B3643" s="190"/>
    </row>
    <row r="3644" spans="2:2" ht="15" customHeight="1">
      <c r="B3644" s="190"/>
    </row>
    <row r="3645" spans="2:2" ht="15" customHeight="1">
      <c r="B3645" s="190"/>
    </row>
    <row r="3646" spans="2:2" ht="15" customHeight="1">
      <c r="B3646" s="190"/>
    </row>
    <row r="3647" spans="2:2" ht="15" customHeight="1">
      <c r="B3647" s="190"/>
    </row>
    <row r="3648" spans="2:2" ht="15" customHeight="1">
      <c r="B3648" s="190"/>
    </row>
    <row r="3649" spans="2:2" ht="15" customHeight="1">
      <c r="B3649" s="190"/>
    </row>
    <row r="3650" spans="2:2" ht="15" customHeight="1">
      <c r="B3650" s="190"/>
    </row>
    <row r="3651" spans="2:2" ht="15" customHeight="1">
      <c r="B3651" s="190"/>
    </row>
    <row r="3652" spans="2:2" ht="15" customHeight="1">
      <c r="B3652" s="190"/>
    </row>
    <row r="3653" spans="2:2" ht="15" customHeight="1">
      <c r="B3653" s="190"/>
    </row>
    <row r="3654" spans="2:2" ht="15" customHeight="1">
      <c r="B3654" s="190"/>
    </row>
    <row r="3655" spans="2:2" ht="15" customHeight="1">
      <c r="B3655" s="190"/>
    </row>
    <row r="3656" spans="2:2" ht="15" customHeight="1">
      <c r="B3656" s="190"/>
    </row>
    <row r="3657" spans="2:2" ht="15" customHeight="1">
      <c r="B3657" s="190"/>
    </row>
    <row r="3658" spans="2:2" ht="15" customHeight="1">
      <c r="B3658" s="190"/>
    </row>
    <row r="3659" spans="2:2" ht="15" customHeight="1">
      <c r="B3659" s="190"/>
    </row>
    <row r="3660" spans="2:2" ht="15" customHeight="1">
      <c r="B3660" s="190"/>
    </row>
    <row r="3661" spans="2:2" ht="15" customHeight="1">
      <c r="B3661" s="190"/>
    </row>
    <row r="3662" spans="2:2" ht="15" customHeight="1">
      <c r="B3662" s="190"/>
    </row>
    <row r="3663" spans="2:2" ht="15" customHeight="1">
      <c r="B3663" s="190"/>
    </row>
    <row r="3664" spans="2:2" ht="15" customHeight="1">
      <c r="B3664" s="190"/>
    </row>
    <row r="3665" spans="2:2" ht="15" customHeight="1">
      <c r="B3665" s="190"/>
    </row>
    <row r="3666" spans="2:2" ht="15" customHeight="1">
      <c r="B3666" s="190"/>
    </row>
    <row r="3667" spans="2:2" ht="15" customHeight="1">
      <c r="B3667" s="190"/>
    </row>
    <row r="3668" spans="2:2" ht="15" customHeight="1">
      <c r="B3668" s="190"/>
    </row>
    <row r="3669" spans="2:2" ht="15" customHeight="1">
      <c r="B3669" s="190"/>
    </row>
    <row r="3670" spans="2:2" ht="15" customHeight="1">
      <c r="B3670" s="190"/>
    </row>
    <row r="3671" spans="2:2" ht="15" customHeight="1">
      <c r="B3671" s="190"/>
    </row>
    <row r="3672" spans="2:2" ht="15" customHeight="1">
      <c r="B3672" s="190"/>
    </row>
    <row r="3673" spans="2:2" ht="15" customHeight="1">
      <c r="B3673" s="190"/>
    </row>
    <row r="3674" spans="2:2" ht="15" customHeight="1">
      <c r="B3674" s="190"/>
    </row>
    <row r="3675" spans="2:2" ht="15" customHeight="1">
      <c r="B3675" s="190"/>
    </row>
    <row r="3676" spans="2:2" ht="15" customHeight="1">
      <c r="B3676" s="190"/>
    </row>
    <row r="3677" spans="2:2" ht="15" customHeight="1">
      <c r="B3677" s="190"/>
    </row>
    <row r="3678" spans="2:2" ht="15" customHeight="1">
      <c r="B3678" s="190"/>
    </row>
    <row r="3679" spans="2:2" ht="15" customHeight="1">
      <c r="B3679" s="190"/>
    </row>
    <row r="3680" spans="2:2" ht="15" customHeight="1">
      <c r="B3680" s="190"/>
    </row>
    <row r="3681" spans="2:2" ht="15" customHeight="1">
      <c r="B3681" s="190"/>
    </row>
    <row r="3682" spans="2:2" ht="15" customHeight="1">
      <c r="B3682" s="190"/>
    </row>
    <row r="3683" spans="2:2" ht="15" customHeight="1">
      <c r="B3683" s="190"/>
    </row>
    <row r="3684" spans="2:2" ht="15" customHeight="1">
      <c r="B3684" s="190"/>
    </row>
    <row r="3685" spans="2:2" ht="15" customHeight="1">
      <c r="B3685" s="190"/>
    </row>
    <row r="3686" spans="2:2" ht="15" customHeight="1">
      <c r="B3686" s="190"/>
    </row>
    <row r="3687" spans="2:2" ht="15" customHeight="1">
      <c r="B3687" s="190"/>
    </row>
    <row r="3688" spans="2:2" ht="15" customHeight="1">
      <c r="B3688" s="190"/>
    </row>
    <row r="3689" spans="2:2" ht="15" customHeight="1">
      <c r="B3689" s="190"/>
    </row>
    <row r="3690" spans="2:2" ht="15" customHeight="1">
      <c r="B3690" s="190"/>
    </row>
    <row r="3691" spans="2:2" ht="15" customHeight="1">
      <c r="B3691" s="190"/>
    </row>
    <row r="3692" spans="2:2" ht="15" customHeight="1">
      <c r="B3692" s="190"/>
    </row>
    <row r="3693" spans="2:2" ht="15" customHeight="1">
      <c r="B3693" s="190"/>
    </row>
    <row r="3694" spans="2:2" ht="15" customHeight="1">
      <c r="B3694" s="190"/>
    </row>
    <row r="3695" spans="2:2" ht="15" customHeight="1">
      <c r="B3695" s="190"/>
    </row>
    <row r="3696" spans="2:2" ht="15" customHeight="1">
      <c r="B3696" s="190"/>
    </row>
    <row r="3697" spans="2:2" ht="15" customHeight="1">
      <c r="B3697" s="190"/>
    </row>
    <row r="3698" spans="2:2" ht="15" customHeight="1">
      <c r="B3698" s="190"/>
    </row>
    <row r="3699" spans="2:2" ht="15" customHeight="1">
      <c r="B3699" s="190"/>
    </row>
    <row r="3700" spans="2:2" ht="15" customHeight="1">
      <c r="B3700" s="190"/>
    </row>
    <row r="3701" spans="2:2" ht="15" customHeight="1">
      <c r="B3701" s="190"/>
    </row>
    <row r="3702" spans="2:2" ht="15" customHeight="1">
      <c r="B3702" s="190"/>
    </row>
    <row r="3703" spans="2:2" ht="15" customHeight="1">
      <c r="B3703" s="190"/>
    </row>
    <row r="3704" spans="2:2" ht="15" customHeight="1">
      <c r="B3704" s="190"/>
    </row>
    <row r="3705" spans="2:2" ht="15" customHeight="1">
      <c r="B3705" s="190"/>
    </row>
    <row r="3706" spans="2:2" ht="15" customHeight="1">
      <c r="B3706" s="190"/>
    </row>
    <row r="3707" spans="2:2" ht="15" customHeight="1">
      <c r="B3707" s="190"/>
    </row>
    <row r="3708" spans="2:2" ht="15" customHeight="1">
      <c r="B3708" s="190"/>
    </row>
    <row r="3709" spans="2:2" ht="15" customHeight="1">
      <c r="B3709" s="190"/>
    </row>
    <row r="3710" spans="2:2" ht="15" customHeight="1">
      <c r="B3710" s="190"/>
    </row>
    <row r="3711" spans="2:2" ht="15" customHeight="1">
      <c r="B3711" s="190"/>
    </row>
    <row r="3712" spans="2:2" ht="15" customHeight="1">
      <c r="B3712" s="190"/>
    </row>
    <row r="3713" spans="2:2" ht="15" customHeight="1">
      <c r="B3713" s="190"/>
    </row>
    <row r="3714" spans="2:2" ht="15" customHeight="1">
      <c r="B3714" s="190"/>
    </row>
    <row r="3715" spans="2:2" ht="15" customHeight="1">
      <c r="B3715" s="190"/>
    </row>
    <row r="3716" spans="2:2" ht="15" customHeight="1">
      <c r="B3716" s="190"/>
    </row>
    <row r="3717" spans="2:2" ht="15" customHeight="1">
      <c r="B3717" s="190"/>
    </row>
    <row r="3718" spans="2:2" ht="15" customHeight="1">
      <c r="B3718" s="190"/>
    </row>
    <row r="3719" spans="2:2" ht="15" customHeight="1">
      <c r="B3719" s="190"/>
    </row>
    <row r="3720" spans="2:2" ht="15" customHeight="1">
      <c r="B3720" s="190"/>
    </row>
    <row r="3721" spans="2:2" ht="15" customHeight="1">
      <c r="B3721" s="190"/>
    </row>
    <row r="3722" spans="2:2" ht="15" customHeight="1">
      <c r="B3722" s="190"/>
    </row>
    <row r="3723" spans="2:2" ht="15" customHeight="1">
      <c r="B3723" s="190"/>
    </row>
    <row r="3724" spans="2:2" ht="15" customHeight="1">
      <c r="B3724" s="190"/>
    </row>
    <row r="3725" spans="2:2" ht="15" customHeight="1">
      <c r="B3725" s="190"/>
    </row>
    <row r="3726" spans="2:2" ht="15" customHeight="1">
      <c r="B3726" s="190"/>
    </row>
    <row r="3727" spans="2:2" ht="15" customHeight="1">
      <c r="B3727" s="190"/>
    </row>
    <row r="3728" spans="2:2" ht="15" customHeight="1">
      <c r="B3728" s="190"/>
    </row>
    <row r="3729" spans="2:2" ht="15" customHeight="1">
      <c r="B3729" s="190"/>
    </row>
    <row r="3730" spans="2:2" ht="15" customHeight="1">
      <c r="B3730" s="190"/>
    </row>
    <row r="3731" spans="2:2" ht="15" customHeight="1">
      <c r="B3731" s="190"/>
    </row>
    <row r="3732" spans="2:2" ht="15" customHeight="1">
      <c r="B3732" s="190"/>
    </row>
    <row r="3733" spans="2:2" ht="15" customHeight="1">
      <c r="B3733" s="190"/>
    </row>
    <row r="3734" spans="2:2" ht="15" customHeight="1">
      <c r="B3734" s="190"/>
    </row>
    <row r="3735" spans="2:2" ht="15" customHeight="1">
      <c r="B3735" s="190"/>
    </row>
    <row r="3736" spans="2:2" ht="15" customHeight="1">
      <c r="B3736" s="190"/>
    </row>
    <row r="3737" spans="2:2" ht="15" customHeight="1">
      <c r="B3737" s="190"/>
    </row>
    <row r="3738" spans="2:2" ht="15" customHeight="1">
      <c r="B3738" s="190"/>
    </row>
    <row r="3739" spans="2:2" ht="15" customHeight="1">
      <c r="B3739" s="190"/>
    </row>
    <row r="3740" spans="2:2" ht="15" customHeight="1">
      <c r="B3740" s="190"/>
    </row>
    <row r="3741" spans="2:2" ht="15" customHeight="1">
      <c r="B3741" s="190"/>
    </row>
    <row r="3742" spans="2:2" ht="15" customHeight="1">
      <c r="B3742" s="190"/>
    </row>
    <row r="3743" spans="2:2" ht="15" customHeight="1">
      <c r="B3743" s="190"/>
    </row>
    <row r="3744" spans="2:2" ht="15" customHeight="1">
      <c r="B3744" s="190"/>
    </row>
    <row r="3745" spans="2:2" ht="15" customHeight="1">
      <c r="B3745" s="190"/>
    </row>
    <row r="3746" spans="2:2" ht="15" customHeight="1">
      <c r="B3746" s="190"/>
    </row>
    <row r="3747" spans="2:2" ht="15" customHeight="1">
      <c r="B3747" s="190"/>
    </row>
    <row r="3748" spans="2:2" ht="15" customHeight="1">
      <c r="B3748" s="190"/>
    </row>
    <row r="3749" spans="2:2" ht="15" customHeight="1">
      <c r="B3749" s="190"/>
    </row>
    <row r="3750" spans="2:2" ht="15" customHeight="1">
      <c r="B3750" s="190"/>
    </row>
    <row r="3751" spans="2:2" ht="15" customHeight="1">
      <c r="B3751" s="190"/>
    </row>
    <row r="3752" spans="2:2" ht="15" customHeight="1">
      <c r="B3752" s="190"/>
    </row>
    <row r="3753" spans="2:2" ht="15" customHeight="1">
      <c r="B3753" s="190"/>
    </row>
    <row r="3754" spans="2:2" ht="15" customHeight="1">
      <c r="B3754" s="190"/>
    </row>
    <row r="3755" spans="2:2" ht="15" customHeight="1">
      <c r="B3755" s="190"/>
    </row>
    <row r="3756" spans="2:2" ht="15" customHeight="1">
      <c r="B3756" s="190"/>
    </row>
    <row r="3757" spans="2:2" ht="15" customHeight="1">
      <c r="B3757" s="190"/>
    </row>
    <row r="3758" spans="2:2" ht="15" customHeight="1">
      <c r="B3758" s="190"/>
    </row>
    <row r="3759" spans="2:2" ht="15" customHeight="1">
      <c r="B3759" s="190"/>
    </row>
    <row r="3760" spans="2:2" ht="15" customHeight="1">
      <c r="B3760" s="190"/>
    </row>
    <row r="3761" spans="2:2" ht="15" customHeight="1">
      <c r="B3761" s="190"/>
    </row>
    <row r="3762" spans="2:2" ht="15" customHeight="1">
      <c r="B3762" s="190"/>
    </row>
    <row r="3763" spans="2:2" ht="15" customHeight="1">
      <c r="B3763" s="190"/>
    </row>
    <row r="3764" spans="2:2" ht="15" customHeight="1">
      <c r="B3764" s="190"/>
    </row>
    <row r="3765" spans="2:2" ht="15" customHeight="1">
      <c r="B3765" s="190"/>
    </row>
    <row r="3766" spans="2:2" ht="15" customHeight="1">
      <c r="B3766" s="190"/>
    </row>
    <row r="3767" spans="2:2" ht="15" customHeight="1">
      <c r="B3767" s="190"/>
    </row>
    <row r="3768" spans="2:2" ht="15" customHeight="1">
      <c r="B3768" s="190"/>
    </row>
    <row r="3769" spans="2:2" ht="15" customHeight="1">
      <c r="B3769" s="190"/>
    </row>
    <row r="3770" spans="2:2" ht="15" customHeight="1">
      <c r="B3770" s="190"/>
    </row>
    <row r="3771" spans="2:2" ht="15" customHeight="1">
      <c r="B3771" s="190"/>
    </row>
    <row r="3772" spans="2:2" ht="15" customHeight="1">
      <c r="B3772" s="190"/>
    </row>
    <row r="3773" spans="2:2" ht="15" customHeight="1">
      <c r="B3773" s="190"/>
    </row>
    <row r="3774" spans="2:2" ht="15" customHeight="1">
      <c r="B3774" s="190"/>
    </row>
    <row r="3775" spans="2:2" ht="15" customHeight="1">
      <c r="B3775" s="190"/>
    </row>
    <row r="3776" spans="2:2" ht="15" customHeight="1">
      <c r="B3776" s="190"/>
    </row>
    <row r="3777" spans="2:2" ht="15" customHeight="1">
      <c r="B3777" s="190"/>
    </row>
    <row r="3778" spans="2:2" ht="15" customHeight="1">
      <c r="B3778" s="190"/>
    </row>
    <row r="3779" spans="2:2" ht="15" customHeight="1">
      <c r="B3779" s="190"/>
    </row>
    <row r="3780" spans="2:2" ht="15" customHeight="1">
      <c r="B3780" s="190"/>
    </row>
    <row r="3781" spans="2:2" ht="15" customHeight="1">
      <c r="B3781" s="190"/>
    </row>
    <row r="3782" spans="2:2" ht="15" customHeight="1">
      <c r="B3782" s="190"/>
    </row>
    <row r="3783" spans="2:2" ht="15" customHeight="1">
      <c r="B3783" s="190"/>
    </row>
    <row r="3784" spans="2:2" ht="15" customHeight="1">
      <c r="B3784" s="190"/>
    </row>
    <row r="3785" spans="2:2" ht="15" customHeight="1">
      <c r="B3785" s="190"/>
    </row>
    <row r="3786" spans="2:2" ht="15" customHeight="1">
      <c r="B3786" s="190"/>
    </row>
    <row r="3787" spans="2:2" ht="15" customHeight="1">
      <c r="B3787" s="190"/>
    </row>
    <row r="3788" spans="2:2" ht="15" customHeight="1">
      <c r="B3788" s="190"/>
    </row>
    <row r="3789" spans="2:2" ht="15" customHeight="1">
      <c r="B3789" s="190"/>
    </row>
    <row r="3790" spans="2:2" ht="15" customHeight="1">
      <c r="B3790" s="190"/>
    </row>
    <row r="3791" spans="2:2" ht="15" customHeight="1">
      <c r="B3791" s="190"/>
    </row>
    <row r="3792" spans="2:2" ht="15" customHeight="1">
      <c r="B3792" s="190"/>
    </row>
    <row r="3793" spans="2:2" ht="15" customHeight="1">
      <c r="B3793" s="190"/>
    </row>
    <row r="3794" spans="2:2" ht="15" customHeight="1">
      <c r="B3794" s="190"/>
    </row>
    <row r="3795" spans="2:2" ht="15" customHeight="1">
      <c r="B3795" s="190"/>
    </row>
    <row r="3796" spans="2:2" ht="15" customHeight="1">
      <c r="B3796" s="190"/>
    </row>
    <row r="3797" spans="2:2" ht="15" customHeight="1">
      <c r="B3797" s="190"/>
    </row>
    <row r="3798" spans="2:2" ht="15" customHeight="1">
      <c r="B3798" s="190"/>
    </row>
    <row r="3799" spans="2:2" ht="15" customHeight="1">
      <c r="B3799" s="190"/>
    </row>
    <row r="3800" spans="2:2" ht="15" customHeight="1">
      <c r="B3800" s="190"/>
    </row>
    <row r="3801" spans="2:2" ht="15" customHeight="1">
      <c r="B3801" s="190"/>
    </row>
    <row r="3802" spans="2:2" ht="15" customHeight="1">
      <c r="B3802" s="190"/>
    </row>
    <row r="3803" spans="2:2" ht="15" customHeight="1">
      <c r="B3803" s="190"/>
    </row>
    <row r="3804" spans="2:2" ht="15" customHeight="1">
      <c r="B3804" s="190"/>
    </row>
    <row r="3805" spans="2:2" ht="15" customHeight="1">
      <c r="B3805" s="190"/>
    </row>
    <row r="3806" spans="2:2" ht="15" customHeight="1">
      <c r="B3806" s="190"/>
    </row>
    <row r="3807" spans="2:2" ht="15" customHeight="1">
      <c r="B3807" s="190"/>
    </row>
    <row r="3808" spans="2:2" ht="15" customHeight="1">
      <c r="B3808" s="190"/>
    </row>
    <row r="3809" spans="2:2" ht="15" customHeight="1">
      <c r="B3809" s="190"/>
    </row>
    <row r="3810" spans="2:2" ht="15" customHeight="1">
      <c r="B3810" s="190"/>
    </row>
    <row r="3811" spans="2:2" ht="15" customHeight="1">
      <c r="B3811" s="190"/>
    </row>
    <row r="3812" spans="2:2" ht="15" customHeight="1">
      <c r="B3812" s="190"/>
    </row>
    <row r="3813" spans="2:2" ht="15" customHeight="1">
      <c r="B3813" s="190"/>
    </row>
    <row r="3814" spans="2:2" ht="15" customHeight="1">
      <c r="B3814" s="190"/>
    </row>
    <row r="3815" spans="2:2" ht="15" customHeight="1">
      <c r="B3815" s="190"/>
    </row>
    <row r="3816" spans="2:2" ht="15" customHeight="1">
      <c r="B3816" s="190"/>
    </row>
    <row r="3817" spans="2:2" ht="15" customHeight="1">
      <c r="B3817" s="190"/>
    </row>
    <row r="3818" spans="2:2" ht="15" customHeight="1">
      <c r="B3818" s="190"/>
    </row>
    <row r="3819" spans="2:2" ht="15" customHeight="1">
      <c r="B3819" s="190"/>
    </row>
    <row r="3820" spans="2:2" ht="15" customHeight="1">
      <c r="B3820" s="190"/>
    </row>
    <row r="3821" spans="2:2" ht="15" customHeight="1">
      <c r="B3821" s="190"/>
    </row>
    <row r="3822" spans="2:2" ht="15" customHeight="1">
      <c r="B3822" s="190"/>
    </row>
    <row r="3823" spans="2:2" ht="15" customHeight="1">
      <c r="B3823" s="190"/>
    </row>
    <row r="3824" spans="2:2" ht="15" customHeight="1">
      <c r="B3824" s="190"/>
    </row>
    <row r="3825" spans="2:2" ht="15" customHeight="1">
      <c r="B3825" s="190"/>
    </row>
    <row r="3826" spans="2:2" ht="15" customHeight="1">
      <c r="B3826" s="190"/>
    </row>
    <row r="3827" spans="2:2" ht="15" customHeight="1">
      <c r="B3827" s="190"/>
    </row>
    <row r="3828" spans="2:2" ht="15" customHeight="1">
      <c r="B3828" s="190"/>
    </row>
    <row r="3829" spans="2:2" ht="15" customHeight="1">
      <c r="B3829" s="190"/>
    </row>
    <row r="3830" spans="2:2" ht="15" customHeight="1">
      <c r="B3830" s="190"/>
    </row>
    <row r="3831" spans="2:2" ht="15" customHeight="1">
      <c r="B3831" s="190"/>
    </row>
    <row r="3832" spans="2:2" ht="15" customHeight="1">
      <c r="B3832" s="190"/>
    </row>
    <row r="3833" spans="2:2" ht="15" customHeight="1">
      <c r="B3833" s="190"/>
    </row>
    <row r="3834" spans="2:2" ht="15" customHeight="1">
      <c r="B3834" s="190"/>
    </row>
    <row r="3835" spans="2:2" ht="15" customHeight="1">
      <c r="B3835" s="190"/>
    </row>
    <row r="3836" spans="2:2" ht="15" customHeight="1">
      <c r="B3836" s="190"/>
    </row>
    <row r="3837" spans="2:2" ht="15" customHeight="1">
      <c r="B3837" s="190"/>
    </row>
    <row r="3838" spans="2:2" ht="15" customHeight="1">
      <c r="B3838" s="190"/>
    </row>
    <row r="3839" spans="2:2" ht="15" customHeight="1">
      <c r="B3839" s="190"/>
    </row>
    <row r="3840" spans="2:2" ht="15" customHeight="1">
      <c r="B3840" s="190"/>
    </row>
    <row r="3841" spans="2:2" ht="15" customHeight="1">
      <c r="B3841" s="190"/>
    </row>
    <row r="3842" spans="2:2" ht="15" customHeight="1">
      <c r="B3842" s="190"/>
    </row>
    <row r="3843" spans="2:2" ht="15" customHeight="1">
      <c r="B3843" s="190"/>
    </row>
    <row r="3844" spans="2:2" ht="15" customHeight="1">
      <c r="B3844" s="190"/>
    </row>
    <row r="3845" spans="2:2" ht="15" customHeight="1">
      <c r="B3845" s="190"/>
    </row>
    <row r="3846" spans="2:2" ht="15" customHeight="1">
      <c r="B3846" s="190"/>
    </row>
    <row r="3847" spans="2:2" ht="15" customHeight="1">
      <c r="B3847" s="190"/>
    </row>
    <row r="3848" spans="2:2" ht="15" customHeight="1">
      <c r="B3848" s="190"/>
    </row>
    <row r="3849" spans="2:2" ht="15" customHeight="1">
      <c r="B3849" s="190"/>
    </row>
    <row r="3850" spans="2:2" ht="15" customHeight="1">
      <c r="B3850" s="190"/>
    </row>
    <row r="3851" spans="2:2" ht="15" customHeight="1">
      <c r="B3851" s="190"/>
    </row>
    <row r="3852" spans="2:2" ht="15" customHeight="1">
      <c r="B3852" s="190"/>
    </row>
    <row r="3853" spans="2:2" ht="15" customHeight="1">
      <c r="B3853" s="190"/>
    </row>
    <row r="3854" spans="2:2" ht="15" customHeight="1">
      <c r="B3854" s="190"/>
    </row>
    <row r="3855" spans="2:2" ht="15" customHeight="1">
      <c r="B3855" s="190"/>
    </row>
    <row r="3856" spans="2:2" ht="15" customHeight="1">
      <c r="B3856" s="190"/>
    </row>
    <row r="3857" spans="2:2" ht="15" customHeight="1">
      <c r="B3857" s="190"/>
    </row>
    <row r="3858" spans="2:2" ht="15" customHeight="1">
      <c r="B3858" s="190"/>
    </row>
    <row r="3859" spans="2:2" ht="15" customHeight="1">
      <c r="B3859" s="190"/>
    </row>
    <row r="3860" spans="2:2" ht="15" customHeight="1">
      <c r="B3860" s="190"/>
    </row>
    <row r="3861" spans="2:2" ht="15" customHeight="1">
      <c r="B3861" s="190"/>
    </row>
    <row r="3862" spans="2:2" ht="15" customHeight="1">
      <c r="B3862" s="190"/>
    </row>
    <row r="3863" spans="2:2" ht="15" customHeight="1">
      <c r="B3863" s="190"/>
    </row>
    <row r="3864" spans="2:2" ht="15" customHeight="1">
      <c r="B3864" s="190"/>
    </row>
    <row r="3865" spans="2:2" ht="15" customHeight="1">
      <c r="B3865" s="190"/>
    </row>
    <row r="3866" spans="2:2" ht="15" customHeight="1">
      <c r="B3866" s="190"/>
    </row>
    <row r="3867" spans="2:2" ht="15" customHeight="1">
      <c r="B3867" s="190"/>
    </row>
    <row r="3868" spans="2:2" ht="15" customHeight="1">
      <c r="B3868" s="190"/>
    </row>
    <row r="3869" spans="2:2" ht="15" customHeight="1">
      <c r="B3869" s="190"/>
    </row>
    <row r="3870" spans="2:2" ht="15" customHeight="1">
      <c r="B3870" s="190"/>
    </row>
    <row r="3871" spans="2:2" ht="15" customHeight="1">
      <c r="B3871" s="190"/>
    </row>
    <row r="3872" spans="2:2" ht="15" customHeight="1">
      <c r="B3872" s="190"/>
    </row>
    <row r="3873" spans="2:2" ht="15" customHeight="1">
      <c r="B3873" s="190"/>
    </row>
    <row r="3874" spans="2:2" ht="15" customHeight="1">
      <c r="B3874" s="190"/>
    </row>
    <row r="3875" spans="2:2" ht="15" customHeight="1">
      <c r="B3875" s="190"/>
    </row>
    <row r="3876" spans="2:2" ht="15" customHeight="1">
      <c r="B3876" s="190"/>
    </row>
    <row r="3877" spans="2:2" ht="15" customHeight="1">
      <c r="B3877" s="190"/>
    </row>
    <row r="3878" spans="2:2" ht="15" customHeight="1">
      <c r="B3878" s="190"/>
    </row>
    <row r="3879" spans="2:2" ht="15" customHeight="1">
      <c r="B3879" s="190"/>
    </row>
    <row r="3880" spans="2:2" ht="15" customHeight="1">
      <c r="B3880" s="190"/>
    </row>
    <row r="3881" spans="2:2" ht="15" customHeight="1">
      <c r="B3881" s="190"/>
    </row>
    <row r="3882" spans="2:2" ht="15" customHeight="1">
      <c r="B3882" s="190"/>
    </row>
    <row r="3883" spans="2:2" ht="15" customHeight="1">
      <c r="B3883" s="190"/>
    </row>
    <row r="3884" spans="2:2" ht="15" customHeight="1">
      <c r="B3884" s="190"/>
    </row>
    <row r="3885" spans="2:2" ht="15" customHeight="1">
      <c r="B3885" s="190"/>
    </row>
    <row r="3886" spans="2:2" ht="15" customHeight="1">
      <c r="B3886" s="190"/>
    </row>
    <row r="3887" spans="2:2" ht="15" customHeight="1">
      <c r="B3887" s="190"/>
    </row>
    <row r="3888" spans="2:2" ht="15" customHeight="1">
      <c r="B3888" s="190"/>
    </row>
    <row r="3889" spans="2:2" ht="15" customHeight="1">
      <c r="B3889" s="190"/>
    </row>
    <row r="3890" spans="2:2" ht="15" customHeight="1">
      <c r="B3890" s="190"/>
    </row>
    <row r="3891" spans="2:2" ht="15" customHeight="1">
      <c r="B3891" s="190"/>
    </row>
    <row r="3892" spans="2:2" ht="15" customHeight="1">
      <c r="B3892" s="190"/>
    </row>
    <row r="3893" spans="2:2" ht="15" customHeight="1">
      <c r="B3893" s="190"/>
    </row>
    <row r="3894" spans="2:2" ht="15" customHeight="1">
      <c r="B3894" s="190"/>
    </row>
    <row r="3895" spans="2:2" ht="15" customHeight="1">
      <c r="B3895" s="190"/>
    </row>
    <row r="3896" spans="2:2" ht="15" customHeight="1">
      <c r="B3896" s="190"/>
    </row>
    <row r="3897" spans="2:2" ht="15" customHeight="1">
      <c r="B3897" s="190"/>
    </row>
    <row r="3898" spans="2:2" ht="15" customHeight="1">
      <c r="B3898" s="190"/>
    </row>
    <row r="3899" spans="2:2" ht="15" customHeight="1">
      <c r="B3899" s="190"/>
    </row>
    <row r="3900" spans="2:2" ht="15" customHeight="1">
      <c r="B3900" s="190"/>
    </row>
    <row r="3901" spans="2:2" ht="15" customHeight="1">
      <c r="B3901" s="190"/>
    </row>
    <row r="3902" spans="2:2" ht="15" customHeight="1">
      <c r="B3902" s="190"/>
    </row>
    <row r="3903" spans="2:2" ht="15" customHeight="1">
      <c r="B3903" s="190"/>
    </row>
    <row r="3904" spans="2:2" ht="15" customHeight="1">
      <c r="B3904" s="190"/>
    </row>
    <row r="3905" spans="2:2" ht="15" customHeight="1">
      <c r="B3905" s="190"/>
    </row>
    <row r="3906" spans="2:2" ht="15" customHeight="1">
      <c r="B3906" s="190"/>
    </row>
    <row r="3907" spans="2:2" ht="15" customHeight="1">
      <c r="B3907" s="190"/>
    </row>
    <row r="3908" spans="2:2" ht="15" customHeight="1">
      <c r="B3908" s="190"/>
    </row>
    <row r="3909" spans="2:2" ht="15" customHeight="1">
      <c r="B3909" s="190"/>
    </row>
    <row r="3910" spans="2:2" ht="15" customHeight="1">
      <c r="B3910" s="190"/>
    </row>
    <row r="3911" spans="2:2" ht="15" customHeight="1">
      <c r="B3911" s="190"/>
    </row>
    <row r="3912" spans="2:2" ht="15" customHeight="1">
      <c r="B3912" s="190"/>
    </row>
    <row r="3913" spans="2:2" ht="15" customHeight="1">
      <c r="B3913" s="190"/>
    </row>
    <row r="3914" spans="2:2" ht="15" customHeight="1">
      <c r="B3914" s="190"/>
    </row>
    <row r="3915" spans="2:2" ht="15" customHeight="1">
      <c r="B3915" s="190"/>
    </row>
    <row r="3916" spans="2:2" ht="15" customHeight="1">
      <c r="B3916" s="190"/>
    </row>
    <row r="3917" spans="2:2" ht="15" customHeight="1">
      <c r="B3917" s="190"/>
    </row>
    <row r="3918" spans="2:2" ht="15" customHeight="1">
      <c r="B3918" s="190"/>
    </row>
    <row r="3919" spans="2:2" ht="15" customHeight="1">
      <c r="B3919" s="190"/>
    </row>
    <row r="3920" spans="2:2" ht="15" customHeight="1">
      <c r="B3920" s="190"/>
    </row>
    <row r="3921" spans="2:2" ht="15" customHeight="1">
      <c r="B3921" s="190"/>
    </row>
    <row r="3922" spans="2:2" ht="15" customHeight="1">
      <c r="B3922" s="190"/>
    </row>
    <row r="3923" spans="2:2" ht="15" customHeight="1">
      <c r="B3923" s="190"/>
    </row>
    <row r="3924" spans="2:2" ht="15" customHeight="1">
      <c r="B3924" s="190"/>
    </row>
    <row r="3925" spans="2:2" ht="15" customHeight="1">
      <c r="B3925" s="190"/>
    </row>
    <row r="3926" spans="2:2" ht="15" customHeight="1">
      <c r="B3926" s="190"/>
    </row>
    <row r="3927" spans="2:2" ht="15" customHeight="1">
      <c r="B3927" s="190"/>
    </row>
    <row r="3928" spans="2:2" ht="15" customHeight="1">
      <c r="B3928" s="190"/>
    </row>
    <row r="3929" spans="2:2" ht="15" customHeight="1">
      <c r="B3929" s="190"/>
    </row>
    <row r="3930" spans="2:2" ht="15" customHeight="1">
      <c r="B3930" s="190"/>
    </row>
    <row r="3931" spans="2:2" ht="15" customHeight="1">
      <c r="B3931" s="190"/>
    </row>
    <row r="3932" spans="2:2" ht="15" customHeight="1">
      <c r="B3932" s="190"/>
    </row>
    <row r="3933" spans="2:2" ht="15" customHeight="1">
      <c r="B3933" s="190"/>
    </row>
    <row r="3934" spans="2:2" ht="15" customHeight="1">
      <c r="B3934" s="190"/>
    </row>
    <row r="3935" spans="2:2" ht="15" customHeight="1">
      <c r="B3935" s="190"/>
    </row>
    <row r="3936" spans="2:2" ht="15" customHeight="1">
      <c r="B3936" s="190"/>
    </row>
    <row r="3937" spans="2:2" ht="15" customHeight="1">
      <c r="B3937" s="190"/>
    </row>
    <row r="3938" spans="2:2" ht="15" customHeight="1">
      <c r="B3938" s="190"/>
    </row>
    <row r="3939" spans="2:2" ht="15" customHeight="1">
      <c r="B3939" s="190"/>
    </row>
    <row r="3940" spans="2:2" ht="15" customHeight="1">
      <c r="B3940" s="190"/>
    </row>
    <row r="3941" spans="2:2" ht="15" customHeight="1">
      <c r="B3941" s="190"/>
    </row>
    <row r="3942" spans="2:2" ht="15" customHeight="1">
      <c r="B3942" s="190"/>
    </row>
    <row r="3943" spans="2:2" ht="15" customHeight="1">
      <c r="B3943" s="190"/>
    </row>
    <row r="3944" spans="2:2" ht="15" customHeight="1">
      <c r="B3944" s="190"/>
    </row>
    <row r="3945" spans="2:2" ht="15" customHeight="1">
      <c r="B3945" s="190"/>
    </row>
    <row r="3946" spans="2:2" ht="15" customHeight="1">
      <c r="B3946" s="190"/>
    </row>
    <row r="3947" spans="2:2" ht="15" customHeight="1">
      <c r="B3947" s="190"/>
    </row>
    <row r="3948" spans="2:2" ht="15" customHeight="1">
      <c r="B3948" s="190"/>
    </row>
    <row r="3949" spans="2:2" ht="15" customHeight="1">
      <c r="B3949" s="190"/>
    </row>
    <row r="3950" spans="2:2" ht="15" customHeight="1">
      <c r="B3950" s="190"/>
    </row>
    <row r="3951" spans="2:2" ht="15" customHeight="1">
      <c r="B3951" s="190"/>
    </row>
    <row r="3952" spans="2:2" ht="15" customHeight="1">
      <c r="B3952" s="190"/>
    </row>
    <row r="3953" spans="2:2" ht="15" customHeight="1">
      <c r="B3953" s="190"/>
    </row>
    <row r="3954" spans="2:2" ht="15" customHeight="1">
      <c r="B3954" s="190"/>
    </row>
    <row r="3955" spans="2:2" ht="15" customHeight="1">
      <c r="B3955" s="190"/>
    </row>
    <row r="3956" spans="2:2" ht="15" customHeight="1">
      <c r="B3956" s="190"/>
    </row>
    <row r="3957" spans="2:2" ht="15" customHeight="1">
      <c r="B3957" s="190"/>
    </row>
    <row r="3958" spans="2:2" ht="15" customHeight="1">
      <c r="B3958" s="190"/>
    </row>
    <row r="3959" spans="2:2" ht="15" customHeight="1">
      <c r="B3959" s="190"/>
    </row>
    <row r="3960" spans="2:2" ht="15" customHeight="1">
      <c r="B3960" s="190"/>
    </row>
    <row r="3961" spans="2:2" ht="15" customHeight="1">
      <c r="B3961" s="190"/>
    </row>
    <row r="3962" spans="2:2" ht="15" customHeight="1">
      <c r="B3962" s="190"/>
    </row>
    <row r="3963" spans="2:2" ht="15" customHeight="1">
      <c r="B3963" s="190"/>
    </row>
    <row r="3964" spans="2:2" ht="15" customHeight="1">
      <c r="B3964" s="190"/>
    </row>
    <row r="3965" spans="2:2" ht="15" customHeight="1">
      <c r="B3965" s="190"/>
    </row>
    <row r="3966" spans="2:2" ht="15" customHeight="1">
      <c r="B3966" s="190"/>
    </row>
    <row r="3967" spans="2:2" ht="15" customHeight="1">
      <c r="B3967" s="190"/>
    </row>
    <row r="3968" spans="2:2" ht="15" customHeight="1">
      <c r="B3968" s="190"/>
    </row>
    <row r="3969" spans="2:2" ht="15" customHeight="1">
      <c r="B3969" s="190"/>
    </row>
    <row r="3970" spans="2:2" ht="15" customHeight="1">
      <c r="B3970" s="190"/>
    </row>
    <row r="3971" spans="2:2" ht="15" customHeight="1">
      <c r="B3971" s="190"/>
    </row>
    <row r="3972" spans="2:2" ht="15" customHeight="1">
      <c r="B3972" s="190"/>
    </row>
    <row r="3973" spans="2:2" ht="15" customHeight="1">
      <c r="B3973" s="190"/>
    </row>
    <row r="3974" spans="2:2" ht="15" customHeight="1">
      <c r="B3974" s="190"/>
    </row>
    <row r="3975" spans="2:2" ht="15" customHeight="1">
      <c r="B3975" s="190"/>
    </row>
    <row r="3976" spans="2:2" ht="15" customHeight="1">
      <c r="B3976" s="190"/>
    </row>
    <row r="3977" spans="2:2" ht="15" customHeight="1">
      <c r="B3977" s="190"/>
    </row>
    <row r="3978" spans="2:2" ht="15" customHeight="1">
      <c r="B3978" s="190"/>
    </row>
    <row r="3979" spans="2:2" ht="15" customHeight="1">
      <c r="B3979" s="190"/>
    </row>
    <row r="3980" spans="2:2" ht="15" customHeight="1">
      <c r="B3980" s="190"/>
    </row>
    <row r="3981" spans="2:2" ht="15" customHeight="1">
      <c r="B3981" s="190"/>
    </row>
    <row r="3982" spans="2:2" ht="15" customHeight="1">
      <c r="B3982" s="190"/>
    </row>
    <row r="3983" spans="2:2" ht="15" customHeight="1">
      <c r="B3983" s="190"/>
    </row>
    <row r="3984" spans="2:2" ht="15" customHeight="1">
      <c r="B3984" s="190"/>
    </row>
    <row r="3985" spans="2:2" ht="15" customHeight="1">
      <c r="B3985" s="190"/>
    </row>
    <row r="3986" spans="2:2" ht="15" customHeight="1">
      <c r="B3986" s="190"/>
    </row>
    <row r="3987" spans="2:2" ht="15" customHeight="1">
      <c r="B3987" s="190"/>
    </row>
    <row r="3988" spans="2:2" ht="15" customHeight="1">
      <c r="B3988" s="190"/>
    </row>
    <row r="3989" spans="2:2" ht="15" customHeight="1">
      <c r="B3989" s="190"/>
    </row>
    <row r="3990" spans="2:2" ht="15" customHeight="1">
      <c r="B3990" s="190"/>
    </row>
    <row r="3991" spans="2:2" ht="15" customHeight="1">
      <c r="B3991" s="190"/>
    </row>
    <row r="3992" spans="2:2" ht="15" customHeight="1">
      <c r="B3992" s="190"/>
    </row>
    <row r="3993" spans="2:2" ht="15" customHeight="1">
      <c r="B3993" s="190"/>
    </row>
    <row r="3994" spans="2:2" ht="15" customHeight="1">
      <c r="B3994" s="190"/>
    </row>
    <row r="3995" spans="2:2" ht="15" customHeight="1">
      <c r="B3995" s="190"/>
    </row>
    <row r="3996" spans="2:2" ht="15" customHeight="1">
      <c r="B3996" s="190"/>
    </row>
    <row r="3997" spans="2:2" ht="15" customHeight="1">
      <c r="B3997" s="190"/>
    </row>
    <row r="3998" spans="2:2" ht="15" customHeight="1">
      <c r="B3998" s="190"/>
    </row>
    <row r="3999" spans="2:2" ht="15" customHeight="1">
      <c r="B3999" s="190"/>
    </row>
    <row r="4000" spans="2:2" ht="15" customHeight="1">
      <c r="B4000" s="190"/>
    </row>
    <row r="4001" spans="2:2" ht="15" customHeight="1">
      <c r="B4001" s="190"/>
    </row>
    <row r="4002" spans="2:2" ht="15" customHeight="1">
      <c r="B4002" s="190"/>
    </row>
    <row r="4003" spans="2:2" ht="15" customHeight="1">
      <c r="B4003" s="190"/>
    </row>
    <row r="4004" spans="2:2" ht="15" customHeight="1">
      <c r="B4004" s="190"/>
    </row>
    <row r="4005" spans="2:2" ht="15" customHeight="1">
      <c r="B4005" s="190"/>
    </row>
    <row r="4006" spans="2:2" ht="15" customHeight="1">
      <c r="B4006" s="190"/>
    </row>
    <row r="4007" spans="2:2" ht="15" customHeight="1">
      <c r="B4007" s="190"/>
    </row>
    <row r="4008" spans="2:2" ht="15" customHeight="1">
      <c r="B4008" s="190"/>
    </row>
    <row r="4009" spans="2:2" ht="15" customHeight="1">
      <c r="B4009" s="190"/>
    </row>
    <row r="4010" spans="2:2" ht="15" customHeight="1">
      <c r="B4010" s="190"/>
    </row>
    <row r="4011" spans="2:2" ht="15" customHeight="1">
      <c r="B4011" s="190"/>
    </row>
    <row r="4012" spans="2:2" ht="15" customHeight="1">
      <c r="B4012" s="190"/>
    </row>
    <row r="4013" spans="2:2" ht="15" customHeight="1">
      <c r="B4013" s="190"/>
    </row>
    <row r="4014" spans="2:2" ht="15" customHeight="1">
      <c r="B4014" s="190"/>
    </row>
    <row r="4015" spans="2:2" ht="15" customHeight="1">
      <c r="B4015" s="190"/>
    </row>
    <row r="4016" spans="2:2" ht="15" customHeight="1">
      <c r="B4016" s="190"/>
    </row>
    <row r="4017" spans="2:2" ht="15" customHeight="1">
      <c r="B4017" s="190"/>
    </row>
    <row r="4018" spans="2:2" ht="15" customHeight="1">
      <c r="B4018" s="190"/>
    </row>
    <row r="4019" spans="2:2" ht="15" customHeight="1">
      <c r="B4019" s="190"/>
    </row>
    <row r="4020" spans="2:2" ht="15" customHeight="1">
      <c r="B4020" s="190"/>
    </row>
    <row r="4021" spans="2:2" ht="15" customHeight="1">
      <c r="B4021" s="190"/>
    </row>
    <row r="4022" spans="2:2" ht="15" customHeight="1">
      <c r="B4022" s="190"/>
    </row>
    <row r="4023" spans="2:2" ht="15" customHeight="1">
      <c r="B4023" s="190"/>
    </row>
    <row r="4024" spans="2:2" ht="15" customHeight="1">
      <c r="B4024" s="190"/>
    </row>
    <row r="4025" spans="2:2" ht="15" customHeight="1">
      <c r="B4025" s="190"/>
    </row>
    <row r="4026" spans="2:2" ht="15" customHeight="1">
      <c r="B4026" s="190"/>
    </row>
    <row r="4027" spans="2:2" ht="15" customHeight="1">
      <c r="B4027" s="190"/>
    </row>
    <row r="4028" spans="2:2" ht="15" customHeight="1">
      <c r="B4028" s="190"/>
    </row>
    <row r="4029" spans="2:2" ht="15" customHeight="1">
      <c r="B4029" s="190"/>
    </row>
    <row r="4030" spans="2:2" ht="15" customHeight="1">
      <c r="B4030" s="190"/>
    </row>
    <row r="4031" spans="2:2" ht="15" customHeight="1">
      <c r="B4031" s="190"/>
    </row>
    <row r="4032" spans="2:2" ht="15" customHeight="1">
      <c r="B4032" s="190"/>
    </row>
    <row r="4033" spans="2:2" ht="15" customHeight="1">
      <c r="B4033" s="190"/>
    </row>
    <row r="4034" spans="2:2" ht="15" customHeight="1">
      <c r="B4034" s="190"/>
    </row>
    <row r="4035" spans="2:2" ht="15" customHeight="1">
      <c r="B4035" s="190"/>
    </row>
    <row r="4036" spans="2:2" ht="15" customHeight="1">
      <c r="B4036" s="190"/>
    </row>
    <row r="4037" spans="2:2" ht="15" customHeight="1">
      <c r="B4037" s="190"/>
    </row>
    <row r="4038" spans="2:2" ht="15" customHeight="1">
      <c r="B4038" s="190"/>
    </row>
    <row r="4039" spans="2:2" ht="15" customHeight="1">
      <c r="B4039" s="190"/>
    </row>
    <row r="4040" spans="2:2" ht="15" customHeight="1">
      <c r="B4040" s="190"/>
    </row>
    <row r="4041" spans="2:2" ht="15" customHeight="1">
      <c r="B4041" s="190"/>
    </row>
    <row r="4042" spans="2:2" ht="15" customHeight="1">
      <c r="B4042" s="190"/>
    </row>
    <row r="4043" spans="2:2" ht="15" customHeight="1">
      <c r="B4043" s="190"/>
    </row>
    <row r="4044" spans="2:2" ht="15" customHeight="1">
      <c r="B4044" s="190"/>
    </row>
    <row r="4045" spans="2:2" ht="15" customHeight="1">
      <c r="B4045" s="190"/>
    </row>
    <row r="4046" spans="2:2" ht="15" customHeight="1">
      <c r="B4046" s="190"/>
    </row>
    <row r="4047" spans="2:2" ht="15" customHeight="1">
      <c r="B4047" s="190"/>
    </row>
    <row r="4048" spans="2:2" ht="15" customHeight="1">
      <c r="B4048" s="190"/>
    </row>
    <row r="4049" spans="2:2" ht="15" customHeight="1">
      <c r="B4049" s="190"/>
    </row>
    <row r="4050" spans="2:2" ht="15" customHeight="1">
      <c r="B4050" s="190"/>
    </row>
    <row r="4051" spans="2:2" ht="15" customHeight="1">
      <c r="B4051" s="190"/>
    </row>
    <row r="4052" spans="2:2" ht="15" customHeight="1">
      <c r="B4052" s="190"/>
    </row>
    <row r="4053" spans="2:2" ht="15" customHeight="1">
      <c r="B4053" s="190"/>
    </row>
    <row r="4054" spans="2:2" ht="15" customHeight="1">
      <c r="B4054" s="190"/>
    </row>
    <row r="4055" spans="2:2" ht="15" customHeight="1">
      <c r="B4055" s="190"/>
    </row>
    <row r="4056" spans="2:2" ht="15" customHeight="1">
      <c r="B4056" s="190"/>
    </row>
    <row r="4057" spans="2:2" ht="15" customHeight="1">
      <c r="B4057" s="190"/>
    </row>
    <row r="4058" spans="2:2" ht="15" customHeight="1">
      <c r="B4058" s="190"/>
    </row>
    <row r="4059" spans="2:2" ht="15" customHeight="1">
      <c r="B4059" s="190"/>
    </row>
    <row r="4060" spans="2:2" ht="15" customHeight="1">
      <c r="B4060" s="190"/>
    </row>
    <row r="4061" spans="2:2" ht="15" customHeight="1">
      <c r="B4061" s="190"/>
    </row>
    <row r="4062" spans="2:2" ht="15" customHeight="1">
      <c r="B4062" s="190"/>
    </row>
    <row r="4063" spans="2:2" ht="15" customHeight="1">
      <c r="B4063" s="190"/>
    </row>
    <row r="4064" spans="2:2" ht="15" customHeight="1">
      <c r="B4064" s="190"/>
    </row>
    <row r="4065" spans="2:2" ht="15" customHeight="1">
      <c r="B4065" s="190"/>
    </row>
    <row r="4066" spans="2:2" ht="15" customHeight="1">
      <c r="B4066" s="190"/>
    </row>
    <row r="4067" spans="2:2" ht="15" customHeight="1">
      <c r="B4067" s="190"/>
    </row>
    <row r="4068" spans="2:2" ht="15" customHeight="1">
      <c r="B4068" s="190"/>
    </row>
    <row r="4069" spans="2:2" ht="15" customHeight="1">
      <c r="B4069" s="190"/>
    </row>
    <row r="4070" spans="2:2" ht="15" customHeight="1">
      <c r="B4070" s="190"/>
    </row>
    <row r="4071" spans="2:2" ht="15" customHeight="1">
      <c r="B4071" s="190"/>
    </row>
    <row r="4072" spans="2:2" ht="15" customHeight="1">
      <c r="B4072" s="190"/>
    </row>
    <row r="4073" spans="2:2" ht="15" customHeight="1">
      <c r="B4073" s="190"/>
    </row>
    <row r="4074" spans="2:2" ht="15" customHeight="1">
      <c r="B4074" s="190"/>
    </row>
    <row r="4075" spans="2:2" ht="15" customHeight="1">
      <c r="B4075" s="190"/>
    </row>
    <row r="4076" spans="2:2" ht="15" customHeight="1">
      <c r="B4076" s="190"/>
    </row>
    <row r="4077" spans="2:2" ht="15" customHeight="1">
      <c r="B4077" s="190"/>
    </row>
    <row r="4078" spans="2:2" ht="15" customHeight="1">
      <c r="B4078" s="190"/>
    </row>
    <row r="4079" spans="2:2" ht="15" customHeight="1">
      <c r="B4079" s="190"/>
    </row>
    <row r="4080" spans="2:2" ht="15" customHeight="1">
      <c r="B4080" s="190"/>
    </row>
    <row r="4081" spans="2:2" ht="15" customHeight="1">
      <c r="B4081" s="190"/>
    </row>
    <row r="4082" spans="2:2" ht="15" customHeight="1">
      <c r="B4082" s="190"/>
    </row>
    <row r="4083" spans="2:2" ht="15" customHeight="1">
      <c r="B4083" s="190"/>
    </row>
    <row r="4084" spans="2:2" ht="15" customHeight="1">
      <c r="B4084" s="190"/>
    </row>
    <row r="4085" spans="2:2" ht="15" customHeight="1">
      <c r="B4085" s="190"/>
    </row>
    <row r="4086" spans="2:2" ht="15" customHeight="1">
      <c r="B4086" s="190"/>
    </row>
    <row r="4087" spans="2:2" ht="15" customHeight="1">
      <c r="B4087" s="190"/>
    </row>
    <row r="4088" spans="2:2" ht="15" customHeight="1">
      <c r="B4088" s="190"/>
    </row>
    <row r="4089" spans="2:2" ht="15" customHeight="1">
      <c r="B4089" s="190"/>
    </row>
    <row r="4090" spans="2:2" ht="15" customHeight="1">
      <c r="B4090" s="190"/>
    </row>
    <row r="4091" spans="2:2" ht="15" customHeight="1">
      <c r="B4091" s="190"/>
    </row>
    <row r="4092" spans="2:2" ht="15" customHeight="1">
      <c r="B4092" s="190"/>
    </row>
    <row r="4093" spans="2:2" ht="15" customHeight="1">
      <c r="B4093" s="190"/>
    </row>
    <row r="4094" spans="2:2" ht="15" customHeight="1">
      <c r="B4094" s="190"/>
    </row>
    <row r="4095" spans="2:2" ht="15" customHeight="1">
      <c r="B4095" s="190"/>
    </row>
    <row r="4096" spans="2:2" ht="15" customHeight="1">
      <c r="B4096" s="190"/>
    </row>
    <row r="4097" spans="2:2" ht="15" customHeight="1">
      <c r="B4097" s="190"/>
    </row>
    <row r="4098" spans="2:2" ht="15" customHeight="1">
      <c r="B4098" s="190"/>
    </row>
    <row r="4099" spans="2:2" ht="15" customHeight="1">
      <c r="B4099" s="190"/>
    </row>
    <row r="4100" spans="2:2" ht="15" customHeight="1">
      <c r="B4100" s="190"/>
    </row>
    <row r="4101" spans="2:2" ht="15" customHeight="1">
      <c r="B4101" s="190"/>
    </row>
    <row r="4102" spans="2:2" ht="15" customHeight="1">
      <c r="B4102" s="190"/>
    </row>
    <row r="4103" spans="2:2" ht="15" customHeight="1">
      <c r="B4103" s="190"/>
    </row>
    <row r="4104" spans="2:2" ht="15" customHeight="1">
      <c r="B4104" s="190"/>
    </row>
    <row r="4105" spans="2:2" ht="15" customHeight="1">
      <c r="B4105" s="190"/>
    </row>
    <row r="4106" spans="2:2" ht="15" customHeight="1">
      <c r="B4106" s="190"/>
    </row>
    <row r="4107" spans="2:2" ht="15" customHeight="1">
      <c r="B4107" s="190"/>
    </row>
    <row r="4108" spans="2:2" ht="15" customHeight="1">
      <c r="B4108" s="190"/>
    </row>
    <row r="4109" spans="2:2" ht="15" customHeight="1">
      <c r="B4109" s="190"/>
    </row>
    <row r="4110" spans="2:2" ht="15" customHeight="1">
      <c r="B4110" s="190"/>
    </row>
    <row r="4111" spans="2:2" ht="15" customHeight="1">
      <c r="B4111" s="190"/>
    </row>
    <row r="4112" spans="2:2" ht="15" customHeight="1">
      <c r="B4112" s="190"/>
    </row>
    <row r="4113" spans="2:2" ht="15" customHeight="1">
      <c r="B4113" s="190"/>
    </row>
    <row r="4114" spans="2:2" ht="15" customHeight="1">
      <c r="B4114" s="190"/>
    </row>
    <row r="4115" spans="2:2" ht="15" customHeight="1">
      <c r="B4115" s="190"/>
    </row>
    <row r="4116" spans="2:2" ht="15" customHeight="1">
      <c r="B4116" s="190"/>
    </row>
    <row r="4117" spans="2:2" ht="15" customHeight="1">
      <c r="B4117" s="190"/>
    </row>
    <row r="4118" spans="2:2" ht="15" customHeight="1">
      <c r="B4118" s="190"/>
    </row>
    <row r="4119" spans="2:2" ht="15" customHeight="1">
      <c r="B4119" s="190"/>
    </row>
    <row r="4120" spans="2:2" ht="15" customHeight="1">
      <c r="B4120" s="190"/>
    </row>
    <row r="4121" spans="2:2" ht="15" customHeight="1">
      <c r="B4121" s="190"/>
    </row>
    <row r="4122" spans="2:2" ht="15" customHeight="1">
      <c r="B4122" s="190"/>
    </row>
    <row r="4123" spans="2:2" ht="15" customHeight="1">
      <c r="B4123" s="190"/>
    </row>
    <row r="4124" spans="2:2" ht="15" customHeight="1">
      <c r="B4124" s="190"/>
    </row>
    <row r="4125" spans="2:2" ht="15" customHeight="1">
      <c r="B4125" s="190"/>
    </row>
    <row r="4126" spans="2:2" ht="15" customHeight="1">
      <c r="B4126" s="190"/>
    </row>
    <row r="4127" spans="2:2" ht="15" customHeight="1">
      <c r="B4127" s="190"/>
    </row>
    <row r="4128" spans="2:2" ht="15" customHeight="1">
      <c r="B4128" s="190"/>
    </row>
    <row r="4129" spans="2:2" ht="15" customHeight="1">
      <c r="B4129" s="190"/>
    </row>
    <row r="4130" spans="2:2" ht="15" customHeight="1">
      <c r="B4130" s="190"/>
    </row>
    <row r="4131" spans="2:2" ht="15" customHeight="1">
      <c r="B4131" s="190"/>
    </row>
    <row r="4132" spans="2:2" ht="15" customHeight="1">
      <c r="B4132" s="190"/>
    </row>
    <row r="4133" spans="2:2" ht="15" customHeight="1">
      <c r="B4133" s="190"/>
    </row>
    <row r="4134" spans="2:2" ht="15" customHeight="1">
      <c r="B4134" s="190"/>
    </row>
    <row r="4135" spans="2:2" ht="15" customHeight="1">
      <c r="B4135" s="190"/>
    </row>
    <row r="4136" spans="2:2" ht="15" customHeight="1">
      <c r="B4136" s="190"/>
    </row>
    <row r="4137" spans="2:2" ht="15" customHeight="1">
      <c r="B4137" s="190"/>
    </row>
    <row r="4138" spans="2:2" ht="15" customHeight="1">
      <c r="B4138" s="190"/>
    </row>
    <row r="4139" spans="2:2" ht="15" customHeight="1">
      <c r="B4139" s="190"/>
    </row>
    <row r="4140" spans="2:2" ht="15" customHeight="1">
      <c r="B4140" s="190"/>
    </row>
    <row r="4141" spans="2:2" ht="15" customHeight="1">
      <c r="B4141" s="190"/>
    </row>
    <row r="4142" spans="2:2" ht="15" customHeight="1">
      <c r="B4142" s="190"/>
    </row>
    <row r="4143" spans="2:2" ht="15" customHeight="1">
      <c r="B4143" s="190"/>
    </row>
    <row r="4144" spans="2:2" ht="15" customHeight="1">
      <c r="B4144" s="190"/>
    </row>
    <row r="4145" spans="2:2" ht="15" customHeight="1">
      <c r="B4145" s="190"/>
    </row>
    <row r="4146" spans="2:2" ht="15" customHeight="1">
      <c r="B4146" s="190"/>
    </row>
    <row r="4147" spans="2:2" ht="15" customHeight="1">
      <c r="B4147" s="190"/>
    </row>
    <row r="4148" spans="2:2" ht="15" customHeight="1">
      <c r="B4148" s="190"/>
    </row>
    <row r="4149" spans="2:2" ht="15" customHeight="1">
      <c r="B4149" s="190"/>
    </row>
    <row r="4150" spans="2:2" ht="15" customHeight="1">
      <c r="B4150" s="190"/>
    </row>
    <row r="4151" spans="2:2" ht="15" customHeight="1">
      <c r="B4151" s="190"/>
    </row>
    <row r="4152" spans="2:2" ht="15" customHeight="1">
      <c r="B4152" s="190"/>
    </row>
    <row r="4153" spans="2:2" ht="15" customHeight="1">
      <c r="B4153" s="190"/>
    </row>
    <row r="4154" spans="2:2" ht="15" customHeight="1">
      <c r="B4154" s="190"/>
    </row>
    <row r="4155" spans="2:2" ht="15" customHeight="1">
      <c r="B4155" s="190"/>
    </row>
    <row r="4156" spans="2:2" ht="15" customHeight="1">
      <c r="B4156" s="190"/>
    </row>
    <row r="4157" spans="2:2" ht="15" customHeight="1">
      <c r="B4157" s="190"/>
    </row>
    <row r="4158" spans="2:2" ht="15" customHeight="1">
      <c r="B4158" s="190"/>
    </row>
    <row r="4159" spans="2:2" ht="15" customHeight="1">
      <c r="B4159" s="190"/>
    </row>
    <row r="4160" spans="2:2" ht="15" customHeight="1">
      <c r="B4160" s="190"/>
    </row>
    <row r="4161" spans="2:2" ht="15" customHeight="1">
      <c r="B4161" s="190"/>
    </row>
    <row r="4162" spans="2:2" ht="15" customHeight="1">
      <c r="B4162" s="190"/>
    </row>
    <row r="4163" spans="2:2" ht="15" customHeight="1">
      <c r="B4163" s="190"/>
    </row>
    <row r="4164" spans="2:2" ht="15" customHeight="1">
      <c r="B4164" s="190"/>
    </row>
    <row r="4165" spans="2:2" ht="15" customHeight="1">
      <c r="B4165" s="190"/>
    </row>
    <row r="4166" spans="2:2" ht="15" customHeight="1">
      <c r="B4166" s="190"/>
    </row>
    <row r="4167" spans="2:2" ht="15" customHeight="1">
      <c r="B4167" s="190"/>
    </row>
    <row r="4168" spans="2:2" ht="15" customHeight="1">
      <c r="B4168" s="190"/>
    </row>
    <row r="4169" spans="2:2" ht="15" customHeight="1">
      <c r="B4169" s="190"/>
    </row>
    <row r="4170" spans="2:2" ht="15" customHeight="1">
      <c r="B4170" s="190"/>
    </row>
    <row r="4171" spans="2:2" ht="15" customHeight="1">
      <c r="B4171" s="190"/>
    </row>
    <row r="4172" spans="2:2" ht="15" customHeight="1">
      <c r="B4172" s="190"/>
    </row>
    <row r="4173" spans="2:2" ht="15" customHeight="1">
      <c r="B4173" s="190"/>
    </row>
    <row r="4174" spans="2:2" ht="15" customHeight="1">
      <c r="B4174" s="190"/>
    </row>
    <row r="4175" spans="2:2" ht="15" customHeight="1">
      <c r="B4175" s="190"/>
    </row>
    <row r="4176" spans="2:2" ht="15" customHeight="1">
      <c r="B4176" s="190"/>
    </row>
    <row r="4177" spans="2:2" ht="15" customHeight="1">
      <c r="B4177" s="190"/>
    </row>
    <row r="4178" spans="2:2" ht="15" customHeight="1">
      <c r="B4178" s="190"/>
    </row>
    <row r="4179" spans="2:2" ht="15" customHeight="1">
      <c r="B4179" s="190"/>
    </row>
    <row r="4180" spans="2:2" ht="15" customHeight="1">
      <c r="B4180" s="190"/>
    </row>
    <row r="4181" spans="2:2" ht="15" customHeight="1">
      <c r="B4181" s="190"/>
    </row>
    <row r="4182" spans="2:2" ht="15" customHeight="1">
      <c r="B4182" s="190"/>
    </row>
    <row r="4183" spans="2:2" ht="15" customHeight="1">
      <c r="B4183" s="190"/>
    </row>
    <row r="4184" spans="2:2" ht="15" customHeight="1">
      <c r="B4184" s="190"/>
    </row>
    <row r="4185" spans="2:2" ht="15" customHeight="1">
      <c r="B4185" s="190"/>
    </row>
    <row r="4186" spans="2:2" ht="15" customHeight="1">
      <c r="B4186" s="190"/>
    </row>
    <row r="4187" spans="2:2" ht="15" customHeight="1">
      <c r="B4187" s="190"/>
    </row>
    <row r="4188" spans="2:2" ht="15" customHeight="1">
      <c r="B4188" s="190"/>
    </row>
    <row r="4189" spans="2:2" ht="15" customHeight="1">
      <c r="B4189" s="190"/>
    </row>
    <row r="4190" spans="2:2" ht="15" customHeight="1">
      <c r="B4190" s="190"/>
    </row>
    <row r="4191" spans="2:2" ht="15" customHeight="1">
      <c r="B4191" s="190"/>
    </row>
    <row r="4192" spans="2:2" ht="15" customHeight="1">
      <c r="B4192" s="190"/>
    </row>
    <row r="4193" spans="2:2" ht="15" customHeight="1">
      <c r="B4193" s="190"/>
    </row>
    <row r="4194" spans="2:2" ht="15" customHeight="1">
      <c r="B4194" s="190"/>
    </row>
    <row r="4195" spans="2:2" ht="15" customHeight="1">
      <c r="B4195" s="190"/>
    </row>
    <row r="4196" spans="2:2" ht="15" customHeight="1">
      <c r="B4196" s="190"/>
    </row>
    <row r="4197" spans="2:2" ht="15" customHeight="1">
      <c r="B4197" s="190"/>
    </row>
    <row r="4198" spans="2:2" ht="15" customHeight="1">
      <c r="B4198" s="190"/>
    </row>
    <row r="4199" spans="2:2" ht="15" customHeight="1">
      <c r="B4199" s="190"/>
    </row>
    <row r="4200" spans="2:2" ht="15" customHeight="1">
      <c r="B4200" s="190"/>
    </row>
    <row r="4201" spans="2:2" ht="15" customHeight="1">
      <c r="B4201" s="190"/>
    </row>
    <row r="4202" spans="2:2" ht="15" customHeight="1">
      <c r="B4202" s="190"/>
    </row>
    <row r="4203" spans="2:2" ht="15" customHeight="1">
      <c r="B4203" s="190"/>
    </row>
    <row r="4204" spans="2:2" ht="15" customHeight="1">
      <c r="B4204" s="190"/>
    </row>
    <row r="4205" spans="2:2" ht="15" customHeight="1">
      <c r="B4205" s="190"/>
    </row>
    <row r="4206" spans="2:2" ht="15" customHeight="1">
      <c r="B4206" s="190"/>
    </row>
    <row r="4207" spans="2:2" ht="15" customHeight="1">
      <c r="B4207" s="190"/>
    </row>
    <row r="4208" spans="2:2" ht="15" customHeight="1">
      <c r="B4208" s="190"/>
    </row>
    <row r="4209" spans="2:2" ht="15" customHeight="1">
      <c r="B4209" s="190"/>
    </row>
    <row r="4210" spans="2:2" ht="15" customHeight="1">
      <c r="B4210" s="190"/>
    </row>
    <row r="4211" spans="2:2" ht="15" customHeight="1">
      <c r="B4211" s="190"/>
    </row>
    <row r="4212" spans="2:2" ht="15" customHeight="1">
      <c r="B4212" s="190"/>
    </row>
    <row r="4213" spans="2:2" ht="15" customHeight="1">
      <c r="B4213" s="190"/>
    </row>
    <row r="4214" spans="2:2" ht="15" customHeight="1">
      <c r="B4214" s="190"/>
    </row>
    <row r="4215" spans="2:2" ht="15" customHeight="1">
      <c r="B4215" s="190"/>
    </row>
    <row r="4216" spans="2:2" ht="15" customHeight="1">
      <c r="B4216" s="190"/>
    </row>
    <row r="4217" spans="2:2" ht="15" customHeight="1">
      <c r="B4217" s="190"/>
    </row>
    <row r="4218" spans="2:2" ht="15" customHeight="1">
      <c r="B4218" s="190"/>
    </row>
    <row r="4219" spans="2:2" ht="15" customHeight="1">
      <c r="B4219" s="190"/>
    </row>
    <row r="4220" spans="2:2" ht="15" customHeight="1">
      <c r="B4220" s="190"/>
    </row>
    <row r="4221" spans="2:2" ht="15" customHeight="1">
      <c r="B4221" s="190"/>
    </row>
    <row r="4222" spans="2:2" ht="15" customHeight="1">
      <c r="B4222" s="190"/>
    </row>
    <row r="4223" spans="2:2" ht="15" customHeight="1">
      <c r="B4223" s="190"/>
    </row>
    <row r="4224" spans="2:2" ht="15" customHeight="1">
      <c r="B4224" s="190"/>
    </row>
    <row r="4225" spans="2:2" ht="15" customHeight="1">
      <c r="B4225" s="190"/>
    </row>
    <row r="4226" spans="2:2" ht="15" customHeight="1">
      <c r="B4226" s="190"/>
    </row>
    <row r="4227" spans="2:2" ht="15" customHeight="1">
      <c r="B4227" s="190"/>
    </row>
    <row r="4228" spans="2:2" ht="15" customHeight="1">
      <c r="B4228" s="190"/>
    </row>
    <row r="4229" spans="2:2" ht="15" customHeight="1">
      <c r="B4229" s="190"/>
    </row>
    <row r="4230" spans="2:2" ht="15" customHeight="1">
      <c r="B4230" s="190"/>
    </row>
    <row r="4231" spans="2:2" ht="15" customHeight="1">
      <c r="B4231" s="190"/>
    </row>
    <row r="4232" spans="2:2" ht="15" customHeight="1">
      <c r="B4232" s="190"/>
    </row>
    <row r="4233" spans="2:2" ht="15" customHeight="1">
      <c r="B4233" s="190"/>
    </row>
    <row r="4234" spans="2:2" ht="15" customHeight="1">
      <c r="B4234" s="190"/>
    </row>
    <row r="4235" spans="2:2" ht="15" customHeight="1">
      <c r="B4235" s="190"/>
    </row>
    <row r="4236" spans="2:2" ht="15" customHeight="1">
      <c r="B4236" s="190"/>
    </row>
    <row r="4237" spans="2:2" ht="15" customHeight="1">
      <c r="B4237" s="190"/>
    </row>
    <row r="4238" spans="2:2" ht="15" customHeight="1">
      <c r="B4238" s="190"/>
    </row>
    <row r="4239" spans="2:2" ht="15" customHeight="1">
      <c r="B4239" s="190"/>
    </row>
    <row r="4240" spans="2:2" ht="15" customHeight="1">
      <c r="B4240" s="190"/>
    </row>
    <row r="4241" spans="2:2" ht="15" customHeight="1">
      <c r="B4241" s="190"/>
    </row>
    <row r="4242" spans="2:2" ht="15" customHeight="1">
      <c r="B4242" s="190"/>
    </row>
    <row r="4243" spans="2:2" ht="15" customHeight="1">
      <c r="B4243" s="190"/>
    </row>
    <row r="4244" spans="2:2" ht="15" customHeight="1">
      <c r="B4244" s="190"/>
    </row>
    <row r="4245" spans="2:2" ht="15" customHeight="1">
      <c r="B4245" s="190"/>
    </row>
    <row r="4246" spans="2:2" ht="15" customHeight="1">
      <c r="B4246" s="190"/>
    </row>
    <row r="4247" spans="2:2" ht="15" customHeight="1">
      <c r="B4247" s="190"/>
    </row>
    <row r="4248" spans="2:2" ht="15" customHeight="1">
      <c r="B4248" s="190"/>
    </row>
    <row r="4249" spans="2:2" ht="15" customHeight="1">
      <c r="B4249" s="190"/>
    </row>
    <row r="4250" spans="2:2" ht="15" customHeight="1">
      <c r="B4250" s="190"/>
    </row>
    <row r="4251" spans="2:2" ht="15" customHeight="1">
      <c r="B4251" s="190"/>
    </row>
    <row r="4252" spans="2:2" ht="15" customHeight="1">
      <c r="B4252" s="190"/>
    </row>
    <row r="4253" spans="2:2" ht="15" customHeight="1">
      <c r="B4253" s="190"/>
    </row>
    <row r="4254" spans="2:2" ht="15" customHeight="1">
      <c r="B4254" s="190"/>
    </row>
    <row r="4255" spans="2:2" ht="15" customHeight="1">
      <c r="B4255" s="190"/>
    </row>
    <row r="4256" spans="2:2" ht="15" customHeight="1">
      <c r="B4256" s="190"/>
    </row>
    <row r="4257" spans="2:2" ht="15" customHeight="1">
      <c r="B4257" s="190"/>
    </row>
    <row r="4258" spans="2:2" ht="15" customHeight="1">
      <c r="B4258" s="190"/>
    </row>
    <row r="4259" spans="2:2" ht="15" customHeight="1">
      <c r="B4259" s="190"/>
    </row>
    <row r="4260" spans="2:2" ht="15" customHeight="1">
      <c r="B4260" s="190"/>
    </row>
    <row r="4261" spans="2:2" ht="15" customHeight="1">
      <c r="B4261" s="190"/>
    </row>
    <row r="4262" spans="2:2" ht="15" customHeight="1">
      <c r="B4262" s="190"/>
    </row>
    <row r="4263" spans="2:2" ht="15" customHeight="1">
      <c r="B4263" s="190"/>
    </row>
    <row r="4264" spans="2:2" ht="15" customHeight="1">
      <c r="B4264" s="190"/>
    </row>
    <row r="4265" spans="2:2" ht="15" customHeight="1">
      <c r="B4265" s="190"/>
    </row>
    <row r="4266" spans="2:2" ht="15" customHeight="1">
      <c r="B4266" s="190"/>
    </row>
    <row r="4267" spans="2:2" ht="15" customHeight="1">
      <c r="B4267" s="190"/>
    </row>
    <row r="4268" spans="2:2" ht="15" customHeight="1">
      <c r="B4268" s="190"/>
    </row>
    <row r="4269" spans="2:2" ht="15" customHeight="1">
      <c r="B4269" s="190"/>
    </row>
    <row r="4270" spans="2:2" ht="15" customHeight="1">
      <c r="B4270" s="190"/>
    </row>
    <row r="4271" spans="2:2" ht="15" customHeight="1">
      <c r="B4271" s="190"/>
    </row>
    <row r="4272" spans="2:2" ht="15" customHeight="1">
      <c r="B4272" s="190"/>
    </row>
    <row r="4273" spans="2:2" ht="15" customHeight="1">
      <c r="B4273" s="190"/>
    </row>
    <row r="4274" spans="2:2" ht="15" customHeight="1">
      <c r="B4274" s="190"/>
    </row>
    <row r="4275" spans="2:2" ht="15" customHeight="1">
      <c r="B4275" s="190"/>
    </row>
    <row r="4276" spans="2:2" ht="15" customHeight="1">
      <c r="B4276" s="190"/>
    </row>
    <row r="4277" spans="2:2" ht="15" customHeight="1">
      <c r="B4277" s="190"/>
    </row>
    <row r="4278" spans="2:2" ht="15" customHeight="1">
      <c r="B4278" s="190"/>
    </row>
    <row r="4279" spans="2:2" ht="15" customHeight="1">
      <c r="B4279" s="190"/>
    </row>
    <row r="4280" spans="2:2" ht="15" customHeight="1">
      <c r="B4280" s="190"/>
    </row>
    <row r="4281" spans="2:2" ht="15" customHeight="1">
      <c r="B4281" s="190"/>
    </row>
    <row r="4282" spans="2:2" ht="15" customHeight="1">
      <c r="B4282" s="190"/>
    </row>
    <row r="4283" spans="2:2" ht="15" customHeight="1">
      <c r="B4283" s="190"/>
    </row>
    <row r="4284" spans="2:2" ht="15" customHeight="1">
      <c r="B4284" s="190"/>
    </row>
    <row r="4285" spans="2:2" ht="15" customHeight="1">
      <c r="B4285" s="190"/>
    </row>
    <row r="4286" spans="2:2" ht="15" customHeight="1">
      <c r="B4286" s="190"/>
    </row>
    <row r="4287" spans="2:2" ht="15" customHeight="1">
      <c r="B4287" s="190"/>
    </row>
    <row r="4288" spans="2:2" ht="15" customHeight="1">
      <c r="B4288" s="190"/>
    </row>
    <row r="4289" spans="2:2" ht="15" customHeight="1">
      <c r="B4289" s="190"/>
    </row>
    <row r="4290" spans="2:2" ht="15" customHeight="1">
      <c r="B4290" s="190"/>
    </row>
    <row r="4291" spans="2:2" ht="15" customHeight="1">
      <c r="B4291" s="190"/>
    </row>
    <row r="4292" spans="2:2" ht="15" customHeight="1">
      <c r="B4292" s="190"/>
    </row>
    <row r="4293" spans="2:2" ht="15" customHeight="1">
      <c r="B4293" s="190"/>
    </row>
    <row r="4294" spans="2:2" ht="15" customHeight="1">
      <c r="B4294" s="190"/>
    </row>
    <row r="4295" spans="2:2" ht="15" customHeight="1">
      <c r="B4295" s="190"/>
    </row>
    <row r="4296" spans="2:2" ht="15" customHeight="1">
      <c r="B4296" s="190"/>
    </row>
    <row r="4297" spans="2:2" ht="15" customHeight="1">
      <c r="B4297" s="190"/>
    </row>
    <row r="4298" spans="2:2" ht="15" customHeight="1">
      <c r="B4298" s="190"/>
    </row>
    <row r="4299" spans="2:2" ht="15" customHeight="1">
      <c r="B4299" s="190"/>
    </row>
    <row r="4300" spans="2:2" ht="15" customHeight="1">
      <c r="B4300" s="190"/>
    </row>
    <row r="4301" spans="2:2" ht="15" customHeight="1">
      <c r="B4301" s="190"/>
    </row>
    <row r="4302" spans="2:2" ht="15" customHeight="1">
      <c r="B4302" s="190"/>
    </row>
    <row r="4303" spans="2:2" ht="15" customHeight="1">
      <c r="B4303" s="190"/>
    </row>
    <row r="4304" spans="2:2" ht="15" customHeight="1">
      <c r="B4304" s="190"/>
    </row>
    <row r="4305" spans="2:2" ht="15" customHeight="1">
      <c r="B4305" s="190"/>
    </row>
    <row r="4306" spans="2:2" ht="15" customHeight="1">
      <c r="B4306" s="190"/>
    </row>
    <row r="4307" spans="2:2" ht="15" customHeight="1">
      <c r="B4307" s="190"/>
    </row>
    <row r="4308" spans="2:2" ht="15" customHeight="1">
      <c r="B4308" s="190"/>
    </row>
    <row r="4309" spans="2:2" ht="15" customHeight="1">
      <c r="B4309" s="190"/>
    </row>
    <row r="4310" spans="2:2" ht="15" customHeight="1">
      <c r="B4310" s="190"/>
    </row>
    <row r="4311" spans="2:2" ht="15" customHeight="1">
      <c r="B4311" s="190"/>
    </row>
    <row r="4312" spans="2:2" ht="15" customHeight="1">
      <c r="B4312" s="190"/>
    </row>
    <row r="4313" spans="2:2" ht="15" customHeight="1">
      <c r="B4313" s="190"/>
    </row>
    <row r="4314" spans="2:2" ht="15" customHeight="1">
      <c r="B4314" s="190"/>
    </row>
    <row r="4315" spans="2:2" ht="15" customHeight="1">
      <c r="B4315" s="190"/>
    </row>
    <row r="4316" spans="2:2" ht="15" customHeight="1">
      <c r="B4316" s="190"/>
    </row>
    <row r="4317" spans="2:2" ht="15" customHeight="1">
      <c r="B4317" s="190"/>
    </row>
    <row r="4318" spans="2:2" ht="15" customHeight="1">
      <c r="B4318" s="190"/>
    </row>
    <row r="4319" spans="2:2" ht="15" customHeight="1">
      <c r="B4319" s="190"/>
    </row>
    <row r="4320" spans="2:2" ht="15" customHeight="1">
      <c r="B4320" s="190"/>
    </row>
    <row r="4321" spans="2:2" ht="15" customHeight="1">
      <c r="B4321" s="190"/>
    </row>
    <row r="4322" spans="2:2" ht="15" customHeight="1">
      <c r="B4322" s="190"/>
    </row>
    <row r="4323" spans="2:2" ht="15" customHeight="1">
      <c r="B4323" s="190"/>
    </row>
    <row r="4324" spans="2:2" ht="15" customHeight="1">
      <c r="B4324" s="190"/>
    </row>
    <row r="4325" spans="2:2" ht="15" customHeight="1">
      <c r="B4325" s="190"/>
    </row>
    <row r="4326" spans="2:2" ht="15" customHeight="1">
      <c r="B4326" s="190"/>
    </row>
    <row r="4327" spans="2:2" ht="15" customHeight="1">
      <c r="B4327" s="190"/>
    </row>
    <row r="4328" spans="2:2" ht="15" customHeight="1">
      <c r="B4328" s="190"/>
    </row>
    <row r="4329" spans="2:2" ht="15" customHeight="1">
      <c r="B4329" s="190"/>
    </row>
    <row r="4330" spans="2:2" ht="15" customHeight="1">
      <c r="B4330" s="190"/>
    </row>
    <row r="4331" spans="2:2" ht="15" customHeight="1">
      <c r="B4331" s="190"/>
    </row>
    <row r="4332" spans="2:2" ht="15" customHeight="1">
      <c r="B4332" s="190"/>
    </row>
    <row r="4333" spans="2:2" ht="15" customHeight="1">
      <c r="B4333" s="190"/>
    </row>
    <row r="4334" spans="2:2" ht="15" customHeight="1">
      <c r="B4334" s="190"/>
    </row>
    <row r="4335" spans="2:2" ht="15" customHeight="1">
      <c r="B4335" s="190"/>
    </row>
    <row r="4336" spans="2:2" ht="15" customHeight="1">
      <c r="B4336" s="190"/>
    </row>
    <row r="4337" spans="2:2" ht="15" customHeight="1">
      <c r="B4337" s="190"/>
    </row>
    <row r="4338" spans="2:2" ht="15" customHeight="1">
      <c r="B4338" s="190"/>
    </row>
    <row r="4339" spans="2:2" ht="15" customHeight="1">
      <c r="B4339" s="190"/>
    </row>
    <row r="4340" spans="2:2" ht="15" customHeight="1">
      <c r="B4340" s="190"/>
    </row>
    <row r="4341" spans="2:2" ht="15" customHeight="1">
      <c r="B4341" s="190"/>
    </row>
    <row r="4342" spans="2:2" ht="15" customHeight="1">
      <c r="B4342" s="190"/>
    </row>
    <row r="4343" spans="2:2" ht="15" customHeight="1">
      <c r="B4343" s="190"/>
    </row>
    <row r="4344" spans="2:2" ht="15" customHeight="1">
      <c r="B4344" s="190"/>
    </row>
    <row r="4345" spans="2:2" ht="15" customHeight="1">
      <c r="B4345" s="190"/>
    </row>
    <row r="4346" spans="2:2" ht="15" customHeight="1">
      <c r="B4346" s="190"/>
    </row>
    <row r="4347" spans="2:2" ht="15" customHeight="1">
      <c r="B4347" s="190"/>
    </row>
    <row r="4348" spans="2:2" ht="15" customHeight="1">
      <c r="B4348" s="190"/>
    </row>
    <row r="4349" spans="2:2" ht="15" customHeight="1">
      <c r="B4349" s="190"/>
    </row>
    <row r="4350" spans="2:2" ht="15" customHeight="1">
      <c r="B4350" s="190"/>
    </row>
    <row r="4351" spans="2:2" ht="15" customHeight="1">
      <c r="B4351" s="190"/>
    </row>
    <row r="4352" spans="2:2" ht="15" customHeight="1">
      <c r="B4352" s="190"/>
    </row>
    <row r="4353" spans="2:2" ht="15" customHeight="1">
      <c r="B4353" s="190"/>
    </row>
    <row r="4354" spans="2:2" ht="15" customHeight="1">
      <c r="B4354" s="190"/>
    </row>
    <row r="4355" spans="2:2" ht="15" customHeight="1">
      <c r="B4355" s="190"/>
    </row>
    <row r="4356" spans="2:2" ht="15" customHeight="1">
      <c r="B4356" s="190"/>
    </row>
    <row r="4357" spans="2:2" ht="15" customHeight="1">
      <c r="B4357" s="190"/>
    </row>
    <row r="4358" spans="2:2" ht="15" customHeight="1">
      <c r="B4358" s="190"/>
    </row>
    <row r="4359" spans="2:2" ht="15" customHeight="1">
      <c r="B4359" s="190"/>
    </row>
    <row r="4360" spans="2:2" ht="15" customHeight="1">
      <c r="B4360" s="190"/>
    </row>
    <row r="4361" spans="2:2" ht="15" customHeight="1">
      <c r="B4361" s="190"/>
    </row>
    <row r="4362" spans="2:2" ht="15" customHeight="1">
      <c r="B4362" s="190"/>
    </row>
    <row r="4363" spans="2:2" ht="15" customHeight="1">
      <c r="B4363" s="190"/>
    </row>
    <row r="4364" spans="2:2" ht="15" customHeight="1">
      <c r="B4364" s="190"/>
    </row>
    <row r="4365" spans="2:2" ht="15" customHeight="1">
      <c r="B4365" s="190"/>
    </row>
    <row r="4366" spans="2:2" ht="15" customHeight="1">
      <c r="B4366" s="190"/>
    </row>
    <row r="4367" spans="2:2" ht="15" customHeight="1">
      <c r="B4367" s="190"/>
    </row>
    <row r="4368" spans="2:2" ht="15" customHeight="1">
      <c r="B4368" s="190"/>
    </row>
    <row r="4369" spans="2:2" ht="15" customHeight="1">
      <c r="B4369" s="190"/>
    </row>
    <row r="4370" spans="2:2" ht="15" customHeight="1">
      <c r="B4370" s="190"/>
    </row>
    <row r="4371" spans="2:2" ht="15" customHeight="1">
      <c r="B4371" s="190"/>
    </row>
    <row r="4372" spans="2:2" ht="15" customHeight="1">
      <c r="B4372" s="190"/>
    </row>
    <row r="4373" spans="2:2" ht="15" customHeight="1">
      <c r="B4373" s="190"/>
    </row>
    <row r="4374" spans="2:2" ht="15" customHeight="1">
      <c r="B4374" s="190"/>
    </row>
    <row r="4375" spans="2:2" ht="15" customHeight="1">
      <c r="B4375" s="190"/>
    </row>
    <row r="4376" spans="2:2" ht="15" customHeight="1">
      <c r="B4376" s="190"/>
    </row>
    <row r="4377" spans="2:2" ht="15" customHeight="1">
      <c r="B4377" s="190"/>
    </row>
    <row r="4378" spans="2:2" ht="15" customHeight="1">
      <c r="B4378" s="190"/>
    </row>
    <row r="4379" spans="2:2" ht="15" customHeight="1">
      <c r="B4379" s="190"/>
    </row>
    <row r="4380" spans="2:2" ht="15" customHeight="1">
      <c r="B4380" s="190"/>
    </row>
    <row r="4381" spans="2:2" ht="15" customHeight="1">
      <c r="B4381" s="190"/>
    </row>
    <row r="4382" spans="2:2" ht="15" customHeight="1">
      <c r="B4382" s="190"/>
    </row>
    <row r="4383" spans="2:2" ht="15" customHeight="1">
      <c r="B4383" s="190"/>
    </row>
    <row r="4384" spans="2:2" ht="15" customHeight="1">
      <c r="B4384" s="190"/>
    </row>
    <row r="4385" spans="2:2" ht="15" customHeight="1">
      <c r="B4385" s="190"/>
    </row>
    <row r="4386" spans="2:2" ht="15" customHeight="1">
      <c r="B4386" s="190"/>
    </row>
    <row r="4387" spans="2:2" ht="15" customHeight="1">
      <c r="B4387" s="190"/>
    </row>
    <row r="4388" spans="2:2" ht="15" customHeight="1">
      <c r="B4388" s="190"/>
    </row>
    <row r="4389" spans="2:2" ht="15" customHeight="1">
      <c r="B4389" s="190"/>
    </row>
    <row r="4390" spans="2:2" ht="15" customHeight="1">
      <c r="B4390" s="190"/>
    </row>
    <row r="4391" spans="2:2" ht="15" customHeight="1">
      <c r="B4391" s="190"/>
    </row>
    <row r="4392" spans="2:2" ht="15" customHeight="1">
      <c r="B4392" s="190"/>
    </row>
    <row r="4393" spans="2:2" ht="15" customHeight="1">
      <c r="B4393" s="190"/>
    </row>
    <row r="4394" spans="2:2" ht="15" customHeight="1">
      <c r="B4394" s="190"/>
    </row>
    <row r="4395" spans="2:2" ht="15" customHeight="1">
      <c r="B4395" s="190"/>
    </row>
    <row r="4396" spans="2:2" ht="15" customHeight="1">
      <c r="B4396" s="190"/>
    </row>
    <row r="4397" spans="2:2" ht="15" customHeight="1">
      <c r="B4397" s="190"/>
    </row>
    <row r="4398" spans="2:2" ht="15" customHeight="1">
      <c r="B4398" s="190"/>
    </row>
    <row r="4399" spans="2:2" ht="15" customHeight="1">
      <c r="B4399" s="190"/>
    </row>
    <row r="4400" spans="2:2" ht="15" customHeight="1">
      <c r="B4400" s="190"/>
    </row>
    <row r="4401" spans="2:2" ht="15" customHeight="1">
      <c r="B4401" s="190"/>
    </row>
    <row r="4402" spans="2:2" ht="15" customHeight="1">
      <c r="B4402" s="190"/>
    </row>
    <row r="4403" spans="2:2" ht="15" customHeight="1">
      <c r="B4403" s="190"/>
    </row>
    <row r="4404" spans="2:2" ht="15" customHeight="1">
      <c r="B4404" s="190"/>
    </row>
    <row r="4405" spans="2:2" ht="15" customHeight="1">
      <c r="B4405" s="190"/>
    </row>
    <row r="4406" spans="2:2" ht="15" customHeight="1">
      <c r="B4406" s="190"/>
    </row>
    <row r="4407" spans="2:2" ht="15" customHeight="1">
      <c r="B4407" s="190"/>
    </row>
    <row r="4408" spans="2:2" ht="15" customHeight="1">
      <c r="B4408" s="190"/>
    </row>
    <row r="4409" spans="2:2" ht="15" customHeight="1">
      <c r="B4409" s="190"/>
    </row>
    <row r="4410" spans="2:2" ht="15" customHeight="1">
      <c r="B4410" s="190"/>
    </row>
    <row r="4411" spans="2:2" ht="15" customHeight="1">
      <c r="B4411" s="190"/>
    </row>
    <row r="4412" spans="2:2" ht="15" customHeight="1">
      <c r="B4412" s="190"/>
    </row>
    <row r="4413" spans="2:2" ht="15" customHeight="1">
      <c r="B4413" s="190"/>
    </row>
    <row r="4414" spans="2:2" ht="15" customHeight="1">
      <c r="B4414" s="190"/>
    </row>
    <row r="4415" spans="2:2" ht="15" customHeight="1">
      <c r="B4415" s="190"/>
    </row>
    <row r="4416" spans="2:2" ht="15" customHeight="1">
      <c r="B4416" s="190"/>
    </row>
    <row r="4417" spans="2:2" ht="15" customHeight="1">
      <c r="B4417" s="190"/>
    </row>
    <row r="4418" spans="2:2" ht="15" customHeight="1">
      <c r="B4418" s="190"/>
    </row>
    <row r="4419" spans="2:2" ht="15" customHeight="1">
      <c r="B4419" s="190"/>
    </row>
    <row r="4420" spans="2:2" ht="15" customHeight="1">
      <c r="B4420" s="190"/>
    </row>
    <row r="4421" spans="2:2" ht="15" customHeight="1">
      <c r="B4421" s="190"/>
    </row>
    <row r="4422" spans="2:2" ht="15" customHeight="1">
      <c r="B4422" s="190"/>
    </row>
    <row r="4423" spans="2:2" ht="15" customHeight="1">
      <c r="B4423" s="190"/>
    </row>
    <row r="4424" spans="2:2" ht="15" customHeight="1">
      <c r="B4424" s="190"/>
    </row>
    <row r="4425" spans="2:2" ht="15" customHeight="1">
      <c r="B4425" s="190"/>
    </row>
    <row r="4426" spans="2:2" ht="15" customHeight="1">
      <c r="B4426" s="190"/>
    </row>
    <row r="4427" spans="2:2" ht="15" customHeight="1">
      <c r="B4427" s="190"/>
    </row>
    <row r="4428" spans="2:2" ht="15" customHeight="1">
      <c r="B4428" s="190"/>
    </row>
    <row r="4429" spans="2:2" ht="15" customHeight="1">
      <c r="B4429" s="190"/>
    </row>
    <row r="4430" spans="2:2" ht="15" customHeight="1">
      <c r="B4430" s="190"/>
    </row>
    <row r="4431" spans="2:2" ht="15" customHeight="1">
      <c r="B4431" s="190"/>
    </row>
    <row r="4432" spans="2:2" ht="15" customHeight="1">
      <c r="B4432" s="190"/>
    </row>
    <row r="4433" spans="2:2" ht="15" customHeight="1">
      <c r="B4433" s="190"/>
    </row>
    <row r="4434" spans="2:2" ht="15" customHeight="1">
      <c r="B4434" s="190"/>
    </row>
    <row r="4435" spans="2:2" ht="15" customHeight="1">
      <c r="B4435" s="190"/>
    </row>
    <row r="4436" spans="2:2" ht="15" customHeight="1">
      <c r="B4436" s="190"/>
    </row>
    <row r="4437" spans="2:2" ht="15" customHeight="1">
      <c r="B4437" s="190"/>
    </row>
    <row r="4438" spans="2:2" ht="15" customHeight="1">
      <c r="B4438" s="190"/>
    </row>
    <row r="4439" spans="2:2" ht="15" customHeight="1">
      <c r="B4439" s="190"/>
    </row>
    <row r="4440" spans="2:2" ht="15" customHeight="1">
      <c r="B4440" s="190"/>
    </row>
    <row r="4441" spans="2:2" ht="15" customHeight="1">
      <c r="B4441" s="190"/>
    </row>
    <row r="4442" spans="2:2" ht="15" customHeight="1">
      <c r="B4442" s="190"/>
    </row>
    <row r="4443" spans="2:2" ht="15" customHeight="1">
      <c r="B4443" s="190"/>
    </row>
    <row r="4444" spans="2:2" ht="15" customHeight="1">
      <c r="B4444" s="190"/>
    </row>
    <row r="4445" spans="2:2" ht="15" customHeight="1">
      <c r="B4445" s="190"/>
    </row>
    <row r="4446" spans="2:2" ht="15" customHeight="1">
      <c r="B4446" s="190"/>
    </row>
    <row r="4447" spans="2:2" ht="15" customHeight="1">
      <c r="B4447" s="190"/>
    </row>
    <row r="4448" spans="2:2" ht="15" customHeight="1">
      <c r="B4448" s="190"/>
    </row>
    <row r="4449" spans="2:2" ht="15" customHeight="1">
      <c r="B4449" s="190"/>
    </row>
    <row r="4450" spans="2:2" ht="15" customHeight="1">
      <c r="B4450" s="190"/>
    </row>
    <row r="4451" spans="2:2" ht="15" customHeight="1">
      <c r="B4451" s="190"/>
    </row>
    <row r="4452" spans="2:2" ht="15" customHeight="1">
      <c r="B4452" s="190"/>
    </row>
    <row r="4453" spans="2:2" ht="15" customHeight="1">
      <c r="B4453" s="190"/>
    </row>
    <row r="4454" spans="2:2" ht="15" customHeight="1">
      <c r="B4454" s="190"/>
    </row>
    <row r="4455" spans="2:2" ht="15" customHeight="1">
      <c r="B4455" s="190"/>
    </row>
    <row r="4456" spans="2:2" ht="15" customHeight="1">
      <c r="B4456" s="190"/>
    </row>
    <row r="4457" spans="2:2" ht="15" customHeight="1">
      <c r="B4457" s="190"/>
    </row>
    <row r="4458" spans="2:2" ht="15" customHeight="1">
      <c r="B4458" s="190"/>
    </row>
    <row r="4459" spans="2:2" ht="15" customHeight="1">
      <c r="B4459" s="190"/>
    </row>
    <row r="4460" spans="2:2" ht="15" customHeight="1">
      <c r="B4460" s="190"/>
    </row>
    <row r="4461" spans="2:2" ht="15" customHeight="1">
      <c r="B4461" s="190"/>
    </row>
    <row r="4462" spans="2:2" ht="15" customHeight="1">
      <c r="B4462" s="190"/>
    </row>
    <row r="4463" spans="2:2" ht="15" customHeight="1">
      <c r="B4463" s="190"/>
    </row>
    <row r="4464" spans="2:2" ht="15" customHeight="1">
      <c r="B4464" s="190"/>
    </row>
    <row r="4465" spans="2:2" ht="15" customHeight="1">
      <c r="B4465" s="190"/>
    </row>
    <row r="4466" spans="2:2" ht="15" customHeight="1">
      <c r="B4466" s="190"/>
    </row>
    <row r="4467" spans="2:2" ht="15" customHeight="1">
      <c r="B4467" s="190"/>
    </row>
    <row r="4468" spans="2:2" ht="15" customHeight="1">
      <c r="B4468" s="190"/>
    </row>
    <row r="4469" spans="2:2" ht="15" customHeight="1">
      <c r="B4469" s="190"/>
    </row>
    <row r="4470" spans="2:2" ht="15" customHeight="1">
      <c r="B4470" s="190"/>
    </row>
    <row r="4471" spans="2:2" ht="15" customHeight="1">
      <c r="B4471" s="190"/>
    </row>
    <row r="4472" spans="2:2" ht="15" customHeight="1">
      <c r="B4472" s="190"/>
    </row>
    <row r="4473" spans="2:2" ht="15" customHeight="1">
      <c r="B4473" s="190"/>
    </row>
    <row r="4474" spans="2:2" ht="15" customHeight="1">
      <c r="B4474" s="190"/>
    </row>
    <row r="4475" spans="2:2" ht="15" customHeight="1">
      <c r="B4475" s="190"/>
    </row>
    <row r="4476" spans="2:2" ht="15" customHeight="1">
      <c r="B4476" s="190"/>
    </row>
    <row r="4477" spans="2:2" ht="15" customHeight="1">
      <c r="B4477" s="190"/>
    </row>
    <row r="4478" spans="2:2" ht="15" customHeight="1">
      <c r="B4478" s="190"/>
    </row>
    <row r="4479" spans="2:2" ht="15" customHeight="1">
      <c r="B4479" s="190"/>
    </row>
    <row r="4480" spans="2:2" ht="15" customHeight="1">
      <c r="B4480" s="190"/>
    </row>
    <row r="4481" spans="2:2" ht="15" customHeight="1">
      <c r="B4481" s="190"/>
    </row>
    <row r="4482" spans="2:2" ht="15" customHeight="1">
      <c r="B4482" s="190"/>
    </row>
    <row r="4483" spans="2:2" ht="15" customHeight="1">
      <c r="B4483" s="190"/>
    </row>
    <row r="4484" spans="2:2" ht="15" customHeight="1">
      <c r="B4484" s="190"/>
    </row>
    <row r="4485" spans="2:2" ht="15" customHeight="1">
      <c r="B4485" s="190"/>
    </row>
    <row r="4486" spans="2:2" ht="15" customHeight="1">
      <c r="B4486" s="190"/>
    </row>
    <row r="4487" spans="2:2" ht="15" customHeight="1">
      <c r="B4487" s="190"/>
    </row>
    <row r="4488" spans="2:2" ht="15" customHeight="1">
      <c r="B4488" s="190"/>
    </row>
    <row r="4489" spans="2:2" ht="15" customHeight="1">
      <c r="B4489" s="190"/>
    </row>
    <row r="4490" spans="2:2" ht="15" customHeight="1">
      <c r="B4490" s="190"/>
    </row>
    <row r="4491" spans="2:2" ht="15" customHeight="1">
      <c r="B4491" s="190"/>
    </row>
    <row r="4492" spans="2:2" ht="15" customHeight="1">
      <c r="B4492" s="190"/>
    </row>
    <row r="4493" spans="2:2" ht="15" customHeight="1">
      <c r="B4493" s="190"/>
    </row>
    <row r="4494" spans="2:2" ht="15" customHeight="1">
      <c r="B4494" s="190"/>
    </row>
    <row r="4495" spans="2:2" ht="15" customHeight="1">
      <c r="B4495" s="190"/>
    </row>
    <row r="4496" spans="2:2" ht="15" customHeight="1">
      <c r="B4496" s="190"/>
    </row>
    <row r="4497" spans="2:2" ht="15" customHeight="1">
      <c r="B4497" s="190"/>
    </row>
    <row r="4498" spans="2:2" ht="15" customHeight="1">
      <c r="B4498" s="190"/>
    </row>
    <row r="4499" spans="2:2" ht="15" customHeight="1">
      <c r="B4499" s="190"/>
    </row>
    <row r="4500" spans="2:2" ht="15" customHeight="1">
      <c r="B4500" s="190"/>
    </row>
    <row r="4501" spans="2:2" ht="15" customHeight="1">
      <c r="B4501" s="190"/>
    </row>
    <row r="4502" spans="2:2" ht="15" customHeight="1">
      <c r="B4502" s="190"/>
    </row>
    <row r="4503" spans="2:2" ht="15" customHeight="1">
      <c r="B4503" s="190"/>
    </row>
    <row r="4504" spans="2:2" ht="15" customHeight="1">
      <c r="B4504" s="190"/>
    </row>
    <row r="4505" spans="2:2" ht="15" customHeight="1">
      <c r="B4505" s="190"/>
    </row>
    <row r="4506" spans="2:2" ht="15" customHeight="1">
      <c r="B4506" s="190"/>
    </row>
    <row r="4507" spans="2:2" ht="15" customHeight="1">
      <c r="B4507" s="190"/>
    </row>
    <row r="4508" spans="2:2" ht="15" customHeight="1">
      <c r="B4508" s="190"/>
    </row>
    <row r="4509" spans="2:2" ht="15" customHeight="1">
      <c r="B4509" s="190"/>
    </row>
    <row r="4510" spans="2:2" ht="15" customHeight="1">
      <c r="B4510" s="190"/>
    </row>
    <row r="4511" spans="2:2" ht="15" customHeight="1">
      <c r="B4511" s="190"/>
    </row>
    <row r="4512" spans="2:2" ht="15" customHeight="1">
      <c r="B4512" s="190"/>
    </row>
    <row r="4513" spans="2:2" ht="15" customHeight="1">
      <c r="B4513" s="190"/>
    </row>
    <row r="4514" spans="2:2" ht="15" customHeight="1">
      <c r="B4514" s="190"/>
    </row>
    <row r="4515" spans="2:2" ht="15" customHeight="1">
      <c r="B4515" s="190"/>
    </row>
    <row r="4516" spans="2:2" ht="15" customHeight="1">
      <c r="B4516" s="190"/>
    </row>
    <row r="4517" spans="2:2" ht="15" customHeight="1">
      <c r="B4517" s="190"/>
    </row>
    <row r="4518" spans="2:2" ht="15" customHeight="1">
      <c r="B4518" s="190"/>
    </row>
    <row r="4519" spans="2:2" ht="15" customHeight="1">
      <c r="B4519" s="190"/>
    </row>
    <row r="4520" spans="2:2" ht="15" customHeight="1">
      <c r="B4520" s="190"/>
    </row>
    <row r="4521" spans="2:2" ht="15" customHeight="1">
      <c r="B4521" s="190"/>
    </row>
    <row r="4522" spans="2:2" ht="15" customHeight="1">
      <c r="B4522" s="190"/>
    </row>
    <row r="4523" spans="2:2" ht="15" customHeight="1">
      <c r="B4523" s="190"/>
    </row>
    <row r="4524" spans="2:2" ht="15" customHeight="1">
      <c r="B4524" s="190"/>
    </row>
    <row r="4525" spans="2:2" ht="15" customHeight="1">
      <c r="B4525" s="190"/>
    </row>
    <row r="4526" spans="2:2" ht="15" customHeight="1">
      <c r="B4526" s="190"/>
    </row>
    <row r="4527" spans="2:2" ht="15" customHeight="1">
      <c r="B4527" s="190"/>
    </row>
    <row r="4528" spans="2:2" ht="15" customHeight="1">
      <c r="B4528" s="190"/>
    </row>
    <row r="4529" spans="2:2" ht="15" customHeight="1">
      <c r="B4529" s="190"/>
    </row>
    <row r="4530" spans="2:2" ht="15" customHeight="1">
      <c r="B4530" s="190"/>
    </row>
    <row r="4531" spans="2:2" ht="15" customHeight="1">
      <c r="B4531" s="190"/>
    </row>
    <row r="4532" spans="2:2" ht="15" customHeight="1">
      <c r="B4532" s="190"/>
    </row>
    <row r="4533" spans="2:2" ht="15" customHeight="1">
      <c r="B4533" s="190"/>
    </row>
    <row r="4534" spans="2:2" ht="15" customHeight="1">
      <c r="B4534" s="190"/>
    </row>
    <row r="4535" spans="2:2" ht="15" customHeight="1">
      <c r="B4535" s="190"/>
    </row>
    <row r="4536" spans="2:2" ht="15" customHeight="1">
      <c r="B4536" s="190"/>
    </row>
    <row r="4537" spans="2:2" ht="15" customHeight="1">
      <c r="B4537" s="190"/>
    </row>
    <row r="4538" spans="2:2" ht="15" customHeight="1">
      <c r="B4538" s="190"/>
    </row>
    <row r="4539" spans="2:2" ht="15" customHeight="1">
      <c r="B4539" s="190"/>
    </row>
    <row r="4540" spans="2:2" ht="15" customHeight="1">
      <c r="B4540" s="190"/>
    </row>
    <row r="4541" spans="2:2" ht="15" customHeight="1">
      <c r="B4541" s="190"/>
    </row>
    <row r="4542" spans="2:2" ht="15" customHeight="1">
      <c r="B4542" s="190"/>
    </row>
    <row r="4543" spans="2:2" ht="15" customHeight="1">
      <c r="B4543" s="190"/>
    </row>
    <row r="4544" spans="2:2" ht="15" customHeight="1">
      <c r="B4544" s="190"/>
    </row>
    <row r="4545" spans="2:2" ht="15" customHeight="1">
      <c r="B4545" s="190"/>
    </row>
    <row r="4546" spans="2:2" ht="15" customHeight="1">
      <c r="B4546" s="190"/>
    </row>
    <row r="4547" spans="2:2" ht="15" customHeight="1">
      <c r="B4547" s="190"/>
    </row>
    <row r="4548" spans="2:2" ht="15" customHeight="1">
      <c r="B4548" s="190"/>
    </row>
    <row r="4549" spans="2:2" ht="15" customHeight="1">
      <c r="B4549" s="190"/>
    </row>
    <row r="4550" spans="2:2" ht="15" customHeight="1">
      <c r="B4550" s="190"/>
    </row>
    <row r="4551" spans="2:2" ht="15" customHeight="1">
      <c r="B4551" s="190"/>
    </row>
    <row r="4552" spans="2:2" ht="15" customHeight="1">
      <c r="B4552" s="190"/>
    </row>
    <row r="4553" spans="2:2" ht="15" customHeight="1">
      <c r="B4553" s="190"/>
    </row>
    <row r="4554" spans="2:2" ht="15" customHeight="1">
      <c r="B4554" s="190"/>
    </row>
    <row r="4555" spans="2:2" ht="15" customHeight="1">
      <c r="B4555" s="190"/>
    </row>
    <row r="4556" spans="2:2" ht="15" customHeight="1">
      <c r="B4556" s="190"/>
    </row>
    <row r="4557" spans="2:2" ht="15" customHeight="1">
      <c r="B4557" s="190"/>
    </row>
    <row r="4558" spans="2:2" ht="15" customHeight="1">
      <c r="B4558" s="190"/>
    </row>
    <row r="4559" spans="2:2" ht="15" customHeight="1">
      <c r="B4559" s="190"/>
    </row>
    <row r="4560" spans="2:2" ht="15" customHeight="1">
      <c r="B4560" s="190"/>
    </row>
    <row r="4561" spans="2:2" ht="15" customHeight="1">
      <c r="B4561" s="190"/>
    </row>
    <row r="4562" spans="2:2" ht="15" customHeight="1">
      <c r="B4562" s="190"/>
    </row>
    <row r="4563" spans="2:2" ht="15" customHeight="1">
      <c r="B4563" s="190"/>
    </row>
    <row r="4564" spans="2:2" ht="15" customHeight="1">
      <c r="B4564" s="190"/>
    </row>
    <row r="4565" spans="2:2" ht="15" customHeight="1">
      <c r="B4565" s="190"/>
    </row>
    <row r="4566" spans="2:2" ht="15" customHeight="1">
      <c r="B4566" s="190"/>
    </row>
    <row r="4567" spans="2:2" ht="15" customHeight="1">
      <c r="B4567" s="190"/>
    </row>
    <row r="4568" spans="2:2" ht="15" customHeight="1">
      <c r="B4568" s="190"/>
    </row>
    <row r="4569" spans="2:2" ht="15" customHeight="1">
      <c r="B4569" s="190"/>
    </row>
    <row r="4570" spans="2:2" ht="15" customHeight="1">
      <c r="B4570" s="190"/>
    </row>
    <row r="4571" spans="2:2" ht="15" customHeight="1">
      <c r="B4571" s="190"/>
    </row>
    <row r="4572" spans="2:2" ht="15" customHeight="1">
      <c r="B4572" s="190"/>
    </row>
    <row r="4573" spans="2:2" ht="15" customHeight="1">
      <c r="B4573" s="190"/>
    </row>
    <row r="4574" spans="2:2" ht="15" customHeight="1">
      <c r="B4574" s="190"/>
    </row>
    <row r="4575" spans="2:2" ht="15" customHeight="1">
      <c r="B4575" s="190"/>
    </row>
    <row r="4576" spans="2:2" ht="15" customHeight="1">
      <c r="B4576" s="190"/>
    </row>
    <row r="4577" spans="2:2" ht="15" customHeight="1">
      <c r="B4577" s="190"/>
    </row>
    <row r="4578" spans="2:2" ht="15" customHeight="1">
      <c r="B4578" s="190"/>
    </row>
    <row r="4579" spans="2:2" ht="15" customHeight="1">
      <c r="B4579" s="190"/>
    </row>
    <row r="4580" spans="2:2" ht="15" customHeight="1">
      <c r="B4580" s="190"/>
    </row>
    <row r="4581" spans="2:2" ht="15" customHeight="1">
      <c r="B4581" s="190"/>
    </row>
    <row r="4582" spans="2:2" ht="15" customHeight="1">
      <c r="B4582" s="190"/>
    </row>
    <row r="4583" spans="2:2" ht="15" customHeight="1">
      <c r="B4583" s="190"/>
    </row>
    <row r="4584" spans="2:2" ht="15" customHeight="1">
      <c r="B4584" s="190"/>
    </row>
    <row r="4585" spans="2:2" ht="15" customHeight="1">
      <c r="B4585" s="190"/>
    </row>
    <row r="4586" spans="2:2" ht="15" customHeight="1">
      <c r="B4586" s="190"/>
    </row>
    <row r="4587" spans="2:2" ht="15" customHeight="1">
      <c r="B4587" s="190"/>
    </row>
    <row r="4588" spans="2:2" ht="15" customHeight="1">
      <c r="B4588" s="190"/>
    </row>
    <row r="4589" spans="2:2" ht="15" customHeight="1">
      <c r="B4589" s="190"/>
    </row>
    <row r="4590" spans="2:2" ht="15" customHeight="1">
      <c r="B4590" s="190"/>
    </row>
    <row r="4591" spans="2:2" ht="15" customHeight="1">
      <c r="B4591" s="190"/>
    </row>
    <row r="4592" spans="2:2" ht="15" customHeight="1">
      <c r="B4592" s="190"/>
    </row>
    <row r="4593" spans="2:2" ht="15" customHeight="1">
      <c r="B4593" s="190"/>
    </row>
    <row r="4594" spans="2:2" ht="15" customHeight="1">
      <c r="B4594" s="190"/>
    </row>
    <row r="4595" spans="2:2" ht="15" customHeight="1">
      <c r="B4595" s="190"/>
    </row>
    <row r="4596" spans="2:2" ht="15" customHeight="1">
      <c r="B4596" s="190"/>
    </row>
    <row r="4597" spans="2:2" ht="15" customHeight="1">
      <c r="B4597" s="190"/>
    </row>
    <row r="4598" spans="2:2" ht="15" customHeight="1">
      <c r="B4598" s="190"/>
    </row>
    <row r="4599" spans="2:2" ht="15" customHeight="1">
      <c r="B4599" s="190"/>
    </row>
    <row r="4600" spans="2:2" ht="15" customHeight="1">
      <c r="B4600" s="190"/>
    </row>
    <row r="4601" spans="2:2" ht="15" customHeight="1">
      <c r="B4601" s="190"/>
    </row>
    <row r="4602" spans="2:2" ht="15" customHeight="1">
      <c r="B4602" s="190"/>
    </row>
    <row r="4603" spans="2:2" ht="15" customHeight="1">
      <c r="B4603" s="190"/>
    </row>
    <row r="4604" spans="2:2" ht="15" customHeight="1">
      <c r="B4604" s="190"/>
    </row>
    <row r="4605" spans="2:2" ht="15" customHeight="1">
      <c r="B4605" s="190"/>
    </row>
    <row r="4606" spans="2:2" ht="15" customHeight="1">
      <c r="B4606" s="190"/>
    </row>
    <row r="4607" spans="2:2" ht="15" customHeight="1">
      <c r="B4607" s="190"/>
    </row>
    <row r="4608" spans="2:2" ht="15" customHeight="1">
      <c r="B4608" s="190"/>
    </row>
    <row r="4609" spans="2:2" ht="15" customHeight="1">
      <c r="B4609" s="190"/>
    </row>
    <row r="4610" spans="2:2" ht="15" customHeight="1">
      <c r="B4610" s="190"/>
    </row>
    <row r="4611" spans="2:2" ht="15" customHeight="1">
      <c r="B4611" s="190"/>
    </row>
    <row r="4612" spans="2:2" ht="15" customHeight="1">
      <c r="B4612" s="190"/>
    </row>
    <row r="4613" spans="2:2" ht="15" customHeight="1">
      <c r="B4613" s="190"/>
    </row>
    <row r="4614" spans="2:2" ht="15" customHeight="1">
      <c r="B4614" s="190"/>
    </row>
    <row r="4615" spans="2:2" ht="15" customHeight="1">
      <c r="B4615" s="190"/>
    </row>
    <row r="4616" spans="2:2" ht="15" customHeight="1">
      <c r="B4616" s="190"/>
    </row>
    <row r="4617" spans="2:2" ht="15" customHeight="1">
      <c r="B4617" s="190"/>
    </row>
    <row r="4618" spans="2:2" ht="15" customHeight="1">
      <c r="B4618" s="190"/>
    </row>
    <row r="4619" spans="2:2" ht="15" customHeight="1">
      <c r="B4619" s="190"/>
    </row>
    <row r="4620" spans="2:2" ht="15" customHeight="1">
      <c r="B4620" s="190"/>
    </row>
    <row r="4621" spans="2:2" ht="15" customHeight="1">
      <c r="B4621" s="190"/>
    </row>
    <row r="4622" spans="2:2" ht="15" customHeight="1">
      <c r="B4622" s="190"/>
    </row>
    <row r="4623" spans="2:2" ht="15" customHeight="1">
      <c r="B4623" s="190"/>
    </row>
    <row r="4624" spans="2:2" ht="15" customHeight="1">
      <c r="B4624" s="190"/>
    </row>
    <row r="4625" spans="2:2" ht="15" customHeight="1">
      <c r="B4625" s="190"/>
    </row>
    <row r="4626" spans="2:2" ht="15" customHeight="1">
      <c r="B4626" s="190"/>
    </row>
    <row r="4627" spans="2:2" ht="15" customHeight="1">
      <c r="B4627" s="190"/>
    </row>
    <row r="4628" spans="2:2" ht="15" customHeight="1">
      <c r="B4628" s="190"/>
    </row>
    <row r="4629" spans="2:2" ht="15" customHeight="1">
      <c r="B4629" s="190"/>
    </row>
    <row r="4630" spans="2:2" ht="15" customHeight="1">
      <c r="B4630" s="190"/>
    </row>
    <row r="4631" spans="2:2" ht="15" customHeight="1">
      <c r="B4631" s="190"/>
    </row>
    <row r="4632" spans="2:2" ht="15" customHeight="1">
      <c r="B4632" s="190"/>
    </row>
    <row r="4633" spans="2:2" ht="15" customHeight="1">
      <c r="B4633" s="190"/>
    </row>
    <row r="4634" spans="2:2" ht="15" customHeight="1">
      <c r="B4634" s="190"/>
    </row>
    <row r="4635" spans="2:2" ht="15" customHeight="1">
      <c r="B4635" s="190"/>
    </row>
    <row r="4636" spans="2:2" ht="15" customHeight="1">
      <c r="B4636" s="190"/>
    </row>
    <row r="4637" spans="2:2" ht="15" customHeight="1">
      <c r="B4637" s="190"/>
    </row>
    <row r="4638" spans="2:2" ht="15" customHeight="1">
      <c r="B4638" s="190"/>
    </row>
    <row r="4639" spans="2:2" ht="15" customHeight="1">
      <c r="B4639" s="190"/>
    </row>
    <row r="4640" spans="2:2" ht="15" customHeight="1">
      <c r="B4640" s="190"/>
    </row>
    <row r="4641" spans="2:2" ht="15" customHeight="1">
      <c r="B4641" s="190"/>
    </row>
    <row r="4642" spans="2:2" ht="15" customHeight="1">
      <c r="B4642" s="190"/>
    </row>
    <row r="4643" spans="2:2" ht="15" customHeight="1">
      <c r="B4643" s="190"/>
    </row>
    <row r="4644" spans="2:2" ht="15" customHeight="1">
      <c r="B4644" s="190"/>
    </row>
    <row r="4645" spans="2:2" ht="15" customHeight="1">
      <c r="B4645" s="190"/>
    </row>
    <row r="4646" spans="2:2" ht="15" customHeight="1">
      <c r="B4646" s="190"/>
    </row>
    <row r="4647" spans="2:2" ht="15" customHeight="1">
      <c r="B4647" s="190"/>
    </row>
    <row r="4648" spans="2:2" ht="15" customHeight="1">
      <c r="B4648" s="190"/>
    </row>
    <row r="4649" spans="2:2" ht="15" customHeight="1">
      <c r="B4649" s="190"/>
    </row>
    <row r="4650" spans="2:2" ht="15" customHeight="1">
      <c r="B4650" s="190"/>
    </row>
    <row r="4651" spans="2:2" ht="15" customHeight="1">
      <c r="B4651" s="190"/>
    </row>
    <row r="4652" spans="2:2" ht="15" customHeight="1">
      <c r="B4652" s="190"/>
    </row>
    <row r="4653" spans="2:2" ht="15" customHeight="1">
      <c r="B4653" s="190"/>
    </row>
    <row r="4654" spans="2:2" ht="15" customHeight="1">
      <c r="B4654" s="190"/>
    </row>
    <row r="4655" spans="2:2" ht="15" customHeight="1">
      <c r="B4655" s="190"/>
    </row>
    <row r="4656" spans="2:2" ht="15" customHeight="1">
      <c r="B4656" s="190"/>
    </row>
    <row r="4657" spans="2:2" ht="15" customHeight="1">
      <c r="B4657" s="190"/>
    </row>
    <row r="4658" spans="2:2" ht="15" customHeight="1">
      <c r="B4658" s="190"/>
    </row>
    <row r="4659" spans="2:2" ht="15" customHeight="1">
      <c r="B4659" s="190"/>
    </row>
    <row r="4660" spans="2:2" ht="15" customHeight="1">
      <c r="B4660" s="190"/>
    </row>
    <row r="4661" spans="2:2" ht="15" customHeight="1">
      <c r="B4661" s="190"/>
    </row>
    <row r="4662" spans="2:2" ht="15" customHeight="1">
      <c r="B4662" s="190"/>
    </row>
    <row r="4663" spans="2:2" ht="15" customHeight="1">
      <c r="B4663" s="190"/>
    </row>
    <row r="4664" spans="2:2" ht="15" customHeight="1">
      <c r="B4664" s="190"/>
    </row>
    <row r="4665" spans="2:2" ht="15" customHeight="1">
      <c r="B4665" s="190"/>
    </row>
    <row r="4666" spans="2:2" ht="15" customHeight="1">
      <c r="B4666" s="190"/>
    </row>
    <row r="4667" spans="2:2" ht="15" customHeight="1">
      <c r="B4667" s="190"/>
    </row>
    <row r="4668" spans="2:2" ht="15" customHeight="1">
      <c r="B4668" s="190"/>
    </row>
    <row r="4669" spans="2:2" ht="15" customHeight="1">
      <c r="B4669" s="190"/>
    </row>
    <row r="4670" spans="2:2" ht="15" customHeight="1">
      <c r="B4670" s="190"/>
    </row>
    <row r="4671" spans="2:2" ht="15" customHeight="1">
      <c r="B4671" s="190"/>
    </row>
    <row r="4672" spans="2:2" ht="15" customHeight="1">
      <c r="B4672" s="190"/>
    </row>
    <row r="4673" spans="2:2" ht="15" customHeight="1">
      <c r="B4673" s="190"/>
    </row>
    <row r="4674" spans="2:2" ht="15" customHeight="1">
      <c r="B4674" s="190"/>
    </row>
    <row r="4675" spans="2:2" ht="15" customHeight="1">
      <c r="B4675" s="190"/>
    </row>
    <row r="4676" spans="2:2" ht="15" customHeight="1">
      <c r="B4676" s="190"/>
    </row>
    <row r="4677" spans="2:2" ht="15" customHeight="1">
      <c r="B4677" s="190"/>
    </row>
    <row r="4678" spans="2:2" ht="15" customHeight="1">
      <c r="B4678" s="190"/>
    </row>
    <row r="4679" spans="2:2" ht="15" customHeight="1">
      <c r="B4679" s="190"/>
    </row>
    <row r="4680" spans="2:2" ht="15" customHeight="1">
      <c r="B4680" s="190"/>
    </row>
    <row r="4681" spans="2:2" ht="15" customHeight="1">
      <c r="B4681" s="190"/>
    </row>
    <row r="4682" spans="2:2" ht="15" customHeight="1">
      <c r="B4682" s="190"/>
    </row>
    <row r="4683" spans="2:2" ht="15" customHeight="1">
      <c r="B4683" s="190"/>
    </row>
    <row r="4684" spans="2:2" ht="15" customHeight="1">
      <c r="B4684" s="190"/>
    </row>
    <row r="4685" spans="2:2" ht="15" customHeight="1">
      <c r="B4685" s="190"/>
    </row>
    <row r="4686" spans="2:2" ht="15" customHeight="1">
      <c r="B4686" s="190"/>
    </row>
    <row r="4687" spans="2:2" ht="15" customHeight="1">
      <c r="B4687" s="190"/>
    </row>
    <row r="4688" spans="2:2" ht="15" customHeight="1">
      <c r="B4688" s="190"/>
    </row>
    <row r="4689" spans="2:2" ht="15" customHeight="1">
      <c r="B4689" s="190"/>
    </row>
    <row r="4690" spans="2:2" ht="15" customHeight="1">
      <c r="B4690" s="190"/>
    </row>
    <row r="4691" spans="2:2" ht="15" customHeight="1">
      <c r="B4691" s="190"/>
    </row>
    <row r="4692" spans="2:2" ht="15" customHeight="1">
      <c r="B4692" s="190"/>
    </row>
    <row r="4693" spans="2:2" ht="15" customHeight="1">
      <c r="B4693" s="190"/>
    </row>
    <row r="4694" spans="2:2" ht="15" customHeight="1">
      <c r="B4694" s="190"/>
    </row>
    <row r="4695" spans="2:2" ht="15" customHeight="1">
      <c r="B4695" s="190"/>
    </row>
    <row r="4696" spans="2:2" ht="15" customHeight="1">
      <c r="B4696" s="190"/>
    </row>
    <row r="4697" spans="2:2" ht="15" customHeight="1">
      <c r="B4697" s="190"/>
    </row>
    <row r="4698" spans="2:2" ht="15" customHeight="1">
      <c r="B4698" s="190"/>
    </row>
    <row r="4699" spans="2:2" ht="15" customHeight="1">
      <c r="B4699" s="190"/>
    </row>
    <row r="4700" spans="2:2" ht="15" customHeight="1">
      <c r="B4700" s="190"/>
    </row>
    <row r="4701" spans="2:2" ht="15" customHeight="1">
      <c r="B4701" s="190"/>
    </row>
    <row r="4702" spans="2:2" ht="15" customHeight="1">
      <c r="B4702" s="190"/>
    </row>
    <row r="4703" spans="2:2" ht="15" customHeight="1">
      <c r="B4703" s="190"/>
    </row>
    <row r="4704" spans="2:2" ht="15" customHeight="1">
      <c r="B4704" s="190"/>
    </row>
    <row r="4705" spans="2:2" ht="15" customHeight="1">
      <c r="B4705" s="190"/>
    </row>
    <row r="4706" spans="2:2" ht="15" customHeight="1">
      <c r="B4706" s="190"/>
    </row>
    <row r="4707" spans="2:2" ht="15" customHeight="1">
      <c r="B4707" s="190"/>
    </row>
    <row r="4708" spans="2:2" ht="15" customHeight="1">
      <c r="B4708" s="190"/>
    </row>
    <row r="4709" spans="2:2" ht="15" customHeight="1">
      <c r="B4709" s="190"/>
    </row>
    <row r="4710" spans="2:2" ht="15" customHeight="1">
      <c r="B4710" s="190"/>
    </row>
    <row r="4711" spans="2:2" ht="15" customHeight="1">
      <c r="B4711" s="190"/>
    </row>
    <row r="4712" spans="2:2" ht="15" customHeight="1">
      <c r="B4712" s="190"/>
    </row>
    <row r="4713" spans="2:2" ht="15" customHeight="1">
      <c r="B4713" s="190"/>
    </row>
    <row r="4714" spans="2:2" ht="15" customHeight="1">
      <c r="B4714" s="190"/>
    </row>
    <row r="4715" spans="2:2" ht="15" customHeight="1">
      <c r="B4715" s="190"/>
    </row>
    <row r="4716" spans="2:2" ht="15" customHeight="1">
      <c r="B4716" s="190"/>
    </row>
    <row r="4717" spans="2:2" ht="15" customHeight="1">
      <c r="B4717" s="190"/>
    </row>
    <row r="4718" spans="2:2" ht="15" customHeight="1">
      <c r="B4718" s="190"/>
    </row>
    <row r="4719" spans="2:2" ht="15" customHeight="1">
      <c r="B4719" s="190"/>
    </row>
    <row r="4720" spans="2:2" ht="15" customHeight="1">
      <c r="B4720" s="190"/>
    </row>
    <row r="4721" spans="2:2" ht="15" customHeight="1">
      <c r="B4721" s="190"/>
    </row>
    <row r="4722" spans="2:2" ht="15" customHeight="1">
      <c r="B4722" s="190"/>
    </row>
    <row r="4723" spans="2:2" ht="15" customHeight="1">
      <c r="B4723" s="190"/>
    </row>
    <row r="4724" spans="2:2" ht="15" customHeight="1">
      <c r="B4724" s="190"/>
    </row>
    <row r="4725" spans="2:2" ht="15" customHeight="1">
      <c r="B4725" s="190"/>
    </row>
    <row r="4726" spans="2:2" ht="15" customHeight="1">
      <c r="B4726" s="190"/>
    </row>
    <row r="4727" spans="2:2" ht="15" customHeight="1">
      <c r="B4727" s="190"/>
    </row>
    <row r="4728" spans="2:2" ht="15" customHeight="1">
      <c r="B4728" s="190"/>
    </row>
    <row r="4729" spans="2:2" ht="15" customHeight="1">
      <c r="B4729" s="190"/>
    </row>
    <row r="4730" spans="2:2" ht="15" customHeight="1">
      <c r="B4730" s="190"/>
    </row>
    <row r="4731" spans="2:2" ht="15" customHeight="1">
      <c r="B4731" s="190"/>
    </row>
    <row r="4732" spans="2:2" ht="15" customHeight="1">
      <c r="B4732" s="190"/>
    </row>
    <row r="4733" spans="2:2" ht="15" customHeight="1">
      <c r="B4733" s="190"/>
    </row>
    <row r="4734" spans="2:2" ht="15" customHeight="1">
      <c r="B4734" s="190"/>
    </row>
    <row r="4735" spans="2:2" ht="15" customHeight="1">
      <c r="B4735" s="190"/>
    </row>
    <row r="4736" spans="2:2" ht="15" customHeight="1">
      <c r="B4736" s="190"/>
    </row>
    <row r="4737" spans="2:2" ht="15" customHeight="1">
      <c r="B4737" s="190"/>
    </row>
    <row r="4738" spans="2:2" ht="15" customHeight="1">
      <c r="B4738" s="190"/>
    </row>
    <row r="4739" spans="2:2" ht="15" customHeight="1">
      <c r="B4739" s="190"/>
    </row>
    <row r="4740" spans="2:2" ht="15" customHeight="1">
      <c r="B4740" s="190"/>
    </row>
    <row r="4741" spans="2:2" ht="15" customHeight="1">
      <c r="B4741" s="190"/>
    </row>
    <row r="4742" spans="2:2" ht="15" customHeight="1">
      <c r="B4742" s="190"/>
    </row>
    <row r="4743" spans="2:2" ht="15" customHeight="1">
      <c r="B4743" s="190"/>
    </row>
    <row r="4744" spans="2:2" ht="15" customHeight="1">
      <c r="B4744" s="190"/>
    </row>
    <row r="4745" spans="2:2" ht="15" customHeight="1">
      <c r="B4745" s="190"/>
    </row>
    <row r="4746" spans="2:2" ht="15" customHeight="1">
      <c r="B4746" s="190"/>
    </row>
    <row r="4747" spans="2:2" ht="15" customHeight="1">
      <c r="B4747" s="190"/>
    </row>
    <row r="4748" spans="2:2" ht="15" customHeight="1">
      <c r="B4748" s="190"/>
    </row>
    <row r="4749" spans="2:2" ht="15" customHeight="1">
      <c r="B4749" s="190"/>
    </row>
    <row r="4750" spans="2:2" ht="15" customHeight="1">
      <c r="B4750" s="190"/>
    </row>
    <row r="4751" spans="2:2" ht="15" customHeight="1">
      <c r="B4751" s="190"/>
    </row>
    <row r="4752" spans="2:2" ht="15" customHeight="1">
      <c r="B4752" s="190"/>
    </row>
    <row r="4753" spans="2:2" ht="15" customHeight="1">
      <c r="B4753" s="190"/>
    </row>
    <row r="4754" spans="2:2" ht="15" customHeight="1">
      <c r="B4754" s="190"/>
    </row>
    <row r="4755" spans="2:2" ht="15" customHeight="1">
      <c r="B4755" s="190"/>
    </row>
    <row r="4756" spans="2:2" ht="15" customHeight="1">
      <c r="B4756" s="190"/>
    </row>
    <row r="4757" spans="2:2" ht="15" customHeight="1">
      <c r="B4757" s="190"/>
    </row>
    <row r="4758" spans="2:2" ht="15" customHeight="1">
      <c r="B4758" s="190"/>
    </row>
    <row r="4759" spans="2:2" ht="15" customHeight="1">
      <c r="B4759" s="190"/>
    </row>
    <row r="4760" spans="2:2" ht="15" customHeight="1">
      <c r="B4760" s="190"/>
    </row>
    <row r="4761" spans="2:2" ht="15" customHeight="1">
      <c r="B4761" s="190"/>
    </row>
    <row r="4762" spans="2:2" ht="15" customHeight="1">
      <c r="B4762" s="190"/>
    </row>
    <row r="4763" spans="2:2" ht="15" customHeight="1">
      <c r="B4763" s="190"/>
    </row>
    <row r="4764" spans="2:2" ht="15" customHeight="1">
      <c r="B4764" s="190"/>
    </row>
    <row r="4765" spans="2:2" ht="15" customHeight="1">
      <c r="B4765" s="190"/>
    </row>
    <row r="4766" spans="2:2" ht="15" customHeight="1">
      <c r="B4766" s="190"/>
    </row>
    <row r="4767" spans="2:2" ht="15" customHeight="1">
      <c r="B4767" s="190"/>
    </row>
    <row r="4768" spans="2:2" ht="15" customHeight="1">
      <c r="B4768" s="190"/>
    </row>
    <row r="4769" spans="2:2" ht="15" customHeight="1">
      <c r="B4769" s="190"/>
    </row>
    <row r="4770" spans="2:2" ht="15" customHeight="1">
      <c r="B4770" s="190"/>
    </row>
    <row r="4771" spans="2:2" ht="15" customHeight="1">
      <c r="B4771" s="190"/>
    </row>
    <row r="4772" spans="2:2" ht="15" customHeight="1">
      <c r="B4772" s="190"/>
    </row>
    <row r="4773" spans="2:2" ht="15" customHeight="1">
      <c r="B4773" s="190"/>
    </row>
    <row r="4774" spans="2:2" ht="15" customHeight="1">
      <c r="B4774" s="190"/>
    </row>
    <row r="4775" spans="2:2" ht="15" customHeight="1">
      <c r="B4775" s="190"/>
    </row>
    <row r="4776" spans="2:2" ht="15" customHeight="1">
      <c r="B4776" s="190"/>
    </row>
    <row r="4777" spans="2:2" ht="15" customHeight="1">
      <c r="B4777" s="190"/>
    </row>
    <row r="4778" spans="2:2" ht="15" customHeight="1">
      <c r="B4778" s="190"/>
    </row>
    <row r="4779" spans="2:2" ht="15" customHeight="1">
      <c r="B4779" s="190"/>
    </row>
    <row r="4780" spans="2:2" ht="15" customHeight="1">
      <c r="B4780" s="190"/>
    </row>
    <row r="4781" spans="2:2" ht="15" customHeight="1">
      <c r="B4781" s="190"/>
    </row>
    <row r="4782" spans="2:2" ht="15" customHeight="1">
      <c r="B4782" s="190"/>
    </row>
    <row r="4783" spans="2:2" ht="15" customHeight="1">
      <c r="B4783" s="190"/>
    </row>
    <row r="4784" spans="2:2" ht="15" customHeight="1">
      <c r="B4784" s="190"/>
    </row>
    <row r="4785" spans="2:2" ht="15" customHeight="1">
      <c r="B4785" s="190"/>
    </row>
    <row r="4786" spans="2:2" ht="15" customHeight="1">
      <c r="B4786" s="190"/>
    </row>
    <row r="4787" spans="2:2" ht="15" customHeight="1">
      <c r="B4787" s="190"/>
    </row>
    <row r="4788" spans="2:2" ht="15" customHeight="1">
      <c r="B4788" s="190"/>
    </row>
    <row r="4789" spans="2:2" ht="15" customHeight="1">
      <c r="B4789" s="190"/>
    </row>
    <row r="4790" spans="2:2" ht="15" customHeight="1">
      <c r="B4790" s="190"/>
    </row>
    <row r="4791" spans="2:2" ht="15" customHeight="1">
      <c r="B4791" s="190"/>
    </row>
    <row r="4792" spans="2:2" ht="15" customHeight="1">
      <c r="B4792" s="190"/>
    </row>
    <row r="4793" spans="2:2" ht="15" customHeight="1">
      <c r="B4793" s="190"/>
    </row>
    <row r="4794" spans="2:2" ht="15" customHeight="1">
      <c r="B4794" s="190"/>
    </row>
    <row r="4795" spans="2:2" ht="15" customHeight="1">
      <c r="B4795" s="190"/>
    </row>
    <row r="4796" spans="2:2" ht="15" customHeight="1">
      <c r="B4796" s="190"/>
    </row>
    <row r="4797" spans="2:2" ht="15" customHeight="1">
      <c r="B4797" s="190"/>
    </row>
    <row r="4798" spans="2:2" ht="15" customHeight="1">
      <c r="B4798" s="190"/>
    </row>
    <row r="4799" spans="2:2" ht="15" customHeight="1">
      <c r="B4799" s="190"/>
    </row>
    <row r="4800" spans="2:2" ht="15" customHeight="1">
      <c r="B4800" s="190"/>
    </row>
    <row r="4801" spans="2:2" ht="15" customHeight="1">
      <c r="B4801" s="190"/>
    </row>
    <row r="4802" spans="2:2" ht="15" customHeight="1">
      <c r="B4802" s="190"/>
    </row>
    <row r="4803" spans="2:2" ht="15" customHeight="1">
      <c r="B4803" s="190"/>
    </row>
    <row r="4804" spans="2:2" ht="15" customHeight="1">
      <c r="B4804" s="190"/>
    </row>
    <row r="4805" spans="2:2" ht="15" customHeight="1">
      <c r="B4805" s="190"/>
    </row>
    <row r="4806" spans="2:2" ht="15" customHeight="1">
      <c r="B4806" s="190"/>
    </row>
    <row r="4807" spans="2:2" ht="15" customHeight="1">
      <c r="B4807" s="190"/>
    </row>
    <row r="4808" spans="2:2" ht="15" customHeight="1">
      <c r="B4808" s="190"/>
    </row>
    <row r="4809" spans="2:2" ht="15" customHeight="1">
      <c r="B4809" s="190"/>
    </row>
    <row r="4810" spans="2:2" ht="15" customHeight="1">
      <c r="B4810" s="190"/>
    </row>
    <row r="4811" spans="2:2" ht="15" customHeight="1">
      <c r="B4811" s="190"/>
    </row>
    <row r="4812" spans="2:2" ht="15" customHeight="1">
      <c r="B4812" s="190"/>
    </row>
    <row r="4813" spans="2:2" ht="15" customHeight="1">
      <c r="B4813" s="190"/>
    </row>
    <row r="4814" spans="2:2" ht="15" customHeight="1">
      <c r="B4814" s="190"/>
    </row>
    <row r="4815" spans="2:2" ht="15" customHeight="1">
      <c r="B4815" s="190"/>
    </row>
    <row r="4816" spans="2:2" ht="15" customHeight="1">
      <c r="B4816" s="190"/>
    </row>
    <row r="4817" spans="2:2" ht="15" customHeight="1">
      <c r="B4817" s="190"/>
    </row>
    <row r="4818" spans="2:2" ht="15" customHeight="1">
      <c r="B4818" s="190"/>
    </row>
    <row r="4819" spans="2:2" ht="15" customHeight="1">
      <c r="B4819" s="190"/>
    </row>
    <row r="4820" spans="2:2" ht="15" customHeight="1">
      <c r="B4820" s="190"/>
    </row>
    <row r="4821" spans="2:2" ht="15" customHeight="1">
      <c r="B4821" s="190"/>
    </row>
    <row r="4822" spans="2:2" ht="15" customHeight="1">
      <c r="B4822" s="190"/>
    </row>
    <row r="4823" spans="2:2" ht="15" customHeight="1">
      <c r="B4823" s="190"/>
    </row>
    <row r="4824" spans="2:2" ht="15" customHeight="1">
      <c r="B4824" s="190"/>
    </row>
    <row r="4825" spans="2:2" ht="15" customHeight="1">
      <c r="B4825" s="190"/>
    </row>
    <row r="4826" spans="2:2" ht="15" customHeight="1">
      <c r="B4826" s="190"/>
    </row>
    <row r="4827" spans="2:2" ht="15" customHeight="1">
      <c r="B4827" s="190"/>
    </row>
    <row r="4828" spans="2:2" ht="15" customHeight="1">
      <c r="B4828" s="190"/>
    </row>
    <row r="4829" spans="2:2" ht="15" customHeight="1">
      <c r="B4829" s="190"/>
    </row>
    <row r="4830" spans="2:2" ht="15" customHeight="1">
      <c r="B4830" s="190"/>
    </row>
    <row r="4831" spans="2:2" ht="15" customHeight="1">
      <c r="B4831" s="190"/>
    </row>
    <row r="4832" spans="2:2" ht="15" customHeight="1">
      <c r="B4832" s="190"/>
    </row>
    <row r="4833" spans="2:2" ht="15" customHeight="1">
      <c r="B4833" s="190"/>
    </row>
    <row r="4834" spans="2:2" ht="15" customHeight="1">
      <c r="B4834" s="190"/>
    </row>
    <row r="4835" spans="2:2" ht="15" customHeight="1">
      <c r="B4835" s="190"/>
    </row>
    <row r="4836" spans="2:2" ht="15" customHeight="1">
      <c r="B4836" s="190"/>
    </row>
    <row r="4837" spans="2:2" ht="15" customHeight="1">
      <c r="B4837" s="190"/>
    </row>
    <row r="4838" spans="2:2" ht="15" customHeight="1">
      <c r="B4838" s="190"/>
    </row>
    <row r="4839" spans="2:2" ht="15" customHeight="1">
      <c r="B4839" s="190"/>
    </row>
    <row r="4840" spans="2:2" ht="15" customHeight="1">
      <c r="B4840" s="190"/>
    </row>
    <row r="4841" spans="2:2" ht="15" customHeight="1">
      <c r="B4841" s="190"/>
    </row>
    <row r="4842" spans="2:2" ht="15" customHeight="1">
      <c r="B4842" s="190"/>
    </row>
    <row r="4843" spans="2:2" ht="15" customHeight="1">
      <c r="B4843" s="190"/>
    </row>
    <row r="4844" spans="2:2" ht="15" customHeight="1">
      <c r="B4844" s="190"/>
    </row>
    <row r="4845" spans="2:2" ht="15" customHeight="1">
      <c r="B4845" s="190"/>
    </row>
    <row r="4846" spans="2:2" ht="15" customHeight="1">
      <c r="B4846" s="190"/>
    </row>
    <row r="4847" spans="2:2" ht="15" customHeight="1">
      <c r="B4847" s="190"/>
    </row>
    <row r="4848" spans="2:2" ht="15" customHeight="1">
      <c r="B4848" s="190"/>
    </row>
    <row r="4849" spans="2:2" ht="15" customHeight="1">
      <c r="B4849" s="190"/>
    </row>
    <row r="4850" spans="2:2" ht="15" customHeight="1">
      <c r="B4850" s="190"/>
    </row>
    <row r="4851" spans="2:2" ht="15" customHeight="1">
      <c r="B4851" s="190"/>
    </row>
    <row r="4852" spans="2:2" ht="15" customHeight="1">
      <c r="B4852" s="190"/>
    </row>
    <row r="4853" spans="2:2" ht="15" customHeight="1">
      <c r="B4853" s="190"/>
    </row>
    <row r="4854" spans="2:2" ht="15" customHeight="1">
      <c r="B4854" s="190"/>
    </row>
    <row r="4855" spans="2:2" ht="15" customHeight="1">
      <c r="B4855" s="190"/>
    </row>
    <row r="4856" spans="2:2" ht="15" customHeight="1">
      <c r="B4856" s="190"/>
    </row>
    <row r="4857" spans="2:2" ht="15" customHeight="1">
      <c r="B4857" s="190"/>
    </row>
    <row r="4858" spans="2:2" ht="15" customHeight="1">
      <c r="B4858" s="190"/>
    </row>
    <row r="4859" spans="2:2" ht="15" customHeight="1">
      <c r="B4859" s="190"/>
    </row>
    <row r="4860" spans="2:2" ht="15" customHeight="1">
      <c r="B4860" s="190"/>
    </row>
    <row r="4861" spans="2:2" ht="15" customHeight="1">
      <c r="B4861" s="190"/>
    </row>
    <row r="4862" spans="2:2" ht="15" customHeight="1">
      <c r="B4862" s="190"/>
    </row>
    <row r="4863" spans="2:2" ht="15" customHeight="1">
      <c r="B4863" s="190"/>
    </row>
    <row r="4864" spans="2:2" ht="15" customHeight="1">
      <c r="B4864" s="190"/>
    </row>
    <row r="4865" spans="2:2" ht="15" customHeight="1">
      <c r="B4865" s="190"/>
    </row>
    <row r="4866" spans="2:2" ht="15" customHeight="1">
      <c r="B4866" s="190"/>
    </row>
    <row r="4867" spans="2:2" ht="15" customHeight="1">
      <c r="B4867" s="190"/>
    </row>
    <row r="4868" spans="2:2" ht="15" customHeight="1">
      <c r="B4868" s="190"/>
    </row>
    <row r="4869" spans="2:2" ht="15" customHeight="1">
      <c r="B4869" s="190"/>
    </row>
    <row r="4870" spans="2:2" ht="15" customHeight="1">
      <c r="B4870" s="190"/>
    </row>
    <row r="4871" spans="2:2" ht="15" customHeight="1">
      <c r="B4871" s="190"/>
    </row>
    <row r="4872" spans="2:2" ht="15" customHeight="1">
      <c r="B4872" s="190"/>
    </row>
    <row r="4873" spans="2:2" ht="15" customHeight="1">
      <c r="B4873" s="190"/>
    </row>
    <row r="4874" spans="2:2" ht="15" customHeight="1">
      <c r="B4874" s="190"/>
    </row>
    <row r="4875" spans="2:2" ht="15" customHeight="1">
      <c r="B4875" s="190"/>
    </row>
    <row r="4876" spans="2:2" ht="15" customHeight="1">
      <c r="B4876" s="190"/>
    </row>
    <row r="4877" spans="2:2" ht="15" customHeight="1">
      <c r="B4877" s="190"/>
    </row>
    <row r="4878" spans="2:2" ht="15" customHeight="1">
      <c r="B4878" s="190"/>
    </row>
    <row r="4879" spans="2:2" ht="15" customHeight="1">
      <c r="B4879" s="190"/>
    </row>
    <row r="4880" spans="2:2" ht="15" customHeight="1">
      <c r="B4880" s="190"/>
    </row>
    <row r="4881" spans="2:2" ht="15" customHeight="1">
      <c r="B4881" s="190"/>
    </row>
    <row r="4882" spans="2:2" ht="15" customHeight="1">
      <c r="B4882" s="190"/>
    </row>
    <row r="4883" spans="2:2" ht="15" customHeight="1">
      <c r="B4883" s="190"/>
    </row>
    <row r="4884" spans="2:2" ht="15" customHeight="1">
      <c r="B4884" s="190"/>
    </row>
    <row r="4885" spans="2:2" ht="15" customHeight="1">
      <c r="B4885" s="190"/>
    </row>
    <row r="4886" spans="2:2" ht="15" customHeight="1">
      <c r="B4886" s="190"/>
    </row>
    <row r="4887" spans="2:2" ht="15" customHeight="1">
      <c r="B4887" s="190"/>
    </row>
    <row r="4888" spans="2:2" ht="15" customHeight="1">
      <c r="B4888" s="190"/>
    </row>
    <row r="4889" spans="2:2" ht="15" customHeight="1">
      <c r="B4889" s="190"/>
    </row>
    <row r="4890" spans="2:2" ht="15" customHeight="1">
      <c r="B4890" s="190"/>
    </row>
    <row r="4891" spans="2:2" ht="15" customHeight="1">
      <c r="B4891" s="190"/>
    </row>
    <row r="4892" spans="2:2" ht="15" customHeight="1">
      <c r="B4892" s="190"/>
    </row>
    <row r="4893" spans="2:2" ht="15" customHeight="1">
      <c r="B4893" s="190"/>
    </row>
    <row r="4894" spans="2:2" ht="15" customHeight="1">
      <c r="B4894" s="190"/>
    </row>
    <row r="4895" spans="2:2" ht="15" customHeight="1">
      <c r="B4895" s="190"/>
    </row>
    <row r="4896" spans="2:2" ht="15" customHeight="1">
      <c r="B4896" s="190"/>
    </row>
    <row r="4897" spans="2:2" ht="15" customHeight="1">
      <c r="B4897" s="190"/>
    </row>
    <row r="4898" spans="2:2" ht="15" customHeight="1">
      <c r="B4898" s="190"/>
    </row>
    <row r="4899" spans="2:2" ht="15" customHeight="1">
      <c r="B4899" s="190"/>
    </row>
    <row r="4900" spans="2:2" ht="15" customHeight="1">
      <c r="B4900" s="190"/>
    </row>
    <row r="4901" spans="2:2" ht="15" customHeight="1">
      <c r="B4901" s="190"/>
    </row>
    <row r="4902" spans="2:2" ht="15" customHeight="1">
      <c r="B4902" s="190"/>
    </row>
    <row r="4903" spans="2:2" ht="15" customHeight="1">
      <c r="B4903" s="190"/>
    </row>
    <row r="4904" spans="2:2" ht="15" customHeight="1">
      <c r="B4904" s="190"/>
    </row>
    <row r="4905" spans="2:2" ht="15" customHeight="1">
      <c r="B4905" s="190"/>
    </row>
    <row r="4906" spans="2:2" ht="15" customHeight="1">
      <c r="B4906" s="190"/>
    </row>
    <row r="4907" spans="2:2" ht="15" customHeight="1">
      <c r="B4907" s="190"/>
    </row>
    <row r="4908" spans="2:2" ht="15" customHeight="1">
      <c r="B4908" s="190"/>
    </row>
    <row r="4909" spans="2:2" ht="15" customHeight="1">
      <c r="B4909" s="190"/>
    </row>
    <row r="4910" spans="2:2" ht="15" customHeight="1">
      <c r="B4910" s="190"/>
    </row>
    <row r="4911" spans="2:2" ht="15" customHeight="1">
      <c r="B4911" s="190"/>
    </row>
    <row r="4912" spans="2:2" ht="15" customHeight="1">
      <c r="B4912" s="190"/>
    </row>
    <row r="4913" spans="2:2" ht="15" customHeight="1">
      <c r="B4913" s="190"/>
    </row>
    <row r="4914" spans="2:2" ht="15" customHeight="1">
      <c r="B4914" s="190"/>
    </row>
    <row r="4915" spans="2:2" ht="15" customHeight="1">
      <c r="B4915" s="190"/>
    </row>
    <row r="4916" spans="2:2" ht="15" customHeight="1">
      <c r="B4916" s="190"/>
    </row>
    <row r="4917" spans="2:2" ht="15" customHeight="1">
      <c r="B4917" s="190"/>
    </row>
    <row r="4918" spans="2:2" ht="15" customHeight="1">
      <c r="B4918" s="190"/>
    </row>
    <row r="4919" spans="2:2" ht="15" customHeight="1">
      <c r="B4919" s="190"/>
    </row>
    <row r="4920" spans="2:2" ht="15" customHeight="1">
      <c r="B4920" s="190"/>
    </row>
    <row r="4921" spans="2:2" ht="15" customHeight="1">
      <c r="B4921" s="190"/>
    </row>
    <row r="4922" spans="2:2" ht="15" customHeight="1">
      <c r="B4922" s="190"/>
    </row>
    <row r="4923" spans="2:2" ht="15" customHeight="1">
      <c r="B4923" s="190"/>
    </row>
    <row r="4924" spans="2:2" ht="15" customHeight="1">
      <c r="B4924" s="190"/>
    </row>
    <row r="4925" spans="2:2" ht="15" customHeight="1">
      <c r="B4925" s="190"/>
    </row>
    <row r="4926" spans="2:2" ht="15" customHeight="1">
      <c r="B4926" s="190"/>
    </row>
    <row r="4927" spans="2:2" ht="15" customHeight="1">
      <c r="B4927" s="190"/>
    </row>
    <row r="4928" spans="2:2" ht="15" customHeight="1">
      <c r="B4928" s="190"/>
    </row>
    <row r="4929" spans="2:2" ht="15" customHeight="1">
      <c r="B4929" s="190"/>
    </row>
    <row r="4930" spans="2:2" ht="15" customHeight="1">
      <c r="B4930" s="190"/>
    </row>
    <row r="4931" spans="2:2" ht="15" customHeight="1">
      <c r="B4931" s="190"/>
    </row>
    <row r="4932" spans="2:2" ht="15" customHeight="1">
      <c r="B4932" s="190"/>
    </row>
    <row r="4933" spans="2:2" ht="15" customHeight="1">
      <c r="B4933" s="190"/>
    </row>
    <row r="4934" spans="2:2" ht="15" customHeight="1">
      <c r="B4934" s="190"/>
    </row>
    <row r="4935" spans="2:2" ht="15" customHeight="1">
      <c r="B4935" s="190"/>
    </row>
    <row r="4936" spans="2:2" ht="15" customHeight="1">
      <c r="B4936" s="190"/>
    </row>
    <row r="4937" spans="2:2" ht="15" customHeight="1">
      <c r="B4937" s="190"/>
    </row>
    <row r="4938" spans="2:2" ht="15" customHeight="1">
      <c r="B4938" s="190"/>
    </row>
    <row r="4939" spans="2:2" ht="15" customHeight="1">
      <c r="B4939" s="190"/>
    </row>
    <row r="4940" spans="2:2" ht="15" customHeight="1">
      <c r="B4940" s="190"/>
    </row>
    <row r="4941" spans="2:2" ht="15" customHeight="1">
      <c r="B4941" s="190"/>
    </row>
    <row r="4942" spans="2:2" ht="15" customHeight="1">
      <c r="B4942" s="190"/>
    </row>
    <row r="4943" spans="2:2" ht="15" customHeight="1">
      <c r="B4943" s="190"/>
    </row>
    <row r="4944" spans="2:2" ht="15" customHeight="1">
      <c r="B4944" s="190"/>
    </row>
    <row r="4945" spans="2:2" ht="15" customHeight="1">
      <c r="B4945" s="190"/>
    </row>
    <row r="4946" spans="2:2" ht="15" customHeight="1">
      <c r="B4946" s="190"/>
    </row>
    <row r="4947" spans="2:2" ht="15" customHeight="1">
      <c r="B4947" s="190"/>
    </row>
    <row r="4948" spans="2:2" ht="15" customHeight="1">
      <c r="B4948" s="190"/>
    </row>
    <row r="4949" spans="2:2" ht="15" customHeight="1">
      <c r="B4949" s="190"/>
    </row>
    <row r="4950" spans="2:2" ht="15" customHeight="1">
      <c r="B4950" s="190"/>
    </row>
    <row r="4951" spans="2:2" ht="15" customHeight="1">
      <c r="B4951" s="190"/>
    </row>
    <row r="4952" spans="2:2" ht="15" customHeight="1">
      <c r="B4952" s="190"/>
    </row>
    <row r="4953" spans="2:2" ht="15" customHeight="1">
      <c r="B4953" s="190"/>
    </row>
    <row r="4954" spans="2:2" ht="15" customHeight="1">
      <c r="B4954" s="190"/>
    </row>
    <row r="4955" spans="2:2" ht="15" customHeight="1">
      <c r="B4955" s="190"/>
    </row>
    <row r="4956" spans="2:2" ht="15" customHeight="1">
      <c r="B4956" s="190"/>
    </row>
    <row r="4957" spans="2:2" ht="15" customHeight="1">
      <c r="B4957" s="190"/>
    </row>
    <row r="4958" spans="2:2" ht="15" customHeight="1">
      <c r="B4958" s="190"/>
    </row>
    <row r="4959" spans="2:2" ht="15" customHeight="1">
      <c r="B4959" s="190"/>
    </row>
    <row r="4960" spans="2:2" ht="15" customHeight="1">
      <c r="B4960" s="190"/>
    </row>
    <row r="4961" spans="2:2" ht="15" customHeight="1">
      <c r="B4961" s="190"/>
    </row>
    <row r="4962" spans="2:2" ht="15" customHeight="1">
      <c r="B4962" s="190"/>
    </row>
    <row r="4963" spans="2:2" ht="15" customHeight="1">
      <c r="B4963" s="190"/>
    </row>
    <row r="4964" spans="2:2" ht="15" customHeight="1">
      <c r="B4964" s="190"/>
    </row>
    <row r="4965" spans="2:2" ht="15" customHeight="1">
      <c r="B4965" s="190"/>
    </row>
    <row r="4966" spans="2:2" ht="15" customHeight="1">
      <c r="B4966" s="190"/>
    </row>
    <row r="4967" spans="2:2" ht="15" customHeight="1">
      <c r="B4967" s="190"/>
    </row>
    <row r="4968" spans="2:2" ht="15" customHeight="1">
      <c r="B4968" s="190"/>
    </row>
    <row r="4969" spans="2:2" ht="15" customHeight="1">
      <c r="B4969" s="190"/>
    </row>
    <row r="4970" spans="2:2" ht="15" customHeight="1">
      <c r="B4970" s="190"/>
    </row>
    <row r="4971" spans="2:2" ht="15" customHeight="1">
      <c r="B4971" s="190"/>
    </row>
    <row r="4972" spans="2:2" ht="15" customHeight="1">
      <c r="B4972" s="190"/>
    </row>
    <row r="4973" spans="2:2" ht="15" customHeight="1">
      <c r="B4973" s="190"/>
    </row>
    <row r="4974" spans="2:2" ht="15" customHeight="1">
      <c r="B4974" s="190"/>
    </row>
    <row r="4975" spans="2:2" ht="15" customHeight="1">
      <c r="B4975" s="190"/>
    </row>
    <row r="4976" spans="2:2" ht="15" customHeight="1">
      <c r="B4976" s="190"/>
    </row>
    <row r="4977" spans="2:2" ht="15" customHeight="1">
      <c r="B4977" s="190"/>
    </row>
    <row r="4978" spans="2:2" ht="15" customHeight="1">
      <c r="B4978" s="190"/>
    </row>
    <row r="4979" spans="2:2" ht="15" customHeight="1">
      <c r="B4979" s="190"/>
    </row>
    <row r="4980" spans="2:2" ht="15" customHeight="1">
      <c r="B4980" s="190"/>
    </row>
    <row r="4981" spans="2:2" ht="15" customHeight="1">
      <c r="B4981" s="190"/>
    </row>
    <row r="4982" spans="2:2" ht="15" customHeight="1">
      <c r="B4982" s="190"/>
    </row>
    <row r="4983" spans="2:2" ht="15" customHeight="1">
      <c r="B4983" s="190"/>
    </row>
    <row r="4984" spans="2:2" ht="15" customHeight="1">
      <c r="B4984" s="190"/>
    </row>
    <row r="4985" spans="2:2" ht="15" customHeight="1">
      <c r="B4985" s="190"/>
    </row>
    <row r="4986" spans="2:2" ht="15" customHeight="1">
      <c r="B4986" s="190"/>
    </row>
    <row r="4987" spans="2:2" ht="15" customHeight="1">
      <c r="B4987" s="190"/>
    </row>
    <row r="4988" spans="2:2" ht="15" customHeight="1">
      <c r="B4988" s="190"/>
    </row>
    <row r="4989" spans="2:2" ht="15" customHeight="1">
      <c r="B4989" s="190"/>
    </row>
    <row r="4990" spans="2:2" ht="15" customHeight="1">
      <c r="B4990" s="190"/>
    </row>
    <row r="4991" spans="2:2" ht="15" customHeight="1">
      <c r="B4991" s="190"/>
    </row>
    <row r="4992" spans="2:2" ht="15" customHeight="1">
      <c r="B4992" s="190"/>
    </row>
    <row r="4993" spans="2:2" ht="15" customHeight="1">
      <c r="B4993" s="190"/>
    </row>
    <row r="4994" spans="2:2" ht="15" customHeight="1">
      <c r="B4994" s="190"/>
    </row>
    <row r="4995" spans="2:2" ht="15" customHeight="1">
      <c r="B4995" s="190"/>
    </row>
    <row r="4996" spans="2:2" ht="15" customHeight="1">
      <c r="B4996" s="190"/>
    </row>
    <row r="4997" spans="2:2" ht="15" customHeight="1">
      <c r="B4997" s="190"/>
    </row>
    <row r="4998" spans="2:2" ht="15" customHeight="1">
      <c r="B4998" s="190"/>
    </row>
    <row r="4999" spans="2:2" ht="15" customHeight="1">
      <c r="B4999" s="190"/>
    </row>
    <row r="5000" spans="2:2" ht="15" customHeight="1">
      <c r="B5000" s="190"/>
    </row>
    <row r="5001" spans="2:2" ht="15" customHeight="1">
      <c r="B5001" s="190"/>
    </row>
    <row r="5002" spans="2:2" ht="15" customHeight="1">
      <c r="B5002" s="190"/>
    </row>
    <row r="5003" spans="2:2" ht="15" customHeight="1">
      <c r="B5003" s="190"/>
    </row>
    <row r="5004" spans="2:2" ht="15" customHeight="1">
      <c r="B5004" s="190"/>
    </row>
    <row r="5005" spans="2:2" ht="15" customHeight="1">
      <c r="B5005" s="190"/>
    </row>
    <row r="5006" spans="2:2" ht="15" customHeight="1">
      <c r="B5006" s="190"/>
    </row>
    <row r="5007" spans="2:2" ht="15" customHeight="1">
      <c r="B5007" s="190"/>
    </row>
    <row r="5008" spans="2:2" ht="15" customHeight="1">
      <c r="B5008" s="190"/>
    </row>
    <row r="5009" spans="2:2" ht="15" customHeight="1">
      <c r="B5009" s="190"/>
    </row>
    <row r="5010" spans="2:2" ht="15" customHeight="1">
      <c r="B5010" s="190"/>
    </row>
    <row r="5011" spans="2:2" ht="15" customHeight="1">
      <c r="B5011" s="190"/>
    </row>
    <row r="5012" spans="2:2" ht="15" customHeight="1">
      <c r="B5012" s="190"/>
    </row>
    <row r="5013" spans="2:2" ht="15" customHeight="1">
      <c r="B5013" s="190"/>
    </row>
    <row r="5014" spans="2:2" ht="15" customHeight="1">
      <c r="B5014" s="190"/>
    </row>
    <row r="5015" spans="2:2" ht="15" customHeight="1">
      <c r="B5015" s="190"/>
    </row>
    <row r="5016" spans="2:2" ht="15" customHeight="1">
      <c r="B5016" s="190"/>
    </row>
    <row r="5017" spans="2:2" ht="15" customHeight="1">
      <c r="B5017" s="190"/>
    </row>
    <row r="5018" spans="2:2" ht="15" customHeight="1">
      <c r="B5018" s="190"/>
    </row>
    <row r="5019" spans="2:2" ht="15" customHeight="1">
      <c r="B5019" s="190"/>
    </row>
    <row r="5020" spans="2:2" ht="15" customHeight="1">
      <c r="B5020" s="190"/>
    </row>
    <row r="5021" spans="2:2" ht="15" customHeight="1">
      <c r="B5021" s="190"/>
    </row>
    <row r="5022" spans="2:2" ht="15" customHeight="1">
      <c r="B5022" s="190"/>
    </row>
    <row r="5023" spans="2:2" ht="15" customHeight="1">
      <c r="B5023" s="190"/>
    </row>
    <row r="5024" spans="2:2" ht="15" customHeight="1">
      <c r="B5024" s="190"/>
    </row>
    <row r="5025" spans="2:2" ht="15" customHeight="1">
      <c r="B5025" s="190"/>
    </row>
    <row r="5026" spans="2:2" ht="15" customHeight="1">
      <c r="B5026" s="190"/>
    </row>
    <row r="5027" spans="2:2" ht="15" customHeight="1">
      <c r="B5027" s="190"/>
    </row>
    <row r="5028" spans="2:2" ht="15" customHeight="1">
      <c r="B5028" s="190"/>
    </row>
    <row r="5029" spans="2:2" ht="15" customHeight="1">
      <c r="B5029" s="190"/>
    </row>
    <row r="5030" spans="2:2" ht="15" customHeight="1">
      <c r="B5030" s="190"/>
    </row>
    <row r="5031" spans="2:2" ht="15" customHeight="1">
      <c r="B5031" s="190"/>
    </row>
    <row r="5032" spans="2:2" ht="15" customHeight="1">
      <c r="B5032" s="190"/>
    </row>
    <row r="5033" spans="2:2" ht="15" customHeight="1">
      <c r="B5033" s="190"/>
    </row>
    <row r="5034" spans="2:2" ht="15" customHeight="1">
      <c r="B5034" s="190"/>
    </row>
    <row r="5035" spans="2:2" ht="15" customHeight="1">
      <c r="B5035" s="190"/>
    </row>
    <row r="5036" spans="2:2" ht="15" customHeight="1">
      <c r="B5036" s="190"/>
    </row>
    <row r="5037" spans="2:2" ht="15" customHeight="1">
      <c r="B5037" s="190"/>
    </row>
    <row r="5038" spans="2:2" ht="15" customHeight="1">
      <c r="B5038" s="190"/>
    </row>
    <row r="5039" spans="2:2" ht="15" customHeight="1">
      <c r="B5039" s="190"/>
    </row>
    <row r="5040" spans="2:2" ht="15" customHeight="1">
      <c r="B5040" s="190"/>
    </row>
    <row r="5041" spans="2:2" ht="15" customHeight="1">
      <c r="B5041" s="190"/>
    </row>
    <row r="5042" spans="2:2" ht="15" customHeight="1">
      <c r="B5042" s="190"/>
    </row>
    <row r="5043" spans="2:2" ht="15" customHeight="1">
      <c r="B5043" s="190"/>
    </row>
    <row r="5044" spans="2:2" ht="15" customHeight="1">
      <c r="B5044" s="190"/>
    </row>
    <row r="5045" spans="2:2" ht="15" customHeight="1">
      <c r="B5045" s="190"/>
    </row>
    <row r="5046" spans="2:2" ht="15" customHeight="1">
      <c r="B5046" s="190"/>
    </row>
    <row r="5047" spans="2:2" ht="15" customHeight="1">
      <c r="B5047" s="190"/>
    </row>
    <row r="5048" spans="2:2" ht="15" customHeight="1">
      <c r="B5048" s="190"/>
    </row>
    <row r="5049" spans="2:2" ht="15" customHeight="1">
      <c r="B5049" s="190"/>
    </row>
    <row r="5050" spans="2:2" ht="15" customHeight="1">
      <c r="B5050" s="190"/>
    </row>
    <row r="5051" spans="2:2" ht="15" customHeight="1">
      <c r="B5051" s="190"/>
    </row>
    <row r="5052" spans="2:2" ht="15" customHeight="1">
      <c r="B5052" s="190"/>
    </row>
    <row r="5053" spans="2:2" ht="15" customHeight="1">
      <c r="B5053" s="190"/>
    </row>
    <row r="5054" spans="2:2" ht="15" customHeight="1">
      <c r="B5054" s="190"/>
    </row>
    <row r="5055" spans="2:2" ht="15" customHeight="1">
      <c r="B5055" s="190"/>
    </row>
    <row r="5056" spans="2:2" ht="15" customHeight="1">
      <c r="B5056" s="190"/>
    </row>
    <row r="5057" spans="2:2" ht="15" customHeight="1">
      <c r="B5057" s="190"/>
    </row>
    <row r="5058" spans="2:2" ht="15" customHeight="1">
      <c r="B5058" s="190"/>
    </row>
    <row r="5059" spans="2:2" ht="15" customHeight="1">
      <c r="B5059" s="190"/>
    </row>
    <row r="5060" spans="2:2" ht="15" customHeight="1">
      <c r="B5060" s="190"/>
    </row>
    <row r="5061" spans="2:2" ht="15" customHeight="1">
      <c r="B5061" s="190"/>
    </row>
    <row r="5062" spans="2:2" ht="15" customHeight="1">
      <c r="B5062" s="190"/>
    </row>
    <row r="5063" spans="2:2" ht="15" customHeight="1">
      <c r="B5063" s="190"/>
    </row>
    <row r="5064" spans="2:2" ht="15" customHeight="1">
      <c r="B5064" s="190"/>
    </row>
    <row r="5065" spans="2:2" ht="15" customHeight="1">
      <c r="B5065" s="190"/>
    </row>
    <row r="5066" spans="2:2" ht="15" customHeight="1">
      <c r="B5066" s="190"/>
    </row>
    <row r="5067" spans="2:2" ht="15" customHeight="1">
      <c r="B5067" s="190"/>
    </row>
    <row r="5068" spans="2:2" ht="15" customHeight="1">
      <c r="B5068" s="190"/>
    </row>
    <row r="5069" spans="2:2" ht="15" customHeight="1">
      <c r="B5069" s="190"/>
    </row>
    <row r="5070" spans="2:2" ht="15" customHeight="1">
      <c r="B5070" s="190"/>
    </row>
    <row r="5071" spans="2:2" ht="15" customHeight="1">
      <c r="B5071" s="190"/>
    </row>
    <row r="5072" spans="2:2" ht="15" customHeight="1">
      <c r="B5072" s="190"/>
    </row>
    <row r="5073" spans="2:2" ht="15" customHeight="1">
      <c r="B5073" s="190"/>
    </row>
    <row r="5074" spans="2:2" ht="15" customHeight="1">
      <c r="B5074" s="190"/>
    </row>
    <row r="5075" spans="2:2" ht="15" customHeight="1">
      <c r="B5075" s="190"/>
    </row>
    <row r="5076" spans="2:2" ht="15" customHeight="1">
      <c r="B5076" s="190"/>
    </row>
    <row r="5077" spans="2:2" ht="15" customHeight="1">
      <c r="B5077" s="190"/>
    </row>
    <row r="5078" spans="2:2" ht="15" customHeight="1">
      <c r="B5078" s="190"/>
    </row>
    <row r="5079" spans="2:2" ht="15" customHeight="1">
      <c r="B5079" s="190"/>
    </row>
    <row r="5080" spans="2:2" ht="15" customHeight="1">
      <c r="B5080" s="190"/>
    </row>
    <row r="5081" spans="2:2" ht="15" customHeight="1">
      <c r="B5081" s="190"/>
    </row>
    <row r="5082" spans="2:2" ht="15" customHeight="1">
      <c r="B5082" s="190"/>
    </row>
    <row r="5083" spans="2:2" ht="15" customHeight="1">
      <c r="B5083" s="190"/>
    </row>
    <row r="5084" spans="2:2" ht="15" customHeight="1">
      <c r="B5084" s="190"/>
    </row>
    <row r="5085" spans="2:2" ht="15" customHeight="1">
      <c r="B5085" s="190"/>
    </row>
    <row r="5086" spans="2:2" ht="15" customHeight="1">
      <c r="B5086" s="190"/>
    </row>
    <row r="5087" spans="2:2" ht="15" customHeight="1">
      <c r="B5087" s="190"/>
    </row>
    <row r="5088" spans="2:2" ht="15" customHeight="1">
      <c r="B5088" s="190"/>
    </row>
    <row r="5089" spans="2:2" ht="15" customHeight="1">
      <c r="B5089" s="190"/>
    </row>
    <row r="5090" spans="2:2" ht="15" customHeight="1">
      <c r="B5090" s="190"/>
    </row>
    <row r="5091" spans="2:2" ht="15" customHeight="1">
      <c r="B5091" s="190"/>
    </row>
    <row r="5092" spans="2:2" ht="15" customHeight="1">
      <c r="B5092" s="190"/>
    </row>
    <row r="5093" spans="2:2" ht="15" customHeight="1">
      <c r="B5093" s="190"/>
    </row>
    <row r="5094" spans="2:2" ht="15" customHeight="1">
      <c r="B5094" s="190"/>
    </row>
    <row r="5095" spans="2:2" ht="15" customHeight="1">
      <c r="B5095" s="190"/>
    </row>
    <row r="5096" spans="2:2" ht="15" customHeight="1">
      <c r="B5096" s="190"/>
    </row>
    <row r="5097" spans="2:2" ht="15" customHeight="1">
      <c r="B5097" s="190"/>
    </row>
    <row r="5098" spans="2:2" ht="15" customHeight="1">
      <c r="B5098" s="190"/>
    </row>
    <row r="5099" spans="2:2" ht="15" customHeight="1">
      <c r="B5099" s="190"/>
    </row>
    <row r="5100" spans="2:2" ht="15" customHeight="1">
      <c r="B5100" s="190"/>
    </row>
    <row r="5101" spans="2:2" ht="15" customHeight="1">
      <c r="B5101" s="190"/>
    </row>
    <row r="5102" spans="2:2" ht="15" customHeight="1">
      <c r="B5102" s="190"/>
    </row>
    <row r="5103" spans="2:2" ht="15" customHeight="1">
      <c r="B5103" s="190"/>
    </row>
    <row r="5104" spans="2:2" ht="15" customHeight="1">
      <c r="B5104" s="190"/>
    </row>
    <row r="5105" spans="2:2" ht="15" customHeight="1">
      <c r="B5105" s="190"/>
    </row>
    <row r="5106" spans="2:2" ht="15" customHeight="1">
      <c r="B5106" s="190"/>
    </row>
    <row r="5107" spans="2:2" ht="15" customHeight="1">
      <c r="B5107" s="190"/>
    </row>
    <row r="5108" spans="2:2" ht="15" customHeight="1">
      <c r="B5108" s="190"/>
    </row>
    <row r="5109" spans="2:2" ht="15" customHeight="1">
      <c r="B5109" s="190"/>
    </row>
    <row r="5110" spans="2:2" ht="15" customHeight="1">
      <c r="B5110" s="190"/>
    </row>
    <row r="5111" spans="2:2" ht="15" customHeight="1">
      <c r="B5111" s="190"/>
    </row>
    <row r="5112" spans="2:2" ht="15" customHeight="1">
      <c r="B5112" s="190"/>
    </row>
    <row r="5113" spans="2:2" ht="15" customHeight="1">
      <c r="B5113" s="190"/>
    </row>
    <row r="5114" spans="2:2" ht="15" customHeight="1">
      <c r="B5114" s="190"/>
    </row>
    <row r="5115" spans="2:2" ht="15" customHeight="1">
      <c r="B5115" s="190"/>
    </row>
    <row r="5116" spans="2:2" ht="15" customHeight="1">
      <c r="B5116" s="190"/>
    </row>
    <row r="5117" spans="2:2" ht="15" customHeight="1">
      <c r="B5117" s="190"/>
    </row>
    <row r="5118" spans="2:2" ht="15" customHeight="1">
      <c r="B5118" s="190"/>
    </row>
    <row r="5119" spans="2:2" ht="15" customHeight="1">
      <c r="B5119" s="190"/>
    </row>
    <row r="5120" spans="2:2" ht="15" customHeight="1">
      <c r="B5120" s="190"/>
    </row>
    <row r="5121" spans="2:2" ht="15" customHeight="1">
      <c r="B5121" s="190"/>
    </row>
    <row r="5122" spans="2:2" ht="15" customHeight="1">
      <c r="B5122" s="190"/>
    </row>
    <row r="5123" spans="2:2" ht="15" customHeight="1">
      <c r="B5123" s="190"/>
    </row>
    <row r="5124" spans="2:2" ht="15" customHeight="1">
      <c r="B5124" s="190"/>
    </row>
    <row r="5125" spans="2:2" ht="15" customHeight="1">
      <c r="B5125" s="190"/>
    </row>
    <row r="5126" spans="2:2" ht="15" customHeight="1">
      <c r="B5126" s="190"/>
    </row>
    <row r="5127" spans="2:2" ht="15" customHeight="1">
      <c r="B5127" s="190"/>
    </row>
    <row r="5128" spans="2:2" ht="15" customHeight="1">
      <c r="B5128" s="190"/>
    </row>
    <row r="5129" spans="2:2" ht="15" customHeight="1">
      <c r="B5129" s="190"/>
    </row>
    <row r="5130" spans="2:2" ht="15" customHeight="1">
      <c r="B5130" s="190"/>
    </row>
    <row r="5131" spans="2:2" ht="15" customHeight="1">
      <c r="B5131" s="190"/>
    </row>
    <row r="5132" spans="2:2" ht="15" customHeight="1">
      <c r="B5132" s="190"/>
    </row>
    <row r="5133" spans="2:2" ht="15" customHeight="1">
      <c r="B5133" s="190"/>
    </row>
    <row r="5134" spans="2:2" ht="15" customHeight="1">
      <c r="B5134" s="190"/>
    </row>
    <row r="5135" spans="2:2" ht="15" customHeight="1">
      <c r="B5135" s="190"/>
    </row>
    <row r="5136" spans="2:2" ht="15" customHeight="1">
      <c r="B5136" s="190"/>
    </row>
    <row r="5137" spans="2:2" ht="15" customHeight="1">
      <c r="B5137" s="190"/>
    </row>
    <row r="5138" spans="2:2" ht="15" customHeight="1">
      <c r="B5138" s="190"/>
    </row>
    <row r="5139" spans="2:2" ht="15" customHeight="1">
      <c r="B5139" s="190"/>
    </row>
    <row r="5140" spans="2:2" ht="15" customHeight="1">
      <c r="B5140" s="190"/>
    </row>
    <row r="5141" spans="2:2" ht="15" customHeight="1">
      <c r="B5141" s="190"/>
    </row>
    <row r="5142" spans="2:2" ht="15" customHeight="1">
      <c r="B5142" s="190"/>
    </row>
    <row r="5143" spans="2:2" ht="15" customHeight="1">
      <c r="B5143" s="190"/>
    </row>
    <row r="5144" spans="2:2" ht="15" customHeight="1">
      <c r="B5144" s="190"/>
    </row>
    <row r="5145" spans="2:2" ht="15" customHeight="1">
      <c r="B5145" s="190"/>
    </row>
    <row r="5146" spans="2:2" ht="15" customHeight="1">
      <c r="B5146" s="190"/>
    </row>
    <row r="5147" spans="2:2" ht="15" customHeight="1">
      <c r="B5147" s="190"/>
    </row>
    <row r="5148" spans="2:2" ht="15" customHeight="1">
      <c r="B5148" s="190"/>
    </row>
    <row r="5149" spans="2:2" ht="15" customHeight="1">
      <c r="B5149" s="190"/>
    </row>
    <row r="5150" spans="2:2" ht="15" customHeight="1">
      <c r="B5150" s="190"/>
    </row>
    <row r="5151" spans="2:2" ht="15" customHeight="1">
      <c r="B5151" s="190"/>
    </row>
    <row r="5152" spans="2:2" ht="15" customHeight="1">
      <c r="B5152" s="190"/>
    </row>
    <row r="5153" spans="2:2" ht="15" customHeight="1">
      <c r="B5153" s="190"/>
    </row>
    <row r="5154" spans="2:2" ht="15" customHeight="1">
      <c r="B5154" s="190"/>
    </row>
    <row r="5155" spans="2:2" ht="15" customHeight="1">
      <c r="B5155" s="190"/>
    </row>
    <row r="5156" spans="2:2" ht="15" customHeight="1">
      <c r="B5156" s="190"/>
    </row>
    <row r="5157" spans="2:2" ht="15" customHeight="1">
      <c r="B5157" s="190"/>
    </row>
    <row r="5158" spans="2:2" ht="15" customHeight="1">
      <c r="B5158" s="190"/>
    </row>
    <row r="5159" spans="2:2" ht="15" customHeight="1">
      <c r="B5159" s="190"/>
    </row>
    <row r="5160" spans="2:2" ht="15" customHeight="1">
      <c r="B5160" s="190"/>
    </row>
    <row r="5161" spans="2:2" ht="15" customHeight="1">
      <c r="B5161" s="190"/>
    </row>
    <row r="5162" spans="2:2" ht="15" customHeight="1">
      <c r="B5162" s="190"/>
    </row>
    <row r="5163" spans="2:2" ht="15" customHeight="1">
      <c r="B5163" s="190"/>
    </row>
    <row r="5164" spans="2:2" ht="15" customHeight="1">
      <c r="B5164" s="190"/>
    </row>
    <row r="5165" spans="2:2" ht="15" customHeight="1">
      <c r="B5165" s="190"/>
    </row>
    <row r="5166" spans="2:2" ht="15" customHeight="1">
      <c r="B5166" s="190"/>
    </row>
    <row r="5167" spans="2:2" ht="15" customHeight="1">
      <c r="B5167" s="190"/>
    </row>
    <row r="5168" spans="2:2" ht="15" customHeight="1">
      <c r="B5168" s="190"/>
    </row>
    <row r="5169" spans="2:2" ht="15" customHeight="1">
      <c r="B5169" s="190"/>
    </row>
    <row r="5170" spans="2:2" ht="15" customHeight="1">
      <c r="B5170" s="190"/>
    </row>
    <row r="5171" spans="2:2" ht="15" customHeight="1">
      <c r="B5171" s="190"/>
    </row>
    <row r="5172" spans="2:2" ht="15" customHeight="1">
      <c r="B5172" s="190"/>
    </row>
    <row r="5173" spans="2:2" ht="15" customHeight="1">
      <c r="B5173" s="190"/>
    </row>
    <row r="5174" spans="2:2" ht="15" customHeight="1">
      <c r="B5174" s="190"/>
    </row>
    <row r="5175" spans="2:2" ht="15" customHeight="1">
      <c r="B5175" s="190"/>
    </row>
    <row r="5176" spans="2:2" ht="15" customHeight="1">
      <c r="B5176" s="190"/>
    </row>
    <row r="5177" spans="2:2" ht="15" customHeight="1">
      <c r="B5177" s="190"/>
    </row>
    <row r="5178" spans="2:2" ht="15" customHeight="1">
      <c r="B5178" s="190"/>
    </row>
    <row r="5179" spans="2:2" ht="15" customHeight="1">
      <c r="B5179" s="190"/>
    </row>
    <row r="5180" spans="2:2" ht="15" customHeight="1">
      <c r="B5180" s="190"/>
    </row>
    <row r="5181" spans="2:2" ht="15" customHeight="1">
      <c r="B5181" s="190"/>
    </row>
    <row r="5182" spans="2:2" ht="15" customHeight="1">
      <c r="B5182" s="190"/>
    </row>
    <row r="5183" spans="2:2" ht="15" customHeight="1">
      <c r="B5183" s="190"/>
    </row>
    <row r="5184" spans="2:2" ht="15" customHeight="1">
      <c r="B5184" s="190"/>
    </row>
    <row r="5185" spans="2:2" ht="15" customHeight="1">
      <c r="B5185" s="190"/>
    </row>
    <row r="5186" spans="2:2" ht="15" customHeight="1">
      <c r="B5186" s="190"/>
    </row>
    <row r="5187" spans="2:2" ht="15" customHeight="1">
      <c r="B5187" s="190"/>
    </row>
    <row r="5188" spans="2:2" ht="15" customHeight="1">
      <c r="B5188" s="190"/>
    </row>
    <row r="5189" spans="2:2" ht="15" customHeight="1">
      <c r="B5189" s="190"/>
    </row>
    <row r="5190" spans="2:2" ht="15" customHeight="1">
      <c r="B5190" s="190"/>
    </row>
    <row r="5191" spans="2:2" ht="15" customHeight="1">
      <c r="B5191" s="190"/>
    </row>
    <row r="5192" spans="2:2" ht="15" customHeight="1">
      <c r="B5192" s="190"/>
    </row>
    <row r="5193" spans="2:2" ht="15" customHeight="1">
      <c r="B5193" s="190"/>
    </row>
    <row r="5194" spans="2:2" ht="15" customHeight="1">
      <c r="B5194" s="190"/>
    </row>
    <row r="5195" spans="2:2" ht="15" customHeight="1">
      <c r="B5195" s="190"/>
    </row>
    <row r="5196" spans="2:2" ht="15" customHeight="1">
      <c r="B5196" s="190"/>
    </row>
    <row r="5197" spans="2:2" ht="15" customHeight="1">
      <c r="B5197" s="190"/>
    </row>
    <row r="5198" spans="2:2" ht="15" customHeight="1">
      <c r="B5198" s="190"/>
    </row>
    <row r="5199" spans="2:2" ht="15" customHeight="1">
      <c r="B5199" s="190"/>
    </row>
    <row r="5200" spans="2:2" ht="15" customHeight="1">
      <c r="B5200" s="190"/>
    </row>
    <row r="5201" spans="2:2" ht="15" customHeight="1">
      <c r="B5201" s="190"/>
    </row>
    <row r="5202" spans="2:2" ht="15" customHeight="1">
      <c r="B5202" s="190"/>
    </row>
    <row r="5203" spans="2:2" ht="15" customHeight="1">
      <c r="B5203" s="190"/>
    </row>
    <row r="5204" spans="2:2" ht="15" customHeight="1">
      <c r="B5204" s="190"/>
    </row>
    <row r="5205" spans="2:2" ht="15" customHeight="1">
      <c r="B5205" s="190"/>
    </row>
    <row r="5206" spans="2:2" ht="15" customHeight="1">
      <c r="B5206" s="190"/>
    </row>
    <row r="5207" spans="2:2" ht="15" customHeight="1">
      <c r="B5207" s="190"/>
    </row>
    <row r="5208" spans="2:2" ht="15" customHeight="1">
      <c r="B5208" s="190"/>
    </row>
    <row r="5209" spans="2:2" ht="15" customHeight="1">
      <c r="B5209" s="190"/>
    </row>
    <row r="5210" spans="2:2" ht="15" customHeight="1">
      <c r="B5210" s="190"/>
    </row>
    <row r="5211" spans="2:2" ht="15" customHeight="1">
      <c r="B5211" s="190"/>
    </row>
    <row r="5212" spans="2:2" ht="15" customHeight="1">
      <c r="B5212" s="190"/>
    </row>
    <row r="5213" spans="2:2" ht="15" customHeight="1">
      <c r="B5213" s="190"/>
    </row>
    <row r="5214" spans="2:2" ht="15" customHeight="1">
      <c r="B5214" s="190"/>
    </row>
    <row r="5215" spans="2:2" ht="15" customHeight="1">
      <c r="B5215" s="190"/>
    </row>
    <row r="5216" spans="2:2" ht="15" customHeight="1">
      <c r="B5216" s="190"/>
    </row>
    <row r="5217" spans="2:2" ht="15" customHeight="1">
      <c r="B5217" s="190"/>
    </row>
    <row r="5218" spans="2:2" ht="15" customHeight="1">
      <c r="B5218" s="190"/>
    </row>
    <row r="5219" spans="2:2" ht="15" customHeight="1">
      <c r="B5219" s="190"/>
    </row>
    <row r="5220" spans="2:2" ht="15" customHeight="1">
      <c r="B5220" s="190"/>
    </row>
    <row r="5221" spans="2:2" ht="15" customHeight="1">
      <c r="B5221" s="190"/>
    </row>
    <row r="5222" spans="2:2" ht="15" customHeight="1">
      <c r="B5222" s="190"/>
    </row>
    <row r="5223" spans="2:2" ht="15" customHeight="1">
      <c r="B5223" s="190"/>
    </row>
    <row r="5224" spans="2:2" ht="15" customHeight="1">
      <c r="B5224" s="190"/>
    </row>
    <row r="5225" spans="2:2" ht="15" customHeight="1">
      <c r="B5225" s="190"/>
    </row>
    <row r="5226" spans="2:2" ht="15" customHeight="1">
      <c r="B5226" s="190"/>
    </row>
    <row r="5227" spans="2:2" ht="15" customHeight="1">
      <c r="B5227" s="190"/>
    </row>
    <row r="5228" spans="2:2" ht="15" customHeight="1">
      <c r="B5228" s="190"/>
    </row>
    <row r="5229" spans="2:2" ht="15" customHeight="1">
      <c r="B5229" s="190"/>
    </row>
    <row r="5230" spans="2:2" ht="15" customHeight="1">
      <c r="B5230" s="190"/>
    </row>
    <row r="5231" spans="2:2" ht="15" customHeight="1">
      <c r="B5231" s="190"/>
    </row>
    <row r="5232" spans="2:2" ht="15" customHeight="1">
      <c r="B5232" s="190"/>
    </row>
    <row r="5233" spans="2:2" ht="15" customHeight="1">
      <c r="B5233" s="190"/>
    </row>
    <row r="5234" spans="2:2" ht="15" customHeight="1">
      <c r="B5234" s="190"/>
    </row>
    <row r="5235" spans="2:2" ht="15" customHeight="1">
      <c r="B5235" s="190"/>
    </row>
    <row r="5236" spans="2:2" ht="15" customHeight="1">
      <c r="B5236" s="190"/>
    </row>
    <row r="5237" spans="2:2" ht="15" customHeight="1">
      <c r="B5237" s="190"/>
    </row>
    <row r="5238" spans="2:2" ht="15" customHeight="1">
      <c r="B5238" s="190"/>
    </row>
    <row r="5239" spans="2:2" ht="15" customHeight="1">
      <c r="B5239" s="190"/>
    </row>
    <row r="5240" spans="2:2" ht="15" customHeight="1">
      <c r="B5240" s="190"/>
    </row>
    <row r="5241" spans="2:2" ht="15" customHeight="1">
      <c r="B5241" s="190"/>
    </row>
    <row r="5242" spans="2:2" ht="15" customHeight="1">
      <c r="B5242" s="190"/>
    </row>
    <row r="5243" spans="2:2" ht="15" customHeight="1">
      <c r="B5243" s="190"/>
    </row>
    <row r="5244" spans="2:2" ht="15" customHeight="1">
      <c r="B5244" s="190"/>
    </row>
    <row r="5245" spans="2:2" ht="15" customHeight="1">
      <c r="B5245" s="190"/>
    </row>
    <row r="5246" spans="2:2" ht="15" customHeight="1">
      <c r="B5246" s="190"/>
    </row>
    <row r="5247" spans="2:2" ht="15" customHeight="1">
      <c r="B5247" s="190"/>
    </row>
    <row r="5248" spans="2:2" ht="15" customHeight="1">
      <c r="B5248" s="190"/>
    </row>
    <row r="5249" spans="2:2" ht="15" customHeight="1">
      <c r="B5249" s="190"/>
    </row>
    <row r="5250" spans="2:2" ht="15" customHeight="1">
      <c r="B5250" s="190"/>
    </row>
    <row r="5251" spans="2:2" ht="15" customHeight="1">
      <c r="B5251" s="190"/>
    </row>
    <row r="5252" spans="2:2" ht="15" customHeight="1">
      <c r="B5252" s="190"/>
    </row>
    <row r="5253" spans="2:2" ht="15" customHeight="1">
      <c r="B5253" s="190"/>
    </row>
    <row r="5254" spans="2:2" ht="15" customHeight="1">
      <c r="B5254" s="190"/>
    </row>
    <row r="5255" spans="2:2" ht="15" customHeight="1">
      <c r="B5255" s="190"/>
    </row>
    <row r="5256" spans="2:2" ht="15" customHeight="1">
      <c r="B5256" s="190"/>
    </row>
    <row r="5257" spans="2:2" ht="15" customHeight="1">
      <c r="B5257" s="190"/>
    </row>
    <row r="5258" spans="2:2" ht="15" customHeight="1">
      <c r="B5258" s="190"/>
    </row>
    <row r="5259" spans="2:2" ht="15" customHeight="1">
      <c r="B5259" s="190"/>
    </row>
    <row r="5260" spans="2:2" ht="15" customHeight="1">
      <c r="B5260" s="190"/>
    </row>
    <row r="5261" spans="2:2" ht="15" customHeight="1">
      <c r="B5261" s="190"/>
    </row>
    <row r="5262" spans="2:2" ht="15" customHeight="1">
      <c r="B5262" s="190"/>
    </row>
    <row r="5263" spans="2:2" ht="15" customHeight="1">
      <c r="B5263" s="190"/>
    </row>
    <row r="5264" spans="2:2" ht="15" customHeight="1">
      <c r="B5264" s="190"/>
    </row>
    <row r="5265" spans="2:2" ht="15" customHeight="1">
      <c r="B5265" s="190"/>
    </row>
    <row r="5266" spans="2:2" ht="15" customHeight="1">
      <c r="B5266" s="190"/>
    </row>
    <row r="5267" spans="2:2" ht="15" customHeight="1">
      <c r="B5267" s="190"/>
    </row>
    <row r="5268" spans="2:2" ht="15" customHeight="1">
      <c r="B5268" s="190"/>
    </row>
    <row r="5269" spans="2:2" ht="15" customHeight="1">
      <c r="B5269" s="190"/>
    </row>
    <row r="5270" spans="2:2" ht="15" customHeight="1">
      <c r="B5270" s="190"/>
    </row>
    <row r="5271" spans="2:2" ht="15" customHeight="1">
      <c r="B5271" s="190"/>
    </row>
    <row r="5272" spans="2:2" ht="15" customHeight="1">
      <c r="B5272" s="190"/>
    </row>
    <row r="5273" spans="2:2" ht="15" customHeight="1">
      <c r="B5273" s="190"/>
    </row>
    <row r="5274" spans="2:2" ht="15" customHeight="1">
      <c r="B5274" s="190"/>
    </row>
    <row r="5275" spans="2:2" ht="15" customHeight="1">
      <c r="B5275" s="190"/>
    </row>
    <row r="5276" spans="2:2" ht="15" customHeight="1">
      <c r="B5276" s="190"/>
    </row>
    <row r="5277" spans="2:2" ht="15" customHeight="1">
      <c r="B5277" s="190"/>
    </row>
    <row r="5278" spans="2:2" ht="15" customHeight="1">
      <c r="B5278" s="190"/>
    </row>
    <row r="5279" spans="2:2" ht="15" customHeight="1">
      <c r="B5279" s="190"/>
    </row>
    <row r="5280" spans="2:2" ht="15" customHeight="1">
      <c r="B5280" s="190"/>
    </row>
    <row r="5281" spans="2:2" ht="15" customHeight="1">
      <c r="B5281" s="190"/>
    </row>
    <row r="5282" spans="2:2" ht="15" customHeight="1">
      <c r="B5282" s="190"/>
    </row>
    <row r="5283" spans="2:2" ht="15" customHeight="1">
      <c r="B5283" s="190"/>
    </row>
    <row r="5284" spans="2:2" ht="15" customHeight="1">
      <c r="B5284" s="190"/>
    </row>
    <row r="5285" spans="2:2" ht="15" customHeight="1">
      <c r="B5285" s="190"/>
    </row>
    <row r="5286" spans="2:2" ht="15" customHeight="1">
      <c r="B5286" s="190"/>
    </row>
    <row r="5287" spans="2:2" ht="15" customHeight="1">
      <c r="B5287" s="190"/>
    </row>
    <row r="5288" spans="2:2" ht="15" customHeight="1">
      <c r="B5288" s="190"/>
    </row>
    <row r="5289" spans="2:2" ht="15" customHeight="1">
      <c r="B5289" s="190"/>
    </row>
    <row r="5290" spans="2:2" ht="15" customHeight="1">
      <c r="B5290" s="190"/>
    </row>
    <row r="5291" spans="2:2" ht="15" customHeight="1">
      <c r="B5291" s="190"/>
    </row>
    <row r="5292" spans="2:2" ht="15" customHeight="1">
      <c r="B5292" s="190"/>
    </row>
    <row r="5293" spans="2:2" ht="15" customHeight="1">
      <c r="B5293" s="190"/>
    </row>
    <row r="5294" spans="2:2" ht="15" customHeight="1">
      <c r="B5294" s="190"/>
    </row>
    <row r="5295" spans="2:2" ht="15" customHeight="1">
      <c r="B5295" s="190"/>
    </row>
    <row r="5296" spans="2:2" ht="15" customHeight="1">
      <c r="B5296" s="190"/>
    </row>
    <row r="5297" spans="2:2" ht="15" customHeight="1">
      <c r="B5297" s="190"/>
    </row>
    <row r="5298" spans="2:2" ht="15" customHeight="1">
      <c r="B5298" s="190"/>
    </row>
    <row r="5299" spans="2:2" ht="15" customHeight="1">
      <c r="B5299" s="190"/>
    </row>
    <row r="5300" spans="2:2" ht="15" customHeight="1">
      <c r="B5300" s="190"/>
    </row>
    <row r="5301" spans="2:2" ht="15" customHeight="1">
      <c r="B5301" s="190"/>
    </row>
    <row r="5302" spans="2:2" ht="15" customHeight="1">
      <c r="B5302" s="190"/>
    </row>
    <row r="5303" spans="2:2" ht="15" customHeight="1">
      <c r="B5303" s="190"/>
    </row>
    <row r="5304" spans="2:2" ht="15" customHeight="1">
      <c r="B5304" s="190"/>
    </row>
    <row r="5305" spans="2:2" ht="15" customHeight="1">
      <c r="B5305" s="190"/>
    </row>
    <row r="5306" spans="2:2" ht="15" customHeight="1">
      <c r="B5306" s="190"/>
    </row>
    <row r="5307" spans="2:2" ht="15" customHeight="1">
      <c r="B5307" s="190"/>
    </row>
    <row r="5308" spans="2:2" ht="15" customHeight="1">
      <c r="B5308" s="190"/>
    </row>
    <row r="5309" spans="2:2" ht="15" customHeight="1">
      <c r="B5309" s="190"/>
    </row>
    <row r="5310" spans="2:2" ht="15" customHeight="1">
      <c r="B5310" s="190"/>
    </row>
    <row r="5311" spans="2:2" ht="15" customHeight="1">
      <c r="B5311" s="190"/>
    </row>
    <row r="5312" spans="2:2" ht="15" customHeight="1">
      <c r="B5312" s="190"/>
    </row>
    <row r="5313" spans="2:2" ht="15" customHeight="1">
      <c r="B5313" s="190"/>
    </row>
    <row r="5314" spans="2:2" ht="15" customHeight="1">
      <c r="B5314" s="190"/>
    </row>
    <row r="5315" spans="2:2" ht="15" customHeight="1">
      <c r="B5315" s="190"/>
    </row>
    <row r="5316" spans="2:2" ht="15" customHeight="1">
      <c r="B5316" s="190"/>
    </row>
    <row r="5317" spans="2:2" ht="15" customHeight="1">
      <c r="B5317" s="190"/>
    </row>
    <row r="5318" spans="2:2" ht="15" customHeight="1">
      <c r="B5318" s="190"/>
    </row>
    <row r="5319" spans="2:2" ht="15" customHeight="1">
      <c r="B5319" s="190"/>
    </row>
    <row r="5320" spans="2:2" ht="15" customHeight="1">
      <c r="B5320" s="190"/>
    </row>
    <row r="5321" spans="2:2" ht="15" customHeight="1">
      <c r="B5321" s="190"/>
    </row>
    <row r="5322" spans="2:2" ht="15" customHeight="1">
      <c r="B5322" s="190"/>
    </row>
    <row r="5323" spans="2:2" ht="15" customHeight="1">
      <c r="B5323" s="190"/>
    </row>
    <row r="5324" spans="2:2" ht="15" customHeight="1">
      <c r="B5324" s="190"/>
    </row>
    <row r="5325" spans="2:2" ht="15" customHeight="1">
      <c r="B5325" s="190"/>
    </row>
    <row r="5326" spans="2:2" ht="15" customHeight="1">
      <c r="B5326" s="190"/>
    </row>
    <row r="5327" spans="2:2" ht="15" customHeight="1">
      <c r="B5327" s="190"/>
    </row>
    <row r="5328" spans="2:2" ht="15" customHeight="1">
      <c r="B5328" s="190"/>
    </row>
    <row r="5329" spans="2:2" ht="15" customHeight="1">
      <c r="B5329" s="190"/>
    </row>
    <row r="5330" spans="2:2" ht="15" customHeight="1">
      <c r="B5330" s="190"/>
    </row>
    <row r="5331" spans="2:2" ht="15" customHeight="1">
      <c r="B5331" s="190"/>
    </row>
    <row r="5332" spans="2:2" ht="15" customHeight="1">
      <c r="B5332" s="190"/>
    </row>
    <row r="5333" spans="2:2" ht="15" customHeight="1">
      <c r="B5333" s="190"/>
    </row>
    <row r="5334" spans="2:2" ht="15" customHeight="1">
      <c r="B5334" s="190"/>
    </row>
    <row r="5335" spans="2:2" ht="15" customHeight="1">
      <c r="B5335" s="190"/>
    </row>
    <row r="5336" spans="2:2" ht="15" customHeight="1">
      <c r="B5336" s="190"/>
    </row>
    <row r="5337" spans="2:2" ht="15" customHeight="1">
      <c r="B5337" s="190"/>
    </row>
    <row r="5338" spans="2:2" ht="15" customHeight="1">
      <c r="B5338" s="190"/>
    </row>
    <row r="5339" spans="2:2" ht="15" customHeight="1">
      <c r="B5339" s="190"/>
    </row>
    <row r="5340" spans="2:2" ht="15" customHeight="1">
      <c r="B5340" s="190"/>
    </row>
    <row r="5341" spans="2:2" ht="15" customHeight="1">
      <c r="B5341" s="190"/>
    </row>
    <row r="5342" spans="2:2" ht="15" customHeight="1">
      <c r="B5342" s="190"/>
    </row>
    <row r="5343" spans="2:2" ht="15" customHeight="1">
      <c r="B5343" s="190"/>
    </row>
    <row r="5344" spans="2:2" ht="15" customHeight="1">
      <c r="B5344" s="190"/>
    </row>
    <row r="5345" spans="2:2" ht="15" customHeight="1">
      <c r="B5345" s="190"/>
    </row>
    <row r="5346" spans="2:2" ht="15" customHeight="1">
      <c r="B5346" s="190"/>
    </row>
    <row r="5347" spans="2:2" ht="15" customHeight="1">
      <c r="B5347" s="190"/>
    </row>
    <row r="5348" spans="2:2" ht="15" customHeight="1">
      <c r="B5348" s="190"/>
    </row>
    <row r="5349" spans="2:2" ht="15" customHeight="1">
      <c r="B5349" s="190"/>
    </row>
    <row r="5350" spans="2:2" ht="15" customHeight="1">
      <c r="B5350" s="190"/>
    </row>
    <row r="5351" spans="2:2" ht="15" customHeight="1">
      <c r="B5351" s="190"/>
    </row>
    <row r="5352" spans="2:2" ht="15" customHeight="1">
      <c r="B5352" s="190"/>
    </row>
    <row r="5353" spans="2:2" ht="15" customHeight="1">
      <c r="B5353" s="190"/>
    </row>
    <row r="5354" spans="2:2" ht="15" customHeight="1">
      <c r="B5354" s="190"/>
    </row>
    <row r="5355" spans="2:2" ht="15" customHeight="1">
      <c r="B5355" s="190"/>
    </row>
    <row r="5356" spans="2:2" ht="15" customHeight="1">
      <c r="B5356" s="190"/>
    </row>
    <row r="5357" spans="2:2" ht="15" customHeight="1">
      <c r="B5357" s="190"/>
    </row>
    <row r="5358" spans="2:2" ht="15" customHeight="1">
      <c r="B5358" s="190"/>
    </row>
    <row r="5359" spans="2:2" ht="15" customHeight="1">
      <c r="B5359" s="190"/>
    </row>
    <row r="5360" spans="2:2" ht="15" customHeight="1">
      <c r="B5360" s="190"/>
    </row>
    <row r="5361" spans="2:2" ht="15" customHeight="1">
      <c r="B5361" s="190"/>
    </row>
    <row r="5362" spans="2:2" ht="15" customHeight="1">
      <c r="B5362" s="190"/>
    </row>
    <row r="5363" spans="2:2" ht="15" customHeight="1">
      <c r="B5363" s="190"/>
    </row>
    <row r="5364" spans="2:2" ht="15" customHeight="1">
      <c r="B5364" s="190"/>
    </row>
    <row r="5365" spans="2:2" ht="15" customHeight="1">
      <c r="B5365" s="190"/>
    </row>
    <row r="5366" spans="2:2" ht="15" customHeight="1">
      <c r="B5366" s="190"/>
    </row>
    <row r="5367" spans="2:2" ht="15" customHeight="1">
      <c r="B5367" s="190"/>
    </row>
    <row r="5368" spans="2:2" ht="15" customHeight="1">
      <c r="B5368" s="190"/>
    </row>
    <row r="5369" spans="2:2" ht="15" customHeight="1">
      <c r="B5369" s="190"/>
    </row>
    <row r="5370" spans="2:2" ht="15" customHeight="1">
      <c r="B5370" s="190"/>
    </row>
    <row r="5371" spans="2:2" ht="15" customHeight="1">
      <c r="B5371" s="190"/>
    </row>
    <row r="5372" spans="2:2" ht="15" customHeight="1">
      <c r="B5372" s="190"/>
    </row>
    <row r="5373" spans="2:2" ht="15" customHeight="1">
      <c r="B5373" s="190"/>
    </row>
    <row r="5374" spans="2:2" ht="15" customHeight="1">
      <c r="B5374" s="190"/>
    </row>
    <row r="5375" spans="2:2" ht="15" customHeight="1">
      <c r="B5375" s="190"/>
    </row>
    <row r="5376" spans="2:2" ht="15" customHeight="1">
      <c r="B5376" s="190"/>
    </row>
    <row r="5377" spans="2:2" ht="15" customHeight="1">
      <c r="B5377" s="190"/>
    </row>
    <row r="5378" spans="2:2" ht="15" customHeight="1">
      <c r="B5378" s="190"/>
    </row>
    <row r="5379" spans="2:2" ht="15" customHeight="1">
      <c r="B5379" s="190"/>
    </row>
    <row r="5380" spans="2:2" ht="15" customHeight="1">
      <c r="B5380" s="190"/>
    </row>
    <row r="5381" spans="2:2" ht="15" customHeight="1">
      <c r="B5381" s="190"/>
    </row>
    <row r="5382" spans="2:2" ht="15" customHeight="1">
      <c r="B5382" s="190"/>
    </row>
    <row r="5383" spans="2:2" ht="15" customHeight="1">
      <c r="B5383" s="190"/>
    </row>
    <row r="5384" spans="2:2" ht="15" customHeight="1">
      <c r="B5384" s="190"/>
    </row>
    <row r="5385" spans="2:2" ht="15" customHeight="1">
      <c r="B5385" s="190"/>
    </row>
    <row r="5386" spans="2:2" ht="15" customHeight="1">
      <c r="B5386" s="190"/>
    </row>
    <row r="5387" spans="2:2" ht="15" customHeight="1">
      <c r="B5387" s="190"/>
    </row>
    <row r="5388" spans="2:2" ht="15" customHeight="1">
      <c r="B5388" s="190"/>
    </row>
    <row r="5389" spans="2:2" ht="15" customHeight="1">
      <c r="B5389" s="190"/>
    </row>
    <row r="5390" spans="2:2" ht="15" customHeight="1">
      <c r="B5390" s="190"/>
    </row>
    <row r="5391" spans="2:2" ht="15" customHeight="1">
      <c r="B5391" s="190"/>
    </row>
    <row r="5392" spans="2:2" ht="15" customHeight="1">
      <c r="B5392" s="190"/>
    </row>
    <row r="5393" spans="2:2" ht="15" customHeight="1">
      <c r="B5393" s="190"/>
    </row>
    <row r="5394" spans="2:2" ht="15" customHeight="1">
      <c r="B5394" s="190"/>
    </row>
    <row r="5395" spans="2:2" ht="15" customHeight="1">
      <c r="B5395" s="190"/>
    </row>
    <row r="5396" spans="2:2" ht="15" customHeight="1">
      <c r="B5396" s="190"/>
    </row>
    <row r="5397" spans="2:2" ht="15" customHeight="1">
      <c r="B5397" s="190"/>
    </row>
    <row r="5398" spans="2:2" ht="15" customHeight="1">
      <c r="B5398" s="190"/>
    </row>
    <row r="5399" spans="2:2" ht="15" customHeight="1">
      <c r="B5399" s="190"/>
    </row>
    <row r="5400" spans="2:2" ht="15" customHeight="1">
      <c r="B5400" s="190"/>
    </row>
    <row r="5401" spans="2:2" ht="15" customHeight="1">
      <c r="B5401" s="190"/>
    </row>
    <row r="5402" spans="2:2" ht="15" customHeight="1">
      <c r="B5402" s="190"/>
    </row>
    <row r="5403" spans="2:2" ht="15" customHeight="1">
      <c r="B5403" s="190"/>
    </row>
    <row r="5404" spans="2:2" ht="15" customHeight="1">
      <c r="B5404" s="190"/>
    </row>
    <row r="5405" spans="2:2" ht="15" customHeight="1">
      <c r="B5405" s="190"/>
    </row>
    <row r="5406" spans="2:2" ht="15" customHeight="1">
      <c r="B5406" s="190"/>
    </row>
    <row r="5407" spans="2:2" ht="15" customHeight="1">
      <c r="B5407" s="190"/>
    </row>
    <row r="5408" spans="2:2" ht="15" customHeight="1">
      <c r="B5408" s="190"/>
    </row>
    <row r="5409" spans="2:2" ht="15" customHeight="1">
      <c r="B5409" s="190"/>
    </row>
    <row r="5410" spans="2:2" ht="15" customHeight="1">
      <c r="B5410" s="190"/>
    </row>
    <row r="5411" spans="2:2" ht="15" customHeight="1">
      <c r="B5411" s="190"/>
    </row>
    <row r="5412" spans="2:2" ht="15" customHeight="1">
      <c r="B5412" s="190"/>
    </row>
    <row r="5413" spans="2:2" ht="15" customHeight="1">
      <c r="B5413" s="190"/>
    </row>
    <row r="5414" spans="2:2" ht="15" customHeight="1">
      <c r="B5414" s="190"/>
    </row>
    <row r="5415" spans="2:2" ht="15" customHeight="1">
      <c r="B5415" s="190"/>
    </row>
    <row r="5416" spans="2:2" ht="15" customHeight="1">
      <c r="B5416" s="190"/>
    </row>
    <row r="5417" spans="2:2" ht="15" customHeight="1">
      <c r="B5417" s="190"/>
    </row>
    <row r="5418" spans="2:2" ht="15" customHeight="1">
      <c r="B5418" s="190"/>
    </row>
    <row r="5419" spans="2:2" ht="15" customHeight="1">
      <c r="B5419" s="190"/>
    </row>
    <row r="5420" spans="2:2" ht="15" customHeight="1">
      <c r="B5420" s="190"/>
    </row>
    <row r="5421" spans="2:2" ht="15" customHeight="1">
      <c r="B5421" s="190"/>
    </row>
    <row r="5422" spans="2:2" ht="15" customHeight="1">
      <c r="B5422" s="190"/>
    </row>
    <row r="5423" spans="2:2" ht="15" customHeight="1">
      <c r="B5423" s="190"/>
    </row>
    <row r="5424" spans="2:2" ht="15" customHeight="1">
      <c r="B5424" s="190"/>
    </row>
    <row r="5425" spans="2:2" ht="15" customHeight="1">
      <c r="B5425" s="190"/>
    </row>
    <row r="5426" spans="2:2" ht="15" customHeight="1">
      <c r="B5426" s="190"/>
    </row>
    <row r="5427" spans="2:2" ht="15" customHeight="1">
      <c r="B5427" s="190"/>
    </row>
    <row r="5428" spans="2:2" ht="15" customHeight="1">
      <c r="B5428" s="190"/>
    </row>
    <row r="5429" spans="2:2" ht="15" customHeight="1">
      <c r="B5429" s="190"/>
    </row>
    <row r="5430" spans="2:2" ht="15" customHeight="1">
      <c r="B5430" s="190"/>
    </row>
    <row r="5431" spans="2:2" ht="15" customHeight="1">
      <c r="B5431" s="190"/>
    </row>
    <row r="5432" spans="2:2" ht="15" customHeight="1">
      <c r="B5432" s="190"/>
    </row>
    <row r="5433" spans="2:2" ht="15" customHeight="1">
      <c r="B5433" s="190"/>
    </row>
    <row r="5434" spans="2:2" ht="15" customHeight="1">
      <c r="B5434" s="190"/>
    </row>
    <row r="5435" spans="2:2" ht="15" customHeight="1">
      <c r="B5435" s="190"/>
    </row>
    <row r="5436" spans="2:2" ht="15" customHeight="1">
      <c r="B5436" s="190"/>
    </row>
    <row r="5437" spans="2:2" ht="15" customHeight="1">
      <c r="B5437" s="190"/>
    </row>
    <row r="5438" spans="2:2" ht="15" customHeight="1">
      <c r="B5438" s="190"/>
    </row>
    <row r="5439" spans="2:2" ht="15" customHeight="1">
      <c r="B5439" s="190"/>
    </row>
    <row r="5440" spans="2:2" ht="15" customHeight="1">
      <c r="B5440" s="190"/>
    </row>
    <row r="5441" spans="2:2" ht="15" customHeight="1">
      <c r="B5441" s="190"/>
    </row>
    <row r="5442" spans="2:2" ht="15" customHeight="1">
      <c r="B5442" s="190"/>
    </row>
    <row r="5443" spans="2:2" ht="15" customHeight="1">
      <c r="B5443" s="190"/>
    </row>
    <row r="5444" spans="2:2" ht="15" customHeight="1">
      <c r="B5444" s="190"/>
    </row>
    <row r="5445" spans="2:2" ht="15" customHeight="1">
      <c r="B5445" s="190"/>
    </row>
    <row r="5446" spans="2:2" ht="15" customHeight="1">
      <c r="B5446" s="190"/>
    </row>
    <row r="5447" spans="2:2" ht="15" customHeight="1">
      <c r="B5447" s="190"/>
    </row>
    <row r="5448" spans="2:2" ht="15" customHeight="1">
      <c r="B5448" s="190"/>
    </row>
    <row r="5449" spans="2:2" ht="15" customHeight="1">
      <c r="B5449" s="190"/>
    </row>
    <row r="5450" spans="2:2" ht="15" customHeight="1">
      <c r="B5450" s="190"/>
    </row>
    <row r="5451" spans="2:2" ht="15" customHeight="1">
      <c r="B5451" s="190"/>
    </row>
    <row r="5452" spans="2:2" ht="15" customHeight="1">
      <c r="B5452" s="190"/>
    </row>
    <row r="5453" spans="2:2" ht="15" customHeight="1">
      <c r="B5453" s="190"/>
    </row>
    <row r="5454" spans="2:2" ht="15" customHeight="1">
      <c r="B5454" s="190"/>
    </row>
    <row r="5455" spans="2:2" ht="15" customHeight="1">
      <c r="B5455" s="190"/>
    </row>
    <row r="5456" spans="2:2" ht="15" customHeight="1">
      <c r="B5456" s="190"/>
    </row>
    <row r="5457" spans="2:2" ht="15" customHeight="1">
      <c r="B5457" s="190"/>
    </row>
    <row r="5458" spans="2:2" ht="15" customHeight="1">
      <c r="B5458" s="190"/>
    </row>
    <row r="5459" spans="2:2" ht="15" customHeight="1">
      <c r="B5459" s="190"/>
    </row>
    <row r="5460" spans="2:2" ht="15" customHeight="1">
      <c r="B5460" s="190"/>
    </row>
    <row r="5461" spans="2:2" ht="15" customHeight="1">
      <c r="B5461" s="190"/>
    </row>
    <row r="5462" spans="2:2" ht="15" customHeight="1">
      <c r="B5462" s="190"/>
    </row>
    <row r="5463" spans="2:2" ht="15" customHeight="1">
      <c r="B5463" s="190"/>
    </row>
    <row r="5464" spans="2:2" ht="15" customHeight="1">
      <c r="B5464" s="190"/>
    </row>
    <row r="5465" spans="2:2" ht="15" customHeight="1">
      <c r="B5465" s="190"/>
    </row>
    <row r="5466" spans="2:2" ht="15" customHeight="1">
      <c r="B5466" s="190"/>
    </row>
    <row r="5467" spans="2:2" ht="15" customHeight="1">
      <c r="B5467" s="190"/>
    </row>
    <row r="5468" spans="2:2" ht="15" customHeight="1">
      <c r="B5468" s="190"/>
    </row>
    <row r="5469" spans="2:2" ht="15" customHeight="1">
      <c r="B5469" s="190"/>
    </row>
    <row r="5470" spans="2:2" ht="15" customHeight="1">
      <c r="B5470" s="190"/>
    </row>
    <row r="5471" spans="2:2" ht="15" customHeight="1">
      <c r="B5471" s="190"/>
    </row>
    <row r="5472" spans="2:2" ht="15" customHeight="1">
      <c r="B5472" s="190"/>
    </row>
    <row r="5473" spans="2:2" ht="15" customHeight="1">
      <c r="B5473" s="190"/>
    </row>
    <row r="5474" spans="2:2" ht="15" customHeight="1">
      <c r="B5474" s="190"/>
    </row>
    <row r="5475" spans="2:2" ht="15" customHeight="1">
      <c r="B5475" s="190"/>
    </row>
    <row r="5476" spans="2:2" ht="15" customHeight="1">
      <c r="B5476" s="190"/>
    </row>
    <row r="5477" spans="2:2" ht="15" customHeight="1">
      <c r="B5477" s="190"/>
    </row>
    <row r="5478" spans="2:2" ht="15" customHeight="1">
      <c r="B5478" s="190"/>
    </row>
    <row r="5479" spans="2:2" ht="15" customHeight="1">
      <c r="B5479" s="190"/>
    </row>
    <row r="5480" spans="2:2" ht="15" customHeight="1">
      <c r="B5480" s="190"/>
    </row>
    <row r="5481" spans="2:2" ht="15" customHeight="1">
      <c r="B5481" s="190"/>
    </row>
    <row r="5482" spans="2:2" ht="15" customHeight="1">
      <c r="B5482" s="190"/>
    </row>
    <row r="5483" spans="2:2" ht="15" customHeight="1">
      <c r="B5483" s="190"/>
    </row>
    <row r="5484" spans="2:2" ht="15" customHeight="1">
      <c r="B5484" s="190"/>
    </row>
    <row r="5485" spans="2:2" ht="15" customHeight="1">
      <c r="B5485" s="190"/>
    </row>
    <row r="5486" spans="2:2" ht="15" customHeight="1">
      <c r="B5486" s="190"/>
    </row>
    <row r="5487" spans="2:2" ht="15" customHeight="1">
      <c r="B5487" s="190"/>
    </row>
    <row r="5488" spans="2:2" ht="15" customHeight="1">
      <c r="B5488" s="190"/>
    </row>
    <row r="5489" spans="2:2" ht="15" customHeight="1">
      <c r="B5489" s="190"/>
    </row>
    <row r="5490" spans="2:2" ht="15" customHeight="1">
      <c r="B5490" s="190"/>
    </row>
    <row r="5491" spans="2:2" ht="15" customHeight="1">
      <c r="B5491" s="190"/>
    </row>
    <row r="5492" spans="2:2" ht="15" customHeight="1">
      <c r="B5492" s="190"/>
    </row>
    <row r="5493" spans="2:2" ht="15" customHeight="1">
      <c r="B5493" s="190"/>
    </row>
    <row r="5494" spans="2:2" ht="15" customHeight="1">
      <c r="B5494" s="190"/>
    </row>
    <row r="5495" spans="2:2" ht="15" customHeight="1">
      <c r="B5495" s="190"/>
    </row>
    <row r="5496" spans="2:2" ht="15" customHeight="1">
      <c r="B5496" s="190"/>
    </row>
    <row r="5497" spans="2:2" ht="15" customHeight="1">
      <c r="B5497" s="190"/>
    </row>
    <row r="5498" spans="2:2" ht="15" customHeight="1">
      <c r="B5498" s="190"/>
    </row>
    <row r="5499" spans="2:2" ht="15" customHeight="1">
      <c r="B5499" s="190"/>
    </row>
    <row r="5500" spans="2:2" ht="15" customHeight="1">
      <c r="B5500" s="190"/>
    </row>
    <row r="5501" spans="2:2" ht="15" customHeight="1">
      <c r="B5501" s="190"/>
    </row>
    <row r="5502" spans="2:2" ht="15" customHeight="1">
      <c r="B5502" s="190"/>
    </row>
    <row r="5503" spans="2:2" ht="15" customHeight="1">
      <c r="B5503" s="190"/>
    </row>
    <row r="5504" spans="2:2" ht="15" customHeight="1">
      <c r="B5504" s="190"/>
    </row>
    <row r="5505" spans="2:2" ht="15" customHeight="1">
      <c r="B5505" s="190"/>
    </row>
    <row r="5506" spans="2:2" ht="15" customHeight="1">
      <c r="B5506" s="190"/>
    </row>
    <row r="5507" spans="2:2" ht="15" customHeight="1">
      <c r="B5507" s="190"/>
    </row>
    <row r="5508" spans="2:2" ht="15" customHeight="1">
      <c r="B5508" s="190"/>
    </row>
    <row r="5509" spans="2:2" ht="15" customHeight="1">
      <c r="B5509" s="190"/>
    </row>
    <row r="5510" spans="2:2" ht="15" customHeight="1">
      <c r="B5510" s="190"/>
    </row>
    <row r="5511" spans="2:2" ht="15" customHeight="1">
      <c r="B5511" s="190"/>
    </row>
    <row r="5512" spans="2:2" ht="15" customHeight="1">
      <c r="B5512" s="190"/>
    </row>
    <row r="5513" spans="2:2" ht="15" customHeight="1">
      <c r="B5513" s="190"/>
    </row>
    <row r="5514" spans="2:2" ht="15" customHeight="1">
      <c r="B5514" s="190"/>
    </row>
    <row r="5515" spans="2:2" ht="15" customHeight="1">
      <c r="B5515" s="190"/>
    </row>
    <row r="5516" spans="2:2" ht="15" customHeight="1">
      <c r="B5516" s="190"/>
    </row>
    <row r="5517" spans="2:2" ht="15" customHeight="1">
      <c r="B5517" s="190"/>
    </row>
    <row r="5518" spans="2:2" ht="15" customHeight="1">
      <c r="B5518" s="190"/>
    </row>
    <row r="5519" spans="2:2" ht="15" customHeight="1">
      <c r="B5519" s="190"/>
    </row>
    <row r="5520" spans="2:2" ht="15" customHeight="1">
      <c r="B5520" s="190"/>
    </row>
    <row r="5521" spans="2:2" ht="15" customHeight="1">
      <c r="B5521" s="190"/>
    </row>
    <row r="5522" spans="2:2" ht="15" customHeight="1">
      <c r="B5522" s="190"/>
    </row>
    <row r="5523" spans="2:2" ht="15" customHeight="1">
      <c r="B5523" s="190"/>
    </row>
    <row r="5524" spans="2:2" ht="15" customHeight="1">
      <c r="B5524" s="190"/>
    </row>
    <row r="5525" spans="2:2" ht="15" customHeight="1">
      <c r="B5525" s="190"/>
    </row>
    <row r="5526" spans="2:2" ht="15" customHeight="1">
      <c r="B5526" s="190"/>
    </row>
    <row r="5527" spans="2:2" ht="15" customHeight="1">
      <c r="B5527" s="190"/>
    </row>
    <row r="5528" spans="2:2" ht="15" customHeight="1">
      <c r="B5528" s="190"/>
    </row>
    <row r="5529" spans="2:2" ht="15" customHeight="1">
      <c r="B5529" s="190"/>
    </row>
    <row r="5530" spans="2:2" ht="15" customHeight="1">
      <c r="B5530" s="190"/>
    </row>
    <row r="5531" spans="2:2" ht="15" customHeight="1">
      <c r="B5531" s="190"/>
    </row>
    <row r="5532" spans="2:2" ht="15" customHeight="1">
      <c r="B5532" s="190"/>
    </row>
    <row r="5533" spans="2:2" ht="15" customHeight="1">
      <c r="B5533" s="190"/>
    </row>
    <row r="5534" spans="2:2" ht="15" customHeight="1">
      <c r="B5534" s="190"/>
    </row>
    <row r="5535" spans="2:2" ht="15" customHeight="1">
      <c r="B5535" s="190"/>
    </row>
    <row r="5536" spans="2:2" ht="15" customHeight="1">
      <c r="B5536" s="190"/>
    </row>
    <row r="5537" spans="2:2" ht="15" customHeight="1">
      <c r="B5537" s="190"/>
    </row>
    <row r="5538" spans="2:2" ht="15" customHeight="1">
      <c r="B5538" s="190"/>
    </row>
    <row r="5539" spans="2:2" ht="15" customHeight="1">
      <c r="B5539" s="190"/>
    </row>
    <row r="5540" spans="2:2" ht="15" customHeight="1">
      <c r="B5540" s="190"/>
    </row>
    <row r="5541" spans="2:2" ht="15" customHeight="1">
      <c r="B5541" s="190"/>
    </row>
    <row r="5542" spans="2:2" ht="15" customHeight="1">
      <c r="B5542" s="190"/>
    </row>
    <row r="5543" spans="2:2" ht="15" customHeight="1">
      <c r="B5543" s="190"/>
    </row>
    <row r="5544" spans="2:2" ht="15" customHeight="1">
      <c r="B5544" s="190"/>
    </row>
    <row r="5545" spans="2:2" ht="15" customHeight="1">
      <c r="B5545" s="190"/>
    </row>
    <row r="5546" spans="2:2" ht="15" customHeight="1">
      <c r="B5546" s="190"/>
    </row>
    <row r="5547" spans="2:2" ht="15" customHeight="1">
      <c r="B5547" s="190"/>
    </row>
    <row r="5548" spans="2:2" ht="15" customHeight="1">
      <c r="B5548" s="190"/>
    </row>
    <row r="5549" spans="2:2" ht="15" customHeight="1">
      <c r="B5549" s="190"/>
    </row>
    <row r="5550" spans="2:2" ht="15" customHeight="1">
      <c r="B5550" s="190"/>
    </row>
    <row r="5551" spans="2:2" ht="15" customHeight="1">
      <c r="B5551" s="190"/>
    </row>
    <row r="5552" spans="2:2" ht="15" customHeight="1">
      <c r="B5552" s="190"/>
    </row>
    <row r="5553" spans="2:2" ht="15" customHeight="1">
      <c r="B5553" s="190"/>
    </row>
    <row r="5554" spans="2:2" ht="15" customHeight="1">
      <c r="B5554" s="190"/>
    </row>
    <row r="5555" spans="2:2" ht="15" customHeight="1">
      <c r="B5555" s="190"/>
    </row>
    <row r="5556" spans="2:2" ht="15" customHeight="1">
      <c r="B5556" s="190"/>
    </row>
    <row r="5557" spans="2:2" ht="15" customHeight="1">
      <c r="B5557" s="190"/>
    </row>
    <row r="5558" spans="2:2" ht="15" customHeight="1">
      <c r="B5558" s="190"/>
    </row>
    <row r="5559" spans="2:2" ht="15" customHeight="1">
      <c r="B5559" s="190"/>
    </row>
    <row r="5560" spans="2:2" ht="15" customHeight="1">
      <c r="B5560" s="190"/>
    </row>
    <row r="5561" spans="2:2" ht="15" customHeight="1">
      <c r="B5561" s="190"/>
    </row>
    <row r="5562" spans="2:2" ht="15" customHeight="1">
      <c r="B5562" s="190"/>
    </row>
    <row r="5563" spans="2:2" ht="15" customHeight="1">
      <c r="B5563" s="190"/>
    </row>
    <row r="5564" spans="2:2" ht="15" customHeight="1">
      <c r="B5564" s="190"/>
    </row>
    <row r="5565" spans="2:2" ht="15" customHeight="1">
      <c r="B5565" s="190"/>
    </row>
    <row r="5566" spans="2:2" ht="15" customHeight="1">
      <c r="B5566" s="190"/>
    </row>
    <row r="5567" spans="2:2" ht="15" customHeight="1">
      <c r="B5567" s="190"/>
    </row>
    <row r="5568" spans="2:2" ht="15" customHeight="1">
      <c r="B5568" s="190"/>
    </row>
    <row r="5569" spans="2:2" ht="15" customHeight="1">
      <c r="B5569" s="190"/>
    </row>
    <row r="5570" spans="2:2" ht="15" customHeight="1">
      <c r="B5570" s="190"/>
    </row>
    <row r="5571" spans="2:2" ht="15" customHeight="1">
      <c r="B5571" s="190"/>
    </row>
    <row r="5572" spans="2:2" ht="15" customHeight="1">
      <c r="B5572" s="190"/>
    </row>
    <row r="5573" spans="2:2" ht="15" customHeight="1">
      <c r="B5573" s="190"/>
    </row>
    <row r="5574" spans="2:2" ht="15" customHeight="1">
      <c r="B5574" s="190"/>
    </row>
    <row r="5575" spans="2:2" ht="15" customHeight="1">
      <c r="B5575" s="190"/>
    </row>
    <row r="5576" spans="2:2" ht="15" customHeight="1">
      <c r="B5576" s="190"/>
    </row>
    <row r="5577" spans="2:2" ht="15" customHeight="1">
      <c r="B5577" s="190"/>
    </row>
    <row r="5578" spans="2:2" ht="15" customHeight="1">
      <c r="B5578" s="190"/>
    </row>
    <row r="5579" spans="2:2" ht="15" customHeight="1">
      <c r="B5579" s="190"/>
    </row>
    <row r="5580" spans="2:2" ht="15" customHeight="1">
      <c r="B5580" s="190"/>
    </row>
    <row r="5581" spans="2:2" ht="15" customHeight="1">
      <c r="B5581" s="190"/>
    </row>
    <row r="5582" spans="2:2" ht="15" customHeight="1">
      <c r="B5582" s="190"/>
    </row>
    <row r="5583" spans="2:2" ht="15" customHeight="1">
      <c r="B5583" s="190"/>
    </row>
    <row r="5584" spans="2:2" ht="15" customHeight="1">
      <c r="B5584" s="190"/>
    </row>
    <row r="5585" spans="2:2" ht="15" customHeight="1">
      <c r="B5585" s="190"/>
    </row>
    <row r="5586" spans="2:2" ht="15" customHeight="1">
      <c r="B5586" s="190"/>
    </row>
    <row r="5587" spans="2:2" ht="15" customHeight="1">
      <c r="B5587" s="190"/>
    </row>
    <row r="5588" spans="2:2" ht="15" customHeight="1">
      <c r="B5588" s="190"/>
    </row>
    <row r="5589" spans="2:2" ht="15" customHeight="1">
      <c r="B5589" s="190"/>
    </row>
    <row r="5590" spans="2:2" ht="15" customHeight="1">
      <c r="B5590" s="190"/>
    </row>
    <row r="5591" spans="2:2" ht="15" customHeight="1">
      <c r="B5591" s="190"/>
    </row>
    <row r="5592" spans="2:2" ht="15" customHeight="1">
      <c r="B5592" s="190"/>
    </row>
    <row r="5593" spans="2:2" ht="15" customHeight="1">
      <c r="B5593" s="190"/>
    </row>
    <row r="5594" spans="2:2" ht="15" customHeight="1">
      <c r="B5594" s="190"/>
    </row>
    <row r="5595" spans="2:2" ht="15" customHeight="1">
      <c r="B5595" s="190"/>
    </row>
    <row r="5596" spans="2:2" ht="15" customHeight="1">
      <c r="B5596" s="190"/>
    </row>
    <row r="5597" spans="2:2" ht="15" customHeight="1">
      <c r="B5597" s="190"/>
    </row>
    <row r="5598" spans="2:2" ht="15" customHeight="1">
      <c r="B5598" s="190"/>
    </row>
    <row r="5599" spans="2:2" ht="15" customHeight="1">
      <c r="B5599" s="190"/>
    </row>
    <row r="5600" spans="2:2" ht="15" customHeight="1">
      <c r="B5600" s="190"/>
    </row>
    <row r="5601" spans="2:2" ht="15" customHeight="1">
      <c r="B5601" s="190"/>
    </row>
    <row r="5602" spans="2:2" ht="15" customHeight="1">
      <c r="B5602" s="190"/>
    </row>
    <row r="5603" spans="2:2" ht="15" customHeight="1">
      <c r="B5603" s="190"/>
    </row>
    <row r="5604" spans="2:2" ht="15" customHeight="1">
      <c r="B5604" s="190"/>
    </row>
    <row r="5605" spans="2:2" ht="15" customHeight="1">
      <c r="B5605" s="190"/>
    </row>
    <row r="5606" spans="2:2" ht="15" customHeight="1">
      <c r="B5606" s="190"/>
    </row>
    <row r="5607" spans="2:2" ht="15" customHeight="1">
      <c r="B5607" s="190"/>
    </row>
    <row r="5608" spans="2:2" ht="15" customHeight="1">
      <c r="B5608" s="190"/>
    </row>
    <row r="5609" spans="2:2" ht="15" customHeight="1">
      <c r="B5609" s="190"/>
    </row>
    <row r="5610" spans="2:2" ht="15" customHeight="1">
      <c r="B5610" s="190"/>
    </row>
    <row r="5611" spans="2:2" ht="15" customHeight="1">
      <c r="B5611" s="190"/>
    </row>
    <row r="5612" spans="2:2" ht="15" customHeight="1">
      <c r="B5612" s="190"/>
    </row>
    <row r="5613" spans="2:2" ht="15" customHeight="1">
      <c r="B5613" s="190"/>
    </row>
    <row r="5614" spans="2:2" ht="15" customHeight="1">
      <c r="B5614" s="190"/>
    </row>
    <row r="5615" spans="2:2" ht="15" customHeight="1">
      <c r="B5615" s="190"/>
    </row>
    <row r="5616" spans="2:2" ht="15" customHeight="1">
      <c r="B5616" s="190"/>
    </row>
    <row r="5617" spans="2:2" ht="15" customHeight="1">
      <c r="B5617" s="190"/>
    </row>
    <row r="5618" spans="2:2" ht="15" customHeight="1">
      <c r="B5618" s="190"/>
    </row>
    <row r="5619" spans="2:2" ht="15" customHeight="1">
      <c r="B5619" s="190"/>
    </row>
    <row r="5620" spans="2:2" ht="15" customHeight="1">
      <c r="B5620" s="190"/>
    </row>
    <row r="5621" spans="2:2" ht="15" customHeight="1">
      <c r="B5621" s="190"/>
    </row>
    <row r="5622" spans="2:2" ht="15" customHeight="1">
      <c r="B5622" s="190"/>
    </row>
    <row r="5623" spans="2:2" ht="15" customHeight="1">
      <c r="B5623" s="190"/>
    </row>
    <row r="5624" spans="2:2" ht="15" customHeight="1">
      <c r="B5624" s="190"/>
    </row>
    <row r="5625" spans="2:2" ht="15" customHeight="1">
      <c r="B5625" s="190"/>
    </row>
    <row r="5626" spans="2:2" ht="15" customHeight="1">
      <c r="B5626" s="190"/>
    </row>
    <row r="5627" spans="2:2" ht="15" customHeight="1">
      <c r="B5627" s="190"/>
    </row>
    <row r="5628" spans="2:2" ht="15" customHeight="1">
      <c r="B5628" s="190"/>
    </row>
    <row r="5629" spans="2:2" ht="15" customHeight="1">
      <c r="B5629" s="190"/>
    </row>
    <row r="5630" spans="2:2" ht="15" customHeight="1">
      <c r="B5630" s="190"/>
    </row>
    <row r="5631" spans="2:2" ht="15" customHeight="1">
      <c r="B5631" s="190"/>
    </row>
    <row r="5632" spans="2:2" ht="15" customHeight="1">
      <c r="B5632" s="190"/>
    </row>
    <row r="5633" spans="2:2" ht="15" customHeight="1">
      <c r="B5633" s="190"/>
    </row>
    <row r="5634" spans="2:2" ht="15" customHeight="1">
      <c r="B5634" s="190"/>
    </row>
    <row r="5635" spans="2:2" ht="15" customHeight="1">
      <c r="B5635" s="190"/>
    </row>
    <row r="5636" spans="2:2" ht="15" customHeight="1">
      <c r="B5636" s="190"/>
    </row>
    <row r="5637" spans="2:2" ht="15" customHeight="1">
      <c r="B5637" s="190"/>
    </row>
    <row r="5638" spans="2:2" ht="15" customHeight="1">
      <c r="B5638" s="190"/>
    </row>
    <row r="5639" spans="2:2" ht="15" customHeight="1">
      <c r="B5639" s="190"/>
    </row>
    <row r="5640" spans="2:2" ht="15" customHeight="1">
      <c r="B5640" s="190"/>
    </row>
    <row r="5641" spans="2:2" ht="15" customHeight="1">
      <c r="B5641" s="190"/>
    </row>
    <row r="5642" spans="2:2" ht="15" customHeight="1">
      <c r="B5642" s="190"/>
    </row>
    <row r="5643" spans="2:2" ht="15" customHeight="1">
      <c r="B5643" s="190"/>
    </row>
    <row r="5644" spans="2:2" ht="15" customHeight="1">
      <c r="B5644" s="190"/>
    </row>
    <row r="5645" spans="2:2" ht="15" customHeight="1">
      <c r="B5645" s="190"/>
    </row>
    <row r="5646" spans="2:2" ht="15" customHeight="1">
      <c r="B5646" s="190"/>
    </row>
    <row r="5647" spans="2:2" ht="15" customHeight="1">
      <c r="B5647" s="190"/>
    </row>
    <row r="5648" spans="2:2" ht="15" customHeight="1">
      <c r="B5648" s="190"/>
    </row>
    <row r="5649" spans="2:2" ht="15" customHeight="1">
      <c r="B5649" s="190"/>
    </row>
    <row r="5650" spans="2:2" ht="15" customHeight="1">
      <c r="B5650" s="190"/>
    </row>
    <row r="5651" spans="2:2" ht="15" customHeight="1">
      <c r="B5651" s="190"/>
    </row>
    <row r="5652" spans="2:2" ht="15" customHeight="1">
      <c r="B5652" s="190"/>
    </row>
    <row r="5653" spans="2:2" ht="15" customHeight="1">
      <c r="B5653" s="190"/>
    </row>
    <row r="5654" spans="2:2" ht="15" customHeight="1">
      <c r="B5654" s="190"/>
    </row>
    <row r="5655" spans="2:2" ht="15" customHeight="1">
      <c r="B5655" s="190"/>
    </row>
    <row r="5656" spans="2:2" ht="15" customHeight="1">
      <c r="B5656" s="190"/>
    </row>
    <row r="5657" spans="2:2" ht="15" customHeight="1">
      <c r="B5657" s="190"/>
    </row>
    <row r="5658" spans="2:2" ht="15" customHeight="1">
      <c r="B5658" s="190"/>
    </row>
    <row r="5659" spans="2:2" ht="15" customHeight="1">
      <c r="B5659" s="190"/>
    </row>
    <row r="5660" spans="2:2" ht="15" customHeight="1">
      <c r="B5660" s="190"/>
    </row>
    <row r="5661" spans="2:2" ht="15" customHeight="1">
      <c r="B5661" s="190"/>
    </row>
    <row r="5662" spans="2:2" ht="15" customHeight="1">
      <c r="B5662" s="190"/>
    </row>
    <row r="5663" spans="2:2" ht="15" customHeight="1">
      <c r="B5663" s="190"/>
    </row>
    <row r="5664" spans="2:2" ht="15" customHeight="1">
      <c r="B5664" s="190"/>
    </row>
    <row r="5665" spans="2:2" ht="15" customHeight="1">
      <c r="B5665" s="190"/>
    </row>
    <row r="5666" spans="2:2" ht="15" customHeight="1">
      <c r="B5666" s="190"/>
    </row>
    <row r="5667" spans="2:2" ht="15" customHeight="1">
      <c r="B5667" s="190"/>
    </row>
    <row r="5668" spans="2:2" ht="15" customHeight="1">
      <c r="B5668" s="190"/>
    </row>
    <row r="5669" spans="2:2" ht="15" customHeight="1">
      <c r="B5669" s="190"/>
    </row>
    <row r="5670" spans="2:2" ht="15" customHeight="1">
      <c r="B5670" s="190"/>
    </row>
    <row r="5671" spans="2:2" ht="15" customHeight="1">
      <c r="B5671" s="190"/>
    </row>
    <row r="5672" spans="2:2" ht="15" customHeight="1">
      <c r="B5672" s="190"/>
    </row>
    <row r="5673" spans="2:2" ht="15" customHeight="1">
      <c r="B5673" s="190"/>
    </row>
    <row r="5674" spans="2:2" ht="15" customHeight="1">
      <c r="B5674" s="190"/>
    </row>
    <row r="5675" spans="2:2" ht="15" customHeight="1">
      <c r="B5675" s="190"/>
    </row>
    <row r="5676" spans="2:2" ht="15" customHeight="1">
      <c r="B5676" s="190"/>
    </row>
    <row r="5677" spans="2:2" ht="15" customHeight="1">
      <c r="B5677" s="190"/>
    </row>
    <row r="5678" spans="2:2" ht="15" customHeight="1">
      <c r="B5678" s="190"/>
    </row>
    <row r="5679" spans="2:2" ht="15" customHeight="1">
      <c r="B5679" s="190"/>
    </row>
    <row r="5680" spans="2:2" ht="15" customHeight="1">
      <c r="B5680" s="190"/>
    </row>
    <row r="5681" spans="2:2" ht="15" customHeight="1">
      <c r="B5681" s="190"/>
    </row>
    <row r="5682" spans="2:2" ht="15" customHeight="1">
      <c r="B5682" s="190"/>
    </row>
    <row r="5683" spans="2:2" ht="15" customHeight="1">
      <c r="B5683" s="190"/>
    </row>
    <row r="5684" spans="2:2" ht="15" customHeight="1">
      <c r="B5684" s="190"/>
    </row>
    <row r="5685" spans="2:2" ht="15" customHeight="1">
      <c r="B5685" s="190"/>
    </row>
    <row r="5686" spans="2:2" ht="15" customHeight="1">
      <c r="B5686" s="190"/>
    </row>
    <row r="5687" spans="2:2" ht="15" customHeight="1">
      <c r="B5687" s="190"/>
    </row>
    <row r="5688" spans="2:2" ht="15" customHeight="1">
      <c r="B5688" s="190"/>
    </row>
    <row r="5689" spans="2:2" ht="15" customHeight="1">
      <c r="B5689" s="190"/>
    </row>
    <row r="5690" spans="2:2" ht="15" customHeight="1">
      <c r="B5690" s="190"/>
    </row>
    <row r="5691" spans="2:2" ht="15" customHeight="1">
      <c r="B5691" s="190"/>
    </row>
    <row r="5692" spans="2:2" ht="15" customHeight="1">
      <c r="B5692" s="190"/>
    </row>
    <row r="5693" spans="2:2" ht="15" customHeight="1">
      <c r="B5693" s="190"/>
    </row>
    <row r="5694" spans="2:2" ht="15" customHeight="1">
      <c r="B5694" s="190"/>
    </row>
    <row r="5695" spans="2:2" ht="15" customHeight="1">
      <c r="B5695" s="190"/>
    </row>
    <row r="5696" spans="2:2" ht="15" customHeight="1">
      <c r="B5696" s="190"/>
    </row>
    <row r="5697" spans="2:2" ht="15" customHeight="1">
      <c r="B5697" s="190"/>
    </row>
    <row r="5698" spans="2:2" ht="15" customHeight="1">
      <c r="B5698" s="190"/>
    </row>
    <row r="5699" spans="2:2" ht="15" customHeight="1">
      <c r="B5699" s="190"/>
    </row>
    <row r="5700" spans="2:2" ht="15" customHeight="1">
      <c r="B5700" s="190"/>
    </row>
    <row r="5701" spans="2:2" ht="15" customHeight="1">
      <c r="B5701" s="190"/>
    </row>
    <row r="5702" spans="2:2" ht="15" customHeight="1">
      <c r="B5702" s="190"/>
    </row>
    <row r="5703" spans="2:2" ht="15" customHeight="1">
      <c r="B5703" s="190"/>
    </row>
    <row r="5704" spans="2:2" ht="15" customHeight="1">
      <c r="B5704" s="190"/>
    </row>
    <row r="5705" spans="2:2" ht="15" customHeight="1">
      <c r="B5705" s="190"/>
    </row>
    <row r="5706" spans="2:2" ht="15" customHeight="1">
      <c r="B5706" s="190"/>
    </row>
    <row r="5707" spans="2:2" ht="15" customHeight="1">
      <c r="B5707" s="190"/>
    </row>
    <row r="5708" spans="2:2" ht="15" customHeight="1">
      <c r="B5708" s="190"/>
    </row>
    <row r="5709" spans="2:2" ht="15" customHeight="1">
      <c r="B5709" s="190"/>
    </row>
    <row r="5710" spans="2:2" ht="15" customHeight="1">
      <c r="B5710" s="190"/>
    </row>
    <row r="5711" spans="2:2" ht="15" customHeight="1">
      <c r="B5711" s="190"/>
    </row>
    <row r="5712" spans="2:2" ht="15" customHeight="1">
      <c r="B5712" s="190"/>
    </row>
    <row r="5713" spans="2:2" ht="15" customHeight="1">
      <c r="B5713" s="190"/>
    </row>
    <row r="5714" spans="2:2" ht="15" customHeight="1">
      <c r="B5714" s="190"/>
    </row>
    <row r="5715" spans="2:2" ht="15" customHeight="1">
      <c r="B5715" s="190"/>
    </row>
    <row r="5716" spans="2:2" ht="15" customHeight="1">
      <c r="B5716" s="190"/>
    </row>
    <row r="5717" spans="2:2" ht="15" customHeight="1">
      <c r="B5717" s="190"/>
    </row>
    <row r="5718" spans="2:2" ht="15" customHeight="1">
      <c r="B5718" s="190"/>
    </row>
    <row r="5719" spans="2:2" ht="15" customHeight="1">
      <c r="B5719" s="190"/>
    </row>
    <row r="5720" spans="2:2" ht="15" customHeight="1">
      <c r="B5720" s="190"/>
    </row>
    <row r="5721" spans="2:2" ht="15" customHeight="1">
      <c r="B5721" s="190"/>
    </row>
    <row r="5722" spans="2:2" ht="15" customHeight="1">
      <c r="B5722" s="190"/>
    </row>
    <row r="5723" spans="2:2" ht="15" customHeight="1">
      <c r="B5723" s="190"/>
    </row>
    <row r="5724" spans="2:2" ht="15" customHeight="1">
      <c r="B5724" s="190"/>
    </row>
    <row r="5725" spans="2:2" ht="15" customHeight="1">
      <c r="B5725" s="190"/>
    </row>
    <row r="5726" spans="2:2" ht="15" customHeight="1">
      <c r="B5726" s="190"/>
    </row>
    <row r="5727" spans="2:2" ht="15" customHeight="1">
      <c r="B5727" s="190"/>
    </row>
    <row r="5728" spans="2:2" ht="15" customHeight="1">
      <c r="B5728" s="190"/>
    </row>
    <row r="5729" spans="2:2" ht="15" customHeight="1">
      <c r="B5729" s="190"/>
    </row>
    <row r="5730" spans="2:2" ht="15" customHeight="1">
      <c r="B5730" s="190"/>
    </row>
    <row r="5731" spans="2:2" ht="15" customHeight="1">
      <c r="B5731" s="190"/>
    </row>
    <row r="5732" spans="2:2" ht="15" customHeight="1">
      <c r="B5732" s="190"/>
    </row>
    <row r="5733" spans="2:2" ht="15" customHeight="1">
      <c r="B5733" s="190"/>
    </row>
    <row r="5734" spans="2:2" ht="15" customHeight="1">
      <c r="B5734" s="190"/>
    </row>
    <row r="5735" spans="2:2" ht="15" customHeight="1">
      <c r="B5735" s="190"/>
    </row>
    <row r="5736" spans="2:2" ht="15" customHeight="1">
      <c r="B5736" s="190"/>
    </row>
    <row r="5737" spans="2:2" ht="15" customHeight="1">
      <c r="B5737" s="190"/>
    </row>
    <row r="5738" spans="2:2" ht="15" customHeight="1">
      <c r="B5738" s="190"/>
    </row>
    <row r="5739" spans="2:2" ht="15" customHeight="1">
      <c r="B5739" s="190"/>
    </row>
    <row r="5740" spans="2:2" ht="15" customHeight="1">
      <c r="B5740" s="190"/>
    </row>
    <row r="5741" spans="2:2" ht="15" customHeight="1">
      <c r="B5741" s="190"/>
    </row>
    <row r="5742" spans="2:2" ht="15" customHeight="1">
      <c r="B5742" s="190"/>
    </row>
    <row r="5743" spans="2:2" ht="15" customHeight="1">
      <c r="B5743" s="190"/>
    </row>
    <row r="5744" spans="2:2" ht="15" customHeight="1">
      <c r="B5744" s="190"/>
    </row>
    <row r="5745" spans="2:2" ht="15" customHeight="1">
      <c r="B5745" s="190"/>
    </row>
    <row r="5746" spans="2:2" ht="15" customHeight="1">
      <c r="B5746" s="190"/>
    </row>
    <row r="5747" spans="2:2" ht="15" customHeight="1">
      <c r="B5747" s="190"/>
    </row>
    <row r="5748" spans="2:2" ht="15" customHeight="1">
      <c r="B5748" s="190"/>
    </row>
    <row r="5749" spans="2:2" ht="15" customHeight="1">
      <c r="B5749" s="190"/>
    </row>
    <row r="5750" spans="2:2" ht="15" customHeight="1">
      <c r="B5750" s="190"/>
    </row>
    <row r="5751" spans="2:2" ht="15" customHeight="1">
      <c r="B5751" s="190"/>
    </row>
    <row r="5752" spans="2:2" ht="15" customHeight="1">
      <c r="B5752" s="190"/>
    </row>
    <row r="5753" spans="2:2" ht="15" customHeight="1">
      <c r="B5753" s="190"/>
    </row>
    <row r="5754" spans="2:2" ht="15" customHeight="1">
      <c r="B5754" s="190"/>
    </row>
    <row r="5755" spans="2:2" ht="15" customHeight="1">
      <c r="B5755" s="190"/>
    </row>
    <row r="5756" spans="2:2" ht="15" customHeight="1">
      <c r="B5756" s="190"/>
    </row>
    <row r="5757" spans="2:2" ht="15" customHeight="1">
      <c r="B5757" s="190"/>
    </row>
    <row r="5758" spans="2:2" ht="15" customHeight="1">
      <c r="B5758" s="190"/>
    </row>
    <row r="5759" spans="2:2" ht="15" customHeight="1">
      <c r="B5759" s="190"/>
    </row>
    <row r="5760" spans="2:2" ht="15" customHeight="1">
      <c r="B5760" s="190"/>
    </row>
    <row r="5761" spans="2:2" ht="15" customHeight="1">
      <c r="B5761" s="190"/>
    </row>
    <row r="5762" spans="2:2" ht="15" customHeight="1">
      <c r="B5762" s="190"/>
    </row>
    <row r="5763" spans="2:2" ht="15" customHeight="1">
      <c r="B5763" s="190"/>
    </row>
    <row r="5764" spans="2:2" ht="15" customHeight="1">
      <c r="B5764" s="190"/>
    </row>
    <row r="5765" spans="2:2" ht="15" customHeight="1">
      <c r="B5765" s="190"/>
    </row>
    <row r="5766" spans="2:2" ht="15" customHeight="1">
      <c r="B5766" s="190"/>
    </row>
    <row r="5767" spans="2:2" ht="15" customHeight="1">
      <c r="B5767" s="190"/>
    </row>
    <row r="5768" spans="2:2" ht="15" customHeight="1">
      <c r="B5768" s="190"/>
    </row>
    <row r="5769" spans="2:2" ht="15" customHeight="1">
      <c r="B5769" s="190"/>
    </row>
    <row r="5770" spans="2:2" ht="15" customHeight="1">
      <c r="B5770" s="190"/>
    </row>
    <row r="5771" spans="2:2" ht="15" customHeight="1">
      <c r="B5771" s="190"/>
    </row>
    <row r="5772" spans="2:2" ht="15" customHeight="1">
      <c r="B5772" s="190"/>
    </row>
    <row r="5773" spans="2:2" ht="15" customHeight="1">
      <c r="B5773" s="190"/>
    </row>
    <row r="5774" spans="2:2" ht="15" customHeight="1">
      <c r="B5774" s="190"/>
    </row>
    <row r="5775" spans="2:2" ht="15" customHeight="1">
      <c r="B5775" s="190"/>
    </row>
    <row r="5776" spans="2:2" ht="15" customHeight="1">
      <c r="B5776" s="190"/>
    </row>
    <row r="5777" spans="2:2" ht="15" customHeight="1">
      <c r="B5777" s="190"/>
    </row>
    <row r="5778" spans="2:2" ht="15" customHeight="1">
      <c r="B5778" s="190"/>
    </row>
    <row r="5779" spans="2:2" ht="15" customHeight="1">
      <c r="B5779" s="190"/>
    </row>
    <row r="5780" spans="2:2" ht="15" customHeight="1">
      <c r="B5780" s="190"/>
    </row>
    <row r="5781" spans="2:2" ht="15" customHeight="1">
      <c r="B5781" s="190"/>
    </row>
    <row r="5782" spans="2:2" ht="15" customHeight="1">
      <c r="B5782" s="190"/>
    </row>
    <row r="5783" spans="2:2" ht="15" customHeight="1">
      <c r="B5783" s="190"/>
    </row>
    <row r="5784" spans="2:2" ht="15" customHeight="1">
      <c r="B5784" s="190"/>
    </row>
    <row r="5785" spans="2:2" ht="15" customHeight="1">
      <c r="B5785" s="190"/>
    </row>
    <row r="5786" spans="2:2" ht="15" customHeight="1">
      <c r="B5786" s="190"/>
    </row>
    <row r="5787" spans="2:2" ht="15" customHeight="1">
      <c r="B5787" s="190"/>
    </row>
    <row r="5788" spans="2:2" ht="15" customHeight="1">
      <c r="B5788" s="190"/>
    </row>
    <row r="5789" spans="2:2" ht="15" customHeight="1">
      <c r="B5789" s="190"/>
    </row>
    <row r="5790" spans="2:2" ht="15" customHeight="1">
      <c r="B5790" s="190"/>
    </row>
    <row r="5791" spans="2:2" ht="15" customHeight="1">
      <c r="B5791" s="190"/>
    </row>
    <row r="5792" spans="2:2" ht="15" customHeight="1">
      <c r="B5792" s="190"/>
    </row>
    <row r="5793" spans="2:2" ht="15" customHeight="1">
      <c r="B5793" s="190"/>
    </row>
    <row r="5794" spans="2:2" ht="15" customHeight="1">
      <c r="B5794" s="190"/>
    </row>
    <row r="5795" spans="2:2" ht="15" customHeight="1">
      <c r="B5795" s="190"/>
    </row>
    <row r="5796" spans="2:2" ht="15" customHeight="1">
      <c r="B5796" s="190"/>
    </row>
    <row r="5797" spans="2:2" ht="15" customHeight="1">
      <c r="B5797" s="190"/>
    </row>
    <row r="5798" spans="2:2" ht="15" customHeight="1">
      <c r="B5798" s="190"/>
    </row>
    <row r="5799" spans="2:2" ht="15" customHeight="1">
      <c r="B5799" s="190"/>
    </row>
    <row r="5800" spans="2:2" ht="15" customHeight="1">
      <c r="B5800" s="190"/>
    </row>
    <row r="5801" spans="2:2" ht="15" customHeight="1">
      <c r="B5801" s="190"/>
    </row>
    <row r="5802" spans="2:2" ht="15" customHeight="1">
      <c r="B5802" s="190"/>
    </row>
    <row r="5803" spans="2:2" ht="15" customHeight="1">
      <c r="B5803" s="190"/>
    </row>
    <row r="5804" spans="2:2" ht="15" customHeight="1">
      <c r="B5804" s="190"/>
    </row>
    <row r="5805" spans="2:2" ht="15" customHeight="1">
      <c r="B5805" s="190"/>
    </row>
    <row r="5806" spans="2:2" ht="15" customHeight="1">
      <c r="B5806" s="190"/>
    </row>
    <row r="5807" spans="2:2" ht="15" customHeight="1">
      <c r="B5807" s="190"/>
    </row>
    <row r="5808" spans="2:2" ht="15" customHeight="1">
      <c r="B5808" s="190"/>
    </row>
    <row r="5809" spans="2:2" ht="15" customHeight="1">
      <c r="B5809" s="190"/>
    </row>
    <row r="5810" spans="2:2" ht="15" customHeight="1">
      <c r="B5810" s="190"/>
    </row>
    <row r="5811" spans="2:2" ht="15" customHeight="1">
      <c r="B5811" s="190"/>
    </row>
    <row r="5812" spans="2:2" ht="15" customHeight="1">
      <c r="B5812" s="190"/>
    </row>
    <row r="5813" spans="2:2" ht="15" customHeight="1">
      <c r="B5813" s="190"/>
    </row>
    <row r="5814" spans="2:2" ht="15" customHeight="1">
      <c r="B5814" s="190"/>
    </row>
    <row r="5815" spans="2:2" ht="15" customHeight="1">
      <c r="B5815" s="190"/>
    </row>
    <row r="5816" spans="2:2" ht="15" customHeight="1">
      <c r="B5816" s="190"/>
    </row>
    <row r="5817" spans="2:2" ht="15" customHeight="1">
      <c r="B5817" s="190"/>
    </row>
    <row r="5818" spans="2:2" ht="15" customHeight="1">
      <c r="B5818" s="190"/>
    </row>
    <row r="5819" spans="2:2" ht="15" customHeight="1">
      <c r="B5819" s="190"/>
    </row>
    <row r="5820" spans="2:2" ht="15" customHeight="1">
      <c r="B5820" s="190"/>
    </row>
    <row r="5821" spans="2:2" ht="15" customHeight="1">
      <c r="B5821" s="190"/>
    </row>
    <row r="5822" spans="2:2" ht="15" customHeight="1">
      <c r="B5822" s="190"/>
    </row>
    <row r="5823" spans="2:2" ht="15" customHeight="1">
      <c r="B5823" s="190"/>
    </row>
    <row r="5824" spans="2:2" ht="15" customHeight="1">
      <c r="B5824" s="190"/>
    </row>
    <row r="5825" spans="2:2" ht="15" customHeight="1">
      <c r="B5825" s="190"/>
    </row>
    <row r="5826" spans="2:2" ht="15" customHeight="1">
      <c r="B5826" s="190"/>
    </row>
    <row r="5827" spans="2:2" ht="15" customHeight="1">
      <c r="B5827" s="190"/>
    </row>
    <row r="5828" spans="2:2" ht="15" customHeight="1">
      <c r="B5828" s="190"/>
    </row>
    <row r="5829" spans="2:2" ht="15" customHeight="1">
      <c r="B5829" s="190"/>
    </row>
    <row r="5830" spans="2:2" ht="15" customHeight="1">
      <c r="B5830" s="190"/>
    </row>
    <row r="5831" spans="2:2" ht="15" customHeight="1">
      <c r="B5831" s="190"/>
    </row>
    <row r="5832" spans="2:2" ht="15" customHeight="1">
      <c r="B5832" s="190"/>
    </row>
    <row r="5833" spans="2:2" ht="15" customHeight="1">
      <c r="B5833" s="190"/>
    </row>
    <row r="5834" spans="2:2" ht="15" customHeight="1">
      <c r="B5834" s="190"/>
    </row>
    <row r="5835" spans="2:2" ht="15" customHeight="1">
      <c r="B5835" s="190"/>
    </row>
    <row r="5836" spans="2:2" ht="15" customHeight="1">
      <c r="B5836" s="190"/>
    </row>
    <row r="5837" spans="2:2" ht="15" customHeight="1">
      <c r="B5837" s="190"/>
    </row>
    <row r="5838" spans="2:2" ht="15" customHeight="1">
      <c r="B5838" s="190"/>
    </row>
    <row r="5839" spans="2:2" ht="15" customHeight="1">
      <c r="B5839" s="190"/>
    </row>
    <row r="5840" spans="2:2" ht="15" customHeight="1">
      <c r="B5840" s="190"/>
    </row>
    <row r="5841" spans="2:2" ht="15" customHeight="1">
      <c r="B5841" s="190"/>
    </row>
    <row r="5842" spans="2:2" ht="15" customHeight="1">
      <c r="B5842" s="190"/>
    </row>
    <row r="5843" spans="2:2" ht="15" customHeight="1">
      <c r="B5843" s="190"/>
    </row>
    <row r="5844" spans="2:2" ht="15" customHeight="1">
      <c r="B5844" s="190"/>
    </row>
    <row r="5845" spans="2:2" ht="15" customHeight="1">
      <c r="B5845" s="190"/>
    </row>
    <row r="5846" spans="2:2" ht="15" customHeight="1">
      <c r="B5846" s="190"/>
    </row>
    <row r="5847" spans="2:2" ht="15" customHeight="1">
      <c r="B5847" s="190"/>
    </row>
    <row r="5848" spans="2:2" ht="15" customHeight="1">
      <c r="B5848" s="190"/>
    </row>
    <row r="5849" spans="2:2" ht="15" customHeight="1">
      <c r="B5849" s="190"/>
    </row>
    <row r="5850" spans="2:2" ht="15" customHeight="1">
      <c r="B5850" s="190"/>
    </row>
    <row r="5851" spans="2:2" ht="15" customHeight="1">
      <c r="B5851" s="190"/>
    </row>
    <row r="5852" spans="2:2" ht="15" customHeight="1">
      <c r="B5852" s="190"/>
    </row>
    <row r="5853" spans="2:2" ht="15" customHeight="1">
      <c r="B5853" s="190"/>
    </row>
    <row r="5854" spans="2:2" ht="15" customHeight="1">
      <c r="B5854" s="190"/>
    </row>
    <row r="5855" spans="2:2" ht="15" customHeight="1">
      <c r="B5855" s="190"/>
    </row>
    <row r="5856" spans="2:2" ht="15" customHeight="1">
      <c r="B5856" s="190"/>
    </row>
    <row r="5857" spans="2:2" ht="15" customHeight="1">
      <c r="B5857" s="190"/>
    </row>
    <row r="5858" spans="2:2" ht="15" customHeight="1">
      <c r="B5858" s="190"/>
    </row>
    <row r="5859" spans="2:2" ht="15" customHeight="1">
      <c r="B5859" s="190"/>
    </row>
    <row r="5860" spans="2:2" ht="15" customHeight="1">
      <c r="B5860" s="190"/>
    </row>
    <row r="5861" spans="2:2" ht="15" customHeight="1">
      <c r="B5861" s="190"/>
    </row>
    <row r="5862" spans="2:2" ht="15" customHeight="1">
      <c r="B5862" s="190"/>
    </row>
    <row r="5863" spans="2:2" ht="15" customHeight="1">
      <c r="B5863" s="190"/>
    </row>
    <row r="5864" spans="2:2" ht="15" customHeight="1">
      <c r="B5864" s="190"/>
    </row>
    <row r="5865" spans="2:2" ht="15" customHeight="1">
      <c r="B5865" s="190"/>
    </row>
    <row r="5866" spans="2:2" ht="15" customHeight="1">
      <c r="B5866" s="190"/>
    </row>
    <row r="5867" spans="2:2" ht="15" customHeight="1">
      <c r="B5867" s="190"/>
    </row>
    <row r="5868" spans="2:2" ht="15" customHeight="1">
      <c r="B5868" s="190"/>
    </row>
    <row r="5869" spans="2:2" ht="15" customHeight="1">
      <c r="B5869" s="190"/>
    </row>
    <row r="5870" spans="2:2" ht="15" customHeight="1">
      <c r="B5870" s="190"/>
    </row>
    <row r="5871" spans="2:2" ht="15" customHeight="1">
      <c r="B5871" s="190"/>
    </row>
    <row r="5872" spans="2:2" ht="15" customHeight="1">
      <c r="B5872" s="190"/>
    </row>
    <row r="5873" spans="2:2" ht="15" customHeight="1">
      <c r="B5873" s="190"/>
    </row>
    <row r="5874" spans="2:2" ht="15" customHeight="1">
      <c r="B5874" s="190"/>
    </row>
    <row r="5875" spans="2:2" ht="15" customHeight="1">
      <c r="B5875" s="190"/>
    </row>
    <row r="5876" spans="2:2" ht="15" customHeight="1">
      <c r="B5876" s="190"/>
    </row>
    <row r="5877" spans="2:2" ht="15" customHeight="1">
      <c r="B5877" s="190"/>
    </row>
    <row r="5878" spans="2:2" ht="15" customHeight="1">
      <c r="B5878" s="190"/>
    </row>
    <row r="5879" spans="2:2" ht="15" customHeight="1">
      <c r="B5879" s="190"/>
    </row>
    <row r="5880" spans="2:2" ht="15" customHeight="1">
      <c r="B5880" s="190"/>
    </row>
    <row r="5881" spans="2:2" ht="15" customHeight="1">
      <c r="B5881" s="190"/>
    </row>
    <row r="5882" spans="2:2" ht="15" customHeight="1">
      <c r="B5882" s="190"/>
    </row>
    <row r="5883" spans="2:2" ht="15" customHeight="1">
      <c r="B5883" s="190"/>
    </row>
    <row r="5884" spans="2:2" ht="15" customHeight="1">
      <c r="B5884" s="190"/>
    </row>
    <row r="5885" spans="2:2" ht="15" customHeight="1">
      <c r="B5885" s="190"/>
    </row>
    <row r="5886" spans="2:2" ht="15" customHeight="1">
      <c r="B5886" s="190"/>
    </row>
    <row r="5887" spans="2:2" ht="15" customHeight="1">
      <c r="B5887" s="190"/>
    </row>
    <row r="5888" spans="2:2" ht="15" customHeight="1">
      <c r="B5888" s="190"/>
    </row>
    <row r="5889" spans="2:2" ht="15" customHeight="1">
      <c r="B5889" s="190"/>
    </row>
    <row r="5890" spans="2:2" ht="15" customHeight="1">
      <c r="B5890" s="190"/>
    </row>
    <row r="5891" spans="2:2" ht="15" customHeight="1">
      <c r="B5891" s="190"/>
    </row>
    <row r="5892" spans="2:2" ht="15" customHeight="1">
      <c r="B5892" s="190"/>
    </row>
    <row r="5893" spans="2:2" ht="15" customHeight="1">
      <c r="B5893" s="190"/>
    </row>
    <row r="5894" spans="2:2" ht="15" customHeight="1">
      <c r="B5894" s="190"/>
    </row>
    <row r="5895" spans="2:2" ht="15" customHeight="1">
      <c r="B5895" s="190"/>
    </row>
    <row r="5896" spans="2:2" ht="15" customHeight="1">
      <c r="B5896" s="190"/>
    </row>
    <row r="5897" spans="2:2" ht="15" customHeight="1">
      <c r="B5897" s="190"/>
    </row>
    <row r="5898" spans="2:2" ht="15" customHeight="1">
      <c r="B5898" s="190"/>
    </row>
    <row r="5899" spans="2:2" ht="15" customHeight="1">
      <c r="B5899" s="190"/>
    </row>
    <row r="5900" spans="2:2" ht="15" customHeight="1">
      <c r="B5900" s="190"/>
    </row>
    <row r="5901" spans="2:2" ht="15" customHeight="1">
      <c r="B5901" s="190"/>
    </row>
    <row r="5902" spans="2:2" ht="15" customHeight="1">
      <c r="B5902" s="190"/>
    </row>
    <row r="5903" spans="2:2" ht="15" customHeight="1">
      <c r="B5903" s="190"/>
    </row>
    <row r="5904" spans="2:2" ht="15" customHeight="1">
      <c r="B5904" s="190"/>
    </row>
    <row r="5905" spans="2:2" ht="15" customHeight="1">
      <c r="B5905" s="190"/>
    </row>
    <row r="5906" spans="2:2" ht="15" customHeight="1">
      <c r="B5906" s="190"/>
    </row>
    <row r="5907" spans="2:2" ht="15" customHeight="1">
      <c r="B5907" s="190"/>
    </row>
    <row r="5908" spans="2:2" ht="15" customHeight="1">
      <c r="B5908" s="190"/>
    </row>
    <row r="5909" spans="2:2" ht="15" customHeight="1">
      <c r="B5909" s="190"/>
    </row>
    <row r="5910" spans="2:2" ht="15" customHeight="1">
      <c r="B5910" s="190"/>
    </row>
    <row r="5911" spans="2:2" ht="15" customHeight="1">
      <c r="B5911" s="190"/>
    </row>
    <row r="5912" spans="2:2" ht="15" customHeight="1">
      <c r="B5912" s="190"/>
    </row>
    <row r="5913" spans="2:2" ht="15" customHeight="1">
      <c r="B5913" s="190"/>
    </row>
    <row r="5914" spans="2:2" ht="15" customHeight="1">
      <c r="B5914" s="190"/>
    </row>
    <row r="5915" spans="2:2" ht="15" customHeight="1">
      <c r="B5915" s="190"/>
    </row>
    <row r="5916" spans="2:2" ht="15" customHeight="1">
      <c r="B5916" s="190"/>
    </row>
    <row r="5917" spans="2:2" ht="15" customHeight="1">
      <c r="B5917" s="190"/>
    </row>
    <row r="5918" spans="2:2" ht="15" customHeight="1">
      <c r="B5918" s="190"/>
    </row>
    <row r="5919" spans="2:2" ht="15" customHeight="1">
      <c r="B5919" s="190"/>
    </row>
    <row r="5920" spans="2:2" ht="15" customHeight="1">
      <c r="B5920" s="190"/>
    </row>
    <row r="5921" spans="2:2" ht="15" customHeight="1">
      <c r="B5921" s="190"/>
    </row>
    <row r="5922" spans="2:2" ht="15" customHeight="1">
      <c r="B5922" s="190"/>
    </row>
    <row r="5923" spans="2:2" ht="15" customHeight="1">
      <c r="B5923" s="190"/>
    </row>
    <row r="5924" spans="2:2" ht="15" customHeight="1">
      <c r="B5924" s="190"/>
    </row>
    <row r="5925" spans="2:2" ht="15" customHeight="1">
      <c r="B5925" s="190"/>
    </row>
    <row r="5926" spans="2:2" ht="15" customHeight="1">
      <c r="B5926" s="190"/>
    </row>
    <row r="5927" spans="2:2" ht="15" customHeight="1">
      <c r="B5927" s="190"/>
    </row>
    <row r="5928" spans="2:2" ht="15" customHeight="1">
      <c r="B5928" s="190"/>
    </row>
    <row r="5929" spans="2:2" ht="15" customHeight="1">
      <c r="B5929" s="190"/>
    </row>
    <row r="5930" spans="2:2" ht="15" customHeight="1">
      <c r="B5930" s="190"/>
    </row>
    <row r="5931" spans="2:2" ht="15" customHeight="1">
      <c r="B5931" s="190"/>
    </row>
    <row r="5932" spans="2:2" ht="15" customHeight="1">
      <c r="B5932" s="190"/>
    </row>
    <row r="5933" spans="2:2" ht="15" customHeight="1">
      <c r="B5933" s="190"/>
    </row>
    <row r="5934" spans="2:2" ht="15" customHeight="1">
      <c r="B5934" s="190"/>
    </row>
    <row r="5935" spans="2:2" ht="15" customHeight="1">
      <c r="B5935" s="190"/>
    </row>
    <row r="5936" spans="2:2" ht="15" customHeight="1">
      <c r="B5936" s="190"/>
    </row>
    <row r="5937" spans="2:2" ht="15" customHeight="1">
      <c r="B5937" s="190"/>
    </row>
    <row r="5938" spans="2:2" ht="15" customHeight="1">
      <c r="B5938" s="190"/>
    </row>
    <row r="5939" spans="2:2" ht="15" customHeight="1">
      <c r="B5939" s="190"/>
    </row>
    <row r="5940" spans="2:2" ht="15" customHeight="1">
      <c r="B5940" s="190"/>
    </row>
    <row r="5941" spans="2:2" ht="15" customHeight="1">
      <c r="B5941" s="190"/>
    </row>
    <row r="5942" spans="2:2" ht="15" customHeight="1">
      <c r="B5942" s="190"/>
    </row>
    <row r="5943" spans="2:2" ht="15" customHeight="1">
      <c r="B5943" s="190"/>
    </row>
    <row r="5944" spans="2:2" ht="15" customHeight="1">
      <c r="B5944" s="190"/>
    </row>
    <row r="5945" spans="2:2" ht="15" customHeight="1">
      <c r="B5945" s="190"/>
    </row>
    <row r="5946" spans="2:2" ht="15" customHeight="1">
      <c r="B5946" s="190"/>
    </row>
    <row r="5947" spans="2:2" ht="15" customHeight="1">
      <c r="B5947" s="190"/>
    </row>
    <row r="5948" spans="2:2" ht="15" customHeight="1">
      <c r="B5948" s="190"/>
    </row>
    <row r="5949" spans="2:2" ht="15" customHeight="1">
      <c r="B5949" s="190"/>
    </row>
    <row r="5950" spans="2:2" ht="15" customHeight="1">
      <c r="B5950" s="190"/>
    </row>
    <row r="5951" spans="2:2" ht="15" customHeight="1">
      <c r="B5951" s="190"/>
    </row>
    <row r="5952" spans="2:2" ht="15" customHeight="1">
      <c r="B5952" s="190"/>
    </row>
    <row r="5953" spans="2:2" ht="15" customHeight="1">
      <c r="B5953" s="190"/>
    </row>
    <row r="5954" spans="2:2" ht="15" customHeight="1">
      <c r="B5954" s="190"/>
    </row>
    <row r="5955" spans="2:2" ht="15" customHeight="1">
      <c r="B5955" s="190"/>
    </row>
    <row r="5956" spans="2:2" ht="15" customHeight="1">
      <c r="B5956" s="190"/>
    </row>
    <row r="5957" spans="2:2" ht="15" customHeight="1">
      <c r="B5957" s="190"/>
    </row>
    <row r="5958" spans="2:2" ht="15" customHeight="1">
      <c r="B5958" s="190"/>
    </row>
    <row r="5959" spans="2:2" ht="15" customHeight="1">
      <c r="B5959" s="190"/>
    </row>
    <row r="5960" spans="2:2" ht="15" customHeight="1">
      <c r="B5960" s="190"/>
    </row>
    <row r="5961" spans="2:2" ht="15" customHeight="1">
      <c r="B5961" s="190"/>
    </row>
    <row r="5962" spans="2:2" ht="15" customHeight="1">
      <c r="B5962" s="190"/>
    </row>
    <row r="5963" spans="2:2" ht="15" customHeight="1">
      <c r="B5963" s="190"/>
    </row>
    <row r="5964" spans="2:2" ht="15" customHeight="1">
      <c r="B5964" s="190"/>
    </row>
    <row r="5965" spans="2:2" ht="15" customHeight="1">
      <c r="B5965" s="190"/>
    </row>
    <row r="5966" spans="2:2" ht="15" customHeight="1">
      <c r="B5966" s="190"/>
    </row>
    <row r="5967" spans="2:2" ht="15" customHeight="1">
      <c r="B5967" s="190"/>
    </row>
    <row r="5968" spans="2:2" ht="15" customHeight="1">
      <c r="B5968" s="190"/>
    </row>
    <row r="5969" spans="2:2" ht="15" customHeight="1">
      <c r="B5969" s="190"/>
    </row>
    <row r="5970" spans="2:2" ht="15" customHeight="1">
      <c r="B5970" s="190"/>
    </row>
    <row r="5971" spans="2:2" ht="15" customHeight="1">
      <c r="B5971" s="190"/>
    </row>
    <row r="5972" spans="2:2" ht="15" customHeight="1">
      <c r="B5972" s="190"/>
    </row>
    <row r="5973" spans="2:2" ht="15" customHeight="1">
      <c r="B5973" s="190"/>
    </row>
    <row r="5974" spans="2:2" ht="15" customHeight="1">
      <c r="B5974" s="190"/>
    </row>
    <row r="5975" spans="2:2" ht="15" customHeight="1">
      <c r="B5975" s="190"/>
    </row>
    <row r="5976" spans="2:2" ht="15" customHeight="1">
      <c r="B5976" s="190"/>
    </row>
    <row r="5977" spans="2:2" ht="15" customHeight="1">
      <c r="B5977" s="190"/>
    </row>
    <row r="5978" spans="2:2" ht="15" customHeight="1">
      <c r="B5978" s="190"/>
    </row>
    <row r="5979" spans="2:2" ht="15" customHeight="1">
      <c r="B5979" s="190"/>
    </row>
    <row r="5980" spans="2:2" ht="15" customHeight="1">
      <c r="B5980" s="190"/>
    </row>
    <row r="5981" spans="2:2" ht="15" customHeight="1">
      <c r="B5981" s="190"/>
    </row>
    <row r="5982" spans="2:2" ht="15" customHeight="1">
      <c r="B5982" s="190"/>
    </row>
    <row r="5983" spans="2:2" ht="15" customHeight="1">
      <c r="B5983" s="190"/>
    </row>
    <row r="5984" spans="2:2" ht="15" customHeight="1">
      <c r="B5984" s="190"/>
    </row>
    <row r="5985" spans="2:2" ht="15" customHeight="1">
      <c r="B5985" s="190"/>
    </row>
    <row r="5986" spans="2:2" ht="15" customHeight="1">
      <c r="B5986" s="190"/>
    </row>
    <row r="5987" spans="2:2" ht="15" customHeight="1">
      <c r="B5987" s="190"/>
    </row>
    <row r="5988" spans="2:2" ht="15" customHeight="1">
      <c r="B5988" s="190"/>
    </row>
    <row r="5989" spans="2:2" ht="15" customHeight="1">
      <c r="B5989" s="190"/>
    </row>
    <row r="5990" spans="2:2" ht="15" customHeight="1">
      <c r="B5990" s="190"/>
    </row>
    <row r="5991" spans="2:2" ht="15" customHeight="1">
      <c r="B5991" s="190"/>
    </row>
    <row r="5992" spans="2:2" ht="15" customHeight="1">
      <c r="B5992" s="190"/>
    </row>
    <row r="5993" spans="2:2" ht="15" customHeight="1">
      <c r="B5993" s="190"/>
    </row>
    <row r="5994" spans="2:2" ht="15" customHeight="1">
      <c r="B5994" s="190"/>
    </row>
    <row r="5995" spans="2:2" ht="15" customHeight="1">
      <c r="B5995" s="190"/>
    </row>
    <row r="5996" spans="2:2" ht="15" customHeight="1">
      <c r="B5996" s="190"/>
    </row>
    <row r="5997" spans="2:2" ht="15" customHeight="1">
      <c r="B5997" s="190"/>
    </row>
    <row r="5998" spans="2:2" ht="15" customHeight="1">
      <c r="B5998" s="190"/>
    </row>
    <row r="5999" spans="2:2" ht="15" customHeight="1">
      <c r="B5999" s="190"/>
    </row>
    <row r="6000" spans="2:2" ht="15" customHeight="1">
      <c r="B6000" s="190"/>
    </row>
    <row r="6001" spans="2:2" ht="15" customHeight="1">
      <c r="B6001" s="190"/>
    </row>
    <row r="6002" spans="2:2" ht="15" customHeight="1">
      <c r="B6002" s="190"/>
    </row>
    <row r="6003" spans="2:2" ht="15" customHeight="1">
      <c r="B6003" s="190"/>
    </row>
    <row r="6004" spans="2:2" ht="15" customHeight="1">
      <c r="B6004" s="190"/>
    </row>
    <row r="6005" spans="2:2" ht="15" customHeight="1">
      <c r="B6005" s="190"/>
    </row>
    <row r="6006" spans="2:2" ht="15" customHeight="1">
      <c r="B6006" s="190"/>
    </row>
    <row r="6007" spans="2:2" ht="15" customHeight="1">
      <c r="B6007" s="190"/>
    </row>
    <row r="6008" spans="2:2" ht="15" customHeight="1">
      <c r="B6008" s="190"/>
    </row>
    <row r="6009" spans="2:2" ht="15" customHeight="1">
      <c r="B6009" s="190"/>
    </row>
    <row r="6010" spans="2:2" ht="15" customHeight="1">
      <c r="B6010" s="190"/>
    </row>
    <row r="6011" spans="2:2" ht="15" customHeight="1">
      <c r="B6011" s="190"/>
    </row>
    <row r="6012" spans="2:2" ht="15" customHeight="1">
      <c r="B6012" s="190"/>
    </row>
    <row r="6013" spans="2:2" ht="15" customHeight="1">
      <c r="B6013" s="190"/>
    </row>
    <row r="6014" spans="2:2" ht="15" customHeight="1">
      <c r="B6014" s="190"/>
    </row>
    <row r="6015" spans="2:2" ht="15" customHeight="1">
      <c r="B6015" s="190"/>
    </row>
    <row r="6016" spans="2:2" ht="15" customHeight="1">
      <c r="B6016" s="190"/>
    </row>
    <row r="6017" spans="2:2" ht="15" customHeight="1">
      <c r="B6017" s="190"/>
    </row>
    <row r="6018" spans="2:2" ht="15" customHeight="1">
      <c r="B6018" s="190"/>
    </row>
    <row r="6019" spans="2:2" ht="15" customHeight="1">
      <c r="B6019" s="190"/>
    </row>
    <row r="6020" spans="2:2" ht="15" customHeight="1">
      <c r="B6020" s="190"/>
    </row>
    <row r="6021" spans="2:2" ht="15" customHeight="1">
      <c r="B6021" s="190"/>
    </row>
    <row r="6022" spans="2:2" ht="15" customHeight="1">
      <c r="B6022" s="190"/>
    </row>
    <row r="6023" spans="2:2" ht="15" customHeight="1">
      <c r="B6023" s="190"/>
    </row>
    <row r="6024" spans="2:2" ht="15" customHeight="1">
      <c r="B6024" s="190"/>
    </row>
    <row r="6025" spans="2:2" ht="15" customHeight="1">
      <c r="B6025" s="190"/>
    </row>
    <row r="6026" spans="2:2" ht="15" customHeight="1">
      <c r="B6026" s="190"/>
    </row>
    <row r="6027" spans="2:2" ht="15" customHeight="1">
      <c r="B6027" s="190"/>
    </row>
    <row r="6028" spans="2:2" ht="15" customHeight="1">
      <c r="B6028" s="190"/>
    </row>
    <row r="6029" spans="2:2" ht="15" customHeight="1">
      <c r="B6029" s="190"/>
    </row>
    <row r="6030" spans="2:2" ht="15" customHeight="1">
      <c r="B6030" s="190"/>
    </row>
    <row r="6031" spans="2:2" ht="15" customHeight="1">
      <c r="B6031" s="190"/>
    </row>
    <row r="6032" spans="2:2" ht="15" customHeight="1">
      <c r="B6032" s="190"/>
    </row>
    <row r="6033" spans="2:2" ht="15" customHeight="1">
      <c r="B6033" s="190"/>
    </row>
    <row r="6034" spans="2:2" ht="15" customHeight="1">
      <c r="B6034" s="190"/>
    </row>
    <row r="6035" spans="2:2" ht="15" customHeight="1">
      <c r="B6035" s="190"/>
    </row>
    <row r="6036" spans="2:2" ht="15" customHeight="1">
      <c r="B6036" s="190"/>
    </row>
    <row r="6037" spans="2:2" ht="15" customHeight="1">
      <c r="B6037" s="190"/>
    </row>
    <row r="6038" spans="2:2" ht="15" customHeight="1">
      <c r="B6038" s="190"/>
    </row>
    <row r="6039" spans="2:2" ht="15" customHeight="1">
      <c r="B6039" s="190"/>
    </row>
    <row r="6040" spans="2:2" ht="15" customHeight="1">
      <c r="B6040" s="190"/>
    </row>
    <row r="6041" spans="2:2" ht="15" customHeight="1">
      <c r="B6041" s="190"/>
    </row>
    <row r="6042" spans="2:2" ht="15" customHeight="1">
      <c r="B6042" s="190"/>
    </row>
    <row r="6043" spans="2:2" ht="15" customHeight="1">
      <c r="B6043" s="190"/>
    </row>
    <row r="6044" spans="2:2" ht="15" customHeight="1">
      <c r="B6044" s="190"/>
    </row>
    <row r="6045" spans="2:2" ht="15" customHeight="1">
      <c r="B6045" s="190"/>
    </row>
    <row r="6046" spans="2:2" ht="15" customHeight="1">
      <c r="B6046" s="190"/>
    </row>
    <row r="6047" spans="2:2" ht="15" customHeight="1">
      <c r="B6047" s="190"/>
    </row>
    <row r="6048" spans="2:2" ht="15" customHeight="1">
      <c r="B6048" s="190"/>
    </row>
    <row r="6049" spans="2:2" ht="15" customHeight="1">
      <c r="B6049" s="190"/>
    </row>
    <row r="6050" spans="2:2" ht="15" customHeight="1">
      <c r="B6050" s="190"/>
    </row>
    <row r="6051" spans="2:2" ht="15" customHeight="1">
      <c r="B6051" s="190"/>
    </row>
    <row r="6052" spans="2:2" ht="15" customHeight="1">
      <c r="B6052" s="190"/>
    </row>
    <row r="6053" spans="2:2" ht="15" customHeight="1">
      <c r="B6053" s="190"/>
    </row>
    <row r="6054" spans="2:2" ht="15" customHeight="1">
      <c r="B6054" s="190"/>
    </row>
    <row r="6055" spans="2:2" ht="15" customHeight="1">
      <c r="B6055" s="190"/>
    </row>
    <row r="6056" spans="2:2" ht="15" customHeight="1">
      <c r="B6056" s="190"/>
    </row>
    <row r="6057" spans="2:2" ht="15" customHeight="1">
      <c r="B6057" s="190"/>
    </row>
    <row r="6058" spans="2:2" ht="15" customHeight="1">
      <c r="B6058" s="190"/>
    </row>
    <row r="6059" spans="2:2" ht="15" customHeight="1">
      <c r="B6059" s="190"/>
    </row>
    <row r="6060" spans="2:2" ht="15" customHeight="1">
      <c r="B6060" s="190"/>
    </row>
    <row r="6061" spans="2:2" ht="15" customHeight="1">
      <c r="B6061" s="190"/>
    </row>
    <row r="6062" spans="2:2" ht="15" customHeight="1">
      <c r="B6062" s="190"/>
    </row>
    <row r="6063" spans="2:2" ht="15" customHeight="1">
      <c r="B6063" s="190"/>
    </row>
    <row r="6064" spans="2:2" ht="15" customHeight="1">
      <c r="B6064" s="190"/>
    </row>
    <row r="6065" spans="2:2" ht="15" customHeight="1">
      <c r="B6065" s="190"/>
    </row>
    <row r="6066" spans="2:2" ht="15" customHeight="1">
      <c r="B6066" s="190"/>
    </row>
    <row r="6067" spans="2:2" ht="15" customHeight="1">
      <c r="B6067" s="190"/>
    </row>
    <row r="6068" spans="2:2" ht="15" customHeight="1">
      <c r="B6068" s="190"/>
    </row>
    <row r="6069" spans="2:2" ht="15" customHeight="1">
      <c r="B6069" s="190"/>
    </row>
    <row r="6070" spans="2:2" ht="15" customHeight="1">
      <c r="B6070" s="190"/>
    </row>
    <row r="6071" spans="2:2" ht="15" customHeight="1">
      <c r="B6071" s="190"/>
    </row>
    <row r="6072" spans="2:2" ht="15" customHeight="1">
      <c r="B6072" s="190"/>
    </row>
    <row r="6073" spans="2:2" ht="15" customHeight="1">
      <c r="B6073" s="190"/>
    </row>
    <row r="6074" spans="2:2" ht="15" customHeight="1">
      <c r="B6074" s="190"/>
    </row>
    <row r="6075" spans="2:2" ht="15" customHeight="1">
      <c r="B6075" s="190"/>
    </row>
    <row r="6076" spans="2:2" ht="15" customHeight="1">
      <c r="B6076" s="190"/>
    </row>
    <row r="6077" spans="2:2" ht="15" customHeight="1">
      <c r="B6077" s="190"/>
    </row>
    <row r="6078" spans="2:2" ht="15" customHeight="1">
      <c r="B6078" s="190"/>
    </row>
    <row r="6079" spans="2:2" ht="15" customHeight="1">
      <c r="B6079" s="190"/>
    </row>
    <row r="6080" spans="2:2" ht="15" customHeight="1">
      <c r="B6080" s="190"/>
    </row>
    <row r="6081" spans="2:2" ht="15" customHeight="1">
      <c r="B6081" s="190"/>
    </row>
    <row r="6082" spans="2:2" ht="15" customHeight="1">
      <c r="B6082" s="190"/>
    </row>
    <row r="6083" spans="2:2" ht="15" customHeight="1">
      <c r="B6083" s="190"/>
    </row>
    <row r="6084" spans="2:2" ht="15" customHeight="1">
      <c r="B6084" s="190"/>
    </row>
    <row r="6085" spans="2:2" ht="15" customHeight="1">
      <c r="B6085" s="190"/>
    </row>
    <row r="6086" spans="2:2" ht="15" customHeight="1">
      <c r="B6086" s="190"/>
    </row>
    <row r="6087" spans="2:2" ht="15" customHeight="1">
      <c r="B6087" s="190"/>
    </row>
    <row r="6088" spans="2:2" ht="15" customHeight="1">
      <c r="B6088" s="190"/>
    </row>
    <row r="6089" spans="2:2" ht="15" customHeight="1">
      <c r="B6089" s="190"/>
    </row>
    <row r="6090" spans="2:2" ht="15" customHeight="1">
      <c r="B6090" s="190"/>
    </row>
    <row r="6091" spans="2:2" ht="15" customHeight="1">
      <c r="B6091" s="190"/>
    </row>
    <row r="6092" spans="2:2" ht="15" customHeight="1">
      <c r="B6092" s="190"/>
    </row>
    <row r="6093" spans="2:2" ht="15" customHeight="1">
      <c r="B6093" s="190"/>
    </row>
    <row r="6094" spans="2:2" ht="15" customHeight="1">
      <c r="B6094" s="190"/>
    </row>
    <row r="6095" spans="2:2" ht="15" customHeight="1">
      <c r="B6095" s="190"/>
    </row>
    <row r="6096" spans="2:2" ht="15" customHeight="1">
      <c r="B6096" s="190"/>
    </row>
    <row r="6097" spans="2:2" ht="15" customHeight="1">
      <c r="B6097" s="190"/>
    </row>
    <row r="6098" spans="2:2" ht="15" customHeight="1">
      <c r="B6098" s="190"/>
    </row>
    <row r="6099" spans="2:2" ht="15" customHeight="1">
      <c r="B6099" s="190"/>
    </row>
    <row r="6100" spans="2:2" ht="15" customHeight="1">
      <c r="B6100" s="190"/>
    </row>
    <row r="6101" spans="2:2" ht="15" customHeight="1">
      <c r="B6101" s="190"/>
    </row>
    <row r="6102" spans="2:2" ht="15" customHeight="1">
      <c r="B6102" s="190"/>
    </row>
    <row r="6103" spans="2:2" ht="15" customHeight="1">
      <c r="B6103" s="190"/>
    </row>
    <row r="6104" spans="2:2" ht="15" customHeight="1">
      <c r="B6104" s="190"/>
    </row>
    <row r="6105" spans="2:2" ht="15" customHeight="1">
      <c r="B6105" s="190"/>
    </row>
    <row r="6106" spans="2:2" ht="15" customHeight="1">
      <c r="B6106" s="190"/>
    </row>
    <row r="6107" spans="2:2" ht="15" customHeight="1">
      <c r="B6107" s="190"/>
    </row>
    <row r="6108" spans="2:2" ht="15" customHeight="1">
      <c r="B6108" s="190"/>
    </row>
    <row r="6109" spans="2:2" ht="15" customHeight="1">
      <c r="B6109" s="190"/>
    </row>
    <row r="6110" spans="2:2" ht="15" customHeight="1">
      <c r="B6110" s="190"/>
    </row>
    <row r="6111" spans="2:2" ht="15" customHeight="1">
      <c r="B6111" s="190"/>
    </row>
    <row r="6112" spans="2:2" ht="15" customHeight="1">
      <c r="B6112" s="190"/>
    </row>
    <row r="6113" spans="2:2" ht="15" customHeight="1">
      <c r="B6113" s="190"/>
    </row>
    <row r="6114" spans="2:2" ht="15" customHeight="1">
      <c r="B6114" s="190"/>
    </row>
    <row r="6115" spans="2:2" ht="15" customHeight="1">
      <c r="B6115" s="190"/>
    </row>
    <row r="6116" spans="2:2" ht="15" customHeight="1">
      <c r="B6116" s="190"/>
    </row>
    <row r="6117" spans="2:2" ht="15" customHeight="1">
      <c r="B6117" s="190"/>
    </row>
    <row r="6118" spans="2:2" ht="15" customHeight="1">
      <c r="B6118" s="190"/>
    </row>
    <row r="6119" spans="2:2" ht="15" customHeight="1">
      <c r="B6119" s="190"/>
    </row>
    <row r="6120" spans="2:2" ht="15" customHeight="1">
      <c r="B6120" s="190"/>
    </row>
    <row r="6121" spans="2:2" ht="15" customHeight="1">
      <c r="B6121" s="190"/>
    </row>
    <row r="6122" spans="2:2" ht="15" customHeight="1">
      <c r="B6122" s="190"/>
    </row>
    <row r="6123" spans="2:2" ht="15" customHeight="1">
      <c r="B6123" s="190"/>
    </row>
    <row r="6124" spans="2:2" ht="15" customHeight="1">
      <c r="B6124" s="190"/>
    </row>
    <row r="6125" spans="2:2" ht="15" customHeight="1">
      <c r="B6125" s="190"/>
    </row>
    <row r="6126" spans="2:2" ht="15" customHeight="1">
      <c r="B6126" s="190"/>
    </row>
    <row r="6127" spans="2:2" ht="15" customHeight="1">
      <c r="B6127" s="190"/>
    </row>
    <row r="6128" spans="2:2" ht="15" customHeight="1">
      <c r="B6128" s="190"/>
    </row>
    <row r="6129" spans="2:2" ht="15" customHeight="1">
      <c r="B6129" s="190"/>
    </row>
    <row r="6130" spans="2:2" ht="15" customHeight="1">
      <c r="B6130" s="190"/>
    </row>
    <row r="6131" spans="2:2" ht="15" customHeight="1">
      <c r="B6131" s="190"/>
    </row>
    <row r="6132" spans="2:2" ht="15" customHeight="1">
      <c r="B6132" s="190"/>
    </row>
    <row r="6133" spans="2:2" ht="15" customHeight="1">
      <c r="B6133" s="190"/>
    </row>
    <row r="6134" spans="2:2" ht="15" customHeight="1">
      <c r="B6134" s="190"/>
    </row>
    <row r="6135" spans="2:2" ht="15" customHeight="1">
      <c r="B6135" s="190"/>
    </row>
    <row r="6136" spans="2:2" ht="15" customHeight="1">
      <c r="B6136" s="190"/>
    </row>
    <row r="6137" spans="2:2" ht="15" customHeight="1">
      <c r="B6137" s="190"/>
    </row>
    <row r="6138" spans="2:2" ht="15" customHeight="1">
      <c r="B6138" s="190"/>
    </row>
    <row r="6139" spans="2:2" ht="15" customHeight="1">
      <c r="B6139" s="190"/>
    </row>
    <row r="6140" spans="2:2" ht="15" customHeight="1">
      <c r="B6140" s="190"/>
    </row>
    <row r="6141" spans="2:2" ht="15" customHeight="1">
      <c r="B6141" s="190"/>
    </row>
    <row r="6142" spans="2:2" ht="15" customHeight="1">
      <c r="B6142" s="190"/>
    </row>
    <row r="6143" spans="2:2" ht="15" customHeight="1">
      <c r="B6143" s="190"/>
    </row>
    <row r="6144" spans="2:2" ht="15" customHeight="1">
      <c r="B6144" s="190"/>
    </row>
    <row r="6145" spans="2:2" ht="15" customHeight="1">
      <c r="B6145" s="190"/>
    </row>
    <row r="6146" spans="2:2" ht="15" customHeight="1">
      <c r="B6146" s="190"/>
    </row>
    <row r="6147" spans="2:2" ht="15" customHeight="1">
      <c r="B6147" s="190"/>
    </row>
    <row r="6148" spans="2:2" ht="15" customHeight="1">
      <c r="B6148" s="190"/>
    </row>
    <row r="6149" spans="2:2" ht="15" customHeight="1">
      <c r="B6149" s="190"/>
    </row>
    <row r="6150" spans="2:2" ht="15" customHeight="1">
      <c r="B6150" s="190"/>
    </row>
    <row r="6151" spans="2:2" ht="15" customHeight="1">
      <c r="B6151" s="190"/>
    </row>
    <row r="6152" spans="2:2" ht="15" customHeight="1">
      <c r="B6152" s="190"/>
    </row>
    <row r="6153" spans="2:2" ht="15" customHeight="1">
      <c r="B6153" s="190"/>
    </row>
    <row r="6154" spans="2:2" ht="15" customHeight="1">
      <c r="B6154" s="190"/>
    </row>
    <row r="6155" spans="2:2" ht="15" customHeight="1">
      <c r="B6155" s="190"/>
    </row>
    <row r="6156" spans="2:2" ht="15" customHeight="1">
      <c r="B6156" s="190"/>
    </row>
    <row r="6157" spans="2:2" ht="15" customHeight="1">
      <c r="B6157" s="190"/>
    </row>
    <row r="6158" spans="2:2" ht="15" customHeight="1">
      <c r="B6158" s="190"/>
    </row>
    <row r="6159" spans="2:2" ht="15" customHeight="1">
      <c r="B6159" s="190"/>
    </row>
    <row r="6160" spans="2:2" ht="15" customHeight="1">
      <c r="B6160" s="190"/>
    </row>
    <row r="6161" spans="2:2" ht="15" customHeight="1">
      <c r="B6161" s="190"/>
    </row>
    <row r="6162" spans="2:2" ht="15" customHeight="1">
      <c r="B6162" s="190"/>
    </row>
    <row r="6163" spans="2:2" ht="15" customHeight="1">
      <c r="B6163" s="190"/>
    </row>
    <row r="6164" spans="2:2" ht="15" customHeight="1">
      <c r="B6164" s="190"/>
    </row>
    <row r="6165" spans="2:2" ht="15" customHeight="1">
      <c r="B6165" s="190"/>
    </row>
    <row r="6166" spans="2:2" ht="15" customHeight="1">
      <c r="B6166" s="190"/>
    </row>
    <row r="6167" spans="2:2" ht="15" customHeight="1">
      <c r="B6167" s="190"/>
    </row>
    <row r="6168" spans="2:2" ht="15" customHeight="1">
      <c r="B6168" s="190"/>
    </row>
    <row r="6169" spans="2:2" ht="15" customHeight="1">
      <c r="B6169" s="190"/>
    </row>
    <row r="6170" spans="2:2" ht="15" customHeight="1">
      <c r="B6170" s="190"/>
    </row>
    <row r="6171" spans="2:2" ht="15" customHeight="1">
      <c r="B6171" s="190"/>
    </row>
    <row r="6172" spans="2:2" ht="15" customHeight="1">
      <c r="B6172" s="190"/>
    </row>
    <row r="6173" spans="2:2" ht="15" customHeight="1">
      <c r="B6173" s="190"/>
    </row>
    <row r="6174" spans="2:2" ht="15" customHeight="1">
      <c r="B6174" s="190"/>
    </row>
    <row r="6175" spans="2:2" ht="15" customHeight="1">
      <c r="B6175" s="190"/>
    </row>
    <row r="6176" spans="2:2" ht="15" customHeight="1">
      <c r="B6176" s="190"/>
    </row>
    <row r="6177" spans="2:2" ht="15" customHeight="1">
      <c r="B6177" s="190"/>
    </row>
    <row r="6178" spans="2:2" ht="15" customHeight="1">
      <c r="B6178" s="190"/>
    </row>
    <row r="6179" spans="2:2" ht="15" customHeight="1">
      <c r="B6179" s="190"/>
    </row>
    <row r="6180" spans="2:2" ht="15" customHeight="1">
      <c r="B6180" s="190"/>
    </row>
    <row r="6181" spans="2:2" ht="15" customHeight="1">
      <c r="B6181" s="190"/>
    </row>
    <row r="6182" spans="2:2" ht="15" customHeight="1">
      <c r="B6182" s="190"/>
    </row>
    <row r="6183" spans="2:2" ht="15" customHeight="1">
      <c r="B6183" s="190"/>
    </row>
    <row r="6184" spans="2:2" ht="15" customHeight="1">
      <c r="B6184" s="190"/>
    </row>
    <row r="6185" spans="2:2" ht="15" customHeight="1">
      <c r="B6185" s="190"/>
    </row>
    <row r="6186" spans="2:2" ht="15" customHeight="1">
      <c r="B6186" s="190"/>
    </row>
    <row r="6187" spans="2:2" ht="15" customHeight="1">
      <c r="B6187" s="190"/>
    </row>
    <row r="6188" spans="2:2" ht="15" customHeight="1">
      <c r="B6188" s="190"/>
    </row>
    <row r="6189" spans="2:2" ht="15" customHeight="1">
      <c r="B6189" s="190"/>
    </row>
    <row r="6190" spans="2:2" ht="15" customHeight="1">
      <c r="B6190" s="190"/>
    </row>
    <row r="6191" spans="2:2" ht="15" customHeight="1">
      <c r="B6191" s="190"/>
    </row>
    <row r="6192" spans="2:2" ht="15" customHeight="1">
      <c r="B6192" s="190"/>
    </row>
    <row r="6193" spans="2:2" ht="15" customHeight="1">
      <c r="B6193" s="190"/>
    </row>
    <row r="6194" spans="2:2" ht="15" customHeight="1">
      <c r="B6194" s="190"/>
    </row>
    <row r="6195" spans="2:2" ht="15" customHeight="1">
      <c r="B6195" s="190"/>
    </row>
    <row r="6196" spans="2:2" ht="15" customHeight="1">
      <c r="B6196" s="190"/>
    </row>
    <row r="6197" spans="2:2" ht="15" customHeight="1">
      <c r="B6197" s="190"/>
    </row>
    <row r="6198" spans="2:2" ht="15" customHeight="1">
      <c r="B6198" s="190"/>
    </row>
    <row r="6199" spans="2:2" ht="15" customHeight="1">
      <c r="B6199" s="190"/>
    </row>
    <row r="6200" spans="2:2" ht="15" customHeight="1">
      <c r="B6200" s="190"/>
    </row>
    <row r="6201" spans="2:2" ht="15" customHeight="1">
      <c r="B6201" s="190"/>
    </row>
    <row r="6202" spans="2:2" ht="15" customHeight="1">
      <c r="B6202" s="190"/>
    </row>
    <row r="6203" spans="2:2" ht="15" customHeight="1">
      <c r="B6203" s="190"/>
    </row>
    <row r="6204" spans="2:2" ht="15" customHeight="1">
      <c r="B6204" s="190"/>
    </row>
    <row r="6205" spans="2:2" ht="15" customHeight="1">
      <c r="B6205" s="190"/>
    </row>
    <row r="6206" spans="2:2" ht="15" customHeight="1">
      <c r="B6206" s="190"/>
    </row>
    <row r="6207" spans="2:2" ht="15" customHeight="1">
      <c r="B6207" s="190"/>
    </row>
    <row r="6208" spans="2:2" ht="15" customHeight="1">
      <c r="B6208" s="190"/>
    </row>
    <row r="6209" spans="2:2" ht="15" customHeight="1">
      <c r="B6209" s="190"/>
    </row>
    <row r="6210" spans="2:2" ht="15" customHeight="1">
      <c r="B6210" s="190"/>
    </row>
    <row r="6211" spans="2:2" ht="15" customHeight="1">
      <c r="B6211" s="190"/>
    </row>
    <row r="6212" spans="2:2" ht="15" customHeight="1">
      <c r="B6212" s="190"/>
    </row>
    <row r="6213" spans="2:2" ht="15" customHeight="1">
      <c r="B6213" s="190"/>
    </row>
    <row r="6214" spans="2:2" ht="15" customHeight="1">
      <c r="B6214" s="190"/>
    </row>
    <row r="6215" spans="2:2" ht="15" customHeight="1">
      <c r="B6215" s="190"/>
    </row>
    <row r="6216" spans="2:2" ht="15" customHeight="1">
      <c r="B6216" s="190"/>
    </row>
    <row r="6217" spans="2:2" ht="15" customHeight="1">
      <c r="B6217" s="190"/>
    </row>
    <row r="6218" spans="2:2" ht="15" customHeight="1">
      <c r="B6218" s="190"/>
    </row>
    <row r="6219" spans="2:2" ht="15" customHeight="1">
      <c r="B6219" s="190"/>
    </row>
    <row r="6220" spans="2:2" ht="15" customHeight="1">
      <c r="B6220" s="190"/>
    </row>
    <row r="6221" spans="2:2" ht="15" customHeight="1">
      <c r="B6221" s="190"/>
    </row>
    <row r="6222" spans="2:2" ht="15" customHeight="1">
      <c r="B6222" s="190"/>
    </row>
    <row r="6223" spans="2:2" ht="15" customHeight="1">
      <c r="B6223" s="190"/>
    </row>
    <row r="6224" spans="2:2" ht="15" customHeight="1">
      <c r="B6224" s="190"/>
    </row>
    <row r="6225" spans="2:2" ht="15" customHeight="1">
      <c r="B6225" s="190"/>
    </row>
    <row r="6226" spans="2:2" ht="15" customHeight="1">
      <c r="B6226" s="190"/>
    </row>
    <row r="6227" spans="2:2" ht="15" customHeight="1">
      <c r="B6227" s="190"/>
    </row>
    <row r="6228" spans="2:2" ht="15" customHeight="1">
      <c r="B6228" s="190"/>
    </row>
    <row r="6229" spans="2:2" ht="15" customHeight="1">
      <c r="B6229" s="190"/>
    </row>
    <row r="6230" spans="2:2" ht="15" customHeight="1">
      <c r="B6230" s="190"/>
    </row>
    <row r="6231" spans="2:2" ht="15" customHeight="1">
      <c r="B6231" s="190"/>
    </row>
    <row r="6232" spans="2:2" ht="15" customHeight="1">
      <c r="B6232" s="190"/>
    </row>
    <row r="6233" spans="2:2" ht="15" customHeight="1">
      <c r="B6233" s="190"/>
    </row>
    <row r="6234" spans="2:2" ht="15" customHeight="1">
      <c r="B6234" s="190"/>
    </row>
    <row r="6235" spans="2:2" ht="15" customHeight="1">
      <c r="B6235" s="190"/>
    </row>
    <row r="6236" spans="2:2" ht="15" customHeight="1">
      <c r="B6236" s="190"/>
    </row>
    <row r="6237" spans="2:2" ht="15" customHeight="1">
      <c r="B6237" s="190"/>
    </row>
    <row r="6238" spans="2:2" ht="15" customHeight="1">
      <c r="B6238" s="190"/>
    </row>
    <row r="6239" spans="2:2" ht="15" customHeight="1">
      <c r="B6239" s="190"/>
    </row>
    <row r="6240" spans="2:2" ht="15" customHeight="1">
      <c r="B6240" s="190"/>
    </row>
    <row r="6241" spans="2:2" ht="15" customHeight="1">
      <c r="B6241" s="190"/>
    </row>
    <row r="6242" spans="2:2" ht="15" customHeight="1">
      <c r="B6242" s="190"/>
    </row>
    <row r="6243" spans="2:2" ht="15" customHeight="1">
      <c r="B6243" s="190"/>
    </row>
    <row r="6244" spans="2:2" ht="15" customHeight="1">
      <c r="B6244" s="190"/>
    </row>
    <row r="6245" spans="2:2" ht="15" customHeight="1">
      <c r="B6245" s="190"/>
    </row>
    <row r="6246" spans="2:2" ht="15" customHeight="1">
      <c r="B6246" s="190"/>
    </row>
    <row r="6247" spans="2:2" ht="15" customHeight="1">
      <c r="B6247" s="190"/>
    </row>
    <row r="6248" spans="2:2" ht="15" customHeight="1">
      <c r="B6248" s="190"/>
    </row>
    <row r="6249" spans="2:2" ht="15" customHeight="1">
      <c r="B6249" s="190"/>
    </row>
    <row r="6250" spans="2:2" ht="15" customHeight="1">
      <c r="B6250" s="190"/>
    </row>
    <row r="6251" spans="2:2" ht="15" customHeight="1">
      <c r="B6251" s="190"/>
    </row>
    <row r="6252" spans="2:2" ht="15" customHeight="1">
      <c r="B6252" s="190"/>
    </row>
    <row r="6253" spans="2:2" ht="15" customHeight="1">
      <c r="B6253" s="190"/>
    </row>
    <row r="6254" spans="2:2" ht="15" customHeight="1">
      <c r="B6254" s="190"/>
    </row>
    <row r="6255" spans="2:2" ht="15" customHeight="1">
      <c r="B6255" s="190"/>
    </row>
    <row r="6256" spans="2:2" ht="15" customHeight="1">
      <c r="B6256" s="190"/>
    </row>
    <row r="6257" spans="2:2" ht="15" customHeight="1">
      <c r="B6257" s="190"/>
    </row>
    <row r="6258" spans="2:2" ht="15" customHeight="1">
      <c r="B6258" s="190"/>
    </row>
    <row r="6259" spans="2:2" ht="15" customHeight="1">
      <c r="B6259" s="190"/>
    </row>
    <row r="6260" spans="2:2" ht="15" customHeight="1">
      <c r="B6260" s="190"/>
    </row>
    <row r="6261" spans="2:2" ht="15" customHeight="1">
      <c r="B6261" s="190"/>
    </row>
    <row r="6262" spans="2:2" ht="15" customHeight="1">
      <c r="B6262" s="190"/>
    </row>
    <row r="6263" spans="2:2" ht="15" customHeight="1">
      <c r="B6263" s="190"/>
    </row>
    <row r="6264" spans="2:2" ht="15" customHeight="1">
      <c r="B6264" s="190"/>
    </row>
    <row r="6265" spans="2:2" ht="15" customHeight="1">
      <c r="B6265" s="190"/>
    </row>
    <row r="6266" spans="2:2" ht="15" customHeight="1">
      <c r="B6266" s="190"/>
    </row>
    <row r="6267" spans="2:2" ht="15" customHeight="1">
      <c r="B6267" s="190"/>
    </row>
    <row r="6268" spans="2:2" ht="15" customHeight="1">
      <c r="B6268" s="190"/>
    </row>
    <row r="6269" spans="2:2" ht="15" customHeight="1">
      <c r="B6269" s="190"/>
    </row>
    <row r="6270" spans="2:2" ht="15" customHeight="1">
      <c r="B6270" s="190"/>
    </row>
    <row r="6271" spans="2:2" ht="15" customHeight="1">
      <c r="B6271" s="190"/>
    </row>
    <row r="6272" spans="2:2" ht="15" customHeight="1">
      <c r="B6272" s="190"/>
    </row>
    <row r="6273" spans="2:2" ht="15" customHeight="1">
      <c r="B6273" s="190"/>
    </row>
    <row r="6274" spans="2:2" ht="15" customHeight="1">
      <c r="B6274" s="190"/>
    </row>
    <row r="6275" spans="2:2" ht="15" customHeight="1">
      <c r="B6275" s="190"/>
    </row>
    <row r="6276" spans="2:2" ht="15" customHeight="1">
      <c r="B6276" s="190"/>
    </row>
    <row r="6277" spans="2:2" ht="15" customHeight="1">
      <c r="B6277" s="190"/>
    </row>
    <row r="6278" spans="2:2" ht="15" customHeight="1">
      <c r="B6278" s="190"/>
    </row>
    <row r="6279" spans="2:2" ht="15" customHeight="1">
      <c r="B6279" s="190"/>
    </row>
    <row r="6280" spans="2:2" ht="15" customHeight="1">
      <c r="B6280" s="190"/>
    </row>
    <row r="6281" spans="2:2" ht="15" customHeight="1">
      <c r="B6281" s="190"/>
    </row>
    <row r="6282" spans="2:2" ht="15" customHeight="1">
      <c r="B6282" s="190"/>
    </row>
    <row r="6283" spans="2:2" ht="15" customHeight="1">
      <c r="B6283" s="190"/>
    </row>
    <row r="6284" spans="2:2" ht="15" customHeight="1">
      <c r="B6284" s="190"/>
    </row>
    <row r="6285" spans="2:2" ht="15" customHeight="1">
      <c r="B6285" s="190"/>
    </row>
    <row r="6286" spans="2:2" ht="15" customHeight="1">
      <c r="B6286" s="190"/>
    </row>
    <row r="6287" spans="2:2" ht="15" customHeight="1">
      <c r="B6287" s="190"/>
    </row>
    <row r="6288" spans="2:2" ht="15" customHeight="1">
      <c r="B6288" s="190"/>
    </row>
    <row r="6289" spans="2:2" ht="15" customHeight="1">
      <c r="B6289" s="190"/>
    </row>
    <row r="6290" spans="2:2" ht="15" customHeight="1">
      <c r="B6290" s="190"/>
    </row>
    <row r="6291" spans="2:2" ht="15" customHeight="1">
      <c r="B6291" s="190"/>
    </row>
    <row r="6292" spans="2:2" ht="15" customHeight="1">
      <c r="B6292" s="190"/>
    </row>
    <row r="6293" spans="2:2" ht="15" customHeight="1">
      <c r="B6293" s="190"/>
    </row>
    <row r="6294" spans="2:2" ht="15" customHeight="1">
      <c r="B6294" s="190"/>
    </row>
    <row r="6295" spans="2:2" ht="15" customHeight="1">
      <c r="B6295" s="190"/>
    </row>
    <row r="6296" spans="2:2" ht="15" customHeight="1">
      <c r="B6296" s="190"/>
    </row>
    <row r="6297" spans="2:2" ht="15" customHeight="1">
      <c r="B6297" s="190"/>
    </row>
    <row r="6298" spans="2:2" ht="15" customHeight="1">
      <c r="B6298" s="190"/>
    </row>
    <row r="6299" spans="2:2" ht="15" customHeight="1">
      <c r="B6299" s="190"/>
    </row>
    <row r="6300" spans="2:2" ht="15" customHeight="1">
      <c r="B6300" s="190"/>
    </row>
    <row r="6301" spans="2:2" ht="15" customHeight="1">
      <c r="B6301" s="190"/>
    </row>
    <row r="6302" spans="2:2" ht="15" customHeight="1">
      <c r="B6302" s="190"/>
    </row>
    <row r="6303" spans="2:2" ht="15" customHeight="1">
      <c r="B6303" s="190"/>
    </row>
    <row r="6304" spans="2:2" ht="15" customHeight="1">
      <c r="B6304" s="190"/>
    </row>
    <row r="6305" spans="2:2" ht="15" customHeight="1">
      <c r="B6305" s="190"/>
    </row>
    <row r="6306" spans="2:2" ht="15" customHeight="1">
      <c r="B6306" s="190"/>
    </row>
    <row r="6307" spans="2:2" ht="15" customHeight="1">
      <c r="B6307" s="190"/>
    </row>
    <row r="6308" spans="2:2" ht="15" customHeight="1">
      <c r="B6308" s="190"/>
    </row>
    <row r="6309" spans="2:2" ht="15" customHeight="1">
      <c r="B6309" s="190"/>
    </row>
    <row r="6310" spans="2:2" ht="15" customHeight="1">
      <c r="B6310" s="190"/>
    </row>
    <row r="6311" spans="2:2" ht="15" customHeight="1">
      <c r="B6311" s="190"/>
    </row>
    <row r="6312" spans="2:2" ht="15" customHeight="1">
      <c r="B6312" s="190"/>
    </row>
    <row r="6313" spans="2:2" ht="15" customHeight="1">
      <c r="B6313" s="190"/>
    </row>
    <row r="6314" spans="2:2" ht="15" customHeight="1">
      <c r="B6314" s="190"/>
    </row>
    <row r="6315" spans="2:2" ht="15" customHeight="1">
      <c r="B6315" s="190"/>
    </row>
    <row r="6316" spans="2:2" ht="15" customHeight="1">
      <c r="B6316" s="190"/>
    </row>
    <row r="6317" spans="2:2" ht="15" customHeight="1">
      <c r="B6317" s="190"/>
    </row>
    <row r="6318" spans="2:2" ht="15" customHeight="1">
      <c r="B6318" s="190"/>
    </row>
    <row r="6319" spans="2:2" ht="15" customHeight="1">
      <c r="B6319" s="190"/>
    </row>
    <row r="6320" spans="2:2" ht="15" customHeight="1">
      <c r="B6320" s="190"/>
    </row>
    <row r="6321" spans="2:2" ht="15" customHeight="1">
      <c r="B6321" s="190"/>
    </row>
    <row r="6322" spans="2:2" ht="15" customHeight="1">
      <c r="B6322" s="190"/>
    </row>
    <row r="6323" spans="2:2" ht="15" customHeight="1">
      <c r="B6323" s="190"/>
    </row>
    <row r="6324" spans="2:2" ht="15" customHeight="1">
      <c r="B6324" s="190"/>
    </row>
    <row r="6325" spans="2:2" ht="15" customHeight="1">
      <c r="B6325" s="190"/>
    </row>
    <row r="6326" spans="2:2" ht="15" customHeight="1">
      <c r="B6326" s="190"/>
    </row>
    <row r="6327" spans="2:2" ht="15" customHeight="1">
      <c r="B6327" s="190"/>
    </row>
    <row r="6328" spans="2:2" ht="15" customHeight="1">
      <c r="B6328" s="190"/>
    </row>
    <row r="6329" spans="2:2" ht="15" customHeight="1">
      <c r="B6329" s="190"/>
    </row>
    <row r="6330" spans="2:2" ht="15" customHeight="1">
      <c r="B6330" s="190"/>
    </row>
    <row r="6331" spans="2:2" ht="15" customHeight="1">
      <c r="B6331" s="190"/>
    </row>
    <row r="6332" spans="2:2" ht="15" customHeight="1">
      <c r="B6332" s="190"/>
    </row>
    <row r="6333" spans="2:2" ht="15" customHeight="1">
      <c r="B6333" s="190"/>
    </row>
    <row r="6334" spans="2:2" ht="15" customHeight="1">
      <c r="B6334" s="190"/>
    </row>
    <row r="6335" spans="2:2" ht="15" customHeight="1">
      <c r="B6335" s="190"/>
    </row>
    <row r="6336" spans="2:2" ht="15" customHeight="1">
      <c r="B6336" s="190"/>
    </row>
    <row r="6337" spans="2:2" ht="15" customHeight="1">
      <c r="B6337" s="190"/>
    </row>
    <row r="6338" spans="2:2" ht="15" customHeight="1">
      <c r="B6338" s="190"/>
    </row>
    <row r="6339" spans="2:2" ht="15" customHeight="1">
      <c r="B6339" s="190"/>
    </row>
    <row r="6340" spans="2:2" ht="15" customHeight="1">
      <c r="B6340" s="190"/>
    </row>
    <row r="6341" spans="2:2" ht="15" customHeight="1">
      <c r="B6341" s="190"/>
    </row>
    <row r="6342" spans="2:2" ht="15" customHeight="1">
      <c r="B6342" s="190"/>
    </row>
    <row r="6343" spans="2:2" ht="15" customHeight="1">
      <c r="B6343" s="190"/>
    </row>
    <row r="6344" spans="2:2" ht="15" customHeight="1">
      <c r="B6344" s="190"/>
    </row>
    <row r="6345" spans="2:2" ht="15" customHeight="1">
      <c r="B6345" s="190"/>
    </row>
    <row r="6346" spans="2:2" ht="15" customHeight="1">
      <c r="B6346" s="190"/>
    </row>
    <row r="6347" spans="2:2" ht="15" customHeight="1">
      <c r="B6347" s="190"/>
    </row>
    <row r="6348" spans="2:2" ht="15" customHeight="1">
      <c r="B6348" s="190"/>
    </row>
    <row r="6349" spans="2:2" ht="15" customHeight="1">
      <c r="B6349" s="190"/>
    </row>
    <row r="6350" spans="2:2" ht="15" customHeight="1">
      <c r="B6350" s="190"/>
    </row>
    <row r="6351" spans="2:2" ht="15" customHeight="1">
      <c r="B6351" s="190"/>
    </row>
    <row r="6352" spans="2:2" ht="15" customHeight="1">
      <c r="B6352" s="190"/>
    </row>
    <row r="6353" spans="2:2" ht="15" customHeight="1">
      <c r="B6353" s="190"/>
    </row>
    <row r="6354" spans="2:2" ht="15" customHeight="1">
      <c r="B6354" s="190"/>
    </row>
    <row r="6355" spans="2:2" ht="15" customHeight="1">
      <c r="B6355" s="190"/>
    </row>
    <row r="6356" spans="2:2" ht="15" customHeight="1">
      <c r="B6356" s="190"/>
    </row>
    <row r="6357" spans="2:2" ht="15" customHeight="1">
      <c r="B6357" s="190"/>
    </row>
    <row r="6358" spans="2:2" ht="15" customHeight="1">
      <c r="B6358" s="190"/>
    </row>
    <row r="6359" spans="2:2" ht="15" customHeight="1">
      <c r="B6359" s="190"/>
    </row>
    <row r="6360" spans="2:2" ht="15" customHeight="1">
      <c r="B6360" s="190"/>
    </row>
    <row r="6361" spans="2:2" ht="15" customHeight="1">
      <c r="B6361" s="190"/>
    </row>
    <row r="6362" spans="2:2" ht="15" customHeight="1">
      <c r="B6362" s="190"/>
    </row>
    <row r="6363" spans="2:2" ht="15" customHeight="1">
      <c r="B6363" s="190"/>
    </row>
    <row r="6364" spans="2:2" ht="15" customHeight="1">
      <c r="B6364" s="190"/>
    </row>
    <row r="6365" spans="2:2" ht="15" customHeight="1">
      <c r="B6365" s="190"/>
    </row>
    <row r="6366" spans="2:2" ht="15" customHeight="1">
      <c r="B6366" s="190"/>
    </row>
    <row r="6367" spans="2:2" ht="15" customHeight="1">
      <c r="B6367" s="190"/>
    </row>
    <row r="6368" spans="2:2" ht="15" customHeight="1">
      <c r="B6368" s="190"/>
    </row>
    <row r="6369" spans="2:2" ht="15" customHeight="1">
      <c r="B6369" s="190"/>
    </row>
    <row r="6370" spans="2:2" ht="15" customHeight="1">
      <c r="B6370" s="190"/>
    </row>
    <row r="6371" spans="2:2" ht="15" customHeight="1">
      <c r="B6371" s="190"/>
    </row>
    <row r="6372" spans="2:2" ht="15" customHeight="1">
      <c r="B6372" s="190"/>
    </row>
    <row r="6373" spans="2:2" ht="15" customHeight="1">
      <c r="B6373" s="190"/>
    </row>
    <row r="6374" spans="2:2" ht="15" customHeight="1">
      <c r="B6374" s="190"/>
    </row>
    <row r="6375" spans="2:2" ht="15" customHeight="1">
      <c r="B6375" s="190"/>
    </row>
    <row r="6376" spans="2:2" ht="15" customHeight="1">
      <c r="B6376" s="190"/>
    </row>
    <row r="6377" spans="2:2" ht="15" customHeight="1">
      <c r="B6377" s="190"/>
    </row>
    <row r="6378" spans="2:2" ht="15" customHeight="1">
      <c r="B6378" s="190"/>
    </row>
    <row r="6379" spans="2:2" ht="15" customHeight="1">
      <c r="B6379" s="190"/>
    </row>
    <row r="6380" spans="2:2" ht="15" customHeight="1">
      <c r="B6380" s="190"/>
    </row>
    <row r="6381" spans="2:2" ht="15" customHeight="1">
      <c r="B6381" s="190"/>
    </row>
    <row r="6382" spans="2:2" ht="15" customHeight="1">
      <c r="B6382" s="190"/>
    </row>
    <row r="6383" spans="2:2" ht="15" customHeight="1">
      <c r="B6383" s="190"/>
    </row>
    <row r="6384" spans="2:2" ht="15" customHeight="1">
      <c r="B6384" s="190"/>
    </row>
    <row r="6385" spans="2:2" ht="15" customHeight="1">
      <c r="B6385" s="190"/>
    </row>
    <row r="6386" spans="2:2" ht="15" customHeight="1">
      <c r="B6386" s="190"/>
    </row>
    <row r="6387" spans="2:2" ht="15" customHeight="1">
      <c r="B6387" s="190"/>
    </row>
    <row r="6388" spans="2:2" ht="15" customHeight="1">
      <c r="B6388" s="190"/>
    </row>
    <row r="6389" spans="2:2" ht="15" customHeight="1">
      <c r="B6389" s="190"/>
    </row>
    <row r="6390" spans="2:2" ht="15" customHeight="1">
      <c r="B6390" s="190"/>
    </row>
    <row r="6391" spans="2:2" ht="15" customHeight="1">
      <c r="B6391" s="190"/>
    </row>
    <row r="6392" spans="2:2" ht="15" customHeight="1">
      <c r="B6392" s="190"/>
    </row>
    <row r="6393" spans="2:2" ht="15" customHeight="1">
      <c r="B6393" s="190"/>
    </row>
    <row r="6394" spans="2:2" ht="15" customHeight="1">
      <c r="B6394" s="190"/>
    </row>
    <row r="6395" spans="2:2" ht="15" customHeight="1">
      <c r="B6395" s="190"/>
    </row>
    <row r="6396" spans="2:2" ht="15" customHeight="1">
      <c r="B6396" s="190"/>
    </row>
    <row r="6397" spans="2:2" ht="15" customHeight="1">
      <c r="B6397" s="190"/>
    </row>
    <row r="6398" spans="2:2" ht="15" customHeight="1">
      <c r="B6398" s="190"/>
    </row>
    <row r="6399" spans="2:2" ht="15" customHeight="1">
      <c r="B6399" s="190"/>
    </row>
    <row r="6400" spans="2:2" ht="15" customHeight="1">
      <c r="B6400" s="190"/>
    </row>
    <row r="6401" spans="2:2" ht="15" customHeight="1">
      <c r="B6401" s="190"/>
    </row>
    <row r="6402" spans="2:2" ht="15" customHeight="1">
      <c r="B6402" s="190"/>
    </row>
    <row r="6403" spans="2:2" ht="15" customHeight="1">
      <c r="B6403" s="190"/>
    </row>
    <row r="6404" spans="2:2" ht="15" customHeight="1">
      <c r="B6404" s="190"/>
    </row>
    <row r="6405" spans="2:2" ht="15" customHeight="1">
      <c r="B6405" s="190"/>
    </row>
    <row r="6406" spans="2:2" ht="15" customHeight="1">
      <c r="B6406" s="190"/>
    </row>
    <row r="6407" spans="2:2" ht="15" customHeight="1">
      <c r="B6407" s="190"/>
    </row>
    <row r="6408" spans="2:2" ht="15" customHeight="1">
      <c r="B6408" s="190"/>
    </row>
    <row r="6409" spans="2:2" ht="15" customHeight="1">
      <c r="B6409" s="190"/>
    </row>
    <row r="6410" spans="2:2" ht="15" customHeight="1">
      <c r="B6410" s="190"/>
    </row>
    <row r="6411" spans="2:2" ht="15" customHeight="1">
      <c r="B6411" s="190"/>
    </row>
    <row r="6412" spans="2:2" ht="15" customHeight="1">
      <c r="B6412" s="190"/>
    </row>
    <row r="6413" spans="2:2" ht="15" customHeight="1">
      <c r="B6413" s="190"/>
    </row>
    <row r="6414" spans="2:2" ht="15" customHeight="1">
      <c r="B6414" s="190"/>
    </row>
    <row r="6415" spans="2:2" ht="15" customHeight="1">
      <c r="B6415" s="190"/>
    </row>
    <row r="6416" spans="2:2" ht="15" customHeight="1">
      <c r="B6416" s="190"/>
    </row>
    <row r="6417" spans="2:2" ht="15" customHeight="1">
      <c r="B6417" s="190"/>
    </row>
    <row r="6418" spans="2:2" ht="15" customHeight="1">
      <c r="B6418" s="190"/>
    </row>
    <row r="6419" spans="2:2" ht="15" customHeight="1">
      <c r="B6419" s="190"/>
    </row>
    <row r="6420" spans="2:2" ht="15" customHeight="1">
      <c r="B6420" s="190"/>
    </row>
    <row r="6421" spans="2:2" ht="15" customHeight="1">
      <c r="B6421" s="190"/>
    </row>
    <row r="6422" spans="2:2" ht="15" customHeight="1">
      <c r="B6422" s="190"/>
    </row>
    <row r="6423" spans="2:2" ht="15" customHeight="1">
      <c r="B6423" s="190"/>
    </row>
    <row r="6424" spans="2:2" ht="15" customHeight="1">
      <c r="B6424" s="190"/>
    </row>
    <row r="6425" spans="2:2" ht="15" customHeight="1">
      <c r="B6425" s="190"/>
    </row>
    <row r="6426" spans="2:2" ht="15" customHeight="1">
      <c r="B6426" s="190"/>
    </row>
    <row r="6427" spans="2:2" ht="15" customHeight="1">
      <c r="B6427" s="190"/>
    </row>
    <row r="6428" spans="2:2" ht="15" customHeight="1">
      <c r="B6428" s="190"/>
    </row>
    <row r="6429" spans="2:2" ht="15" customHeight="1">
      <c r="B6429" s="190"/>
    </row>
    <row r="6430" spans="2:2" ht="15" customHeight="1">
      <c r="B6430" s="190"/>
    </row>
    <row r="6431" spans="2:2" ht="15" customHeight="1">
      <c r="B6431" s="190"/>
    </row>
    <row r="6432" spans="2:2" ht="15" customHeight="1">
      <c r="B6432" s="190"/>
    </row>
    <row r="6433" spans="2:2" ht="15" customHeight="1">
      <c r="B6433" s="190"/>
    </row>
    <row r="6434" spans="2:2" ht="15" customHeight="1">
      <c r="B6434" s="190"/>
    </row>
    <row r="6435" spans="2:2" ht="15" customHeight="1">
      <c r="B6435" s="190"/>
    </row>
    <row r="6436" spans="2:2" ht="15" customHeight="1">
      <c r="B6436" s="190"/>
    </row>
    <row r="6437" spans="2:2" ht="15" customHeight="1">
      <c r="B6437" s="190"/>
    </row>
    <row r="6438" spans="2:2" ht="15" customHeight="1">
      <c r="B6438" s="190"/>
    </row>
    <row r="6439" spans="2:2" ht="15" customHeight="1">
      <c r="B6439" s="190"/>
    </row>
    <row r="6440" spans="2:2" ht="15" customHeight="1">
      <c r="B6440" s="190"/>
    </row>
    <row r="6441" spans="2:2" ht="15" customHeight="1">
      <c r="B6441" s="190"/>
    </row>
    <row r="6442" spans="2:2" ht="15" customHeight="1">
      <c r="B6442" s="190"/>
    </row>
    <row r="6443" spans="2:2" ht="15" customHeight="1">
      <c r="B6443" s="190"/>
    </row>
    <row r="6444" spans="2:2" ht="15" customHeight="1">
      <c r="B6444" s="190"/>
    </row>
    <row r="6445" spans="2:2" ht="15" customHeight="1">
      <c r="B6445" s="190"/>
    </row>
    <row r="6446" spans="2:2" ht="15" customHeight="1">
      <c r="B6446" s="190"/>
    </row>
    <row r="6447" spans="2:2" ht="15" customHeight="1">
      <c r="B6447" s="190"/>
    </row>
    <row r="6448" spans="2:2" ht="15" customHeight="1">
      <c r="B6448" s="190"/>
    </row>
    <row r="6449" spans="2:2" ht="15" customHeight="1">
      <c r="B6449" s="190"/>
    </row>
    <row r="6450" spans="2:2" ht="15" customHeight="1">
      <c r="B6450" s="190"/>
    </row>
    <row r="6451" spans="2:2" ht="15" customHeight="1">
      <c r="B6451" s="190"/>
    </row>
    <row r="6452" spans="2:2" ht="15" customHeight="1">
      <c r="B6452" s="190"/>
    </row>
    <row r="6453" spans="2:2" ht="15" customHeight="1">
      <c r="B6453" s="190"/>
    </row>
    <row r="6454" spans="2:2" ht="15" customHeight="1">
      <c r="B6454" s="190"/>
    </row>
    <row r="6455" spans="2:2" ht="15" customHeight="1">
      <c r="B6455" s="190"/>
    </row>
    <row r="6456" spans="2:2" ht="15" customHeight="1">
      <c r="B6456" s="190"/>
    </row>
    <row r="6457" spans="2:2" ht="15" customHeight="1">
      <c r="B6457" s="190"/>
    </row>
    <row r="6458" spans="2:2" ht="15" customHeight="1">
      <c r="B6458" s="190"/>
    </row>
    <row r="6459" spans="2:2" ht="15" customHeight="1">
      <c r="B6459" s="190"/>
    </row>
    <row r="6460" spans="2:2" ht="15" customHeight="1">
      <c r="B6460" s="190"/>
    </row>
    <row r="6461" spans="2:2" ht="15" customHeight="1">
      <c r="B6461" s="190"/>
    </row>
    <row r="6462" spans="2:2" ht="15" customHeight="1">
      <c r="B6462" s="190"/>
    </row>
    <row r="6463" spans="2:2" ht="15" customHeight="1">
      <c r="B6463" s="190"/>
    </row>
    <row r="6464" spans="2:2" ht="15" customHeight="1">
      <c r="B6464" s="190"/>
    </row>
    <row r="6465" spans="2:2" ht="15" customHeight="1">
      <c r="B6465" s="190"/>
    </row>
    <row r="6466" spans="2:2" ht="15" customHeight="1">
      <c r="B6466" s="190"/>
    </row>
    <row r="6467" spans="2:2" ht="15" customHeight="1">
      <c r="B6467" s="190"/>
    </row>
    <row r="6468" spans="2:2" ht="15" customHeight="1">
      <c r="B6468" s="190"/>
    </row>
    <row r="6469" spans="2:2" ht="15" customHeight="1">
      <c r="B6469" s="190"/>
    </row>
    <row r="6470" spans="2:2" ht="15" customHeight="1">
      <c r="B6470" s="190"/>
    </row>
    <row r="6471" spans="2:2" ht="15" customHeight="1">
      <c r="B6471" s="190"/>
    </row>
    <row r="6472" spans="2:2" ht="15" customHeight="1">
      <c r="B6472" s="190"/>
    </row>
    <row r="6473" spans="2:2" ht="15" customHeight="1">
      <c r="B6473" s="190"/>
    </row>
    <row r="6474" spans="2:2" ht="15" customHeight="1">
      <c r="B6474" s="190"/>
    </row>
    <row r="6475" spans="2:2" ht="15" customHeight="1">
      <c r="B6475" s="190"/>
    </row>
    <row r="6476" spans="2:2" ht="15" customHeight="1">
      <c r="B6476" s="190"/>
    </row>
    <row r="6477" spans="2:2" ht="15" customHeight="1">
      <c r="B6477" s="190"/>
    </row>
    <row r="6478" spans="2:2" ht="15" customHeight="1">
      <c r="B6478" s="190"/>
    </row>
    <row r="6479" spans="2:2" ht="15" customHeight="1">
      <c r="B6479" s="190"/>
    </row>
    <row r="6480" spans="2:2" ht="15" customHeight="1">
      <c r="B6480" s="190"/>
    </row>
    <row r="6481" spans="2:2" ht="15" customHeight="1">
      <c r="B6481" s="190"/>
    </row>
    <row r="6482" spans="2:2" ht="15" customHeight="1">
      <c r="B6482" s="190"/>
    </row>
    <row r="6483" spans="2:2" ht="15" customHeight="1">
      <c r="B6483" s="190"/>
    </row>
    <row r="6484" spans="2:2" ht="15" customHeight="1">
      <c r="B6484" s="190"/>
    </row>
    <row r="6485" spans="2:2" ht="15" customHeight="1">
      <c r="B6485" s="190"/>
    </row>
    <row r="6486" spans="2:2" ht="15" customHeight="1">
      <c r="B6486" s="190"/>
    </row>
    <row r="6487" spans="2:2" ht="15" customHeight="1">
      <c r="B6487" s="190"/>
    </row>
    <row r="6488" spans="2:2" ht="15" customHeight="1">
      <c r="B6488" s="190"/>
    </row>
    <row r="6489" spans="2:2" ht="15" customHeight="1">
      <c r="B6489" s="190"/>
    </row>
    <row r="6490" spans="2:2" ht="15" customHeight="1">
      <c r="B6490" s="190"/>
    </row>
    <row r="6491" spans="2:2" ht="15" customHeight="1">
      <c r="B6491" s="190"/>
    </row>
    <row r="6492" spans="2:2" ht="15" customHeight="1">
      <c r="B6492" s="190"/>
    </row>
    <row r="6493" spans="2:2" ht="15" customHeight="1">
      <c r="B6493" s="190"/>
    </row>
    <row r="6494" spans="2:2" ht="15" customHeight="1">
      <c r="B6494" s="190"/>
    </row>
    <row r="6495" spans="2:2" ht="15" customHeight="1">
      <c r="B6495" s="190"/>
    </row>
    <row r="6496" spans="2:2" ht="15" customHeight="1">
      <c r="B6496" s="190"/>
    </row>
    <row r="6497" spans="2:2" ht="15" customHeight="1">
      <c r="B6497" s="190"/>
    </row>
    <row r="6498" spans="2:2" ht="15" customHeight="1">
      <c r="B6498" s="190"/>
    </row>
    <row r="6499" spans="2:2" ht="15" customHeight="1">
      <c r="B6499" s="190"/>
    </row>
    <row r="6500" spans="2:2" ht="15" customHeight="1">
      <c r="B6500" s="190"/>
    </row>
    <row r="6501" spans="2:2" ht="15" customHeight="1">
      <c r="B6501" s="190"/>
    </row>
    <row r="6502" spans="2:2" ht="15" customHeight="1">
      <c r="B6502" s="190"/>
    </row>
    <row r="6503" spans="2:2" ht="15" customHeight="1">
      <c r="B6503" s="190"/>
    </row>
    <row r="6504" spans="2:2" ht="15" customHeight="1">
      <c r="B6504" s="190"/>
    </row>
    <row r="6505" spans="2:2" ht="15" customHeight="1">
      <c r="B6505" s="190"/>
    </row>
    <row r="6506" spans="2:2" ht="15" customHeight="1">
      <c r="B6506" s="190"/>
    </row>
    <row r="6507" spans="2:2" ht="15" customHeight="1">
      <c r="B6507" s="190"/>
    </row>
    <row r="6508" spans="2:2" ht="15" customHeight="1">
      <c r="B6508" s="190"/>
    </row>
    <row r="6509" spans="2:2" ht="15" customHeight="1">
      <c r="B6509" s="190"/>
    </row>
    <row r="6510" spans="2:2" ht="15" customHeight="1">
      <c r="B6510" s="190"/>
    </row>
    <row r="6511" spans="2:2" ht="15" customHeight="1">
      <c r="B6511" s="190"/>
    </row>
    <row r="6512" spans="2:2" ht="15" customHeight="1">
      <c r="B6512" s="190"/>
    </row>
    <row r="6513" spans="2:2" ht="15" customHeight="1">
      <c r="B6513" s="190"/>
    </row>
    <row r="6514" spans="2:2" ht="15" customHeight="1">
      <c r="B6514" s="190"/>
    </row>
    <row r="6515" spans="2:2" ht="15" customHeight="1">
      <c r="B6515" s="190"/>
    </row>
    <row r="6516" spans="2:2" ht="15" customHeight="1">
      <c r="B6516" s="190"/>
    </row>
    <row r="6517" spans="2:2" ht="15" customHeight="1">
      <c r="B6517" s="190"/>
    </row>
    <row r="6518" spans="2:2" ht="15" customHeight="1">
      <c r="B6518" s="190"/>
    </row>
    <row r="6519" spans="2:2" ht="15" customHeight="1">
      <c r="B6519" s="190"/>
    </row>
    <row r="6520" spans="2:2" ht="15" customHeight="1">
      <c r="B6520" s="190"/>
    </row>
    <row r="6521" spans="2:2" ht="15" customHeight="1">
      <c r="B6521" s="190"/>
    </row>
    <row r="6522" spans="2:2" ht="15" customHeight="1">
      <c r="B6522" s="190"/>
    </row>
    <row r="6523" spans="2:2" ht="15" customHeight="1">
      <c r="B6523" s="190"/>
    </row>
    <row r="6524" spans="2:2" ht="15" customHeight="1">
      <c r="B6524" s="190"/>
    </row>
    <row r="6525" spans="2:2" ht="15" customHeight="1">
      <c r="B6525" s="190"/>
    </row>
    <row r="6526" spans="2:2" ht="15" customHeight="1">
      <c r="B6526" s="190"/>
    </row>
    <row r="6527" spans="2:2" ht="15" customHeight="1">
      <c r="B6527" s="190"/>
    </row>
    <row r="6528" spans="2:2" ht="15" customHeight="1">
      <c r="B6528" s="190"/>
    </row>
    <row r="6529" spans="2:2" ht="15" customHeight="1">
      <c r="B6529" s="190"/>
    </row>
    <row r="6530" spans="2:2" ht="15" customHeight="1">
      <c r="B6530" s="190"/>
    </row>
    <row r="6531" spans="2:2" ht="15" customHeight="1">
      <c r="B6531" s="190"/>
    </row>
    <row r="6532" spans="2:2" ht="15" customHeight="1">
      <c r="B6532" s="190"/>
    </row>
    <row r="6533" spans="2:2" ht="15" customHeight="1">
      <c r="B6533" s="190"/>
    </row>
    <row r="6534" spans="2:2" ht="15" customHeight="1">
      <c r="B6534" s="190"/>
    </row>
    <row r="6535" spans="2:2" ht="15" customHeight="1">
      <c r="B6535" s="190"/>
    </row>
    <row r="6536" spans="2:2" ht="15" customHeight="1">
      <c r="B6536" s="190"/>
    </row>
    <row r="6537" spans="2:2" ht="15" customHeight="1">
      <c r="B6537" s="190"/>
    </row>
    <row r="6538" spans="2:2" ht="15" customHeight="1">
      <c r="B6538" s="190"/>
    </row>
    <row r="6539" spans="2:2" ht="15" customHeight="1">
      <c r="B6539" s="190"/>
    </row>
    <row r="6540" spans="2:2" ht="15" customHeight="1">
      <c r="B6540" s="190"/>
    </row>
    <row r="6541" spans="2:2" ht="15" customHeight="1">
      <c r="B6541" s="190"/>
    </row>
    <row r="6542" spans="2:2" ht="15" customHeight="1">
      <c r="B6542" s="190"/>
    </row>
    <row r="6543" spans="2:2" ht="15" customHeight="1">
      <c r="B6543" s="190"/>
    </row>
    <row r="6544" spans="2:2" ht="15" customHeight="1">
      <c r="B6544" s="190"/>
    </row>
    <row r="6545" spans="2:2" ht="15" customHeight="1">
      <c r="B6545" s="190"/>
    </row>
    <row r="6546" spans="2:2" ht="15" customHeight="1">
      <c r="B6546" s="190"/>
    </row>
    <row r="6547" spans="2:2" ht="15" customHeight="1">
      <c r="B6547" s="190"/>
    </row>
    <row r="6548" spans="2:2" ht="15" customHeight="1">
      <c r="B6548" s="190"/>
    </row>
    <row r="6549" spans="2:2" ht="15" customHeight="1">
      <c r="B6549" s="190"/>
    </row>
    <row r="6550" spans="2:2" ht="15" customHeight="1">
      <c r="B6550" s="190"/>
    </row>
    <row r="6551" spans="2:2" ht="15" customHeight="1">
      <c r="B6551" s="190"/>
    </row>
    <row r="6552" spans="2:2" ht="15" customHeight="1">
      <c r="B6552" s="190"/>
    </row>
    <row r="6553" spans="2:2" ht="15" customHeight="1">
      <c r="B6553" s="190"/>
    </row>
    <row r="6554" spans="2:2" ht="15" customHeight="1">
      <c r="B6554" s="190"/>
    </row>
    <row r="6555" spans="2:2" ht="15" customHeight="1">
      <c r="B6555" s="190"/>
    </row>
    <row r="6556" spans="2:2" ht="15" customHeight="1">
      <c r="B6556" s="190"/>
    </row>
    <row r="6557" spans="2:2" ht="15" customHeight="1">
      <c r="B6557" s="190"/>
    </row>
    <row r="6558" spans="2:2" ht="15" customHeight="1">
      <c r="B6558" s="190"/>
    </row>
    <row r="6559" spans="2:2" ht="15" customHeight="1">
      <c r="B6559" s="190"/>
    </row>
    <row r="6560" spans="2:2" ht="15" customHeight="1">
      <c r="B6560" s="190"/>
    </row>
    <row r="6561" spans="2:2" ht="15" customHeight="1">
      <c r="B6561" s="190"/>
    </row>
    <row r="6562" spans="2:2" ht="15" customHeight="1">
      <c r="B6562" s="190"/>
    </row>
    <row r="6563" spans="2:2" ht="15" customHeight="1">
      <c r="B6563" s="190"/>
    </row>
    <row r="6564" spans="2:2" ht="15" customHeight="1">
      <c r="B6564" s="190"/>
    </row>
    <row r="6565" spans="2:2" ht="15" customHeight="1">
      <c r="B6565" s="190"/>
    </row>
    <row r="6566" spans="2:2" ht="15" customHeight="1">
      <c r="B6566" s="190"/>
    </row>
    <row r="6567" spans="2:2" ht="15" customHeight="1">
      <c r="B6567" s="190"/>
    </row>
    <row r="6568" spans="2:2" ht="15" customHeight="1">
      <c r="B6568" s="190"/>
    </row>
    <row r="6569" spans="2:2" ht="15" customHeight="1">
      <c r="B6569" s="190"/>
    </row>
    <row r="6570" spans="2:2" ht="15" customHeight="1">
      <c r="B6570" s="190"/>
    </row>
    <row r="6571" spans="2:2" ht="15" customHeight="1">
      <c r="B6571" s="190"/>
    </row>
    <row r="6572" spans="2:2" ht="15" customHeight="1">
      <c r="B6572" s="190"/>
    </row>
    <row r="6573" spans="2:2" ht="15" customHeight="1">
      <c r="B6573" s="190"/>
    </row>
    <row r="6574" spans="2:2" ht="15" customHeight="1">
      <c r="B6574" s="190"/>
    </row>
    <row r="6575" spans="2:2" ht="15" customHeight="1">
      <c r="B6575" s="190"/>
    </row>
    <row r="6576" spans="2:2" ht="15" customHeight="1">
      <c r="B6576" s="190"/>
    </row>
    <row r="6577" spans="2:2" ht="15" customHeight="1">
      <c r="B6577" s="190"/>
    </row>
    <row r="6578" spans="2:2" ht="15" customHeight="1">
      <c r="B6578" s="190"/>
    </row>
    <row r="6579" spans="2:2" ht="15" customHeight="1">
      <c r="B6579" s="190"/>
    </row>
    <row r="6580" spans="2:2" ht="15" customHeight="1">
      <c r="B6580" s="190"/>
    </row>
    <row r="6581" spans="2:2" ht="15" customHeight="1">
      <c r="B6581" s="190"/>
    </row>
    <row r="6582" spans="2:2" ht="15" customHeight="1">
      <c r="B6582" s="190"/>
    </row>
    <row r="6583" spans="2:2" ht="15" customHeight="1">
      <c r="B6583" s="190"/>
    </row>
    <row r="6584" spans="2:2" ht="15" customHeight="1">
      <c r="B6584" s="190"/>
    </row>
    <row r="6585" spans="2:2" ht="15" customHeight="1">
      <c r="B6585" s="190"/>
    </row>
    <row r="6586" spans="2:2" ht="15" customHeight="1">
      <c r="B6586" s="190"/>
    </row>
    <row r="6587" spans="2:2" ht="15" customHeight="1">
      <c r="B6587" s="190"/>
    </row>
    <row r="6588" spans="2:2" ht="15" customHeight="1">
      <c r="B6588" s="190"/>
    </row>
    <row r="6589" spans="2:2" ht="15" customHeight="1">
      <c r="B6589" s="190"/>
    </row>
    <row r="6590" spans="2:2" ht="15" customHeight="1">
      <c r="B6590" s="190"/>
    </row>
    <row r="6591" spans="2:2" ht="15" customHeight="1">
      <c r="B6591" s="190"/>
    </row>
    <row r="6592" spans="2:2" ht="15" customHeight="1">
      <c r="B6592" s="190"/>
    </row>
    <row r="6593" spans="2:2" ht="15" customHeight="1">
      <c r="B6593" s="190"/>
    </row>
    <row r="6594" spans="2:2" ht="15" customHeight="1">
      <c r="B6594" s="190"/>
    </row>
    <row r="6595" spans="2:2" ht="15" customHeight="1">
      <c r="B6595" s="190"/>
    </row>
    <row r="6596" spans="2:2" ht="15" customHeight="1">
      <c r="B6596" s="190"/>
    </row>
    <row r="6597" spans="2:2" ht="15" customHeight="1">
      <c r="B6597" s="190"/>
    </row>
    <row r="6598" spans="2:2" ht="15" customHeight="1">
      <c r="B6598" s="190"/>
    </row>
    <row r="6599" spans="2:2" ht="15" customHeight="1">
      <c r="B6599" s="190"/>
    </row>
    <row r="6600" spans="2:2" ht="15" customHeight="1">
      <c r="B6600" s="190"/>
    </row>
    <row r="6601" spans="2:2" ht="15" customHeight="1">
      <c r="B6601" s="190"/>
    </row>
    <row r="6602" spans="2:2" ht="15" customHeight="1">
      <c r="B6602" s="190"/>
    </row>
    <row r="6603" spans="2:2" ht="15" customHeight="1">
      <c r="B6603" s="190"/>
    </row>
    <row r="6604" spans="2:2" ht="15" customHeight="1">
      <c r="B6604" s="190"/>
    </row>
    <row r="6605" spans="2:2" ht="15" customHeight="1">
      <c r="B6605" s="190"/>
    </row>
    <row r="6606" spans="2:2" ht="15" customHeight="1">
      <c r="B6606" s="190"/>
    </row>
    <row r="6607" spans="2:2" ht="15" customHeight="1">
      <c r="B6607" s="190"/>
    </row>
    <row r="6608" spans="2:2" ht="15" customHeight="1">
      <c r="B6608" s="190"/>
    </row>
    <row r="6609" spans="2:2" ht="15" customHeight="1">
      <c r="B6609" s="190"/>
    </row>
    <row r="6610" spans="2:2" ht="15" customHeight="1">
      <c r="B6610" s="190"/>
    </row>
    <row r="6611" spans="2:2" ht="15" customHeight="1">
      <c r="B6611" s="190"/>
    </row>
    <row r="6612" spans="2:2" ht="15" customHeight="1">
      <c r="B6612" s="190"/>
    </row>
    <row r="6613" spans="2:2" ht="15" customHeight="1">
      <c r="B6613" s="190"/>
    </row>
    <row r="6614" spans="2:2" ht="15" customHeight="1">
      <c r="B6614" s="190"/>
    </row>
    <row r="6615" spans="2:2" ht="15" customHeight="1">
      <c r="B6615" s="190"/>
    </row>
    <row r="6616" spans="2:2" ht="15" customHeight="1">
      <c r="B6616" s="190"/>
    </row>
    <row r="6617" spans="2:2" ht="15" customHeight="1">
      <c r="B6617" s="190"/>
    </row>
    <row r="6618" spans="2:2" ht="15" customHeight="1">
      <c r="B6618" s="190"/>
    </row>
    <row r="6619" spans="2:2" ht="15" customHeight="1">
      <c r="B6619" s="190"/>
    </row>
    <row r="6620" spans="2:2" ht="15" customHeight="1">
      <c r="B6620" s="190"/>
    </row>
    <row r="6621" spans="2:2" ht="15" customHeight="1">
      <c r="B6621" s="190"/>
    </row>
    <row r="6622" spans="2:2" ht="15" customHeight="1">
      <c r="B6622" s="190"/>
    </row>
    <row r="6623" spans="2:2" ht="15" customHeight="1">
      <c r="B6623" s="190"/>
    </row>
    <row r="6624" spans="2:2" ht="15" customHeight="1">
      <c r="B6624" s="190"/>
    </row>
    <row r="6625" spans="2:2" ht="15" customHeight="1">
      <c r="B6625" s="190"/>
    </row>
    <row r="6626" spans="2:2" ht="15" customHeight="1">
      <c r="B6626" s="190"/>
    </row>
    <row r="6627" spans="2:2" ht="15" customHeight="1">
      <c r="B6627" s="190"/>
    </row>
    <row r="6628" spans="2:2" ht="15" customHeight="1">
      <c r="B6628" s="190"/>
    </row>
    <row r="6629" spans="2:2" ht="15" customHeight="1">
      <c r="B6629" s="190"/>
    </row>
    <row r="6630" spans="2:2" ht="15" customHeight="1">
      <c r="B6630" s="190"/>
    </row>
    <row r="6631" spans="2:2" ht="15" customHeight="1">
      <c r="B6631" s="190"/>
    </row>
    <row r="6632" spans="2:2" ht="15" customHeight="1">
      <c r="B6632" s="190"/>
    </row>
    <row r="6633" spans="2:2" ht="15" customHeight="1">
      <c r="B6633" s="190"/>
    </row>
    <row r="6634" spans="2:2" ht="15" customHeight="1">
      <c r="B6634" s="190"/>
    </row>
    <row r="6635" spans="2:2" ht="15" customHeight="1">
      <c r="B6635" s="190"/>
    </row>
    <row r="6636" spans="2:2" ht="15" customHeight="1">
      <c r="B6636" s="190"/>
    </row>
    <row r="6637" spans="2:2" ht="15" customHeight="1">
      <c r="B6637" s="190"/>
    </row>
    <row r="6638" spans="2:2" ht="15" customHeight="1">
      <c r="B6638" s="190"/>
    </row>
    <row r="6639" spans="2:2" ht="15" customHeight="1">
      <c r="B6639" s="190"/>
    </row>
    <row r="6640" spans="2:2" ht="15" customHeight="1">
      <c r="B6640" s="190"/>
    </row>
    <row r="6641" spans="2:2" ht="15" customHeight="1">
      <c r="B6641" s="190"/>
    </row>
    <row r="6642" spans="2:2" ht="15" customHeight="1">
      <c r="B6642" s="190"/>
    </row>
    <row r="6643" spans="2:2" ht="15" customHeight="1">
      <c r="B6643" s="190"/>
    </row>
    <row r="6644" spans="2:2" ht="15" customHeight="1">
      <c r="B6644" s="190"/>
    </row>
    <row r="6645" spans="2:2" ht="15" customHeight="1">
      <c r="B6645" s="190"/>
    </row>
    <row r="6646" spans="2:2" ht="15" customHeight="1">
      <c r="B6646" s="190"/>
    </row>
    <row r="6647" spans="2:2" ht="15" customHeight="1">
      <c r="B6647" s="190"/>
    </row>
    <row r="6648" spans="2:2" ht="15" customHeight="1">
      <c r="B6648" s="190"/>
    </row>
    <row r="6649" spans="2:2" ht="15" customHeight="1">
      <c r="B6649" s="190"/>
    </row>
    <row r="6650" spans="2:2" ht="15" customHeight="1">
      <c r="B6650" s="190"/>
    </row>
    <row r="6651" spans="2:2" ht="15" customHeight="1">
      <c r="B6651" s="190"/>
    </row>
    <row r="6652" spans="2:2" ht="15" customHeight="1">
      <c r="B6652" s="190"/>
    </row>
    <row r="6653" spans="2:2" ht="15" customHeight="1">
      <c r="B6653" s="190"/>
    </row>
    <row r="6654" spans="2:2" ht="15" customHeight="1">
      <c r="B6654" s="190"/>
    </row>
    <row r="6655" spans="2:2" ht="15" customHeight="1">
      <c r="B6655" s="190"/>
    </row>
    <row r="6656" spans="2:2" ht="15" customHeight="1">
      <c r="B6656" s="190"/>
    </row>
    <row r="6657" spans="2:2" ht="15" customHeight="1">
      <c r="B6657" s="190"/>
    </row>
    <row r="6658" spans="2:2" ht="15" customHeight="1">
      <c r="B6658" s="190"/>
    </row>
    <row r="6659" spans="2:2" ht="15" customHeight="1">
      <c r="B6659" s="190"/>
    </row>
    <row r="6660" spans="2:2" ht="15" customHeight="1">
      <c r="B6660" s="190"/>
    </row>
    <row r="6661" spans="2:2" ht="15" customHeight="1">
      <c r="B6661" s="190"/>
    </row>
    <row r="6662" spans="2:2" ht="15" customHeight="1">
      <c r="B6662" s="190"/>
    </row>
    <row r="6663" spans="2:2" ht="15" customHeight="1">
      <c r="B6663" s="190"/>
    </row>
    <row r="6664" spans="2:2" ht="15" customHeight="1">
      <c r="B6664" s="190"/>
    </row>
    <row r="6665" spans="2:2" ht="15" customHeight="1">
      <c r="B6665" s="190"/>
    </row>
    <row r="6666" spans="2:2" ht="15" customHeight="1">
      <c r="B6666" s="190"/>
    </row>
    <row r="6667" spans="2:2" ht="15" customHeight="1">
      <c r="B6667" s="190"/>
    </row>
    <row r="6668" spans="2:2" ht="15" customHeight="1">
      <c r="B6668" s="190"/>
    </row>
    <row r="6669" spans="2:2" ht="15" customHeight="1">
      <c r="B6669" s="190"/>
    </row>
    <row r="6670" spans="2:2" ht="15" customHeight="1">
      <c r="B6670" s="190"/>
    </row>
    <row r="6671" spans="2:2" ht="15" customHeight="1">
      <c r="B6671" s="190"/>
    </row>
    <row r="6672" spans="2:2" ht="15" customHeight="1">
      <c r="B6672" s="190"/>
    </row>
    <row r="6673" spans="2:2" ht="15" customHeight="1">
      <c r="B6673" s="190"/>
    </row>
    <row r="6674" spans="2:2" ht="15" customHeight="1">
      <c r="B6674" s="190"/>
    </row>
    <row r="6675" spans="2:2" ht="15" customHeight="1">
      <c r="B6675" s="190"/>
    </row>
    <row r="6676" spans="2:2" ht="15" customHeight="1">
      <c r="B6676" s="190"/>
    </row>
    <row r="6677" spans="2:2" ht="15" customHeight="1">
      <c r="B6677" s="190"/>
    </row>
    <row r="6678" spans="2:2" ht="15" customHeight="1">
      <c r="B6678" s="190"/>
    </row>
    <row r="6679" spans="2:2" ht="15" customHeight="1">
      <c r="B6679" s="190"/>
    </row>
    <row r="6680" spans="2:2" ht="15" customHeight="1">
      <c r="B6680" s="190"/>
    </row>
    <row r="6681" spans="2:2" ht="15" customHeight="1">
      <c r="B6681" s="190"/>
    </row>
    <row r="6682" spans="2:2" ht="15" customHeight="1">
      <c r="B6682" s="190"/>
    </row>
    <row r="6683" spans="2:2" ht="15" customHeight="1">
      <c r="B6683" s="190"/>
    </row>
    <row r="6684" spans="2:2" ht="15" customHeight="1">
      <c r="B6684" s="190"/>
    </row>
    <row r="6685" spans="2:2" ht="15" customHeight="1">
      <c r="B6685" s="190"/>
    </row>
    <row r="6686" spans="2:2" ht="15" customHeight="1">
      <c r="B6686" s="190"/>
    </row>
    <row r="6687" spans="2:2" ht="15" customHeight="1">
      <c r="B6687" s="190"/>
    </row>
    <row r="6688" spans="2:2" ht="15" customHeight="1">
      <c r="B6688" s="190"/>
    </row>
    <row r="6689" spans="2:2" ht="15" customHeight="1">
      <c r="B6689" s="190"/>
    </row>
    <row r="6690" spans="2:2" ht="15" customHeight="1">
      <c r="B6690" s="190"/>
    </row>
    <row r="6691" spans="2:2" ht="15" customHeight="1">
      <c r="B6691" s="190"/>
    </row>
    <row r="6692" spans="2:2" ht="15" customHeight="1">
      <c r="B6692" s="190"/>
    </row>
    <row r="6693" spans="2:2" ht="15" customHeight="1">
      <c r="B6693" s="190"/>
    </row>
    <row r="6694" spans="2:2" ht="15" customHeight="1">
      <c r="B6694" s="190"/>
    </row>
    <row r="6695" spans="2:2" ht="15" customHeight="1">
      <c r="B6695" s="190"/>
    </row>
    <row r="6696" spans="2:2" ht="15" customHeight="1">
      <c r="B6696" s="190"/>
    </row>
    <row r="6697" spans="2:2" ht="15" customHeight="1">
      <c r="B6697" s="190"/>
    </row>
    <row r="6698" spans="2:2" ht="15" customHeight="1">
      <c r="B6698" s="190"/>
    </row>
    <row r="6699" spans="2:2" ht="15" customHeight="1">
      <c r="B6699" s="190"/>
    </row>
    <row r="6700" spans="2:2" ht="15" customHeight="1">
      <c r="B6700" s="190"/>
    </row>
    <row r="6701" spans="2:2" ht="15" customHeight="1">
      <c r="B6701" s="190"/>
    </row>
    <row r="6702" spans="2:2" ht="15" customHeight="1">
      <c r="B6702" s="190"/>
    </row>
    <row r="6703" spans="2:2" ht="15" customHeight="1">
      <c r="B6703" s="190"/>
    </row>
    <row r="6704" spans="2:2" ht="15" customHeight="1">
      <c r="B6704" s="190"/>
    </row>
    <row r="6705" spans="2:2" ht="15" customHeight="1">
      <c r="B6705" s="190"/>
    </row>
    <row r="6706" spans="2:2" ht="15" customHeight="1">
      <c r="B6706" s="190"/>
    </row>
    <row r="6707" spans="2:2" ht="15" customHeight="1">
      <c r="B6707" s="190"/>
    </row>
    <row r="6708" spans="2:2" ht="15" customHeight="1">
      <c r="B6708" s="190"/>
    </row>
    <row r="6709" spans="2:2" ht="15" customHeight="1">
      <c r="B6709" s="190"/>
    </row>
    <row r="6710" spans="2:2" ht="15" customHeight="1">
      <c r="B6710" s="190"/>
    </row>
    <row r="6711" spans="2:2" ht="15" customHeight="1">
      <c r="B6711" s="190"/>
    </row>
    <row r="6712" spans="2:2" ht="15" customHeight="1">
      <c r="B6712" s="190"/>
    </row>
    <row r="6713" spans="2:2" ht="15" customHeight="1">
      <c r="B6713" s="190"/>
    </row>
    <row r="6714" spans="2:2" ht="15" customHeight="1">
      <c r="B6714" s="190"/>
    </row>
    <row r="6715" spans="2:2" ht="15" customHeight="1">
      <c r="B6715" s="190"/>
    </row>
    <row r="6716" spans="2:2" ht="15" customHeight="1">
      <c r="B6716" s="190"/>
    </row>
    <row r="6717" spans="2:2" ht="15" customHeight="1">
      <c r="B6717" s="190"/>
    </row>
    <row r="6718" spans="2:2" ht="15" customHeight="1">
      <c r="B6718" s="190"/>
    </row>
    <row r="6719" spans="2:2" ht="15" customHeight="1">
      <c r="B6719" s="190"/>
    </row>
    <row r="6720" spans="2:2" ht="15" customHeight="1">
      <c r="B6720" s="190"/>
    </row>
    <row r="6721" spans="2:2" ht="15" customHeight="1">
      <c r="B6721" s="190"/>
    </row>
    <row r="6722" spans="2:2" ht="15" customHeight="1">
      <c r="B6722" s="190"/>
    </row>
    <row r="6723" spans="2:2" ht="15" customHeight="1">
      <c r="B6723" s="190"/>
    </row>
    <row r="6724" spans="2:2" ht="15" customHeight="1">
      <c r="B6724" s="190"/>
    </row>
    <row r="6725" spans="2:2" ht="15" customHeight="1">
      <c r="B6725" s="190"/>
    </row>
    <row r="6726" spans="2:2" ht="15" customHeight="1">
      <c r="B6726" s="190"/>
    </row>
    <row r="6727" spans="2:2" ht="15" customHeight="1">
      <c r="B6727" s="190"/>
    </row>
    <row r="6728" spans="2:2" ht="15" customHeight="1">
      <c r="B6728" s="190"/>
    </row>
    <row r="6729" spans="2:2" ht="15" customHeight="1">
      <c r="B6729" s="190"/>
    </row>
    <row r="6730" spans="2:2" ht="15" customHeight="1">
      <c r="B6730" s="190"/>
    </row>
    <row r="6731" spans="2:2" ht="15" customHeight="1">
      <c r="B6731" s="190"/>
    </row>
    <row r="6732" spans="2:2" ht="15" customHeight="1">
      <c r="B6732" s="190"/>
    </row>
    <row r="6733" spans="2:2" ht="15" customHeight="1">
      <c r="B6733" s="190"/>
    </row>
    <row r="6734" spans="2:2" ht="15" customHeight="1">
      <c r="B6734" s="190"/>
    </row>
    <row r="6735" spans="2:2" ht="15" customHeight="1">
      <c r="B6735" s="190"/>
    </row>
    <row r="6736" spans="2:2" ht="15" customHeight="1">
      <c r="B6736" s="190"/>
    </row>
    <row r="6737" spans="2:2" ht="15" customHeight="1">
      <c r="B6737" s="190"/>
    </row>
    <row r="6738" spans="2:2" ht="15" customHeight="1">
      <c r="B6738" s="190"/>
    </row>
    <row r="6739" spans="2:2" ht="15" customHeight="1">
      <c r="B6739" s="190"/>
    </row>
    <row r="6740" spans="2:2" ht="15" customHeight="1">
      <c r="B6740" s="190"/>
    </row>
    <row r="6741" spans="2:2" ht="15" customHeight="1">
      <c r="B6741" s="190"/>
    </row>
    <row r="6742" spans="2:2" ht="15" customHeight="1">
      <c r="B6742" s="190"/>
    </row>
    <row r="6743" spans="2:2" ht="15" customHeight="1">
      <c r="B6743" s="190"/>
    </row>
    <row r="6744" spans="2:2" ht="15" customHeight="1">
      <c r="B6744" s="190"/>
    </row>
    <row r="6745" spans="2:2" ht="15" customHeight="1">
      <c r="B6745" s="190"/>
    </row>
    <row r="6746" spans="2:2" ht="15" customHeight="1">
      <c r="B6746" s="190"/>
    </row>
    <row r="6747" spans="2:2" ht="15" customHeight="1">
      <c r="B6747" s="190"/>
    </row>
    <row r="6748" spans="2:2" ht="15" customHeight="1">
      <c r="B6748" s="190"/>
    </row>
    <row r="6749" spans="2:2" ht="15" customHeight="1">
      <c r="B6749" s="190"/>
    </row>
    <row r="6750" spans="2:2" ht="15" customHeight="1">
      <c r="B6750" s="190"/>
    </row>
    <row r="6751" spans="2:2" ht="15" customHeight="1">
      <c r="B6751" s="190"/>
    </row>
    <row r="6752" spans="2:2" ht="15" customHeight="1">
      <c r="B6752" s="190"/>
    </row>
    <row r="6753" spans="2:2" ht="15" customHeight="1">
      <c r="B6753" s="190"/>
    </row>
    <row r="6754" spans="2:2" ht="15" customHeight="1">
      <c r="B6754" s="190"/>
    </row>
    <row r="6755" spans="2:2" ht="15" customHeight="1">
      <c r="B6755" s="190"/>
    </row>
    <row r="6756" spans="2:2" ht="15" customHeight="1">
      <c r="B6756" s="190"/>
    </row>
    <row r="6757" spans="2:2" ht="15" customHeight="1">
      <c r="B6757" s="190"/>
    </row>
    <row r="6758" spans="2:2" ht="15" customHeight="1">
      <c r="B6758" s="190"/>
    </row>
    <row r="6759" spans="2:2" ht="15" customHeight="1">
      <c r="B6759" s="190"/>
    </row>
    <row r="6760" spans="2:2" ht="15" customHeight="1">
      <c r="B6760" s="190"/>
    </row>
    <row r="6761" spans="2:2" ht="15" customHeight="1">
      <c r="B6761" s="190"/>
    </row>
    <row r="6762" spans="2:2" ht="15" customHeight="1">
      <c r="B6762" s="190"/>
    </row>
    <row r="6763" spans="2:2" ht="15" customHeight="1">
      <c r="B6763" s="190"/>
    </row>
    <row r="6764" spans="2:2" ht="15" customHeight="1">
      <c r="B6764" s="190"/>
    </row>
    <row r="6765" spans="2:2" ht="15" customHeight="1">
      <c r="B6765" s="190"/>
    </row>
    <row r="6766" spans="2:2" ht="15" customHeight="1">
      <c r="B6766" s="190"/>
    </row>
    <row r="6767" spans="2:2" ht="15" customHeight="1">
      <c r="B6767" s="190"/>
    </row>
    <row r="6768" spans="2:2" ht="15" customHeight="1">
      <c r="B6768" s="190"/>
    </row>
    <row r="6769" spans="2:2" ht="15" customHeight="1">
      <c r="B6769" s="190"/>
    </row>
    <row r="6770" spans="2:2" ht="15" customHeight="1">
      <c r="B6770" s="190"/>
    </row>
    <row r="6771" spans="2:2" ht="15" customHeight="1">
      <c r="B6771" s="190"/>
    </row>
    <row r="6772" spans="2:2" ht="15" customHeight="1">
      <c r="B6772" s="190"/>
    </row>
    <row r="6773" spans="2:2" ht="15" customHeight="1">
      <c r="B6773" s="190"/>
    </row>
    <row r="6774" spans="2:2" ht="15" customHeight="1">
      <c r="B6774" s="190"/>
    </row>
    <row r="6775" spans="2:2" ht="15" customHeight="1">
      <c r="B6775" s="190"/>
    </row>
    <row r="6776" spans="2:2" ht="15" customHeight="1">
      <c r="B6776" s="190"/>
    </row>
    <row r="6777" spans="2:2" ht="15" customHeight="1">
      <c r="B6777" s="190"/>
    </row>
    <row r="6778" spans="2:2" ht="15" customHeight="1">
      <c r="B6778" s="190"/>
    </row>
    <row r="6779" spans="2:2" ht="15" customHeight="1">
      <c r="B6779" s="190"/>
    </row>
    <row r="6780" spans="2:2" ht="15" customHeight="1">
      <c r="B6780" s="190"/>
    </row>
    <row r="6781" spans="2:2" ht="15" customHeight="1">
      <c r="B6781" s="190"/>
    </row>
    <row r="6782" spans="2:2" ht="15" customHeight="1">
      <c r="B6782" s="190"/>
    </row>
    <row r="6783" spans="2:2" ht="15" customHeight="1">
      <c r="B6783" s="190"/>
    </row>
    <row r="6784" spans="2:2" ht="15" customHeight="1">
      <c r="B6784" s="190"/>
    </row>
    <row r="6785" spans="2:2" ht="15" customHeight="1">
      <c r="B6785" s="190"/>
    </row>
    <row r="6786" spans="2:2" ht="15" customHeight="1">
      <c r="B6786" s="190"/>
    </row>
    <row r="6787" spans="2:2" ht="15" customHeight="1">
      <c r="B6787" s="190"/>
    </row>
    <row r="6788" spans="2:2" ht="15" customHeight="1">
      <c r="B6788" s="190"/>
    </row>
    <row r="6789" spans="2:2" ht="15" customHeight="1">
      <c r="B6789" s="190"/>
    </row>
    <row r="6790" spans="2:2" ht="15" customHeight="1">
      <c r="B6790" s="190"/>
    </row>
    <row r="6791" spans="2:2" ht="15" customHeight="1">
      <c r="B6791" s="190"/>
    </row>
    <row r="6792" spans="2:2" ht="15" customHeight="1">
      <c r="B6792" s="190"/>
    </row>
    <row r="6793" spans="2:2" ht="15" customHeight="1">
      <c r="B6793" s="190"/>
    </row>
    <row r="6794" spans="2:2" ht="15" customHeight="1">
      <c r="B6794" s="190"/>
    </row>
    <row r="6795" spans="2:2" ht="15" customHeight="1">
      <c r="B6795" s="190"/>
    </row>
    <row r="6796" spans="2:2" ht="15" customHeight="1">
      <c r="B6796" s="190"/>
    </row>
    <row r="6797" spans="2:2" ht="15" customHeight="1">
      <c r="B6797" s="190"/>
    </row>
    <row r="6798" spans="2:2" ht="15" customHeight="1">
      <c r="B6798" s="190"/>
    </row>
    <row r="6799" spans="2:2" ht="15" customHeight="1">
      <c r="B6799" s="190"/>
    </row>
    <row r="6800" spans="2:2" ht="15" customHeight="1">
      <c r="B6800" s="190"/>
    </row>
    <row r="6801" spans="2:2" ht="15" customHeight="1">
      <c r="B6801" s="190"/>
    </row>
    <row r="6802" spans="2:2" ht="15" customHeight="1">
      <c r="B6802" s="190"/>
    </row>
    <row r="6803" spans="2:2" ht="15" customHeight="1">
      <c r="B6803" s="190"/>
    </row>
    <row r="6804" spans="2:2" ht="15" customHeight="1">
      <c r="B6804" s="190"/>
    </row>
    <row r="6805" spans="2:2" ht="15" customHeight="1">
      <c r="B6805" s="190"/>
    </row>
    <row r="6806" spans="2:2" ht="15" customHeight="1">
      <c r="B6806" s="190"/>
    </row>
    <row r="6807" spans="2:2" ht="15" customHeight="1">
      <c r="B6807" s="190"/>
    </row>
    <row r="6808" spans="2:2" ht="15" customHeight="1">
      <c r="B6808" s="190"/>
    </row>
    <row r="6809" spans="2:2" ht="15" customHeight="1">
      <c r="B6809" s="190"/>
    </row>
    <row r="6810" spans="2:2" ht="15" customHeight="1">
      <c r="B6810" s="190"/>
    </row>
    <row r="6811" spans="2:2" ht="15" customHeight="1">
      <c r="B6811" s="190"/>
    </row>
    <row r="6812" spans="2:2" ht="15" customHeight="1">
      <c r="B6812" s="190"/>
    </row>
    <row r="6813" spans="2:2" ht="15" customHeight="1">
      <c r="B6813" s="190"/>
    </row>
    <row r="6814" spans="2:2" ht="15" customHeight="1">
      <c r="B6814" s="190"/>
    </row>
    <row r="6815" spans="2:2" ht="15" customHeight="1">
      <c r="B6815" s="190"/>
    </row>
    <row r="6816" spans="2:2" ht="15" customHeight="1">
      <c r="B6816" s="190"/>
    </row>
    <row r="6817" spans="2:2" ht="15" customHeight="1">
      <c r="B6817" s="190"/>
    </row>
    <row r="6818" spans="2:2" ht="15" customHeight="1">
      <c r="B6818" s="190"/>
    </row>
    <row r="6819" spans="2:2" ht="15" customHeight="1">
      <c r="B6819" s="190"/>
    </row>
    <row r="6820" spans="2:2" ht="15" customHeight="1">
      <c r="B6820" s="190"/>
    </row>
    <row r="6821" spans="2:2" ht="15" customHeight="1">
      <c r="B6821" s="190"/>
    </row>
    <row r="6822" spans="2:2" ht="15" customHeight="1">
      <c r="B6822" s="190"/>
    </row>
    <row r="6823" spans="2:2" ht="15" customHeight="1">
      <c r="B6823" s="190"/>
    </row>
    <row r="6824" spans="2:2" ht="15" customHeight="1">
      <c r="B6824" s="190"/>
    </row>
    <row r="6825" spans="2:2" ht="15" customHeight="1">
      <c r="B6825" s="190"/>
    </row>
    <row r="6826" spans="2:2" ht="15" customHeight="1">
      <c r="B6826" s="190"/>
    </row>
    <row r="6827" spans="2:2" ht="15" customHeight="1">
      <c r="B6827" s="190"/>
    </row>
    <row r="6828" spans="2:2" ht="15" customHeight="1">
      <c r="B6828" s="190"/>
    </row>
    <row r="6829" spans="2:2" ht="15" customHeight="1">
      <c r="B6829" s="190"/>
    </row>
    <row r="6830" spans="2:2" ht="15" customHeight="1">
      <c r="B6830" s="190"/>
    </row>
    <row r="6831" spans="2:2" ht="15" customHeight="1">
      <c r="B6831" s="190"/>
    </row>
    <row r="6832" spans="2:2" ht="15" customHeight="1">
      <c r="B6832" s="190"/>
    </row>
    <row r="6833" spans="2:2" ht="15" customHeight="1">
      <c r="B6833" s="190"/>
    </row>
    <row r="6834" spans="2:2" ht="15" customHeight="1">
      <c r="B6834" s="190"/>
    </row>
    <row r="6835" spans="2:2" ht="15" customHeight="1">
      <c r="B6835" s="190"/>
    </row>
    <row r="6836" spans="2:2" ht="15" customHeight="1">
      <c r="B6836" s="190"/>
    </row>
    <row r="6837" spans="2:2" ht="15" customHeight="1">
      <c r="B6837" s="190"/>
    </row>
    <row r="6838" spans="2:2" ht="15" customHeight="1">
      <c r="B6838" s="190"/>
    </row>
    <row r="6839" spans="2:2" ht="15" customHeight="1">
      <c r="B6839" s="190"/>
    </row>
    <row r="6840" spans="2:2" ht="15" customHeight="1">
      <c r="B6840" s="190"/>
    </row>
    <row r="6841" spans="2:2" ht="15" customHeight="1">
      <c r="B6841" s="190"/>
    </row>
    <row r="6842" spans="2:2" ht="15" customHeight="1">
      <c r="B6842" s="190"/>
    </row>
    <row r="6843" spans="2:2" ht="15" customHeight="1">
      <c r="B6843" s="190"/>
    </row>
    <row r="6844" spans="2:2" ht="15" customHeight="1">
      <c r="B6844" s="190"/>
    </row>
    <row r="6845" spans="2:2" ht="15" customHeight="1">
      <c r="B6845" s="190"/>
    </row>
    <row r="6846" spans="2:2" ht="15" customHeight="1">
      <c r="B6846" s="190"/>
    </row>
    <row r="6847" spans="2:2" ht="15" customHeight="1">
      <c r="B6847" s="190"/>
    </row>
    <row r="6848" spans="2:2" ht="15" customHeight="1">
      <c r="B6848" s="190"/>
    </row>
    <row r="6849" spans="2:2" ht="15" customHeight="1">
      <c r="B6849" s="190"/>
    </row>
    <row r="6850" spans="2:2" ht="15" customHeight="1">
      <c r="B6850" s="190"/>
    </row>
    <row r="6851" spans="2:2" ht="15" customHeight="1">
      <c r="B6851" s="190"/>
    </row>
    <row r="6852" spans="2:2" ht="15" customHeight="1">
      <c r="B6852" s="190"/>
    </row>
    <row r="6853" spans="2:2" ht="15" customHeight="1">
      <c r="B6853" s="190"/>
    </row>
    <row r="6854" spans="2:2" ht="15" customHeight="1">
      <c r="B6854" s="190"/>
    </row>
    <row r="6855" spans="2:2" ht="15" customHeight="1">
      <c r="B6855" s="190"/>
    </row>
    <row r="6856" spans="2:2" ht="15" customHeight="1">
      <c r="B6856" s="190"/>
    </row>
    <row r="6857" spans="2:2" ht="15" customHeight="1">
      <c r="B6857" s="190"/>
    </row>
    <row r="6858" spans="2:2" ht="15" customHeight="1">
      <c r="B6858" s="190"/>
    </row>
    <row r="6859" spans="2:2" ht="15" customHeight="1">
      <c r="B6859" s="190"/>
    </row>
    <row r="6860" spans="2:2" ht="15" customHeight="1">
      <c r="B6860" s="190"/>
    </row>
    <row r="6861" spans="2:2" ht="15" customHeight="1">
      <c r="B6861" s="190"/>
    </row>
    <row r="6862" spans="2:2" ht="15" customHeight="1">
      <c r="B6862" s="190"/>
    </row>
    <row r="6863" spans="2:2" ht="15" customHeight="1">
      <c r="B6863" s="190"/>
    </row>
    <row r="6864" spans="2:2" ht="15" customHeight="1">
      <c r="B6864" s="190"/>
    </row>
    <row r="6865" spans="2:2" ht="15" customHeight="1">
      <c r="B6865" s="190"/>
    </row>
    <row r="6866" spans="2:2" ht="15" customHeight="1">
      <c r="B6866" s="190"/>
    </row>
    <row r="6867" spans="2:2" ht="15" customHeight="1">
      <c r="B6867" s="190"/>
    </row>
    <row r="6868" spans="2:2" ht="15" customHeight="1">
      <c r="B6868" s="190"/>
    </row>
    <row r="6869" spans="2:2" ht="15" customHeight="1">
      <c r="B6869" s="190"/>
    </row>
    <row r="6870" spans="2:2" ht="15" customHeight="1">
      <c r="B6870" s="190"/>
    </row>
    <row r="6871" spans="2:2" ht="15" customHeight="1">
      <c r="B6871" s="190"/>
    </row>
    <row r="6872" spans="2:2" ht="15" customHeight="1">
      <c r="B6872" s="190"/>
    </row>
    <row r="6873" spans="2:2" ht="15" customHeight="1">
      <c r="B6873" s="190"/>
    </row>
    <row r="6874" spans="2:2" ht="15" customHeight="1">
      <c r="B6874" s="190"/>
    </row>
    <row r="6875" spans="2:2" ht="15" customHeight="1">
      <c r="B6875" s="190"/>
    </row>
    <row r="6876" spans="2:2" ht="15" customHeight="1">
      <c r="B6876" s="190"/>
    </row>
    <row r="6877" spans="2:2" ht="15" customHeight="1">
      <c r="B6877" s="190"/>
    </row>
    <row r="6878" spans="2:2" ht="15" customHeight="1">
      <c r="B6878" s="190"/>
    </row>
    <row r="6879" spans="2:2" ht="15" customHeight="1">
      <c r="B6879" s="190"/>
    </row>
    <row r="6880" spans="2:2" ht="15" customHeight="1">
      <c r="B6880" s="190"/>
    </row>
    <row r="6881" spans="2:2" ht="15" customHeight="1">
      <c r="B6881" s="190"/>
    </row>
    <row r="6882" spans="2:2" ht="15" customHeight="1">
      <c r="B6882" s="190"/>
    </row>
    <row r="6883" spans="2:2" ht="15" customHeight="1">
      <c r="B6883" s="190"/>
    </row>
    <row r="6884" spans="2:2" ht="15" customHeight="1">
      <c r="B6884" s="190"/>
    </row>
    <row r="6885" spans="2:2" ht="15" customHeight="1">
      <c r="B6885" s="190"/>
    </row>
    <row r="6886" spans="2:2" ht="15" customHeight="1">
      <c r="B6886" s="190"/>
    </row>
    <row r="6887" spans="2:2" ht="15" customHeight="1">
      <c r="B6887" s="190"/>
    </row>
    <row r="6888" spans="2:2" ht="15" customHeight="1">
      <c r="B6888" s="190"/>
    </row>
    <row r="6889" spans="2:2" ht="15" customHeight="1">
      <c r="B6889" s="190"/>
    </row>
    <row r="6890" spans="2:2" ht="15" customHeight="1">
      <c r="B6890" s="190"/>
    </row>
    <row r="6891" spans="2:2" ht="15" customHeight="1">
      <c r="B6891" s="190"/>
    </row>
    <row r="6892" spans="2:2" ht="15" customHeight="1">
      <c r="B6892" s="190"/>
    </row>
    <row r="6893" spans="2:2" ht="15" customHeight="1">
      <c r="B6893" s="190"/>
    </row>
    <row r="6894" spans="2:2" ht="15" customHeight="1">
      <c r="B6894" s="190"/>
    </row>
    <row r="6895" spans="2:2" ht="15" customHeight="1">
      <c r="B6895" s="190"/>
    </row>
    <row r="6896" spans="2:2" ht="15" customHeight="1">
      <c r="B6896" s="190"/>
    </row>
    <row r="6897" spans="2:2" ht="15" customHeight="1">
      <c r="B6897" s="190"/>
    </row>
    <row r="6898" spans="2:2" ht="15" customHeight="1">
      <c r="B6898" s="190"/>
    </row>
    <row r="6899" spans="2:2" ht="15" customHeight="1">
      <c r="B6899" s="190"/>
    </row>
    <row r="6900" spans="2:2" ht="15" customHeight="1">
      <c r="B6900" s="190"/>
    </row>
    <row r="6901" spans="2:2" ht="15" customHeight="1">
      <c r="B6901" s="190"/>
    </row>
    <row r="6902" spans="2:2" ht="15" customHeight="1">
      <c r="B6902" s="190"/>
    </row>
    <row r="6903" spans="2:2" ht="15" customHeight="1">
      <c r="B6903" s="190"/>
    </row>
    <row r="6904" spans="2:2" ht="15" customHeight="1">
      <c r="B6904" s="190"/>
    </row>
    <row r="6905" spans="2:2" ht="15" customHeight="1">
      <c r="B6905" s="190"/>
    </row>
    <row r="6906" spans="2:2" ht="15" customHeight="1">
      <c r="B6906" s="190"/>
    </row>
    <row r="6907" spans="2:2" ht="15" customHeight="1">
      <c r="B6907" s="190"/>
    </row>
    <row r="6908" spans="2:2" ht="15" customHeight="1">
      <c r="B6908" s="190"/>
    </row>
    <row r="6909" spans="2:2" ht="15" customHeight="1">
      <c r="B6909" s="190"/>
    </row>
    <row r="6910" spans="2:2" ht="15" customHeight="1">
      <c r="B6910" s="190"/>
    </row>
    <row r="6911" spans="2:2" ht="15" customHeight="1">
      <c r="B6911" s="190"/>
    </row>
    <row r="6912" spans="2:2" ht="15" customHeight="1">
      <c r="B6912" s="190"/>
    </row>
    <row r="6913" spans="2:2" ht="15" customHeight="1">
      <c r="B6913" s="190"/>
    </row>
    <row r="6914" spans="2:2" ht="15" customHeight="1">
      <c r="B6914" s="190"/>
    </row>
    <row r="6915" spans="2:2" ht="15" customHeight="1">
      <c r="B6915" s="190"/>
    </row>
    <row r="6916" spans="2:2" ht="15" customHeight="1">
      <c r="B6916" s="190"/>
    </row>
    <row r="6917" spans="2:2" ht="15" customHeight="1">
      <c r="B6917" s="190"/>
    </row>
    <row r="6918" spans="2:2" ht="15" customHeight="1">
      <c r="B6918" s="190"/>
    </row>
    <row r="6919" spans="2:2" ht="15" customHeight="1">
      <c r="B6919" s="190"/>
    </row>
    <row r="6920" spans="2:2" ht="15" customHeight="1">
      <c r="B6920" s="190"/>
    </row>
    <row r="6921" spans="2:2" ht="15" customHeight="1">
      <c r="B6921" s="190"/>
    </row>
    <row r="6922" spans="2:2" ht="15" customHeight="1">
      <c r="B6922" s="190"/>
    </row>
    <row r="6923" spans="2:2" ht="15" customHeight="1">
      <c r="B6923" s="190"/>
    </row>
    <row r="6924" spans="2:2" ht="15" customHeight="1">
      <c r="B6924" s="190"/>
    </row>
    <row r="6925" spans="2:2" ht="15" customHeight="1">
      <c r="B6925" s="190"/>
    </row>
    <row r="6926" spans="2:2" ht="15" customHeight="1">
      <c r="B6926" s="190"/>
    </row>
    <row r="6927" spans="2:2" ht="15" customHeight="1">
      <c r="B6927" s="190"/>
    </row>
    <row r="6928" spans="2:2" ht="15" customHeight="1">
      <c r="B6928" s="190"/>
    </row>
    <row r="6929" spans="2:2" ht="15" customHeight="1">
      <c r="B6929" s="190"/>
    </row>
    <row r="6930" spans="2:2" ht="15" customHeight="1">
      <c r="B6930" s="190"/>
    </row>
    <row r="6931" spans="2:2" ht="15" customHeight="1">
      <c r="B6931" s="190"/>
    </row>
    <row r="6932" spans="2:2" ht="15" customHeight="1">
      <c r="B6932" s="190"/>
    </row>
    <row r="6933" spans="2:2" ht="15" customHeight="1">
      <c r="B6933" s="190"/>
    </row>
    <row r="6934" spans="2:2" ht="15" customHeight="1">
      <c r="B6934" s="190"/>
    </row>
    <row r="6935" spans="2:2" ht="15" customHeight="1">
      <c r="B6935" s="190"/>
    </row>
    <row r="6936" spans="2:2" ht="15" customHeight="1">
      <c r="B6936" s="190"/>
    </row>
    <row r="6937" spans="2:2" ht="15" customHeight="1">
      <c r="B6937" s="190"/>
    </row>
    <row r="6938" spans="2:2" ht="15" customHeight="1">
      <c r="B6938" s="190"/>
    </row>
    <row r="6939" spans="2:2" ht="15" customHeight="1">
      <c r="B6939" s="190"/>
    </row>
    <row r="6940" spans="2:2" ht="15" customHeight="1">
      <c r="B6940" s="190"/>
    </row>
    <row r="6941" spans="2:2" ht="15" customHeight="1">
      <c r="B6941" s="190"/>
    </row>
    <row r="6942" spans="2:2" ht="15" customHeight="1">
      <c r="B6942" s="190"/>
    </row>
    <row r="6943" spans="2:2" ht="15" customHeight="1">
      <c r="B6943" s="190"/>
    </row>
    <row r="6944" spans="2:2" ht="15" customHeight="1">
      <c r="B6944" s="190"/>
    </row>
    <row r="6945" spans="2:2" ht="15" customHeight="1">
      <c r="B6945" s="190"/>
    </row>
    <row r="6946" spans="2:2" ht="15" customHeight="1">
      <c r="B6946" s="190"/>
    </row>
    <row r="6947" spans="2:2" ht="15" customHeight="1">
      <c r="B6947" s="190"/>
    </row>
    <row r="6948" spans="2:2" ht="15" customHeight="1">
      <c r="B6948" s="190"/>
    </row>
    <row r="6949" spans="2:2" ht="15" customHeight="1">
      <c r="B6949" s="190"/>
    </row>
    <row r="6950" spans="2:2" ht="15" customHeight="1">
      <c r="B6950" s="190"/>
    </row>
    <row r="6951" spans="2:2" ht="15" customHeight="1">
      <c r="B6951" s="190"/>
    </row>
    <row r="6952" spans="2:2" ht="15" customHeight="1">
      <c r="B6952" s="190"/>
    </row>
    <row r="6953" spans="2:2" ht="15" customHeight="1">
      <c r="B6953" s="190"/>
    </row>
    <row r="6954" spans="2:2" ht="15" customHeight="1">
      <c r="B6954" s="190"/>
    </row>
    <row r="6955" spans="2:2" ht="15" customHeight="1">
      <c r="B6955" s="190"/>
    </row>
    <row r="6956" spans="2:2" ht="15" customHeight="1">
      <c r="B6956" s="190"/>
    </row>
    <row r="6957" spans="2:2" ht="15" customHeight="1">
      <c r="B6957" s="190"/>
    </row>
    <row r="6958" spans="2:2" ht="15" customHeight="1">
      <c r="B6958" s="190"/>
    </row>
    <row r="6959" spans="2:2" ht="15" customHeight="1">
      <c r="B6959" s="190"/>
    </row>
    <row r="6960" spans="2:2" ht="15" customHeight="1">
      <c r="B6960" s="190"/>
    </row>
    <row r="6961" spans="2:2" ht="15" customHeight="1">
      <c r="B6961" s="190"/>
    </row>
    <row r="6962" spans="2:2" ht="15" customHeight="1">
      <c r="B6962" s="190"/>
    </row>
    <row r="6963" spans="2:2" ht="15" customHeight="1">
      <c r="B6963" s="190"/>
    </row>
    <row r="6964" spans="2:2" ht="15" customHeight="1">
      <c r="B6964" s="190"/>
    </row>
    <row r="6965" spans="2:2" ht="15" customHeight="1">
      <c r="B6965" s="190"/>
    </row>
    <row r="6966" spans="2:2" ht="15" customHeight="1">
      <c r="B6966" s="190"/>
    </row>
    <row r="6967" spans="2:2" ht="15" customHeight="1">
      <c r="B6967" s="190"/>
    </row>
    <row r="6968" spans="2:2" ht="15" customHeight="1">
      <c r="B6968" s="190"/>
    </row>
    <row r="6969" spans="2:2" ht="15" customHeight="1">
      <c r="B6969" s="190"/>
    </row>
    <row r="6970" spans="2:2" ht="15" customHeight="1">
      <c r="B6970" s="190"/>
    </row>
    <row r="6971" spans="2:2" ht="15" customHeight="1">
      <c r="B6971" s="190"/>
    </row>
    <row r="6972" spans="2:2" ht="15" customHeight="1">
      <c r="B6972" s="190"/>
    </row>
    <row r="6973" spans="2:2" ht="15" customHeight="1">
      <c r="B6973" s="190"/>
    </row>
    <row r="6974" spans="2:2" ht="15" customHeight="1">
      <c r="B6974" s="190"/>
    </row>
    <row r="6975" spans="2:2" ht="15" customHeight="1">
      <c r="B6975" s="190"/>
    </row>
    <row r="6976" spans="2:2" ht="15" customHeight="1">
      <c r="B6976" s="190"/>
    </row>
    <row r="6977" spans="2:2" ht="15" customHeight="1">
      <c r="B6977" s="190"/>
    </row>
    <row r="6978" spans="2:2" ht="15" customHeight="1">
      <c r="B6978" s="190"/>
    </row>
    <row r="6979" spans="2:2" ht="15" customHeight="1">
      <c r="B6979" s="190"/>
    </row>
    <row r="6980" spans="2:2" ht="15" customHeight="1">
      <c r="B6980" s="190"/>
    </row>
    <row r="6981" spans="2:2" ht="15" customHeight="1">
      <c r="B6981" s="190"/>
    </row>
    <row r="6982" spans="2:2" ht="15" customHeight="1">
      <c r="B6982" s="190"/>
    </row>
    <row r="6983" spans="2:2" ht="15" customHeight="1">
      <c r="B6983" s="190"/>
    </row>
    <row r="6984" spans="2:2" ht="15" customHeight="1">
      <c r="B6984" s="190"/>
    </row>
    <row r="6985" spans="2:2" ht="15" customHeight="1">
      <c r="B6985" s="190"/>
    </row>
    <row r="6986" spans="2:2" ht="15" customHeight="1">
      <c r="B6986" s="190"/>
    </row>
    <row r="6987" spans="2:2" ht="15" customHeight="1">
      <c r="B6987" s="190"/>
    </row>
    <row r="6988" spans="2:2" ht="15" customHeight="1">
      <c r="B6988" s="190"/>
    </row>
    <row r="6989" spans="2:2" ht="15" customHeight="1">
      <c r="B6989" s="190"/>
    </row>
    <row r="6990" spans="2:2" ht="15" customHeight="1">
      <c r="B6990" s="190"/>
    </row>
    <row r="6991" spans="2:2" ht="15" customHeight="1">
      <c r="B6991" s="190"/>
    </row>
    <row r="6992" spans="2:2" ht="15" customHeight="1">
      <c r="B6992" s="190"/>
    </row>
    <row r="6993" spans="2:2" ht="15" customHeight="1">
      <c r="B6993" s="190"/>
    </row>
    <row r="6994" spans="2:2" ht="15" customHeight="1">
      <c r="B6994" s="190"/>
    </row>
    <row r="6995" spans="2:2" ht="15" customHeight="1">
      <c r="B6995" s="190"/>
    </row>
    <row r="6996" spans="2:2" ht="15" customHeight="1">
      <c r="B6996" s="190"/>
    </row>
    <row r="6997" spans="2:2" ht="15" customHeight="1">
      <c r="B6997" s="190"/>
    </row>
    <row r="6998" spans="2:2" ht="15" customHeight="1">
      <c r="B6998" s="190"/>
    </row>
    <row r="6999" spans="2:2" ht="15" customHeight="1">
      <c r="B6999" s="190"/>
    </row>
    <row r="7000" spans="2:2" ht="15" customHeight="1">
      <c r="B7000" s="190"/>
    </row>
    <row r="7001" spans="2:2" ht="15" customHeight="1">
      <c r="B7001" s="190"/>
    </row>
    <row r="7002" spans="2:2" ht="15" customHeight="1">
      <c r="B7002" s="190"/>
    </row>
    <row r="7003" spans="2:2" ht="15" customHeight="1">
      <c r="B7003" s="190"/>
    </row>
    <row r="7004" spans="2:2" ht="15" customHeight="1">
      <c r="B7004" s="190"/>
    </row>
    <row r="7005" spans="2:2" ht="15" customHeight="1">
      <c r="B7005" s="190"/>
    </row>
    <row r="7006" spans="2:2" ht="15" customHeight="1">
      <c r="B7006" s="190"/>
    </row>
    <row r="7007" spans="2:2" ht="15" customHeight="1">
      <c r="B7007" s="190"/>
    </row>
    <row r="7008" spans="2:2" ht="15" customHeight="1">
      <c r="B7008" s="190"/>
    </row>
    <row r="7009" spans="2:2" ht="15" customHeight="1">
      <c r="B7009" s="190"/>
    </row>
    <row r="7010" spans="2:2" ht="15" customHeight="1">
      <c r="B7010" s="190"/>
    </row>
    <row r="7011" spans="2:2" ht="15" customHeight="1">
      <c r="B7011" s="190"/>
    </row>
    <row r="7012" spans="2:2" ht="15" customHeight="1">
      <c r="B7012" s="190"/>
    </row>
    <row r="7013" spans="2:2" ht="15" customHeight="1">
      <c r="B7013" s="190"/>
    </row>
    <row r="7014" spans="2:2" ht="15" customHeight="1">
      <c r="B7014" s="190"/>
    </row>
    <row r="7015" spans="2:2" ht="15" customHeight="1">
      <c r="B7015" s="190"/>
    </row>
    <row r="7016" spans="2:2" ht="15" customHeight="1">
      <c r="B7016" s="190"/>
    </row>
    <row r="7017" spans="2:2" ht="15" customHeight="1">
      <c r="B7017" s="190"/>
    </row>
    <row r="7018" spans="2:2" ht="15" customHeight="1">
      <c r="B7018" s="190"/>
    </row>
    <row r="7019" spans="2:2" ht="15" customHeight="1">
      <c r="B7019" s="190"/>
    </row>
    <row r="7020" spans="2:2" ht="15" customHeight="1">
      <c r="B7020" s="190"/>
    </row>
    <row r="7021" spans="2:2" ht="15" customHeight="1">
      <c r="B7021" s="190"/>
    </row>
    <row r="7022" spans="2:2" ht="15" customHeight="1">
      <c r="B7022" s="190"/>
    </row>
    <row r="7023" spans="2:2" ht="15" customHeight="1">
      <c r="B7023" s="190"/>
    </row>
    <row r="7024" spans="2:2" ht="15" customHeight="1">
      <c r="B7024" s="190"/>
    </row>
    <row r="7025" spans="2:2" ht="15" customHeight="1">
      <c r="B7025" s="190"/>
    </row>
    <row r="7026" spans="2:2" ht="15" customHeight="1">
      <c r="B7026" s="190"/>
    </row>
    <row r="7027" spans="2:2" ht="15" customHeight="1">
      <c r="B7027" s="190"/>
    </row>
    <row r="7028" spans="2:2" ht="15" customHeight="1">
      <c r="B7028" s="190"/>
    </row>
    <row r="7029" spans="2:2" ht="15" customHeight="1">
      <c r="B7029" s="190"/>
    </row>
    <row r="7030" spans="2:2" ht="15" customHeight="1">
      <c r="B7030" s="190"/>
    </row>
    <row r="7031" spans="2:2" ht="15" customHeight="1">
      <c r="B7031" s="190"/>
    </row>
    <row r="7032" spans="2:2" ht="15" customHeight="1">
      <c r="B7032" s="190"/>
    </row>
    <row r="7033" spans="2:2" ht="15" customHeight="1">
      <c r="B7033" s="190"/>
    </row>
    <row r="7034" spans="2:2" ht="15" customHeight="1">
      <c r="B7034" s="190"/>
    </row>
    <row r="7035" spans="2:2" ht="15" customHeight="1">
      <c r="B7035" s="190"/>
    </row>
    <row r="7036" spans="2:2" ht="15" customHeight="1">
      <c r="B7036" s="190"/>
    </row>
    <row r="7037" spans="2:2" ht="15" customHeight="1">
      <c r="B7037" s="190"/>
    </row>
    <row r="7038" spans="2:2" ht="15" customHeight="1">
      <c r="B7038" s="190"/>
    </row>
    <row r="7039" spans="2:2" ht="15" customHeight="1">
      <c r="B7039" s="190"/>
    </row>
    <row r="7040" spans="2:2" ht="15" customHeight="1">
      <c r="B7040" s="190"/>
    </row>
    <row r="7041" spans="2:2" ht="15" customHeight="1">
      <c r="B7041" s="190"/>
    </row>
    <row r="7042" spans="2:2" ht="15" customHeight="1">
      <c r="B7042" s="190"/>
    </row>
    <row r="7043" spans="2:2" ht="15" customHeight="1">
      <c r="B7043" s="190"/>
    </row>
    <row r="7044" spans="2:2" ht="15" customHeight="1">
      <c r="B7044" s="190"/>
    </row>
    <row r="7045" spans="2:2" ht="15" customHeight="1">
      <c r="B7045" s="190"/>
    </row>
    <row r="7046" spans="2:2" ht="15" customHeight="1">
      <c r="B7046" s="190"/>
    </row>
    <row r="7047" spans="2:2" ht="15" customHeight="1">
      <c r="B7047" s="190"/>
    </row>
    <row r="7048" spans="2:2" ht="15" customHeight="1">
      <c r="B7048" s="190"/>
    </row>
    <row r="7049" spans="2:2" ht="15" customHeight="1">
      <c r="B7049" s="190"/>
    </row>
    <row r="7050" spans="2:2" ht="15" customHeight="1">
      <c r="B7050" s="190"/>
    </row>
    <row r="7051" spans="2:2" ht="15" customHeight="1">
      <c r="B7051" s="190"/>
    </row>
    <row r="7052" spans="2:2" ht="15" customHeight="1">
      <c r="B7052" s="190"/>
    </row>
    <row r="7053" spans="2:2" ht="15" customHeight="1">
      <c r="B7053" s="190"/>
    </row>
    <row r="7054" spans="2:2" ht="15" customHeight="1">
      <c r="B7054" s="190"/>
    </row>
    <row r="7055" spans="2:2" ht="15" customHeight="1">
      <c r="B7055" s="190"/>
    </row>
    <row r="7056" spans="2:2" ht="15" customHeight="1">
      <c r="B7056" s="190"/>
    </row>
    <row r="7057" spans="2:2" ht="15" customHeight="1">
      <c r="B7057" s="190"/>
    </row>
    <row r="7058" spans="2:2" ht="15" customHeight="1">
      <c r="B7058" s="190"/>
    </row>
    <row r="7059" spans="2:2" ht="15" customHeight="1">
      <c r="B7059" s="190"/>
    </row>
    <row r="7060" spans="2:2" ht="15" customHeight="1">
      <c r="B7060" s="190"/>
    </row>
    <row r="7061" spans="2:2" ht="15" customHeight="1">
      <c r="B7061" s="190"/>
    </row>
    <row r="7062" spans="2:2" ht="15" customHeight="1">
      <c r="B7062" s="190"/>
    </row>
    <row r="7063" spans="2:2" ht="15" customHeight="1">
      <c r="B7063" s="190"/>
    </row>
    <row r="7064" spans="2:2" ht="15" customHeight="1">
      <c r="B7064" s="190"/>
    </row>
    <row r="7065" spans="2:2" ht="15" customHeight="1">
      <c r="B7065" s="190"/>
    </row>
    <row r="7066" spans="2:2" ht="15" customHeight="1">
      <c r="B7066" s="190"/>
    </row>
    <row r="7067" spans="2:2" ht="15" customHeight="1">
      <c r="B7067" s="190"/>
    </row>
    <row r="7068" spans="2:2" ht="15" customHeight="1">
      <c r="B7068" s="190"/>
    </row>
    <row r="7069" spans="2:2" ht="15" customHeight="1">
      <c r="B7069" s="190"/>
    </row>
    <row r="7070" spans="2:2" ht="15" customHeight="1">
      <c r="B7070" s="190"/>
    </row>
  </sheetData>
  <mergeCells count="2">
    <mergeCell ref="A1:H1"/>
    <mergeCell ref="J1:Q1"/>
  </mergeCells>
  <pageMargins left="0.2" right="0.19" top="0.32" bottom="0.36" header="0.17" footer="0.19"/>
  <pageSetup scale="4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F51"/>
  <sheetViews>
    <sheetView topLeftCell="A13" workbookViewId="0">
      <selection activeCell="B37" sqref="B37"/>
    </sheetView>
  </sheetViews>
  <sheetFormatPr defaultRowHeight="15.75"/>
  <cols>
    <col min="1" max="1" width="8.88671875" style="254"/>
    <col min="2" max="2" width="18.33203125" style="254" customWidth="1"/>
    <col min="3" max="3" width="13.5546875" style="255" bestFit="1" customWidth="1"/>
    <col min="4" max="4" width="11.109375" style="254" bestFit="1" customWidth="1"/>
    <col min="5" max="5" width="10.21875" style="254" bestFit="1" customWidth="1"/>
    <col min="6" max="16384" width="8.88671875" style="254"/>
  </cols>
  <sheetData>
    <row r="1" spans="1:5">
      <c r="A1" s="254" t="s">
        <v>1107</v>
      </c>
      <c r="C1" s="255" t="s">
        <v>1108</v>
      </c>
      <c r="E1" s="267" t="s">
        <v>202</v>
      </c>
    </row>
    <row r="2" spans="1:5">
      <c r="A2" s="254">
        <v>245358</v>
      </c>
      <c r="B2" s="254" t="s">
        <v>1109</v>
      </c>
      <c r="C2" s="255">
        <v>222644.1</v>
      </c>
      <c r="E2" s="256">
        <f>+C2</f>
        <v>222644.1</v>
      </c>
    </row>
    <row r="3" spans="1:5">
      <c r="A3" s="254">
        <v>245359</v>
      </c>
      <c r="B3" s="254" t="s">
        <v>1110</v>
      </c>
      <c r="C3" s="255">
        <v>1543016.04</v>
      </c>
    </row>
    <row r="4" spans="1:5">
      <c r="A4" s="254">
        <v>245360</v>
      </c>
      <c r="B4" s="254" t="s">
        <v>1111</v>
      </c>
      <c r="C4" s="255">
        <v>228710.77</v>
      </c>
      <c r="E4" s="256">
        <f>+C4</f>
        <v>228710.77</v>
      </c>
    </row>
    <row r="5" spans="1:5">
      <c r="A5" s="254">
        <v>245361</v>
      </c>
      <c r="B5" s="254" t="s">
        <v>1112</v>
      </c>
      <c r="C5" s="255">
        <v>103591.35</v>
      </c>
      <c r="E5" s="256">
        <f>+C5</f>
        <v>103591.35</v>
      </c>
    </row>
    <row r="6" spans="1:5">
      <c r="A6" s="254">
        <v>245362</v>
      </c>
      <c r="B6" s="254" t="s">
        <v>1113</v>
      </c>
      <c r="C6" s="255">
        <v>58326.89</v>
      </c>
      <c r="E6" s="256">
        <f>+C6</f>
        <v>58326.89</v>
      </c>
    </row>
    <row r="7" spans="1:5">
      <c r="A7" s="254">
        <v>245363</v>
      </c>
      <c r="B7" s="254" t="s">
        <v>1114</v>
      </c>
      <c r="C7" s="255">
        <v>2371767.81</v>
      </c>
    </row>
    <row r="8" spans="1:5">
      <c r="A8" s="254">
        <v>245364</v>
      </c>
      <c r="B8" s="254" t="s">
        <v>1115</v>
      </c>
      <c r="C8" s="255">
        <v>69576.27</v>
      </c>
    </row>
    <row r="9" spans="1:5">
      <c r="A9" s="254">
        <v>245365</v>
      </c>
      <c r="B9" s="254" t="s">
        <v>1116</v>
      </c>
      <c r="C9" s="255">
        <v>563223.11</v>
      </c>
      <c r="E9" s="256">
        <f>+C9</f>
        <v>563223.11</v>
      </c>
    </row>
    <row r="10" spans="1:5">
      <c r="A10" s="254">
        <v>245366</v>
      </c>
      <c r="B10" s="254" t="s">
        <v>1117</v>
      </c>
      <c r="C10" s="255">
        <v>491417.23</v>
      </c>
      <c r="D10" s="256">
        <f>SUM(C2:C10)</f>
        <v>5652273.5700000003</v>
      </c>
    </row>
    <row r="12" spans="1:5">
      <c r="A12" s="254">
        <v>245492</v>
      </c>
      <c r="B12" s="254" t="s">
        <v>1118</v>
      </c>
      <c r="C12" s="255">
        <v>11071.59</v>
      </c>
    </row>
    <row r="13" spans="1:5">
      <c r="A13" s="254">
        <v>245493</v>
      </c>
      <c r="B13" s="254" t="s">
        <v>1118</v>
      </c>
      <c r="C13" s="255">
        <v>1062.8699999999999</v>
      </c>
    </row>
    <row r="14" spans="1:5">
      <c r="A14" s="254">
        <v>245494</v>
      </c>
      <c r="B14" s="254" t="s">
        <v>1118</v>
      </c>
      <c r="C14" s="255">
        <v>553.58000000000004</v>
      </c>
    </row>
    <row r="15" spans="1:5">
      <c r="A15" s="254">
        <v>245495</v>
      </c>
      <c r="B15" s="254" t="s">
        <v>1118</v>
      </c>
      <c r="C15" s="255">
        <v>590.48</v>
      </c>
    </row>
    <row r="16" spans="1:5">
      <c r="A16" s="254">
        <v>245496</v>
      </c>
      <c r="B16" s="254" t="s">
        <v>1118</v>
      </c>
      <c r="C16" s="255">
        <v>18006.849999999999</v>
      </c>
    </row>
    <row r="17" spans="1:4">
      <c r="A17" s="254">
        <v>245497</v>
      </c>
      <c r="B17" s="254" t="s">
        <v>1118</v>
      </c>
      <c r="C17" s="255">
        <v>275.31</v>
      </c>
    </row>
    <row r="18" spans="1:4">
      <c r="A18" s="254">
        <v>245498</v>
      </c>
      <c r="B18" s="254" t="s">
        <v>1118</v>
      </c>
      <c r="C18" s="255">
        <v>6652.92</v>
      </c>
      <c r="D18" s="256">
        <f>SUM(C12:C18)</f>
        <v>38213.599999999999</v>
      </c>
    </row>
    <row r="19" spans="1:4">
      <c r="A19" s="254">
        <v>245499</v>
      </c>
      <c r="B19" s="254" t="s">
        <v>1119</v>
      </c>
      <c r="C19" s="255">
        <v>22143.19</v>
      </c>
    </row>
    <row r="20" spans="1:4">
      <c r="A20" s="254">
        <v>245500</v>
      </c>
      <c r="B20" s="254" t="s">
        <v>1119</v>
      </c>
      <c r="C20" s="255">
        <v>13285.91</v>
      </c>
    </row>
    <row r="21" spans="1:4">
      <c r="A21" s="254">
        <v>245501</v>
      </c>
      <c r="B21" s="254" t="s">
        <v>1119</v>
      </c>
      <c r="C21" s="255">
        <v>1062.8699999999999</v>
      </c>
    </row>
    <row r="22" spans="1:4">
      <c r="A22" s="254">
        <v>245502</v>
      </c>
      <c r="B22" s="254" t="s">
        <v>1119</v>
      </c>
      <c r="C22" s="255">
        <v>4982.22</v>
      </c>
    </row>
    <row r="23" spans="1:4">
      <c r="A23" s="254">
        <v>245503</v>
      </c>
      <c r="B23" s="254" t="s">
        <v>1119</v>
      </c>
      <c r="C23" s="255">
        <v>1771.45</v>
      </c>
    </row>
    <row r="24" spans="1:4">
      <c r="A24" s="254">
        <v>245504</v>
      </c>
      <c r="B24" s="254" t="s">
        <v>1119</v>
      </c>
      <c r="C24" s="255">
        <v>18175.13</v>
      </c>
    </row>
    <row r="25" spans="1:4">
      <c r="A25" s="254">
        <v>245505</v>
      </c>
      <c r="B25" s="254" t="s">
        <v>1119</v>
      </c>
      <c r="C25" s="255">
        <v>383.08</v>
      </c>
      <c r="D25" s="256">
        <f>SUM(C19:C25)</f>
        <v>61803.850000000006</v>
      </c>
    </row>
    <row r="26" spans="1:4">
      <c r="A26" s="254">
        <v>245506</v>
      </c>
      <c r="B26" s="254" t="s">
        <v>1120</v>
      </c>
      <c r="C26" s="255">
        <v>19928.87</v>
      </c>
    </row>
    <row r="27" spans="1:4">
      <c r="A27" s="254">
        <v>245507</v>
      </c>
      <c r="B27" s="254" t="s">
        <v>1120</v>
      </c>
      <c r="C27" s="255">
        <v>7381.06</v>
      </c>
    </row>
    <row r="28" spans="1:4">
      <c r="A28" s="254">
        <v>245508</v>
      </c>
      <c r="B28" s="254" t="s">
        <v>1120</v>
      </c>
      <c r="C28" s="255">
        <v>19928.87</v>
      </c>
    </row>
    <row r="29" spans="1:4">
      <c r="A29" s="254">
        <v>245509</v>
      </c>
      <c r="B29" s="254" t="s">
        <v>1120</v>
      </c>
      <c r="C29" s="255">
        <v>2480.04</v>
      </c>
    </row>
    <row r="30" spans="1:4">
      <c r="A30" s="254">
        <v>245510</v>
      </c>
      <c r="B30" s="254" t="s">
        <v>1120</v>
      </c>
      <c r="C30" s="255">
        <v>553.58000000000004</v>
      </c>
    </row>
    <row r="31" spans="1:4">
      <c r="A31" s="254">
        <v>245511</v>
      </c>
      <c r="B31" s="254" t="s">
        <v>1120</v>
      </c>
      <c r="C31" s="255">
        <v>2361.94</v>
      </c>
    </row>
    <row r="32" spans="1:4">
      <c r="A32" s="254">
        <v>245512</v>
      </c>
      <c r="B32" s="254" t="s">
        <v>1120</v>
      </c>
      <c r="C32" s="255">
        <v>62842.36</v>
      </c>
    </row>
    <row r="33" spans="1:6">
      <c r="A33" s="254">
        <v>245513</v>
      </c>
      <c r="B33" s="254" t="s">
        <v>1120</v>
      </c>
      <c r="C33" s="255">
        <v>1475.47</v>
      </c>
    </row>
    <row r="34" spans="1:6">
      <c r="A34" s="254">
        <v>245514</v>
      </c>
      <c r="B34" s="254" t="s">
        <v>1120</v>
      </c>
      <c r="C34" s="255">
        <v>7855.3</v>
      </c>
      <c r="D34" s="256">
        <f>SUM(C26:C34)</f>
        <v>124807.49</v>
      </c>
    </row>
    <row r="35" spans="1:6">
      <c r="A35" s="254">
        <v>245515</v>
      </c>
      <c r="B35" s="254" t="s">
        <v>1121</v>
      </c>
      <c r="C35" s="255">
        <v>716976.83</v>
      </c>
    </row>
    <row r="36" spans="1:6">
      <c r="A36" s="254">
        <v>245516</v>
      </c>
      <c r="B36" s="254" t="s">
        <v>1121</v>
      </c>
      <c r="C36" s="255">
        <v>16030.37</v>
      </c>
    </row>
    <row r="37" spans="1:6">
      <c r="A37" s="254">
        <v>245517</v>
      </c>
      <c r="B37" s="254" t="s">
        <v>1121</v>
      </c>
      <c r="C37" s="255">
        <v>1001898.32</v>
      </c>
    </row>
    <row r="38" spans="1:6">
      <c r="A38" s="254">
        <v>245518</v>
      </c>
      <c r="B38" s="254" t="s">
        <v>1121</v>
      </c>
      <c r="C38" s="255">
        <v>349901.04</v>
      </c>
    </row>
    <row r="39" spans="1:6">
      <c r="A39" s="254">
        <v>245519</v>
      </c>
      <c r="B39" s="254" t="s">
        <v>1121</v>
      </c>
      <c r="C39" s="255">
        <v>2698272.94</v>
      </c>
      <c r="E39" s="258">
        <f>+C39*0.25</f>
        <v>674568.23499999999</v>
      </c>
      <c r="F39" s="284" t="s">
        <v>1141</v>
      </c>
    </row>
    <row r="40" spans="1:6">
      <c r="A40" s="254">
        <v>245520</v>
      </c>
      <c r="B40" s="254" t="s">
        <v>1121</v>
      </c>
      <c r="C40" s="255">
        <v>2101800.9700000002</v>
      </c>
      <c r="E40" s="256">
        <f>+C40</f>
        <v>2101800.9700000002</v>
      </c>
      <c r="F40" s="284" t="s">
        <v>1142</v>
      </c>
    </row>
    <row r="41" spans="1:6">
      <c r="A41" s="254">
        <v>245521</v>
      </c>
      <c r="B41" s="254" t="s">
        <v>1121</v>
      </c>
      <c r="C41" s="255">
        <v>2817631.76</v>
      </c>
      <c r="E41" s="256">
        <f>+C41</f>
        <v>2817631.76</v>
      </c>
      <c r="F41" s="284" t="s">
        <v>1143</v>
      </c>
    </row>
    <row r="42" spans="1:6">
      <c r="A42" s="254">
        <v>245522</v>
      </c>
      <c r="B42" s="254" t="s">
        <v>1121</v>
      </c>
      <c r="C42" s="255">
        <v>1408815.87</v>
      </c>
      <c r="E42" s="256">
        <f>+C42</f>
        <v>1408815.87</v>
      </c>
      <c r="F42" s="284" t="s">
        <v>1144</v>
      </c>
    </row>
    <row r="43" spans="1:6">
      <c r="A43" s="254">
        <v>245523</v>
      </c>
      <c r="B43" s="254" t="s">
        <v>1121</v>
      </c>
      <c r="C43" s="255">
        <v>30745.040000000001</v>
      </c>
    </row>
    <row r="44" spans="1:6">
      <c r="A44" s="254">
        <v>245524</v>
      </c>
      <c r="B44" s="254" t="s">
        <v>1121</v>
      </c>
      <c r="C44" s="255">
        <v>126823.3</v>
      </c>
    </row>
    <row r="45" spans="1:6">
      <c r="A45" s="254">
        <v>245525</v>
      </c>
      <c r="B45" s="254" t="s">
        <v>1121</v>
      </c>
      <c r="C45" s="255">
        <v>229744.67</v>
      </c>
    </row>
    <row r="46" spans="1:6">
      <c r="A46" s="254">
        <v>245526</v>
      </c>
      <c r="B46" s="254" t="s">
        <v>1121</v>
      </c>
      <c r="C46" s="255">
        <v>1624934.15</v>
      </c>
      <c r="D46" s="256">
        <f>SUM(C12:C46)</f>
        <v>13348400.199999999</v>
      </c>
    </row>
    <row r="48" spans="1:6">
      <c r="C48" s="255">
        <f>SUM(C2:C47)</f>
        <v>19000673.770000003</v>
      </c>
      <c r="D48" s="256">
        <f>+D10+D46</f>
        <v>19000673.77</v>
      </c>
      <c r="E48" s="256">
        <f>SUM(E2:E46)</f>
        <v>8179313.0550000006</v>
      </c>
    </row>
    <row r="49" spans="1:5">
      <c r="D49" s="266" t="s">
        <v>1127</v>
      </c>
      <c r="E49" s="266" t="s">
        <v>202</v>
      </c>
    </row>
    <row r="51" spans="1:5">
      <c r="A51" s="266" t="s">
        <v>1128</v>
      </c>
      <c r="B51" s="266" t="s">
        <v>1129</v>
      </c>
    </row>
  </sheetData>
  <pageMargins left="0.7" right="0.7" top="0.75" bottom="0.75" header="0.3" footer="0.3"/>
  <pageSetup scale="77"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J79"/>
  <sheetViews>
    <sheetView topLeftCell="A34" workbookViewId="0">
      <selection activeCell="I68" sqref="I68"/>
    </sheetView>
  </sheetViews>
  <sheetFormatPr defaultRowHeight="15.75"/>
  <cols>
    <col min="1" max="1" width="8.88671875" style="254"/>
    <col min="2" max="2" width="18.33203125" style="254" customWidth="1"/>
    <col min="3" max="3" width="13.5546875" style="255" bestFit="1" customWidth="1"/>
    <col min="4" max="4" width="11.109375" style="254" bestFit="1" customWidth="1"/>
    <col min="5" max="5" width="10.21875" style="254" bestFit="1" customWidth="1"/>
    <col min="6" max="8" width="8.88671875" style="254"/>
    <col min="9" max="9" width="78.77734375" style="254" customWidth="1"/>
    <col min="10" max="16384" width="8.88671875" style="254"/>
  </cols>
  <sheetData>
    <row r="1" spans="1:7">
      <c r="A1" s="254" t="s">
        <v>1107</v>
      </c>
      <c r="C1" s="255" t="s">
        <v>1108</v>
      </c>
      <c r="E1" s="267" t="s">
        <v>202</v>
      </c>
    </row>
    <row r="2" spans="1:7">
      <c r="A2" s="254">
        <v>245358</v>
      </c>
      <c r="B2" s="254" t="s">
        <v>1109</v>
      </c>
      <c r="C2" s="255">
        <v>222644.1</v>
      </c>
      <c r="E2" s="256">
        <f>+C2</f>
        <v>222644.1</v>
      </c>
      <c r="G2" s="303"/>
    </row>
    <row r="3" spans="1:7">
      <c r="A3" s="254">
        <v>245359</v>
      </c>
      <c r="B3" s="254" t="s">
        <v>1110</v>
      </c>
      <c r="C3" s="255">
        <v>1543016.04</v>
      </c>
      <c r="G3" s="303"/>
    </row>
    <row r="4" spans="1:7">
      <c r="A4" s="254">
        <v>245360</v>
      </c>
      <c r="B4" s="254" t="s">
        <v>1111</v>
      </c>
      <c r="C4" s="255">
        <v>228710.77</v>
      </c>
      <c r="E4" s="256">
        <f>+C4</f>
        <v>228710.77</v>
      </c>
      <c r="G4" s="303"/>
    </row>
    <row r="5" spans="1:7">
      <c r="A5" s="254">
        <v>245361</v>
      </c>
      <c r="B5" s="254" t="s">
        <v>1112</v>
      </c>
      <c r="C5" s="255">
        <v>103591.35</v>
      </c>
      <c r="E5" s="256">
        <f>+C5</f>
        <v>103591.35</v>
      </c>
      <c r="G5" s="303"/>
    </row>
    <row r="6" spans="1:7">
      <c r="A6" s="254">
        <v>245362</v>
      </c>
      <c r="B6" s="254" t="s">
        <v>1113</v>
      </c>
      <c r="C6" s="255">
        <v>58326.89</v>
      </c>
      <c r="E6" s="256">
        <f>+C6</f>
        <v>58326.89</v>
      </c>
      <c r="G6" s="303"/>
    </row>
    <row r="7" spans="1:7">
      <c r="A7" s="254">
        <v>245363</v>
      </c>
      <c r="B7" s="254" t="s">
        <v>1114</v>
      </c>
      <c r="C7" s="255">
        <v>2371767.81</v>
      </c>
      <c r="G7" s="303"/>
    </row>
    <row r="8" spans="1:7">
      <c r="A8" s="254">
        <v>245364</v>
      </c>
      <c r="B8" s="254" t="s">
        <v>1115</v>
      </c>
      <c r="C8" s="255">
        <v>69576.27</v>
      </c>
      <c r="G8" s="303"/>
    </row>
    <row r="9" spans="1:7">
      <c r="A9" s="254">
        <v>245365</v>
      </c>
      <c r="B9" s="254" t="s">
        <v>1116</v>
      </c>
      <c r="C9" s="255">
        <v>563223.11</v>
      </c>
      <c r="E9" s="256">
        <f>+C9</f>
        <v>563223.11</v>
      </c>
      <c r="G9" s="303"/>
    </row>
    <row r="10" spans="1:7">
      <c r="A10" s="254">
        <v>245366</v>
      </c>
      <c r="B10" s="254" t="s">
        <v>1117</v>
      </c>
      <c r="C10" s="255">
        <v>491417.23</v>
      </c>
      <c r="D10" s="256">
        <f>SUM(C2:C10)</f>
        <v>5652273.5700000003</v>
      </c>
      <c r="G10" s="303"/>
    </row>
    <row r="12" spans="1:7">
      <c r="A12" s="254">
        <v>245492</v>
      </c>
      <c r="B12" s="254" t="s">
        <v>1118</v>
      </c>
      <c r="C12" s="255">
        <v>11071.59</v>
      </c>
      <c r="G12" s="303"/>
    </row>
    <row r="13" spans="1:7">
      <c r="A13" s="254">
        <v>245493</v>
      </c>
      <c r="B13" s="254" t="s">
        <v>1118</v>
      </c>
      <c r="C13" s="255">
        <v>1062.8699999999999</v>
      </c>
      <c r="G13" s="303"/>
    </row>
    <row r="14" spans="1:7">
      <c r="A14" s="254">
        <v>245494</v>
      </c>
      <c r="B14" s="254" t="s">
        <v>1118</v>
      </c>
      <c r="C14" s="255">
        <v>553.58000000000004</v>
      </c>
      <c r="G14" s="303"/>
    </row>
    <row r="15" spans="1:7">
      <c r="A15" s="254">
        <v>245495</v>
      </c>
      <c r="B15" s="254" t="s">
        <v>1118</v>
      </c>
      <c r="C15" s="255">
        <v>590.48</v>
      </c>
      <c r="G15" s="303"/>
    </row>
    <row r="16" spans="1:7">
      <c r="A16" s="254">
        <v>245496</v>
      </c>
      <c r="B16" s="254" t="s">
        <v>1118</v>
      </c>
      <c r="C16" s="255">
        <v>18006.849999999999</v>
      </c>
      <c r="G16" s="303"/>
    </row>
    <row r="17" spans="1:7">
      <c r="A17" s="254">
        <v>245497</v>
      </c>
      <c r="B17" s="254" t="s">
        <v>1118</v>
      </c>
      <c r="C17" s="255">
        <v>275.31</v>
      </c>
      <c r="G17" s="303"/>
    </row>
    <row r="18" spans="1:7">
      <c r="A18" s="254">
        <v>245498</v>
      </c>
      <c r="B18" s="254" t="s">
        <v>1118</v>
      </c>
      <c r="C18" s="255">
        <v>6652.92</v>
      </c>
      <c r="D18" s="256">
        <f>SUM(C12:C18)</f>
        <v>38213.599999999999</v>
      </c>
      <c r="G18" s="303"/>
    </row>
    <row r="19" spans="1:7">
      <c r="A19" s="254">
        <v>245499</v>
      </c>
      <c r="B19" s="254" t="s">
        <v>1119</v>
      </c>
      <c r="C19" s="255">
        <v>22143.19</v>
      </c>
      <c r="G19" s="303"/>
    </row>
    <row r="20" spans="1:7">
      <c r="A20" s="254">
        <v>245500</v>
      </c>
      <c r="B20" s="254" t="s">
        <v>1119</v>
      </c>
      <c r="C20" s="255">
        <v>13285.91</v>
      </c>
      <c r="G20" s="303"/>
    </row>
    <row r="21" spans="1:7">
      <c r="A21" s="254">
        <v>245501</v>
      </c>
      <c r="B21" s="254" t="s">
        <v>1119</v>
      </c>
      <c r="C21" s="255">
        <v>1062.8699999999999</v>
      </c>
      <c r="G21" s="303"/>
    </row>
    <row r="22" spans="1:7">
      <c r="A22" s="254">
        <v>245502</v>
      </c>
      <c r="B22" s="254" t="s">
        <v>1119</v>
      </c>
      <c r="C22" s="255">
        <v>4982.22</v>
      </c>
      <c r="G22" s="303"/>
    </row>
    <row r="23" spans="1:7">
      <c r="A23" s="254">
        <v>245503</v>
      </c>
      <c r="B23" s="254" t="s">
        <v>1119</v>
      </c>
      <c r="C23" s="255">
        <v>1771.45</v>
      </c>
      <c r="G23" s="303"/>
    </row>
    <row r="24" spans="1:7">
      <c r="A24" s="254">
        <v>245504</v>
      </c>
      <c r="B24" s="254" t="s">
        <v>1119</v>
      </c>
      <c r="C24" s="255">
        <v>18175.13</v>
      </c>
      <c r="G24" s="303"/>
    </row>
    <row r="25" spans="1:7">
      <c r="A25" s="254">
        <v>245505</v>
      </c>
      <c r="B25" s="254" t="s">
        <v>1119</v>
      </c>
      <c r="C25" s="255">
        <v>383.08</v>
      </c>
      <c r="D25" s="256">
        <f>SUM(C19:C25)</f>
        <v>61803.850000000006</v>
      </c>
      <c r="G25" s="303"/>
    </row>
    <row r="26" spans="1:7">
      <c r="A26" s="254">
        <v>245506</v>
      </c>
      <c r="B26" s="254" t="s">
        <v>1120</v>
      </c>
      <c r="C26" s="255">
        <v>19928.87</v>
      </c>
      <c r="G26" s="303"/>
    </row>
    <row r="27" spans="1:7">
      <c r="A27" s="254">
        <v>245507</v>
      </c>
      <c r="B27" s="254" t="s">
        <v>1120</v>
      </c>
      <c r="C27" s="255">
        <v>7381.06</v>
      </c>
      <c r="G27" s="303"/>
    </row>
    <row r="28" spans="1:7">
      <c r="A28" s="254">
        <v>245508</v>
      </c>
      <c r="B28" s="254" t="s">
        <v>1120</v>
      </c>
      <c r="C28" s="255">
        <v>19928.87</v>
      </c>
      <c r="G28" s="303"/>
    </row>
    <row r="29" spans="1:7">
      <c r="A29" s="254">
        <v>245509</v>
      </c>
      <c r="B29" s="254" t="s">
        <v>1120</v>
      </c>
      <c r="C29" s="255">
        <v>2480.04</v>
      </c>
      <c r="G29" s="303"/>
    </row>
    <row r="30" spans="1:7">
      <c r="A30" s="254">
        <v>245510</v>
      </c>
      <c r="B30" s="254" t="s">
        <v>1120</v>
      </c>
      <c r="C30" s="255">
        <v>553.58000000000004</v>
      </c>
      <c r="G30" s="303"/>
    </row>
    <row r="31" spans="1:7">
      <c r="A31" s="254">
        <v>245511</v>
      </c>
      <c r="B31" s="254" t="s">
        <v>1120</v>
      </c>
      <c r="C31" s="255">
        <v>2361.94</v>
      </c>
      <c r="G31" s="303"/>
    </row>
    <row r="32" spans="1:7">
      <c r="A32" s="254">
        <v>245512</v>
      </c>
      <c r="B32" s="254" t="s">
        <v>1120</v>
      </c>
      <c r="C32" s="255">
        <v>62842.36</v>
      </c>
      <c r="G32" s="303"/>
    </row>
    <row r="33" spans="1:10">
      <c r="A33" s="254">
        <v>245513</v>
      </c>
      <c r="B33" s="254" t="s">
        <v>1120</v>
      </c>
      <c r="C33" s="255">
        <v>1475.47</v>
      </c>
      <c r="G33" s="303"/>
    </row>
    <row r="34" spans="1:10">
      <c r="A34" s="254">
        <v>245514</v>
      </c>
      <c r="B34" s="254" t="s">
        <v>1120</v>
      </c>
      <c r="C34" s="255">
        <v>7855.3</v>
      </c>
      <c r="D34" s="256">
        <f>SUM(C26:C34)</f>
        <v>124807.49</v>
      </c>
      <c r="G34" s="303"/>
    </row>
    <row r="35" spans="1:10">
      <c r="A35" s="254">
        <v>245515</v>
      </c>
      <c r="B35" s="254" t="s">
        <v>1121</v>
      </c>
      <c r="C35" s="255">
        <v>716976.83</v>
      </c>
      <c r="G35" s="303"/>
    </row>
    <row r="36" spans="1:10">
      <c r="A36" s="254">
        <v>245516</v>
      </c>
      <c r="B36" s="254" t="s">
        <v>1121</v>
      </c>
      <c r="C36" s="255">
        <v>16030.37</v>
      </c>
      <c r="G36" s="303"/>
    </row>
    <row r="37" spans="1:10">
      <c r="A37" s="254">
        <v>245517</v>
      </c>
      <c r="B37" s="254" t="s">
        <v>1121</v>
      </c>
      <c r="C37" s="255">
        <v>1001898.32</v>
      </c>
      <c r="G37" s="303"/>
    </row>
    <row r="38" spans="1:10">
      <c r="A38" s="254">
        <v>245518</v>
      </c>
      <c r="B38" s="254" t="s">
        <v>1121</v>
      </c>
      <c r="C38" s="255">
        <v>349901.04</v>
      </c>
      <c r="G38" s="303"/>
    </row>
    <row r="39" spans="1:10">
      <c r="A39" s="254">
        <v>245519</v>
      </c>
      <c r="B39" s="254" t="s">
        <v>1121</v>
      </c>
      <c r="C39" s="255">
        <v>2698272.94</v>
      </c>
      <c r="E39" s="258">
        <f>+C39*0.25</f>
        <v>674568.23499999999</v>
      </c>
      <c r="F39" s="284" t="s">
        <v>1141</v>
      </c>
      <c r="J39" s="303"/>
    </row>
    <row r="40" spans="1:10">
      <c r="A40" s="254">
        <v>245520</v>
      </c>
      <c r="B40" s="254" t="s">
        <v>1121</v>
      </c>
      <c r="C40" s="255">
        <v>2101800.9700000002</v>
      </c>
      <c r="E40" s="256">
        <f>+C40</f>
        <v>2101800.9700000002</v>
      </c>
      <c r="F40" s="284" t="s">
        <v>1142</v>
      </c>
      <c r="J40" s="303"/>
    </row>
    <row r="41" spans="1:10">
      <c r="A41" s="254">
        <v>245521</v>
      </c>
      <c r="B41" s="254" t="s">
        <v>1121</v>
      </c>
      <c r="C41" s="255">
        <v>2817631.76</v>
      </c>
      <c r="E41" s="256">
        <f>+C41</f>
        <v>2817631.76</v>
      </c>
      <c r="F41" s="284" t="s">
        <v>1143</v>
      </c>
      <c r="J41" s="303"/>
    </row>
    <row r="42" spans="1:10">
      <c r="A42" s="254">
        <v>245522</v>
      </c>
      <c r="B42" s="254" t="s">
        <v>1121</v>
      </c>
      <c r="C42" s="255">
        <v>1408815.87</v>
      </c>
      <c r="E42" s="256">
        <f>+C42</f>
        <v>1408815.87</v>
      </c>
      <c r="F42" s="284" t="s">
        <v>1144</v>
      </c>
      <c r="J42" s="303"/>
    </row>
    <row r="43" spans="1:10">
      <c r="A43" s="254">
        <v>245523</v>
      </c>
      <c r="B43" s="254" t="s">
        <v>1121</v>
      </c>
      <c r="C43" s="255">
        <v>30745.040000000001</v>
      </c>
      <c r="J43" s="303"/>
    </row>
    <row r="44" spans="1:10">
      <c r="A44" s="254">
        <v>245524</v>
      </c>
      <c r="B44" s="254" t="s">
        <v>1121</v>
      </c>
      <c r="C44" s="255">
        <v>126823.3</v>
      </c>
      <c r="J44" s="303"/>
    </row>
    <row r="45" spans="1:10">
      <c r="A45" s="254">
        <v>245525</v>
      </c>
      <c r="B45" s="254" t="s">
        <v>1121</v>
      </c>
      <c r="C45" s="255">
        <v>229744.67</v>
      </c>
      <c r="J45" s="303"/>
    </row>
    <row r="46" spans="1:10">
      <c r="A46" s="254">
        <v>245526</v>
      </c>
      <c r="B46" s="254" t="s">
        <v>1121</v>
      </c>
      <c r="C46" s="255">
        <v>1624934.15</v>
      </c>
      <c r="D46" s="256">
        <f>SUM(C12:C46)</f>
        <v>13348400.199999999</v>
      </c>
      <c r="J46" s="303"/>
    </row>
    <row r="48" spans="1:10">
      <c r="C48" s="255">
        <f>SUM(C2:C47)</f>
        <v>19000673.770000003</v>
      </c>
      <c r="D48" s="256">
        <f>+D10+D46</f>
        <v>19000673.77</v>
      </c>
      <c r="E48" s="256">
        <f>SUM(E2:E46)</f>
        <v>8179313.0550000006</v>
      </c>
    </row>
    <row r="49" spans="1:9">
      <c r="D49" s="266" t="s">
        <v>1127</v>
      </c>
      <c r="E49" s="266" t="s">
        <v>202</v>
      </c>
    </row>
    <row r="51" spans="1:9">
      <c r="A51" s="368" t="s">
        <v>1237</v>
      </c>
      <c r="C51" s="255">
        <v>0</v>
      </c>
      <c r="D51" s="258">
        <v>0</v>
      </c>
      <c r="E51" s="258">
        <v>0</v>
      </c>
      <c r="F51" s="374" t="s">
        <v>1256</v>
      </c>
    </row>
    <row r="52" spans="1:9">
      <c r="D52" s="368"/>
      <c r="E52" s="368" t="s">
        <v>202</v>
      </c>
    </row>
    <row r="54" spans="1:9">
      <c r="A54" s="266" t="s">
        <v>1128</v>
      </c>
      <c r="B54" s="303" t="s">
        <v>1157</v>
      </c>
    </row>
    <row r="56" spans="1:9">
      <c r="A56" s="368" t="s">
        <v>1238</v>
      </c>
      <c r="B56" s="368" t="s">
        <v>1255</v>
      </c>
    </row>
    <row r="57" spans="1:9" ht="15.75" customHeight="1">
      <c r="B57" s="479" t="s">
        <v>1239</v>
      </c>
      <c r="C57" s="479"/>
      <c r="D57" s="479"/>
      <c r="E57" s="479"/>
      <c r="F57" s="479"/>
      <c r="G57" s="479"/>
      <c r="H57" s="479"/>
      <c r="I57" s="479"/>
    </row>
    <row r="58" spans="1:9" ht="15">
      <c r="B58" s="479" t="s">
        <v>1240</v>
      </c>
      <c r="C58" s="479"/>
      <c r="D58" s="479"/>
      <c r="E58" s="479"/>
      <c r="F58" s="479"/>
      <c r="G58" s="479"/>
      <c r="H58" s="479"/>
      <c r="I58" s="479"/>
    </row>
    <row r="59" spans="1:9" ht="15">
      <c r="B59" s="479" t="s">
        <v>1241</v>
      </c>
      <c r="C59" s="479"/>
      <c r="D59" s="479"/>
      <c r="E59" s="479"/>
      <c r="F59" s="479"/>
      <c r="G59" s="479"/>
      <c r="H59" s="479"/>
      <c r="I59" s="479"/>
    </row>
    <row r="60" spans="1:9" ht="15">
      <c r="B60" s="479" t="s">
        <v>1242</v>
      </c>
      <c r="C60" s="479"/>
      <c r="D60" s="479"/>
      <c r="E60" s="479"/>
      <c r="F60" s="479"/>
      <c r="G60" s="479"/>
      <c r="H60" s="479"/>
      <c r="I60" s="479"/>
    </row>
    <row r="61" spans="1:9" ht="15">
      <c r="B61" s="479" t="s">
        <v>1243</v>
      </c>
      <c r="C61" s="479"/>
      <c r="D61" s="479"/>
      <c r="E61" s="479"/>
      <c r="F61" s="479"/>
      <c r="G61" s="479"/>
      <c r="H61" s="479"/>
      <c r="I61" s="479"/>
    </row>
    <row r="63" spans="1:9" ht="15">
      <c r="C63" s="370">
        <v>19000674</v>
      </c>
      <c r="D63" s="369" t="s">
        <v>1244</v>
      </c>
    </row>
    <row r="64" spans="1:9" ht="15">
      <c r="C64" s="370">
        <v>284761418</v>
      </c>
      <c r="D64" s="369" t="s">
        <v>1245</v>
      </c>
    </row>
    <row r="65" spans="3:9" ht="15">
      <c r="C65" s="371">
        <v>6.6724888973547669E-2</v>
      </c>
      <c r="D65" s="369" t="s">
        <v>1246</v>
      </c>
    </row>
    <row r="68" spans="3:9" ht="15">
      <c r="C68" s="372">
        <v>0</v>
      </c>
      <c r="D68" s="369" t="s">
        <v>1247</v>
      </c>
      <c r="I68" s="375" t="s">
        <v>1257</v>
      </c>
    </row>
    <row r="69" spans="3:9" ht="15">
      <c r="C69" s="371">
        <v>6.6724888973547669E-2</v>
      </c>
      <c r="D69" s="369" t="s">
        <v>1248</v>
      </c>
    </row>
    <row r="70" spans="3:9" ht="15">
      <c r="C70" s="373">
        <v>0</v>
      </c>
      <c r="D70" s="369" t="s">
        <v>1249</v>
      </c>
    </row>
    <row r="71" spans="3:9" ht="15">
      <c r="C71" s="372">
        <v>0</v>
      </c>
      <c r="D71" s="369" t="s">
        <v>1250</v>
      </c>
    </row>
    <row r="74" spans="3:9" ht="15">
      <c r="C74" s="369" t="s">
        <v>1251</v>
      </c>
      <c r="D74" s="369"/>
    </row>
    <row r="75" spans="3:9" ht="15">
      <c r="C75" s="369" t="s">
        <v>1252</v>
      </c>
      <c r="D75" s="369"/>
    </row>
    <row r="76" spans="3:9" ht="15">
      <c r="C76" s="369" t="s">
        <v>1253</v>
      </c>
      <c r="D76" s="369"/>
    </row>
    <row r="77" spans="3:9" ht="15">
      <c r="C77" s="370">
        <v>19000674</v>
      </c>
      <c r="D77" s="369"/>
    </row>
    <row r="78" spans="3:9" ht="15">
      <c r="C78" s="369">
        <v>6.9199999999999998E-2</v>
      </c>
      <c r="D78" s="369" t="s">
        <v>1254</v>
      </c>
    </row>
    <row r="79" spans="3:9" ht="15">
      <c r="C79" s="370">
        <v>1314846.6407999999</v>
      </c>
      <c r="D79" s="369"/>
    </row>
  </sheetData>
  <mergeCells count="5">
    <mergeCell ref="B57:I57"/>
    <mergeCell ref="B58:I58"/>
    <mergeCell ref="B59:I59"/>
    <mergeCell ref="B60:I60"/>
    <mergeCell ref="B61:I61"/>
  </mergeCells>
  <pageMargins left="0.7" right="0.7" top="0.75" bottom="0.75" header="0.3" footer="0.3"/>
  <pageSetup scale="60"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J79"/>
  <sheetViews>
    <sheetView topLeftCell="A19" workbookViewId="0">
      <selection activeCell="C47" sqref="C47"/>
    </sheetView>
  </sheetViews>
  <sheetFormatPr defaultRowHeight="15.75"/>
  <cols>
    <col min="1" max="1" width="8.88671875" style="254"/>
    <col min="2" max="2" width="18.33203125" style="254" customWidth="1"/>
    <col min="3" max="3" width="13.5546875" style="255" bestFit="1" customWidth="1"/>
    <col min="4" max="4" width="12.33203125" style="254" customWidth="1"/>
    <col min="5" max="5" width="12.5546875" style="254" customWidth="1"/>
    <col min="6" max="8" width="8.88671875" style="254"/>
    <col min="9" max="9" width="78.77734375" style="254" customWidth="1"/>
    <col min="10" max="16384" width="8.88671875" style="254"/>
  </cols>
  <sheetData>
    <row r="1" spans="1:7">
      <c r="A1" s="254" t="s">
        <v>1107</v>
      </c>
      <c r="C1" s="255" t="s">
        <v>1108</v>
      </c>
      <c r="E1" s="267" t="s">
        <v>202</v>
      </c>
    </row>
    <row r="2" spans="1:7">
      <c r="A2" s="254">
        <v>245358</v>
      </c>
      <c r="B2" s="254" t="s">
        <v>1109</v>
      </c>
      <c r="C2" s="255">
        <v>222644.1</v>
      </c>
      <c r="E2" s="256">
        <f>+C2</f>
        <v>222644.1</v>
      </c>
      <c r="G2" s="303"/>
    </row>
    <row r="3" spans="1:7">
      <c r="A3" s="254">
        <v>245359</v>
      </c>
      <c r="B3" s="254" t="s">
        <v>1110</v>
      </c>
      <c r="C3" s="255">
        <v>1543016.04</v>
      </c>
      <c r="G3" s="303"/>
    </row>
    <row r="4" spans="1:7">
      <c r="A4" s="254">
        <v>245360</v>
      </c>
      <c r="B4" s="254" t="s">
        <v>1111</v>
      </c>
      <c r="C4" s="255">
        <v>228710.77</v>
      </c>
      <c r="E4" s="256">
        <f>+C4</f>
        <v>228710.77</v>
      </c>
      <c r="G4" s="303"/>
    </row>
    <row r="5" spans="1:7">
      <c r="A5" s="254">
        <v>245361</v>
      </c>
      <c r="B5" s="254" t="s">
        <v>1112</v>
      </c>
      <c r="C5" s="255">
        <v>103591.35</v>
      </c>
      <c r="E5" s="256">
        <f>+C5</f>
        <v>103591.35</v>
      </c>
      <c r="G5" s="303"/>
    </row>
    <row r="6" spans="1:7">
      <c r="A6" s="254">
        <v>245362</v>
      </c>
      <c r="B6" s="254" t="s">
        <v>1113</v>
      </c>
      <c r="C6" s="255">
        <v>58326.89</v>
      </c>
      <c r="E6" s="256">
        <f>+C6</f>
        <v>58326.89</v>
      </c>
      <c r="G6" s="303"/>
    </row>
    <row r="7" spans="1:7">
      <c r="A7" s="254">
        <v>245363</v>
      </c>
      <c r="B7" s="254" t="s">
        <v>1114</v>
      </c>
      <c r="C7" s="255">
        <v>2371767.81</v>
      </c>
      <c r="G7" s="303"/>
    </row>
    <row r="8" spans="1:7">
      <c r="A8" s="254">
        <v>245364</v>
      </c>
      <c r="B8" s="254" t="s">
        <v>1115</v>
      </c>
      <c r="C8" s="255">
        <v>69576.27</v>
      </c>
      <c r="G8" s="303"/>
    </row>
    <row r="9" spans="1:7">
      <c r="A9" s="254">
        <v>245365</v>
      </c>
      <c r="B9" s="254" t="s">
        <v>1116</v>
      </c>
      <c r="C9" s="255">
        <v>563223.11</v>
      </c>
      <c r="E9" s="256">
        <f>+C9</f>
        <v>563223.11</v>
      </c>
      <c r="G9" s="303"/>
    </row>
    <row r="10" spans="1:7">
      <c r="A10" s="254">
        <v>245366</v>
      </c>
      <c r="B10" s="254" t="s">
        <v>1117</v>
      </c>
      <c r="C10" s="255">
        <v>491417.23</v>
      </c>
      <c r="D10" s="256">
        <f>SUM(C2:C10)</f>
        <v>5652273.5700000003</v>
      </c>
      <c r="G10" s="303"/>
    </row>
    <row r="12" spans="1:7">
      <c r="A12" s="254">
        <v>245492</v>
      </c>
      <c r="B12" s="254" t="s">
        <v>1118</v>
      </c>
      <c r="C12" s="255">
        <v>11071.59</v>
      </c>
      <c r="G12" s="303"/>
    </row>
    <row r="13" spans="1:7">
      <c r="A13" s="254">
        <v>245493</v>
      </c>
      <c r="B13" s="254" t="s">
        <v>1118</v>
      </c>
      <c r="C13" s="255">
        <v>1062.8699999999999</v>
      </c>
      <c r="G13" s="303"/>
    </row>
    <row r="14" spans="1:7">
      <c r="A14" s="254">
        <v>245494</v>
      </c>
      <c r="B14" s="254" t="s">
        <v>1118</v>
      </c>
      <c r="C14" s="255">
        <v>553.58000000000004</v>
      </c>
      <c r="G14" s="303"/>
    </row>
    <row r="15" spans="1:7">
      <c r="A15" s="254">
        <v>245495</v>
      </c>
      <c r="B15" s="254" t="s">
        <v>1118</v>
      </c>
      <c r="C15" s="255">
        <v>590.48</v>
      </c>
      <c r="G15" s="303"/>
    </row>
    <row r="16" spans="1:7">
      <c r="A16" s="254">
        <v>245496</v>
      </c>
      <c r="B16" s="254" t="s">
        <v>1118</v>
      </c>
      <c r="C16" s="255">
        <v>18006.849999999999</v>
      </c>
      <c r="G16" s="303"/>
    </row>
    <row r="17" spans="1:7">
      <c r="A17" s="254">
        <v>245497</v>
      </c>
      <c r="B17" s="254" t="s">
        <v>1118</v>
      </c>
      <c r="C17" s="255">
        <v>275.31</v>
      </c>
      <c r="G17" s="303"/>
    </row>
    <row r="18" spans="1:7">
      <c r="A18" s="254">
        <v>245498</v>
      </c>
      <c r="B18" s="254" t="s">
        <v>1118</v>
      </c>
      <c r="C18" s="255">
        <v>6652.92</v>
      </c>
      <c r="D18" s="256">
        <f>SUM(C12:C18)</f>
        <v>38213.599999999999</v>
      </c>
      <c r="G18" s="303"/>
    </row>
    <row r="19" spans="1:7">
      <c r="A19" s="254">
        <v>245499</v>
      </c>
      <c r="B19" s="254" t="s">
        <v>1119</v>
      </c>
      <c r="C19" s="255">
        <v>22143.19</v>
      </c>
      <c r="G19" s="303"/>
    </row>
    <row r="20" spans="1:7">
      <c r="A20" s="254">
        <v>245500</v>
      </c>
      <c r="B20" s="254" t="s">
        <v>1119</v>
      </c>
      <c r="C20" s="255">
        <v>13285.91</v>
      </c>
      <c r="G20" s="303"/>
    </row>
    <row r="21" spans="1:7">
      <c r="A21" s="254">
        <v>245501</v>
      </c>
      <c r="B21" s="254" t="s">
        <v>1119</v>
      </c>
      <c r="C21" s="255">
        <v>1062.8699999999999</v>
      </c>
      <c r="G21" s="303"/>
    </row>
    <row r="22" spans="1:7">
      <c r="A22" s="254">
        <v>245502</v>
      </c>
      <c r="B22" s="254" t="s">
        <v>1119</v>
      </c>
      <c r="C22" s="255">
        <v>4982.22</v>
      </c>
      <c r="G22" s="303"/>
    </row>
    <row r="23" spans="1:7">
      <c r="A23" s="254">
        <v>245503</v>
      </c>
      <c r="B23" s="254" t="s">
        <v>1119</v>
      </c>
      <c r="C23" s="255">
        <v>1771.45</v>
      </c>
      <c r="G23" s="303"/>
    </row>
    <row r="24" spans="1:7">
      <c r="A24" s="254">
        <v>245504</v>
      </c>
      <c r="B24" s="254" t="s">
        <v>1119</v>
      </c>
      <c r="C24" s="255">
        <v>18175.13</v>
      </c>
      <c r="G24" s="303"/>
    </row>
    <row r="25" spans="1:7">
      <c r="A25" s="254">
        <v>245505</v>
      </c>
      <c r="B25" s="254" t="s">
        <v>1119</v>
      </c>
      <c r="C25" s="255">
        <v>383.08</v>
      </c>
      <c r="D25" s="256">
        <f>SUM(C19:C25)</f>
        <v>61803.850000000006</v>
      </c>
      <c r="G25" s="303"/>
    </row>
    <row r="26" spans="1:7">
      <c r="A26" s="254">
        <v>245506</v>
      </c>
      <c r="B26" s="254" t="s">
        <v>1120</v>
      </c>
      <c r="C26" s="255">
        <v>19928.87</v>
      </c>
      <c r="G26" s="303"/>
    </row>
    <row r="27" spans="1:7">
      <c r="A27" s="254">
        <v>245507</v>
      </c>
      <c r="B27" s="254" t="s">
        <v>1120</v>
      </c>
      <c r="C27" s="255">
        <v>7381.06</v>
      </c>
      <c r="G27" s="303"/>
    </row>
    <row r="28" spans="1:7">
      <c r="A28" s="254">
        <v>245508</v>
      </c>
      <c r="B28" s="254" t="s">
        <v>1120</v>
      </c>
      <c r="C28" s="255">
        <v>19928.87</v>
      </c>
      <c r="G28" s="303"/>
    </row>
    <row r="29" spans="1:7">
      <c r="A29" s="254">
        <v>245509</v>
      </c>
      <c r="B29" s="254" t="s">
        <v>1120</v>
      </c>
      <c r="C29" s="255">
        <v>2480.04</v>
      </c>
      <c r="G29" s="303"/>
    </row>
    <row r="30" spans="1:7">
      <c r="A30" s="254">
        <v>245510</v>
      </c>
      <c r="B30" s="254" t="s">
        <v>1120</v>
      </c>
      <c r="C30" s="255">
        <v>553.58000000000004</v>
      </c>
      <c r="G30" s="303"/>
    </row>
    <row r="31" spans="1:7">
      <c r="A31" s="254">
        <v>245511</v>
      </c>
      <c r="B31" s="254" t="s">
        <v>1120</v>
      </c>
      <c r="C31" s="255">
        <v>2361.94</v>
      </c>
      <c r="G31" s="303"/>
    </row>
    <row r="32" spans="1:7">
      <c r="A32" s="254">
        <v>245512</v>
      </c>
      <c r="B32" s="254" t="s">
        <v>1120</v>
      </c>
      <c r="C32" s="255">
        <v>62842.36</v>
      </c>
      <c r="G32" s="303"/>
    </row>
    <row r="33" spans="1:10">
      <c r="A33" s="254">
        <v>245513</v>
      </c>
      <c r="B33" s="254" t="s">
        <v>1120</v>
      </c>
      <c r="C33" s="255">
        <v>1475.47</v>
      </c>
      <c r="G33" s="303"/>
    </row>
    <row r="34" spans="1:10">
      <c r="A34" s="254">
        <v>245514</v>
      </c>
      <c r="B34" s="254" t="s">
        <v>1120</v>
      </c>
      <c r="C34" s="255">
        <v>7855.3</v>
      </c>
      <c r="D34" s="256">
        <f>SUM(C26:C34)</f>
        <v>124807.49</v>
      </c>
      <c r="G34" s="303"/>
    </row>
    <row r="35" spans="1:10">
      <c r="A35" s="254">
        <v>245515</v>
      </c>
      <c r="B35" s="254" t="s">
        <v>1121</v>
      </c>
      <c r="C35" s="255">
        <v>716976.83</v>
      </c>
      <c r="G35" s="303"/>
    </row>
    <row r="36" spans="1:10">
      <c r="A36" s="254">
        <v>245516</v>
      </c>
      <c r="B36" s="254" t="s">
        <v>1121</v>
      </c>
      <c r="C36" s="255">
        <v>16030.37</v>
      </c>
      <c r="G36" s="303"/>
    </row>
    <row r="37" spans="1:10">
      <c r="A37" s="254">
        <v>245517</v>
      </c>
      <c r="B37" s="254" t="s">
        <v>1121</v>
      </c>
      <c r="C37" s="255">
        <v>1001898.32</v>
      </c>
      <c r="G37" s="303"/>
    </row>
    <row r="38" spans="1:10">
      <c r="A38" s="254">
        <v>245518</v>
      </c>
      <c r="B38" s="254" t="s">
        <v>1121</v>
      </c>
      <c r="C38" s="255">
        <v>349901.04</v>
      </c>
      <c r="G38" s="303"/>
    </row>
    <row r="39" spans="1:10">
      <c r="A39" s="254">
        <v>245519</v>
      </c>
      <c r="B39" s="254" t="s">
        <v>1121</v>
      </c>
      <c r="C39" s="255">
        <v>2698272.94</v>
      </c>
      <c r="E39" s="258">
        <f>+C39*0.25</f>
        <v>674568.23499999999</v>
      </c>
      <c r="F39" s="284" t="s">
        <v>1141</v>
      </c>
      <c r="J39" s="303"/>
    </row>
    <row r="40" spans="1:10">
      <c r="A40" s="254">
        <v>245520</v>
      </c>
      <c r="B40" s="254" t="s">
        <v>1121</v>
      </c>
      <c r="C40" s="255">
        <v>2101800.9700000002</v>
      </c>
      <c r="E40" s="256">
        <f>+C40</f>
        <v>2101800.9700000002</v>
      </c>
      <c r="F40" s="284" t="s">
        <v>1142</v>
      </c>
      <c r="J40" s="303"/>
    </row>
    <row r="41" spans="1:10">
      <c r="A41" s="254">
        <v>245521</v>
      </c>
      <c r="B41" s="254" t="s">
        <v>1121</v>
      </c>
      <c r="C41" s="255">
        <v>2817631.76</v>
      </c>
      <c r="E41" s="256">
        <f>+C41</f>
        <v>2817631.76</v>
      </c>
      <c r="F41" s="284" t="s">
        <v>1143</v>
      </c>
      <c r="J41" s="303"/>
    </row>
    <row r="42" spans="1:10">
      <c r="A42" s="254">
        <v>245522</v>
      </c>
      <c r="B42" s="254" t="s">
        <v>1121</v>
      </c>
      <c r="C42" s="255">
        <v>1408815.87</v>
      </c>
      <c r="E42" s="256">
        <f>+C42</f>
        <v>1408815.87</v>
      </c>
      <c r="F42" s="284" t="s">
        <v>1144</v>
      </c>
      <c r="J42" s="303"/>
    </row>
    <row r="43" spans="1:10">
      <c r="A43" s="254">
        <v>245523</v>
      </c>
      <c r="B43" s="254" t="s">
        <v>1121</v>
      </c>
      <c r="C43" s="255">
        <v>30745.040000000001</v>
      </c>
      <c r="J43" s="303"/>
    </row>
    <row r="44" spans="1:10">
      <c r="A44" s="254">
        <v>245524</v>
      </c>
      <c r="B44" s="254" t="s">
        <v>1121</v>
      </c>
      <c r="C44" s="255">
        <v>126823.3</v>
      </c>
      <c r="J44" s="303"/>
    </row>
    <row r="45" spans="1:10">
      <c r="A45" s="254">
        <v>245525</v>
      </c>
      <c r="B45" s="254" t="s">
        <v>1121</v>
      </c>
      <c r="C45" s="255">
        <v>229744.67</v>
      </c>
      <c r="J45" s="303"/>
    </row>
    <row r="46" spans="1:10">
      <c r="A46" s="254">
        <v>245526</v>
      </c>
      <c r="B46" s="254" t="s">
        <v>1121</v>
      </c>
      <c r="C46" s="255">
        <v>1624934.15</v>
      </c>
      <c r="D46" s="256">
        <f>SUM(C12:C46)</f>
        <v>13348400.199999999</v>
      </c>
      <c r="J46" s="303"/>
    </row>
    <row r="48" spans="1:10">
      <c r="C48" s="255">
        <f>SUM(C2:C47)</f>
        <v>19000673.770000003</v>
      </c>
      <c r="D48" s="256">
        <f>+D10+D46</f>
        <v>19000673.77</v>
      </c>
      <c r="E48" s="256">
        <f>SUM(E2:E46)</f>
        <v>8179313.0550000006</v>
      </c>
    </row>
    <row r="49" spans="1:9">
      <c r="D49" s="266" t="s">
        <v>1127</v>
      </c>
      <c r="E49" s="266" t="s">
        <v>202</v>
      </c>
    </row>
    <row r="51" spans="1:9">
      <c r="A51" s="368" t="s">
        <v>1237</v>
      </c>
      <c r="C51" s="255">
        <v>0</v>
      </c>
      <c r="D51" s="258">
        <v>0</v>
      </c>
      <c r="E51" s="258">
        <v>0</v>
      </c>
      <c r="F51" s="374" t="s">
        <v>1256</v>
      </c>
    </row>
    <row r="52" spans="1:9">
      <c r="D52" s="368"/>
      <c r="E52" s="368" t="s">
        <v>202</v>
      </c>
    </row>
    <row r="54" spans="1:9">
      <c r="A54" s="266" t="s">
        <v>1128</v>
      </c>
      <c r="B54" s="374" t="s">
        <v>1287</v>
      </c>
    </row>
    <row r="56" spans="1:9">
      <c r="A56" s="368" t="s">
        <v>1238</v>
      </c>
      <c r="B56" s="368" t="s">
        <v>1255</v>
      </c>
    </row>
    <row r="57" spans="1:9" ht="15.75" customHeight="1">
      <c r="B57" s="479" t="s">
        <v>1239</v>
      </c>
      <c r="C57" s="479"/>
      <c r="D57" s="479"/>
      <c r="E57" s="479"/>
      <c r="F57" s="479"/>
      <c r="G57" s="479"/>
      <c r="H57" s="479"/>
      <c r="I57" s="479"/>
    </row>
    <row r="58" spans="1:9" ht="15">
      <c r="B58" s="479" t="s">
        <v>1240</v>
      </c>
      <c r="C58" s="479"/>
      <c r="D58" s="479"/>
      <c r="E58" s="479"/>
      <c r="F58" s="479"/>
      <c r="G58" s="479"/>
      <c r="H58" s="479"/>
      <c r="I58" s="479"/>
    </row>
    <row r="59" spans="1:9" ht="15">
      <c r="B59" s="479" t="s">
        <v>1241</v>
      </c>
      <c r="C59" s="479"/>
      <c r="D59" s="479"/>
      <c r="E59" s="479"/>
      <c r="F59" s="479"/>
      <c r="G59" s="479"/>
      <c r="H59" s="479"/>
      <c r="I59" s="479"/>
    </row>
    <row r="60" spans="1:9" ht="15">
      <c r="B60" s="479" t="s">
        <v>1242</v>
      </c>
      <c r="C60" s="479"/>
      <c r="D60" s="479"/>
      <c r="E60" s="479"/>
      <c r="F60" s="479"/>
      <c r="G60" s="479"/>
      <c r="H60" s="479"/>
      <c r="I60" s="479"/>
    </row>
    <row r="61" spans="1:9" ht="15">
      <c r="B61" s="479" t="s">
        <v>1243</v>
      </c>
      <c r="C61" s="479"/>
      <c r="D61" s="479"/>
      <c r="E61" s="479"/>
      <c r="F61" s="479"/>
      <c r="G61" s="479"/>
      <c r="H61" s="479"/>
      <c r="I61" s="479"/>
    </row>
    <row r="63" spans="1:9" ht="15">
      <c r="C63" s="370">
        <v>19000674</v>
      </c>
      <c r="D63" s="369" t="s">
        <v>1244</v>
      </c>
    </row>
    <row r="64" spans="1:9" ht="15">
      <c r="C64" s="370">
        <v>284761418</v>
      </c>
      <c r="D64" s="369" t="s">
        <v>1245</v>
      </c>
    </row>
    <row r="65" spans="3:9" ht="15">
      <c r="C65" s="371">
        <v>6.6724888973547669E-2</v>
      </c>
      <c r="D65" s="369" t="s">
        <v>1246</v>
      </c>
    </row>
    <row r="68" spans="3:9" ht="15">
      <c r="C68" s="372">
        <v>0</v>
      </c>
      <c r="D68" s="369" t="s">
        <v>1247</v>
      </c>
      <c r="I68" s="375" t="s">
        <v>1257</v>
      </c>
    </row>
    <row r="69" spans="3:9" ht="15">
      <c r="C69" s="371">
        <v>6.6724888973547669E-2</v>
      </c>
      <c r="D69" s="369" t="s">
        <v>1248</v>
      </c>
    </row>
    <row r="70" spans="3:9" ht="15">
      <c r="C70" s="373">
        <v>0</v>
      </c>
      <c r="D70" s="369" t="s">
        <v>1249</v>
      </c>
    </row>
    <row r="71" spans="3:9" ht="15">
      <c r="C71" s="372">
        <v>0</v>
      </c>
      <c r="D71" s="369" t="s">
        <v>1250</v>
      </c>
    </row>
    <row r="74" spans="3:9" ht="15">
      <c r="C74" s="369" t="s">
        <v>1251</v>
      </c>
      <c r="D74" s="369"/>
    </row>
    <row r="75" spans="3:9" ht="15">
      <c r="C75" s="369" t="s">
        <v>1252</v>
      </c>
      <c r="D75" s="369"/>
    </row>
    <row r="76" spans="3:9" ht="15">
      <c r="C76" s="369" t="s">
        <v>1253</v>
      </c>
      <c r="D76" s="369"/>
    </row>
    <row r="77" spans="3:9" ht="15">
      <c r="C77" s="370">
        <v>19000674</v>
      </c>
      <c r="D77" s="369"/>
    </row>
    <row r="78" spans="3:9" ht="15">
      <c r="C78" s="369">
        <v>6.9199999999999998E-2</v>
      </c>
      <c r="D78" s="369" t="s">
        <v>1254</v>
      </c>
    </row>
    <row r="79" spans="3:9" ht="15">
      <c r="C79" s="370">
        <v>1314846.6407999999</v>
      </c>
      <c r="D79" s="369"/>
    </row>
  </sheetData>
  <mergeCells count="5">
    <mergeCell ref="B57:I57"/>
    <mergeCell ref="B58:I58"/>
    <mergeCell ref="B59:I59"/>
    <mergeCell ref="B60:I60"/>
    <mergeCell ref="B61:I61"/>
  </mergeCells>
  <pageMargins left="0.7" right="0.7" top="0.75" bottom="0.75" header="0.3" footer="0.3"/>
  <pageSetup scale="6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8</vt:i4>
      </vt:variant>
    </vt:vector>
  </HeadingPairs>
  <TitlesOfParts>
    <vt:vector size="22" baseType="lpstr">
      <vt:lpstr>New and Chg'd Lines-Subs 2016</vt:lpstr>
      <vt:lpstr>SMEPA Lines DECEMBER 2016</vt:lpstr>
      <vt:lpstr>SMEPA Stations December 2016</vt:lpstr>
      <vt:lpstr>MISO Lines DECEMBER 2016</vt:lpstr>
      <vt:lpstr>MISO Stations December 2016</vt:lpstr>
      <vt:lpstr>BATESVILLE 2004 Trans</vt:lpstr>
      <vt:lpstr>Batesville 2013 Trans</vt:lpstr>
      <vt:lpstr>Batesville 2014 Trans</vt:lpstr>
      <vt:lpstr>Batesville 2015 Trans</vt:lpstr>
      <vt:lpstr>Batesville 2016 Trans</vt:lpstr>
      <vt:lpstr>Emal - Dec 2013</vt:lpstr>
      <vt:lpstr>Email(1) - Dec 2014</vt:lpstr>
      <vt:lpstr>Email(2) - Dec 2014</vt:lpstr>
      <vt:lpstr>Summary</vt:lpstr>
      <vt:lpstr>'BATESVILLE 2004 Trans'!Print_Area</vt:lpstr>
      <vt:lpstr>'MISO Lines DECEMBER 2016'!Print_Area</vt:lpstr>
      <vt:lpstr>'SMEPA Lines DECEMBER 2016'!Print_Area</vt:lpstr>
      <vt:lpstr>'BATESVILLE 2004 Trans'!Print_Titles</vt:lpstr>
      <vt:lpstr>'MISO Lines DECEMBER 2016'!Print_Titles</vt:lpstr>
      <vt:lpstr>'MISO Stations December 2016'!Print_Titles</vt:lpstr>
      <vt:lpstr>'SMEPA Lines DECEMBER 2016'!Print_Titles</vt:lpstr>
      <vt:lpstr>'SMEPA Stations December 2016'!Print_Titles</vt:lpstr>
    </vt:vector>
  </TitlesOfParts>
  <Company>SMEPA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Regina McAlpin</dc:creator>
  <cp:lastModifiedBy>Matthew</cp:lastModifiedBy>
  <cp:lastPrinted>2017-03-16T20:13:56Z</cp:lastPrinted>
  <dcterms:created xsi:type="dcterms:W3CDTF">1997-08-06T15:36:10Z</dcterms:created>
  <dcterms:modified xsi:type="dcterms:W3CDTF">2018-03-15T18:40:11Z</dcterms:modified>
</cp:coreProperties>
</file>