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12285" yWindow="-15" windowWidth="3120" windowHeight="7200" tabRatio="821" activeTab="10"/>
  </bookViews>
  <sheets>
    <sheet name="Appendix H-1" sheetId="48" r:id="rId1"/>
    <sheet name="1 - ADIT" sheetId="69" r:id="rId2"/>
    <sheet name="2 - Other Tax" sheetId="70" r:id="rId3"/>
    <sheet name="3 - Revenue Credits" sheetId="71" r:id="rId4"/>
    <sheet name="4 - 100 Basis Pt ROE" sheetId="80" r:id="rId5"/>
    <sheet name="Exh E - Cap Add Worksheet" sheetId="55" state="hidden" r:id="rId6"/>
    <sheet name="Exh F - AA-BL Items" sheetId="64" state="hidden" r:id="rId7"/>
    <sheet name="5 - Cost Support" sheetId="65" r:id="rId8"/>
    <sheet name="6- Est &amp; True-up WS" sheetId="68" r:id="rId9"/>
    <sheet name="7 - Incentive WS " sheetId="77" r:id="rId10"/>
    <sheet name="8 - Capital Structure" sheetId="78" r:id="rId11"/>
  </sheets>
  <externalReferences>
    <externalReference r:id="rId12"/>
  </externalReferences>
  <definedNames>
    <definedName name="_p.choice" localSheetId="4">#REF!</definedName>
    <definedName name="_p.choice" localSheetId="10">#REF!</definedName>
    <definedName name="_p.choice">#REF!</definedName>
    <definedName name="AA.print" localSheetId="10">#REF!</definedName>
    <definedName name="AA.print">#REF!</definedName>
    <definedName name="AB.print" localSheetId="10">#REF!</definedName>
    <definedName name="AB.print">#REF!</definedName>
    <definedName name="AO.print">#REF!</definedName>
    <definedName name="AV.FM.1..adjusted..print">#REF!</definedName>
    <definedName name="AV.FM.1.print">#REF!</definedName>
    <definedName name="BA.print">#REF!</definedName>
    <definedName name="BB.print">#REF!</definedName>
    <definedName name="BG.print">#REF!</definedName>
    <definedName name="BK..FM1.Adjusted..print">#REF!</definedName>
    <definedName name="BK..FM1.ROR..print">#REF!</definedName>
    <definedName name="Levelized..FM1.ROR..print">#REF!</definedName>
    <definedName name="Print.selection.print">#REF!</definedName>
    <definedName name="_xlnm.Print_Area" localSheetId="1">'1 - ADIT'!$A$1:$H$146</definedName>
    <definedName name="_xlnm.Print_Area" localSheetId="2">'2 - Other Tax'!$A$1:$G$61</definedName>
    <definedName name="_xlnm.Print_Area" localSheetId="3">'3 - Revenue Credits'!$A$1:$E$46</definedName>
    <definedName name="_xlnm.Print_Area" localSheetId="4">'4 - 100 Basis Pt ROE'!$A$1:$I$77</definedName>
    <definedName name="_xlnm.Print_Area" localSheetId="7">'5 - Cost Support'!$A$1:$R$223</definedName>
    <definedName name="_xlnm.Print_Area" localSheetId="8">'6- Est &amp; True-up WS'!$A$1:$P$162</definedName>
    <definedName name="_xlnm.Print_Area" localSheetId="9">'7 - Incentive WS '!$A$1:$AM$82</definedName>
    <definedName name="_xlnm.Print_Area" localSheetId="10">'8 - Capital Structure'!$A$1:$M$51</definedName>
    <definedName name="_xlnm.Print_Area" localSheetId="0">'Appendix H-1'!$A$1:$H$340</definedName>
    <definedName name="_xlnm.Print_Area" localSheetId="6">'Exh F - AA-BL Items'!$A$4:$Q$424</definedName>
    <definedName name="_xlnm.Print_Titles" localSheetId="9">'7 - Incentive WS '!$C:$D</definedName>
    <definedName name="_xlnm.Print_Titles" localSheetId="5">'Exh E - Cap Add Worksheet'!$A:$B</definedName>
    <definedName name="solver_adj" localSheetId="0" hidden="1">'Appendix H-1'!#REF!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H-1'!#REF!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9" hidden="1">'7 - Incentive WS '!$Q:$AJ</definedName>
    <definedName name="Z_28948E05_8F34_4F1E_96FB_A80A6A844600_.wvu.PrintTitles" localSheetId="9" hidden="1">'7 - Incentive WS '!$C:$D</definedName>
    <definedName name="Z_3A38DF7A_C35E_4DD3_9893_26310A3EF836_.wvu.Cols" localSheetId="9" hidden="1">'7 - Incentive WS '!$Q:$AJ</definedName>
    <definedName name="Z_3A38DF7A_C35E_4DD3_9893_26310A3EF836_.wvu.PrintTitles" localSheetId="9" hidden="1">'7 - Incentive WS '!$C:$D</definedName>
    <definedName name="Z_4C7C2344_134C_465A_ADEB_A5E96AAE2308_.wvu.Cols" localSheetId="9" hidden="1">'7 - Incentive WS '!$Q:$AJ</definedName>
    <definedName name="Z_4C7C2344_134C_465A_ADEB_A5E96AAE2308_.wvu.PrintTitles" localSheetId="9" hidden="1">'7 - Incentive WS '!$C:$D</definedName>
    <definedName name="Z_71B42B22_A376_44B5_B0C1_23FC1AA3DBA2_.wvu.Cols" localSheetId="9" hidden="1">'7 - Incentive WS '!$Q:$AJ</definedName>
    <definedName name="Z_71B42B22_A376_44B5_B0C1_23FC1AA3DBA2_.wvu.PrintTitles" localSheetId="9" hidden="1">'7 - Incentive WS '!$C:$D</definedName>
    <definedName name="Z_DA967730_B71F_4038_B1B7_9D4790729C5D_.wvu.Cols" localSheetId="9" hidden="1">'7 - Incentive WS '!$Q:$AJ</definedName>
    <definedName name="Z_DA967730_B71F_4038_B1B7_9D4790729C5D_.wvu.PrintTitles" localSheetId="9" hidden="1">'7 - Incentive WS '!$C:$D</definedName>
    <definedName name="Z_DC91DEF3_837B_4BB9_A81E_3B78C5914E6C_.wvu.Cols" localSheetId="9" hidden="1">'7 - Incentive WS '!$Q:$AJ</definedName>
    <definedName name="Z_DC91DEF3_837B_4BB9_A81E_3B78C5914E6C_.wvu.PrintTitles" localSheetId="9" hidden="1">'7 - Incentive WS '!$C:$D</definedName>
    <definedName name="Z_F96D6087_3330_4A81_95EC_26BA83722A49_.wvu.Cols" localSheetId="9" hidden="1">'7 - Incentive WS '!$Q:$AJ</definedName>
    <definedName name="Z_F96D6087_3330_4A81_95EC_26BA83722A49_.wvu.PrintTitles" localSheetId="9" hidden="1">'7 - Incentive WS '!$C:$D</definedName>
    <definedName name="Z_FAAD9AAC_1337_43AB_BF1F_CCF9DFCF5B78_.wvu.Cols" localSheetId="9" hidden="1">'7 - Incentive WS '!$Q:$AJ</definedName>
    <definedName name="Z_FAAD9AAC_1337_43AB_BF1F_CCF9DFCF5B78_.wvu.PrintTitles" localSheetId="9" hidden="1">'7 - Incentive WS '!$C:$D</definedName>
  </definedNames>
  <calcPr calcId="125725"/>
</workbook>
</file>

<file path=xl/calcChain.xml><?xml version="1.0" encoding="utf-8"?>
<calcChain xmlns="http://schemas.openxmlformats.org/spreadsheetml/2006/main">
  <c r="L11" i="78"/>
  <c r="J12" l="1"/>
  <c r="L22" l="1"/>
  <c r="H198" i="48" s="1"/>
  <c r="H188" s="1"/>
  <c r="L20" i="78"/>
  <c r="L19"/>
  <c r="H195" i="48" s="1"/>
  <c r="L18" i="78"/>
  <c r="H194" i="48" s="1"/>
  <c r="L14" i="78"/>
  <c r="H190" i="48" s="1"/>
  <c r="L13" i="78"/>
  <c r="H189" i="48" s="1"/>
  <c r="J21" i="78"/>
  <c r="J15"/>
  <c r="J23" s="1"/>
  <c r="L21" l="1"/>
  <c r="H187" i="48"/>
  <c r="H196"/>
  <c r="J24" i="78"/>
  <c r="C88" i="69"/>
  <c r="E135" l="1"/>
  <c r="D134"/>
  <c r="D136" s="1"/>
  <c r="D80"/>
  <c r="C77"/>
  <c r="D129" l="1"/>
  <c r="D128"/>
  <c r="D127"/>
  <c r="C89" l="1"/>
  <c r="C76"/>
  <c r="C75"/>
  <c r="H46" i="48" l="1"/>
  <c r="I39" i="65" l="1"/>
  <c r="G25" l="1"/>
  <c r="G22"/>
  <c r="G21"/>
  <c r="H41" i="48" l="1"/>
  <c r="D15" i="71" l="1"/>
  <c r="I222" i="65" l="1"/>
  <c r="M222" l="1"/>
  <c r="J222"/>
  <c r="G40"/>
  <c r="H40"/>
  <c r="D126" i="69" l="1"/>
  <c r="H119" i="48" l="1"/>
  <c r="H25" i="65" l="1"/>
  <c r="D53" i="69" l="1"/>
  <c r="D132" l="1"/>
  <c r="D131"/>
  <c r="D84"/>
  <c r="D76"/>
  <c r="D75"/>
  <c r="D52"/>
  <c r="F82" l="1"/>
  <c r="D77"/>
  <c r="D125" l="1"/>
  <c r="D79" l="1"/>
  <c r="D78"/>
  <c r="D36"/>
  <c r="K21" i="78" l="1"/>
  <c r="D133" i="69" l="1"/>
  <c r="D130"/>
  <c r="D124"/>
  <c r="D123"/>
  <c r="D86"/>
  <c r="D38" l="1"/>
  <c r="D83" l="1"/>
  <c r="I61" i="68" l="1"/>
  <c r="D85" i="69" l="1"/>
  <c r="D37"/>
  <c r="G69" i="80" l="1"/>
  <c r="G68"/>
  <c r="G63"/>
  <c r="G39"/>
  <c r="G37"/>
  <c r="G36"/>
  <c r="G35"/>
  <c r="G31"/>
  <c r="G30"/>
  <c r="G28"/>
  <c r="G25"/>
  <c r="G22"/>
  <c r="G21"/>
  <c r="G20"/>
  <c r="G19"/>
  <c r="G18"/>
  <c r="G17"/>
  <c r="E43"/>
  <c r="E44"/>
  <c r="E45"/>
  <c r="E47"/>
  <c r="E48"/>
  <c r="E49"/>
  <c r="E51"/>
  <c r="E52"/>
  <c r="E53"/>
  <c r="E63"/>
  <c r="E64"/>
  <c r="E75"/>
  <c r="D71"/>
  <c r="D70"/>
  <c r="D69"/>
  <c r="D68"/>
  <c r="D65"/>
  <c r="D64"/>
  <c r="D63"/>
  <c r="D62"/>
  <c r="D61"/>
  <c r="D53"/>
  <c r="D52"/>
  <c r="D51"/>
  <c r="D49"/>
  <c r="D48"/>
  <c r="D47"/>
  <c r="D45"/>
  <c r="D44"/>
  <c r="D43"/>
  <c r="D41"/>
  <c r="D40"/>
  <c r="D39"/>
  <c r="D38"/>
  <c r="D37"/>
  <c r="D36"/>
  <c r="D35"/>
  <c r="D32"/>
  <c r="D31"/>
  <c r="D30"/>
  <c r="D29"/>
  <c r="D28"/>
  <c r="D23"/>
  <c r="D22"/>
  <c r="D21"/>
  <c r="D20"/>
  <c r="D19"/>
  <c r="D17"/>
  <c r="C77"/>
  <c r="C75"/>
  <c r="C60"/>
  <c r="C56"/>
  <c r="C54"/>
  <c r="C34"/>
  <c r="C27"/>
  <c r="C25"/>
  <c r="C16"/>
  <c r="C13"/>
  <c r="A1"/>
  <c r="K40" i="65" l="1"/>
  <c r="H23" l="1"/>
  <c r="I23" s="1"/>
  <c r="I49" i="80" l="1"/>
  <c r="D12" i="71" l="1"/>
  <c r="I68" i="80"/>
  <c r="I62"/>
  <c r="I61"/>
  <c r="I25"/>
  <c r="I22"/>
  <c r="I21"/>
  <c r="I20"/>
  <c r="I19"/>
  <c r="I17"/>
  <c r="I64" l="1"/>
  <c r="I65" s="1"/>
  <c r="I69" l="1"/>
  <c r="E80" i="48" l="1"/>
  <c r="D36" i="71" l="1"/>
  <c r="E160" i="48" l="1"/>
  <c r="E159"/>
  <c r="E154"/>
  <c r="E153"/>
  <c r="I38" i="65"/>
  <c r="I40" s="1"/>
  <c r="E285" i="48" l="1"/>
  <c r="C10" i="68" l="1"/>
  <c r="A118"/>
  <c r="B48"/>
  <c r="A48"/>
  <c r="C27"/>
  <c r="B27"/>
  <c r="A27"/>
  <c r="D108" l="1"/>
  <c r="D118"/>
  <c r="E42" i="48"/>
  <c r="D104" i="68"/>
  <c r="A104"/>
  <c r="AM72" i="77" l="1"/>
  <c r="AL73"/>
  <c r="K87" i="68"/>
  <c r="J87"/>
  <c r="M87" s="1"/>
  <c r="K86"/>
  <c r="J86"/>
  <c r="M86" s="1"/>
  <c r="K85"/>
  <c r="J85"/>
  <c r="M85" s="1"/>
  <c r="D111"/>
  <c r="D48"/>
  <c r="C116" i="65" l="1"/>
  <c r="C102"/>
  <c r="G100" s="1"/>
  <c r="C94"/>
  <c r="G92" s="1"/>
  <c r="C87"/>
  <c r="G85" s="1"/>
  <c r="C75"/>
  <c r="C68"/>
  <c r="F60"/>
  <c r="C62"/>
  <c r="B80"/>
  <c r="B67"/>
  <c r="B61"/>
  <c r="C60"/>
  <c r="B59"/>
  <c r="C52"/>
  <c r="C31"/>
  <c r="C30"/>
  <c r="C29"/>
  <c r="C22"/>
  <c r="C23"/>
  <c r="C24"/>
  <c r="C38"/>
  <c r="L37" i="78"/>
  <c r="L38"/>
  <c r="L39"/>
  <c r="L40"/>
  <c r="L41"/>
  <c r="L42"/>
  <c r="L36"/>
  <c r="E31" i="65"/>
  <c r="E29"/>
  <c r="E130" i="68"/>
  <c r="E131" s="1"/>
  <c r="E132" s="1"/>
  <c r="E133" s="1"/>
  <c r="E137" s="1"/>
  <c r="E138" s="1"/>
  <c r="E139" s="1"/>
  <c r="E140" s="1"/>
  <c r="E141" s="1"/>
  <c r="E142" s="1"/>
  <c r="E143" s="1"/>
  <c r="H24" i="65"/>
  <c r="H27" i="48" s="1"/>
  <c r="H60" s="1"/>
  <c r="E207"/>
  <c r="F48" i="80" s="1"/>
  <c r="E198" i="48"/>
  <c r="F39" i="80" s="1"/>
  <c r="E188" i="48"/>
  <c r="J43" i="78"/>
  <c r="K43"/>
  <c r="A12"/>
  <c r="A13" s="1"/>
  <c r="E184" i="48"/>
  <c r="E204"/>
  <c r="F45" i="80" s="1"/>
  <c r="E203" i="48"/>
  <c r="F44" i="80" s="1"/>
  <c r="E202" i="48"/>
  <c r="F43" i="80" s="1"/>
  <c r="C177" i="48"/>
  <c r="D18" i="80" s="1"/>
  <c r="K32" i="78"/>
  <c r="J32"/>
  <c r="L31"/>
  <c r="L32" s="1"/>
  <c r="G18" i="65"/>
  <c r="B10" i="78"/>
  <c r="C21"/>
  <c r="C22"/>
  <c r="C23"/>
  <c r="C24"/>
  <c r="C19"/>
  <c r="C20"/>
  <c r="C18"/>
  <c r="B17"/>
  <c r="C15"/>
  <c r="C13"/>
  <c r="C14"/>
  <c r="C12"/>
  <c r="C11"/>
  <c r="I29" i="80"/>
  <c r="I37"/>
  <c r="I36"/>
  <c r="I31"/>
  <c r="I30"/>
  <c r="I28"/>
  <c r="K12" i="78"/>
  <c r="A1"/>
  <c r="H118" i="48"/>
  <c r="J116" i="65"/>
  <c r="K116" s="1"/>
  <c r="H296" i="48" s="1"/>
  <c r="E296"/>
  <c r="E116" i="65" s="1"/>
  <c r="F296" i="48"/>
  <c r="C18" i="65"/>
  <c r="H10"/>
  <c r="H11"/>
  <c r="H12"/>
  <c r="H13"/>
  <c r="H14"/>
  <c r="H15"/>
  <c r="H16"/>
  <c r="H17"/>
  <c r="H9"/>
  <c r="F295" i="48"/>
  <c r="G52" i="65"/>
  <c r="H295" i="48" s="1"/>
  <c r="H84"/>
  <c r="H83"/>
  <c r="J40" i="65"/>
  <c r="C54"/>
  <c r="B45"/>
  <c r="H47" i="48"/>
  <c r="C25" i="65"/>
  <c r="E125" i="48"/>
  <c r="E124"/>
  <c r="E117"/>
  <c r="H26"/>
  <c r="N123" i="68"/>
  <c r="N124" s="1"/>
  <c r="N125" s="1"/>
  <c r="N126" s="1"/>
  <c r="N127" s="1"/>
  <c r="N128" s="1"/>
  <c r="N129" s="1"/>
  <c r="N130" s="1"/>
  <c r="N131" s="1"/>
  <c r="N132" s="1"/>
  <c r="N133" s="1"/>
  <c r="K122"/>
  <c r="K123" s="1"/>
  <c r="K124" s="1"/>
  <c r="K125" s="1"/>
  <c r="K126" s="1"/>
  <c r="K127" s="1"/>
  <c r="K128" s="1"/>
  <c r="I85"/>
  <c r="L85" s="1"/>
  <c r="K63"/>
  <c r="N63" s="1"/>
  <c r="K62"/>
  <c r="N62" s="1"/>
  <c r="K61"/>
  <c r="N61" s="1"/>
  <c r="J61"/>
  <c r="M61" s="1"/>
  <c r="J63"/>
  <c r="M63" s="1"/>
  <c r="J62"/>
  <c r="M62" s="1"/>
  <c r="J32"/>
  <c r="I86"/>
  <c r="L86" s="1"/>
  <c r="I87"/>
  <c r="L87" s="1"/>
  <c r="L61"/>
  <c r="I62"/>
  <c r="L62" s="1"/>
  <c r="I63"/>
  <c r="L63" s="1"/>
  <c r="D117" i="69"/>
  <c r="I32" i="68"/>
  <c r="L32" s="1"/>
  <c r="G91" i="69"/>
  <c r="G94" s="1"/>
  <c r="D114"/>
  <c r="G68" i="65"/>
  <c r="G81" s="1"/>
  <c r="H31"/>
  <c r="H160" i="48" s="1"/>
  <c r="H30" i="65"/>
  <c r="H159" i="48" s="1"/>
  <c r="H29" i="65"/>
  <c r="H154" i="48" s="1"/>
  <c r="H28" i="65"/>
  <c r="H153" i="48" s="1"/>
  <c r="E31" i="71"/>
  <c r="B108" i="68"/>
  <c r="A108"/>
  <c r="A113"/>
  <c r="E20" i="71"/>
  <c r="E35"/>
  <c r="E7"/>
  <c r="E12" s="1"/>
  <c r="G50" i="69"/>
  <c r="G48"/>
  <c r="G47"/>
  <c r="G46"/>
  <c r="A1" i="77"/>
  <c r="C32"/>
  <c r="C34" s="1"/>
  <c r="C36" s="1"/>
  <c r="C38" s="1"/>
  <c r="C40" s="1"/>
  <c r="C42" s="1"/>
  <c r="C44" s="1"/>
  <c r="C46" s="1"/>
  <c r="C48" s="1"/>
  <c r="C50" s="1"/>
  <c r="C52" s="1"/>
  <c r="C54" s="1"/>
  <c r="C56" s="1"/>
  <c r="C58" s="1"/>
  <c r="C60" s="1"/>
  <c r="C62" s="1"/>
  <c r="C64" s="1"/>
  <c r="C66" s="1"/>
  <c r="C68" s="1"/>
  <c r="C70" s="1"/>
  <c r="C26"/>
  <c r="F15"/>
  <c r="D45" i="69"/>
  <c r="D35"/>
  <c r="H261" i="48"/>
  <c r="J81" i="65"/>
  <c r="H124" i="48"/>
  <c r="E22" i="70"/>
  <c r="L29" i="68"/>
  <c r="K34"/>
  <c r="N34" s="1"/>
  <c r="K33"/>
  <c r="N33" s="1"/>
  <c r="K32"/>
  <c r="N32" s="1"/>
  <c r="J34"/>
  <c r="M34" s="1"/>
  <c r="J33"/>
  <c r="M33" s="1"/>
  <c r="M32"/>
  <c r="F32" i="77"/>
  <c r="F33" s="1"/>
  <c r="F10"/>
  <c r="F9"/>
  <c r="G71"/>
  <c r="G70"/>
  <c r="G69"/>
  <c r="G68"/>
  <c r="G67"/>
  <c r="G66"/>
  <c r="G65"/>
  <c r="G64"/>
  <c r="G63"/>
  <c r="G62"/>
  <c r="G61"/>
  <c r="G60"/>
  <c r="G59"/>
  <c r="G58"/>
  <c r="G57"/>
  <c r="G56"/>
  <c r="G55"/>
  <c r="G54"/>
  <c r="G53"/>
  <c r="G52"/>
  <c r="G51"/>
  <c r="G50"/>
  <c r="G49"/>
  <c r="G48"/>
  <c r="G47"/>
  <c r="G46"/>
  <c r="G45"/>
  <c r="G44"/>
  <c r="G43"/>
  <c r="G42"/>
  <c r="G41"/>
  <c r="AG40"/>
  <c r="AG41" s="1"/>
  <c r="AC40"/>
  <c r="AC41" s="1"/>
  <c r="G40"/>
  <c r="G39"/>
  <c r="Y38"/>
  <c r="Y39" s="1"/>
  <c r="U38"/>
  <c r="U39" s="1"/>
  <c r="G38"/>
  <c r="F37"/>
  <c r="G37" s="1"/>
  <c r="Q36"/>
  <c r="Q37" s="1"/>
  <c r="G36"/>
  <c r="F35"/>
  <c r="G35" s="1"/>
  <c r="C35"/>
  <c r="C37" s="1"/>
  <c r="C39" s="1"/>
  <c r="C41" s="1"/>
  <c r="C43" s="1"/>
  <c r="C45" s="1"/>
  <c r="C47" s="1"/>
  <c r="C49" s="1"/>
  <c r="C51" s="1"/>
  <c r="C53" s="1"/>
  <c r="C55" s="1"/>
  <c r="C57" s="1"/>
  <c r="C59" s="1"/>
  <c r="C61" s="1"/>
  <c r="C63" s="1"/>
  <c r="C65" s="1"/>
  <c r="C67" s="1"/>
  <c r="C69" s="1"/>
  <c r="C71" s="1"/>
  <c r="M34"/>
  <c r="M35" s="1"/>
  <c r="I34"/>
  <c r="G34"/>
  <c r="M32"/>
  <c r="M33" s="1"/>
  <c r="I32"/>
  <c r="I33" s="1"/>
  <c r="E32"/>
  <c r="E33" s="1"/>
  <c r="AG29"/>
  <c r="AH64" s="1"/>
  <c r="AH65" s="1"/>
  <c r="AC29"/>
  <c r="AD40" s="1"/>
  <c r="Y29"/>
  <c r="Z66" s="1"/>
  <c r="Z67" s="1"/>
  <c r="U29"/>
  <c r="V40" s="1"/>
  <c r="V41" s="1"/>
  <c r="Q29"/>
  <c r="R68" s="1"/>
  <c r="R69" s="1"/>
  <c r="M29"/>
  <c r="N32" s="1"/>
  <c r="I29"/>
  <c r="J32" s="1"/>
  <c r="A22"/>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H21"/>
  <c r="AI21" s="1"/>
  <c r="AJ21" s="1"/>
  <c r="AD21"/>
  <c r="AE21" s="1"/>
  <c r="AF21" s="1"/>
  <c r="Z21"/>
  <c r="AA21" s="1"/>
  <c r="AB21" s="1"/>
  <c r="V21"/>
  <c r="W21" s="1"/>
  <c r="X21" s="1"/>
  <c r="R21"/>
  <c r="S21" s="1"/>
  <c r="T21" s="1"/>
  <c r="H88" i="68"/>
  <c r="D84"/>
  <c r="H64"/>
  <c r="K64" s="1"/>
  <c r="N64" s="1"/>
  <c r="D60"/>
  <c r="E30" i="65"/>
  <c r="E145" i="64"/>
  <c r="E28" i="65"/>
  <c r="E150" i="48"/>
  <c r="E46"/>
  <c r="B14" i="68"/>
  <c r="H243" i="48"/>
  <c r="F289"/>
  <c r="F272" i="64" s="1"/>
  <c r="H103" i="48"/>
  <c r="A1" i="68"/>
  <c r="A1" i="71"/>
  <c r="A1" i="70"/>
  <c r="A1" i="69"/>
  <c r="G42"/>
  <c r="H102" i="48"/>
  <c r="G118" i="69"/>
  <c r="G113"/>
  <c r="F112"/>
  <c r="G49"/>
  <c r="G43"/>
  <c r="H135" i="48"/>
  <c r="C81" i="65"/>
  <c r="E135" i="48"/>
  <c r="E81" i="65" s="1"/>
  <c r="H139" i="48"/>
  <c r="F116" i="69"/>
  <c r="C60" i="48"/>
  <c r="C56" i="64" s="1"/>
  <c r="C28" i="65"/>
  <c r="C39"/>
  <c r="E84" i="48"/>
  <c r="E39" i="65" s="1"/>
  <c r="F85" i="48"/>
  <c r="H25"/>
  <c r="H58" s="1"/>
  <c r="H24"/>
  <c r="C21" i="65"/>
  <c r="E24" i="48"/>
  <c r="E21" i="65" s="1"/>
  <c r="D55" i="69"/>
  <c r="D56"/>
  <c r="D119"/>
  <c r="D87"/>
  <c r="F81"/>
  <c r="G62" i="65"/>
  <c r="I62" s="1"/>
  <c r="D120" i="69"/>
  <c r="D44"/>
  <c r="D111"/>
  <c r="G115"/>
  <c r="D89"/>
  <c r="D88"/>
  <c r="D54"/>
  <c r="D51"/>
  <c r="D41"/>
  <c r="D39"/>
  <c r="E91"/>
  <c r="E94" s="1"/>
  <c r="C11" s="1"/>
  <c r="E138"/>
  <c r="C12" s="1"/>
  <c r="E57"/>
  <c r="E59" s="1"/>
  <c r="C13" s="1"/>
  <c r="C136"/>
  <c r="C137"/>
  <c r="C93"/>
  <c r="A8" i="71"/>
  <c r="A9" s="1"/>
  <c r="A10" s="1"/>
  <c r="H138" i="48"/>
  <c r="C111" i="64"/>
  <c r="C16"/>
  <c r="B105" i="69"/>
  <c r="B28"/>
  <c r="B69" s="1"/>
  <c r="H15" i="48"/>
  <c r="E42" i="70"/>
  <c r="E33"/>
  <c r="H134" i="48"/>
  <c r="E208"/>
  <c r="A20"/>
  <c r="A18" i="65" s="1"/>
  <c r="C96"/>
  <c r="A13" i="48"/>
  <c r="F49"/>
  <c r="F42" i="64" s="1"/>
  <c r="C58" i="48"/>
  <c r="C54" i="64" s="1"/>
  <c r="C59" i="48"/>
  <c r="C55" i="64" s="1"/>
  <c r="C62" i="48"/>
  <c r="C58" i="64" s="1"/>
  <c r="F62" i="48"/>
  <c r="F58" i="64" s="1"/>
  <c r="F91" i="48"/>
  <c r="F83" i="64" s="1"/>
  <c r="F130" i="48"/>
  <c r="F118" i="64" s="1"/>
  <c r="F156" i="48"/>
  <c r="F142" i="64" s="1"/>
  <c r="F162" i="48"/>
  <c r="F148" i="64" s="1"/>
  <c r="C279" i="48"/>
  <c r="C263" i="64" s="1"/>
  <c r="E20" i="48"/>
  <c r="E18" i="65" s="1"/>
  <c r="E25" i="48"/>
  <c r="E22" i="65" s="1"/>
  <c r="E26" i="48"/>
  <c r="E23" i="65" s="1"/>
  <c r="E27" i="48"/>
  <c r="E24" i="65" s="1"/>
  <c r="E83" i="48"/>
  <c r="E38" i="65" s="1"/>
  <c r="E90" i="48"/>
  <c r="E82" i="64" s="1"/>
  <c r="E140"/>
  <c r="E41" i="48"/>
  <c r="E37" i="64" s="1"/>
  <c r="E47" i="48"/>
  <c r="E25" i="65" s="1"/>
  <c r="E127" i="48"/>
  <c r="E60" i="65" s="1"/>
  <c r="E139" i="48"/>
  <c r="E68" i="65" s="1"/>
  <c r="E222" i="48"/>
  <c r="E205" i="64" s="1"/>
  <c r="E227" i="48"/>
  <c r="E289"/>
  <c r="E272" i="64" s="1"/>
  <c r="E243" i="48"/>
  <c r="E87" i="65" s="1"/>
  <c r="E102" i="48"/>
  <c r="E94" i="64" s="1"/>
  <c r="E374" s="1"/>
  <c r="E261" i="48"/>
  <c r="E134"/>
  <c r="E62" i="65" s="1"/>
  <c r="C268" i="48"/>
  <c r="C252" i="64" s="1"/>
  <c r="A1" i="65"/>
  <c r="F16" i="64"/>
  <c r="F52"/>
  <c r="C52"/>
  <c r="C40"/>
  <c r="C38"/>
  <c r="F37"/>
  <c r="C37"/>
  <c r="C17"/>
  <c r="B36"/>
  <c r="B15"/>
  <c r="F45"/>
  <c r="C45"/>
  <c r="F247"/>
  <c r="F390" s="1"/>
  <c r="F94"/>
  <c r="F374" s="1"/>
  <c r="C123"/>
  <c r="F123"/>
  <c r="C205"/>
  <c r="C127"/>
  <c r="F127"/>
  <c r="B121"/>
  <c r="C122"/>
  <c r="F122"/>
  <c r="C114"/>
  <c r="F114"/>
  <c r="B110"/>
  <c r="C116"/>
  <c r="F116"/>
  <c r="C145"/>
  <c r="F145"/>
  <c r="C146"/>
  <c r="F146"/>
  <c r="C140"/>
  <c r="F140"/>
  <c r="F111"/>
  <c r="C82"/>
  <c r="F82"/>
  <c r="C77"/>
  <c r="F77"/>
  <c r="C71"/>
  <c r="F71"/>
  <c r="C21"/>
  <c r="F21"/>
  <c r="C22"/>
  <c r="F22"/>
  <c r="C23"/>
  <c r="F23"/>
  <c r="C247"/>
  <c r="C390" s="1"/>
  <c r="G388" s="1"/>
  <c r="C272"/>
  <c r="C94"/>
  <c r="C374" s="1"/>
  <c r="G372" s="1"/>
  <c r="C239"/>
  <c r="E55" i="48"/>
  <c r="E52" i="64" s="1"/>
  <c r="E123"/>
  <c r="E116"/>
  <c r="E111"/>
  <c r="E71"/>
  <c r="F40"/>
  <c r="E17"/>
  <c r="E55"/>
  <c r="E56"/>
  <c r="E38"/>
  <c r="F239"/>
  <c r="F205"/>
  <c r="I33" i="68"/>
  <c r="L33" s="1"/>
  <c r="A78"/>
  <c r="C14"/>
  <c r="C15" s="1"/>
  <c r="C18" s="1"/>
  <c r="E97"/>
  <c r="L101" s="1"/>
  <c r="H42" i="48" s="1"/>
  <c r="D113" i="68"/>
  <c r="D78"/>
  <c r="N85"/>
  <c r="D56"/>
  <c r="E123"/>
  <c r="E124" s="1"/>
  <c r="E125" s="1"/>
  <c r="E126" s="1"/>
  <c r="E127" s="1"/>
  <c r="E128" s="1"/>
  <c r="E145"/>
  <c r="E146" s="1"/>
  <c r="E147" s="1"/>
  <c r="E148" s="1"/>
  <c r="D160"/>
  <c r="D156"/>
  <c r="D54"/>
  <c r="D51"/>
  <c r="D27"/>
  <c r="A160"/>
  <c r="B156"/>
  <c r="A156"/>
  <c r="D148"/>
  <c r="D147"/>
  <c r="D146"/>
  <c r="D145"/>
  <c r="D144"/>
  <c r="D143"/>
  <c r="D142"/>
  <c r="D141"/>
  <c r="D140"/>
  <c r="D139"/>
  <c r="D138"/>
  <c r="D137"/>
  <c r="E73"/>
  <c r="A56"/>
  <c r="C54"/>
  <c r="A54"/>
  <c r="B51"/>
  <c r="A51"/>
  <c r="E44"/>
  <c r="H224" i="48"/>
  <c r="H229" s="1"/>
  <c r="C32" i="55"/>
  <c r="C33" s="1"/>
  <c r="C28"/>
  <c r="D68" s="1"/>
  <c r="D69" s="1"/>
  <c r="K34"/>
  <c r="K35" s="1"/>
  <c r="K28"/>
  <c r="L38" s="1"/>
  <c r="L39" s="1"/>
  <c r="G34"/>
  <c r="G35" s="1"/>
  <c r="G28"/>
  <c r="H60" s="1"/>
  <c r="H61" s="1"/>
  <c r="AI28"/>
  <c r="AJ68" s="1"/>
  <c r="AJ69" s="1"/>
  <c r="AE28"/>
  <c r="AF42" s="1"/>
  <c r="AF43" s="1"/>
  <c r="AA28"/>
  <c r="AB48" s="1"/>
  <c r="AB49" s="1"/>
  <c r="W28"/>
  <c r="X66" s="1"/>
  <c r="X67" s="1"/>
  <c r="S28"/>
  <c r="T54" s="1"/>
  <c r="T55" s="1"/>
  <c r="O28"/>
  <c r="P42" s="1"/>
  <c r="P43" s="1"/>
  <c r="C16"/>
  <c r="C11"/>
  <c r="C10"/>
  <c r="S36"/>
  <c r="S37" s="1"/>
  <c r="O36"/>
  <c r="O37" s="1"/>
  <c r="AA38"/>
  <c r="AA39" s="1"/>
  <c r="W38"/>
  <c r="W39" s="1"/>
  <c r="AI40"/>
  <c r="AI41" s="1"/>
  <c r="AE40"/>
  <c r="AE41" s="1"/>
  <c r="AO72"/>
  <c r="AN73"/>
  <c r="AJ21"/>
  <c r="AK21" s="1"/>
  <c r="AL21" s="1"/>
  <c r="AF21"/>
  <c r="AG21" s="1"/>
  <c r="AH21" s="1"/>
  <c r="AB21"/>
  <c r="AC21" s="1"/>
  <c r="AD21" s="1"/>
  <c r="X21"/>
  <c r="Y21" s="1"/>
  <c r="Z21" s="1"/>
  <c r="T21"/>
  <c r="U21" s="1"/>
  <c r="V21" s="1"/>
  <c r="P21"/>
  <c r="Q21" s="1"/>
  <c r="R21" s="1"/>
  <c r="L21"/>
  <c r="M21" s="1"/>
  <c r="N21" s="1"/>
  <c r="D21"/>
  <c r="E21" s="1"/>
  <c r="F21" s="1"/>
  <c r="B35"/>
  <c r="B37" s="1"/>
  <c r="B39" s="1"/>
  <c r="B41" s="1"/>
  <c r="B43" s="1"/>
  <c r="B45" s="1"/>
  <c r="B47" s="1"/>
  <c r="B49" s="1"/>
  <c r="B51" s="1"/>
  <c r="B53" s="1"/>
  <c r="B55" s="1"/>
  <c r="B57" s="1"/>
  <c r="B59" s="1"/>
  <c r="B61" s="1"/>
  <c r="B63" s="1"/>
  <c r="B65" s="1"/>
  <c r="B67" s="1"/>
  <c r="B69" s="1"/>
  <c r="B71" s="1"/>
  <c r="B34"/>
  <c r="B36" s="1"/>
  <c r="B38" s="1"/>
  <c r="B40" s="1"/>
  <c r="B42" s="1"/>
  <c r="B44" s="1"/>
  <c r="B46" s="1"/>
  <c r="B48" s="1"/>
  <c r="B50" s="1"/>
  <c r="B52" s="1"/>
  <c r="B54" s="1"/>
  <c r="B56" s="1"/>
  <c r="B58" s="1"/>
  <c r="B60" s="1"/>
  <c r="B62" s="1"/>
  <c r="B64" s="1"/>
  <c r="B66" s="1"/>
  <c r="B68" s="1"/>
  <c r="B70" s="1"/>
  <c r="L16"/>
  <c r="AA26" s="1"/>
  <c r="L10"/>
  <c r="O25" s="1"/>
  <c r="L11"/>
  <c r="O3" i="64"/>
  <c r="Q3"/>
  <c r="P3"/>
  <c r="N3"/>
  <c r="M3"/>
  <c r="K3"/>
  <c r="L3"/>
  <c r="J3"/>
  <c r="I3"/>
  <c r="H3"/>
  <c r="B245"/>
  <c r="B389" s="1"/>
  <c r="I408"/>
  <c r="G406"/>
  <c r="G354"/>
  <c r="G313"/>
  <c r="G323" s="1"/>
  <c r="B5"/>
  <c r="A6"/>
  <c r="C6"/>
  <c r="F6"/>
  <c r="C8"/>
  <c r="F8"/>
  <c r="C9"/>
  <c r="F9"/>
  <c r="C10"/>
  <c r="A12"/>
  <c r="B12"/>
  <c r="C18"/>
  <c r="C20"/>
  <c r="F20"/>
  <c r="C24"/>
  <c r="C26"/>
  <c r="C28"/>
  <c r="B29"/>
  <c r="C31"/>
  <c r="B32"/>
  <c r="A34"/>
  <c r="A35"/>
  <c r="C39"/>
  <c r="F39"/>
  <c r="C41"/>
  <c r="C42"/>
  <c r="C43"/>
  <c r="B47"/>
  <c r="B49"/>
  <c r="C51"/>
  <c r="F51"/>
  <c r="C53"/>
  <c r="F53"/>
  <c r="C57"/>
  <c r="C59"/>
  <c r="B61"/>
  <c r="B63"/>
  <c r="A65"/>
  <c r="B67"/>
  <c r="C68"/>
  <c r="F68"/>
  <c r="C69"/>
  <c r="F69"/>
  <c r="C70"/>
  <c r="C73"/>
  <c r="B76"/>
  <c r="C78"/>
  <c r="C79"/>
  <c r="B81"/>
  <c r="C83"/>
  <c r="C84"/>
  <c r="C85"/>
  <c r="F85"/>
  <c r="C86"/>
  <c r="B88"/>
  <c r="C89"/>
  <c r="C90"/>
  <c r="F90"/>
  <c r="C91"/>
  <c r="B93"/>
  <c r="C95"/>
  <c r="C96"/>
  <c r="B98"/>
  <c r="B100"/>
  <c r="A102"/>
  <c r="B104"/>
  <c r="C105"/>
  <c r="F105"/>
  <c r="C106"/>
  <c r="F106"/>
  <c r="C107"/>
  <c r="F107"/>
  <c r="C108"/>
  <c r="C112"/>
  <c r="F112"/>
  <c r="C113"/>
  <c r="F113"/>
  <c r="C115"/>
  <c r="F115"/>
  <c r="C117"/>
  <c r="C118"/>
  <c r="C119"/>
  <c r="C124"/>
  <c r="C126"/>
  <c r="C128"/>
  <c r="C129"/>
  <c r="C130"/>
  <c r="C132"/>
  <c r="A134"/>
  <c r="B136"/>
  <c r="C137"/>
  <c r="F137"/>
  <c r="C139"/>
  <c r="F139"/>
  <c r="C141"/>
  <c r="C142"/>
  <c r="C143"/>
  <c r="C147"/>
  <c r="C148"/>
  <c r="C149"/>
  <c r="B152"/>
  <c r="A154"/>
  <c r="B156"/>
  <c r="F156"/>
  <c r="B158"/>
  <c r="A160"/>
  <c r="B162"/>
  <c r="C163"/>
  <c r="F163"/>
  <c r="F164"/>
  <c r="C165"/>
  <c r="B167"/>
  <c r="F167"/>
  <c r="B169"/>
  <c r="C170"/>
  <c r="F170"/>
  <c r="C171"/>
  <c r="C172"/>
  <c r="C173"/>
  <c r="E173"/>
  <c r="F173"/>
  <c r="C174"/>
  <c r="B176"/>
  <c r="C177"/>
  <c r="F177"/>
  <c r="C178"/>
  <c r="F178"/>
  <c r="C179"/>
  <c r="E179"/>
  <c r="F179"/>
  <c r="C180"/>
  <c r="E180"/>
  <c r="C181"/>
  <c r="C182"/>
  <c r="F182"/>
  <c r="C183"/>
  <c r="C184"/>
  <c r="C186"/>
  <c r="D186"/>
  <c r="C187"/>
  <c r="D187"/>
  <c r="C188"/>
  <c r="D188"/>
  <c r="C190"/>
  <c r="D190"/>
  <c r="C191"/>
  <c r="D191"/>
  <c r="C192"/>
  <c r="D192"/>
  <c r="F192"/>
  <c r="C194"/>
  <c r="D194"/>
  <c r="C195"/>
  <c r="D195"/>
  <c r="C196"/>
  <c r="D196"/>
  <c r="B197"/>
  <c r="B199"/>
  <c r="A201"/>
  <c r="A203"/>
  <c r="B203"/>
  <c r="C204"/>
  <c r="F204"/>
  <c r="C206"/>
  <c r="D206"/>
  <c r="F206"/>
  <c r="C207"/>
  <c r="D207"/>
  <c r="C208"/>
  <c r="B210"/>
  <c r="C211"/>
  <c r="F211"/>
  <c r="C212"/>
  <c r="C213"/>
  <c r="C214"/>
  <c r="B218"/>
  <c r="D218"/>
  <c r="B220"/>
  <c r="A222"/>
  <c r="B224"/>
  <c r="C225"/>
  <c r="C226"/>
  <c r="C227"/>
  <c r="C229"/>
  <c r="C230"/>
  <c r="C231"/>
  <c r="C232"/>
  <c r="C233"/>
  <c r="C235"/>
  <c r="B237"/>
  <c r="C240"/>
  <c r="C241"/>
  <c r="C242"/>
  <c r="C243"/>
  <c r="C246"/>
  <c r="F246"/>
  <c r="C249"/>
  <c r="B251"/>
  <c r="C253"/>
  <c r="C254"/>
  <c r="C255"/>
  <c r="C256"/>
  <c r="B259"/>
  <c r="C260"/>
  <c r="C261"/>
  <c r="C262"/>
  <c r="C264"/>
  <c r="C265"/>
  <c r="C267"/>
  <c r="C268"/>
  <c r="F268"/>
  <c r="C269"/>
  <c r="B271"/>
  <c r="C273"/>
  <c r="D273"/>
  <c r="C275"/>
  <c r="E214"/>
  <c r="A69"/>
  <c r="A70"/>
  <c r="F70"/>
  <c r="A104"/>
  <c r="E178"/>
  <c r="C238"/>
  <c r="F95"/>
  <c r="F180"/>
  <c r="B160" i="68"/>
  <c r="I34"/>
  <c r="L34" s="1"/>
  <c r="F72" i="64"/>
  <c r="A71"/>
  <c r="A72"/>
  <c r="A78"/>
  <c r="F78"/>
  <c r="A111"/>
  <c r="A116"/>
  <c r="A123"/>
  <c r="A107"/>
  <c r="F243"/>
  <c r="A243"/>
  <c r="H35" i="68"/>
  <c r="H36" s="1"/>
  <c r="E45" i="64"/>
  <c r="B54" i="68"/>
  <c r="N34" i="77"/>
  <c r="N35" s="1"/>
  <c r="N87" i="68"/>
  <c r="N86"/>
  <c r="A113" i="64"/>
  <c r="F212"/>
  <c r="E146"/>
  <c r="F172"/>
  <c r="H125" i="48"/>
  <c r="A179" i="64"/>
  <c r="A180"/>
  <c r="K15" i="78" l="1"/>
  <c r="K23" s="1"/>
  <c r="L12"/>
  <c r="L15" s="1"/>
  <c r="L23" s="1"/>
  <c r="L24" s="1"/>
  <c r="G135" i="69"/>
  <c r="G138" s="1"/>
  <c r="E12" s="1"/>
  <c r="C14"/>
  <c r="C18" s="1"/>
  <c r="D92"/>
  <c r="F135"/>
  <c r="F138" s="1"/>
  <c r="D12" s="1"/>
  <c r="AD46" i="77"/>
  <c r="AD47" s="1"/>
  <c r="H65" i="68"/>
  <c r="K65" s="1"/>
  <c r="N65" s="1"/>
  <c r="V48" i="77"/>
  <c r="V49" s="1"/>
  <c r="C17" i="68"/>
  <c r="C108" s="1"/>
  <c r="AJ60" i="55"/>
  <c r="AJ61" s="1"/>
  <c r="AD62" i="77"/>
  <c r="AD63" s="1"/>
  <c r="V64"/>
  <c r="V65" s="1"/>
  <c r="J65" i="68"/>
  <c r="M65" s="1"/>
  <c r="I64"/>
  <c r="L64" s="1"/>
  <c r="T44" i="55"/>
  <c r="T45" s="1"/>
  <c r="AD54" i="77"/>
  <c r="AD55" s="1"/>
  <c r="AD70"/>
  <c r="AD71" s="1"/>
  <c r="V56"/>
  <c r="V57" s="1"/>
  <c r="J64" i="68"/>
  <c r="M64" s="1"/>
  <c r="T58" i="55"/>
  <c r="T59" s="1"/>
  <c r="A16" i="64"/>
  <c r="AB62" i="55"/>
  <c r="AB63" s="1"/>
  <c r="AB60"/>
  <c r="AB61" s="1"/>
  <c r="AD42" i="77"/>
  <c r="AD43" s="1"/>
  <c r="AD50"/>
  <c r="AD51" s="1"/>
  <c r="AD58"/>
  <c r="AD59" s="1"/>
  <c r="AD66"/>
  <c r="AD67" s="1"/>
  <c r="V44"/>
  <c r="V45" s="1"/>
  <c r="V52"/>
  <c r="V53" s="1"/>
  <c r="V60"/>
  <c r="V61" s="1"/>
  <c r="V68"/>
  <c r="V69" s="1"/>
  <c r="V38"/>
  <c r="V39" s="1"/>
  <c r="W39" s="1"/>
  <c r="U40" s="1"/>
  <c r="U41" s="1"/>
  <c r="W41" s="1"/>
  <c r="U42" s="1"/>
  <c r="U43" s="1"/>
  <c r="H68" i="55"/>
  <c r="H69" s="1"/>
  <c r="AH60" i="77"/>
  <c r="AH61" s="1"/>
  <c r="D50" i="55"/>
  <c r="D51" s="1"/>
  <c r="G32" i="77"/>
  <c r="G33" s="1"/>
  <c r="H50" i="55"/>
  <c r="H51" s="1"/>
  <c r="R64" i="77"/>
  <c r="R65" s="1"/>
  <c r="D66" i="55"/>
  <c r="D67" s="1"/>
  <c r="D38"/>
  <c r="D39" s="1"/>
  <c r="H38"/>
  <c r="H39" s="1"/>
  <c r="Z62" i="77"/>
  <c r="Z63" s="1"/>
  <c r="D42" i="55"/>
  <c r="D43" s="1"/>
  <c r="D58"/>
  <c r="D59" s="1"/>
  <c r="AF64"/>
  <c r="AF65" s="1"/>
  <c r="AE26"/>
  <c r="H42"/>
  <c r="H43" s="1"/>
  <c r="H58"/>
  <c r="H59" s="1"/>
  <c r="H52"/>
  <c r="H53" s="1"/>
  <c r="Z40" i="77"/>
  <c r="Z41" s="1"/>
  <c r="AH44"/>
  <c r="AH45" s="1"/>
  <c r="Z46"/>
  <c r="Z47" s="1"/>
  <c r="R48"/>
  <c r="R49" s="1"/>
  <c r="D46" i="55"/>
  <c r="D47" s="1"/>
  <c r="D54"/>
  <c r="D55" s="1"/>
  <c r="D62"/>
  <c r="D63" s="1"/>
  <c r="P68"/>
  <c r="P69" s="1"/>
  <c r="H225" i="48"/>
  <c r="D36" i="55"/>
  <c r="D37" s="1"/>
  <c r="E77" i="64"/>
  <c r="H46" i="55"/>
  <c r="H47" s="1"/>
  <c r="H54"/>
  <c r="H55" s="1"/>
  <c r="H66"/>
  <c r="H67" s="1"/>
  <c r="H44"/>
  <c r="H45" s="1"/>
  <c r="AH52" i="77"/>
  <c r="AH53" s="1"/>
  <c r="AH68"/>
  <c r="AH69" s="1"/>
  <c r="Z54"/>
  <c r="Z55" s="1"/>
  <c r="Z70"/>
  <c r="Z71" s="1"/>
  <c r="R56"/>
  <c r="R57" s="1"/>
  <c r="D34" i="55"/>
  <c r="D35" s="1"/>
  <c r="D40"/>
  <c r="D41" s="1"/>
  <c r="D44"/>
  <c r="D45" s="1"/>
  <c r="D48"/>
  <c r="D49" s="1"/>
  <c r="D52"/>
  <c r="D53" s="1"/>
  <c r="D56"/>
  <c r="D57" s="1"/>
  <c r="D60"/>
  <c r="D61" s="1"/>
  <c r="D64"/>
  <c r="D65" s="1"/>
  <c r="H37" i="68"/>
  <c r="K37" s="1"/>
  <c r="N37" s="1"/>
  <c r="J36"/>
  <c r="M36" s="1"/>
  <c r="I36"/>
  <c r="L36" s="1"/>
  <c r="T50" i="55"/>
  <c r="T51" s="1"/>
  <c r="T66"/>
  <c r="T67" s="1"/>
  <c r="AA25"/>
  <c r="O34" i="77"/>
  <c r="AJ52" i="55"/>
  <c r="AJ53" s="1"/>
  <c r="K35" i="68"/>
  <c r="N35" s="1"/>
  <c r="R36" i="77"/>
  <c r="S36" s="1"/>
  <c r="Z38"/>
  <c r="R38"/>
  <c r="R39" s="1"/>
  <c r="J34"/>
  <c r="J35" s="1"/>
  <c r="J36" s="1"/>
  <c r="J37" s="1"/>
  <c r="J38" s="1"/>
  <c r="J39" s="1"/>
  <c r="J40" s="1"/>
  <c r="J41" s="1"/>
  <c r="J42" s="1"/>
  <c r="J43" s="1"/>
  <c r="J44" s="1"/>
  <c r="J45" s="1"/>
  <c r="J46" s="1"/>
  <c r="J47" s="1"/>
  <c r="J48" s="1"/>
  <c r="J49" s="1"/>
  <c r="J50" s="1"/>
  <c r="J51" s="1"/>
  <c r="J52" s="1"/>
  <c r="J53" s="1"/>
  <c r="J54" s="1"/>
  <c r="J55" s="1"/>
  <c r="J56" s="1"/>
  <c r="J57" s="1"/>
  <c r="J58" s="1"/>
  <c r="J59" s="1"/>
  <c r="J60" s="1"/>
  <c r="J61" s="1"/>
  <c r="J62" s="1"/>
  <c r="J63" s="1"/>
  <c r="J64" s="1"/>
  <c r="J65" s="1"/>
  <c r="J66" s="1"/>
  <c r="J67" s="1"/>
  <c r="J68" s="1"/>
  <c r="J69" s="1"/>
  <c r="J70" s="1"/>
  <c r="J71" s="1"/>
  <c r="J72" s="1"/>
  <c r="AH48"/>
  <c r="AH49" s="1"/>
  <c r="AH56"/>
  <c r="AH57" s="1"/>
  <c r="Z42"/>
  <c r="Z43" s="1"/>
  <c r="Z50"/>
  <c r="Z51" s="1"/>
  <c r="Z58"/>
  <c r="Z59" s="1"/>
  <c r="R44"/>
  <c r="R45" s="1"/>
  <c r="R52"/>
  <c r="R53" s="1"/>
  <c r="R60"/>
  <c r="R61" s="1"/>
  <c r="E40" i="64"/>
  <c r="T36" i="55"/>
  <c r="U36" s="1"/>
  <c r="T46"/>
  <c r="T47" s="1"/>
  <c r="T68"/>
  <c r="T69" s="1"/>
  <c r="T60"/>
  <c r="T61" s="1"/>
  <c r="T52"/>
  <c r="T53" s="1"/>
  <c r="AB38"/>
  <c r="AC38" s="1"/>
  <c r="AB70"/>
  <c r="AB71" s="1"/>
  <c r="AB64"/>
  <c r="AB65" s="1"/>
  <c r="AB56"/>
  <c r="AB57" s="1"/>
  <c r="AB50"/>
  <c r="AB51" s="1"/>
  <c r="AB46"/>
  <c r="AB47" s="1"/>
  <c r="AB40"/>
  <c r="AB41" s="1"/>
  <c r="AB66"/>
  <c r="AB67" s="1"/>
  <c r="AB58"/>
  <c r="AB59" s="1"/>
  <c r="AB42"/>
  <c r="AB43" s="1"/>
  <c r="AJ40"/>
  <c r="AK40" s="1"/>
  <c r="AJ44"/>
  <c r="AJ45" s="1"/>
  <c r="AJ50"/>
  <c r="AJ51" s="1"/>
  <c r="AJ46"/>
  <c r="AJ47" s="1"/>
  <c r="AJ66"/>
  <c r="AJ67" s="1"/>
  <c r="AJ62"/>
  <c r="AJ63" s="1"/>
  <c r="AJ58"/>
  <c r="AJ59" s="1"/>
  <c r="AJ54"/>
  <c r="AJ55" s="1"/>
  <c r="AJ42"/>
  <c r="AJ43" s="1"/>
  <c r="I35" i="77"/>
  <c r="H66" i="68"/>
  <c r="T40" i="55"/>
  <c r="T41" s="1"/>
  <c r="T56"/>
  <c r="T57" s="1"/>
  <c r="T64"/>
  <c r="T65" s="1"/>
  <c r="T70"/>
  <c r="T71" s="1"/>
  <c r="K36" i="68"/>
  <c r="N36" s="1"/>
  <c r="T38" i="55"/>
  <c r="T39" s="1"/>
  <c r="T62"/>
  <c r="T63" s="1"/>
  <c r="AB54"/>
  <c r="AB55" s="1"/>
  <c r="AJ70"/>
  <c r="AJ71" s="1"/>
  <c r="AJ56"/>
  <c r="AJ57" s="1"/>
  <c r="AJ64"/>
  <c r="AJ65" s="1"/>
  <c r="AJ48"/>
  <c r="AJ49" s="1"/>
  <c r="AB44"/>
  <c r="AB45" s="1"/>
  <c r="AB52"/>
  <c r="AB53" s="1"/>
  <c r="AB68"/>
  <c r="AB69" s="1"/>
  <c r="T42"/>
  <c r="T43" s="1"/>
  <c r="T48"/>
  <c r="T49" s="1"/>
  <c r="I35" i="68"/>
  <c r="L35" s="1"/>
  <c r="J35"/>
  <c r="M35" s="1"/>
  <c r="H34" i="55"/>
  <c r="H35" s="1"/>
  <c r="I35" s="1"/>
  <c r="G36" s="1"/>
  <c r="H64"/>
  <c r="H65" s="1"/>
  <c r="H56"/>
  <c r="H57" s="1"/>
  <c r="H48"/>
  <c r="H49" s="1"/>
  <c r="H40"/>
  <c r="H41" s="1"/>
  <c r="H36"/>
  <c r="H37" s="1"/>
  <c r="H70"/>
  <c r="H71" s="1"/>
  <c r="H62"/>
  <c r="H63" s="1"/>
  <c r="L34"/>
  <c r="M34" s="1"/>
  <c r="L70"/>
  <c r="L71" s="1"/>
  <c r="L68"/>
  <c r="L69" s="1"/>
  <c r="L66"/>
  <c r="L67" s="1"/>
  <c r="L64"/>
  <c r="L65" s="1"/>
  <c r="L62"/>
  <c r="L63" s="1"/>
  <c r="L60"/>
  <c r="L61" s="1"/>
  <c r="L58"/>
  <c r="L59" s="1"/>
  <c r="L56"/>
  <c r="L57" s="1"/>
  <c r="L54"/>
  <c r="L55" s="1"/>
  <c r="L52"/>
  <c r="L53" s="1"/>
  <c r="L50"/>
  <c r="L51" s="1"/>
  <c r="L48"/>
  <c r="L49" s="1"/>
  <c r="L46"/>
  <c r="L47" s="1"/>
  <c r="L44"/>
  <c r="L45" s="1"/>
  <c r="L42"/>
  <c r="L43" s="1"/>
  <c r="L40"/>
  <c r="L41" s="1"/>
  <c r="L36"/>
  <c r="L37" s="1"/>
  <c r="D32"/>
  <c r="D70"/>
  <c r="D71" s="1"/>
  <c r="E71" s="1"/>
  <c r="E102" i="65"/>
  <c r="E247" i="64"/>
  <c r="E390" s="1"/>
  <c r="F67" i="80"/>
  <c r="E211" i="64"/>
  <c r="F49" i="80"/>
  <c r="E192" i="64"/>
  <c r="R70" i="77"/>
  <c r="R71" s="1"/>
  <c r="R66"/>
  <c r="R67" s="1"/>
  <c r="R62"/>
  <c r="R63" s="1"/>
  <c r="R58"/>
  <c r="R59" s="1"/>
  <c r="R54"/>
  <c r="R55" s="1"/>
  <c r="R50"/>
  <c r="R51" s="1"/>
  <c r="R46"/>
  <c r="R47" s="1"/>
  <c r="R42"/>
  <c r="R43" s="1"/>
  <c r="R40"/>
  <c r="R41" s="1"/>
  <c r="Z68"/>
  <c r="Z69" s="1"/>
  <c r="Z64"/>
  <c r="Z65" s="1"/>
  <c r="Z60"/>
  <c r="Z61" s="1"/>
  <c r="Z56"/>
  <c r="Z57" s="1"/>
  <c r="Z52"/>
  <c r="Z53" s="1"/>
  <c r="Z48"/>
  <c r="Z49" s="1"/>
  <c r="Z44"/>
  <c r="Z45" s="1"/>
  <c r="AH70"/>
  <c r="AH71" s="1"/>
  <c r="AH66"/>
  <c r="AH67" s="1"/>
  <c r="AH62"/>
  <c r="AH63" s="1"/>
  <c r="AH58"/>
  <c r="AH59" s="1"/>
  <c r="AH54"/>
  <c r="AH55" s="1"/>
  <c r="AH50"/>
  <c r="AH51" s="1"/>
  <c r="AH46"/>
  <c r="AH47" s="1"/>
  <c r="AH42"/>
  <c r="AH43" s="1"/>
  <c r="AH40"/>
  <c r="AH41" s="1"/>
  <c r="AI41" s="1"/>
  <c r="AG42" s="1"/>
  <c r="E36" i="71"/>
  <c r="C113" i="68"/>
  <c r="C20"/>
  <c r="C21" s="1"/>
  <c r="C160" s="1"/>
  <c r="P36" i="55"/>
  <c r="Q36" s="1"/>
  <c r="R36" s="1"/>
  <c r="P70"/>
  <c r="P71" s="1"/>
  <c r="P66"/>
  <c r="P67" s="1"/>
  <c r="P62"/>
  <c r="P63" s="1"/>
  <c r="P60"/>
  <c r="P61" s="1"/>
  <c r="P58"/>
  <c r="P59" s="1"/>
  <c r="P56"/>
  <c r="P57" s="1"/>
  <c r="P54"/>
  <c r="P55" s="1"/>
  <c r="P52"/>
  <c r="P53" s="1"/>
  <c r="P50"/>
  <c r="P51" s="1"/>
  <c r="P48"/>
  <c r="P49" s="1"/>
  <c r="P46"/>
  <c r="P47" s="1"/>
  <c r="P44"/>
  <c r="P45" s="1"/>
  <c r="P40"/>
  <c r="P41" s="1"/>
  <c r="P38"/>
  <c r="P39" s="1"/>
  <c r="X38"/>
  <c r="Y38" s="1"/>
  <c r="X68"/>
  <c r="X69" s="1"/>
  <c r="X64"/>
  <c r="X65" s="1"/>
  <c r="X62"/>
  <c r="X63" s="1"/>
  <c r="X60"/>
  <c r="X61" s="1"/>
  <c r="X58"/>
  <c r="X59" s="1"/>
  <c r="X56"/>
  <c r="X57" s="1"/>
  <c r="X54"/>
  <c r="X55" s="1"/>
  <c r="X52"/>
  <c r="X53" s="1"/>
  <c r="X50"/>
  <c r="X51" s="1"/>
  <c r="X48"/>
  <c r="X49" s="1"/>
  <c r="X46"/>
  <c r="X47" s="1"/>
  <c r="X44"/>
  <c r="X45" s="1"/>
  <c r="X40"/>
  <c r="X41" s="1"/>
  <c r="AF40"/>
  <c r="AF41" s="1"/>
  <c r="AG41" s="1"/>
  <c r="AF70"/>
  <c r="AF71" s="1"/>
  <c r="AF66"/>
  <c r="AF67" s="1"/>
  <c r="AF62"/>
  <c r="AF63" s="1"/>
  <c r="AF60"/>
  <c r="AF61" s="1"/>
  <c r="AF58"/>
  <c r="AF59" s="1"/>
  <c r="AF56"/>
  <c r="AF57" s="1"/>
  <c r="AF54"/>
  <c r="AF55" s="1"/>
  <c r="AF52"/>
  <c r="AF53" s="1"/>
  <c r="AF50"/>
  <c r="AF51" s="1"/>
  <c r="AF48"/>
  <c r="AF49" s="1"/>
  <c r="AF46"/>
  <c r="AF47" s="1"/>
  <c r="AF44"/>
  <c r="AF45" s="1"/>
  <c r="E94" i="65"/>
  <c r="E103" i="48"/>
  <c r="E96" i="65" s="1"/>
  <c r="F25" i="80"/>
  <c r="E167" i="64"/>
  <c r="F29" i="80"/>
  <c r="E171" i="64"/>
  <c r="A21" i="48"/>
  <c r="A17" i="64" s="1"/>
  <c r="C56" i="68"/>
  <c r="AD44" i="77"/>
  <c r="AD45" s="1"/>
  <c r="AD48"/>
  <c r="AD49" s="1"/>
  <c r="AD52"/>
  <c r="AD53" s="1"/>
  <c r="AD56"/>
  <c r="AD57" s="1"/>
  <c r="AD60"/>
  <c r="AD61" s="1"/>
  <c r="AD64"/>
  <c r="AD65" s="1"/>
  <c r="AD68"/>
  <c r="AD69" s="1"/>
  <c r="V42"/>
  <c r="V43" s="1"/>
  <c r="V46"/>
  <c r="V47" s="1"/>
  <c r="V50"/>
  <c r="V51" s="1"/>
  <c r="V54"/>
  <c r="V55" s="1"/>
  <c r="V58"/>
  <c r="V59" s="1"/>
  <c r="V62"/>
  <c r="V63" s="1"/>
  <c r="V66"/>
  <c r="V67" s="1"/>
  <c r="V70"/>
  <c r="V71" s="1"/>
  <c r="X42" i="55"/>
  <c r="X43" s="1"/>
  <c r="P64"/>
  <c r="P65" s="1"/>
  <c r="AF68"/>
  <c r="AF69" s="1"/>
  <c r="X70"/>
  <c r="X71" s="1"/>
  <c r="B15" i="68"/>
  <c r="B16" s="1"/>
  <c r="B104" s="1"/>
  <c r="B56"/>
  <c r="I24" i="65"/>
  <c r="A14" i="78"/>
  <c r="A15" s="1"/>
  <c r="AD41" i="77"/>
  <c r="AE41" s="1"/>
  <c r="AC42" s="1"/>
  <c r="AE40"/>
  <c r="C92" i="69"/>
  <c r="A11" i="71"/>
  <c r="H197" i="48"/>
  <c r="H289"/>
  <c r="D58" i="69"/>
  <c r="C58" s="1"/>
  <c r="H17" i="48"/>
  <c r="H62" s="1"/>
  <c r="G57" i="69"/>
  <c r="G59" s="1"/>
  <c r="E13" s="1"/>
  <c r="F111" i="68"/>
  <c r="J111" s="1"/>
  <c r="F116" s="1"/>
  <c r="H104" i="48"/>
  <c r="H136"/>
  <c r="H59"/>
  <c r="H28"/>
  <c r="E60" i="70"/>
  <c r="F91" i="69"/>
  <c r="F94" s="1"/>
  <c r="D11" s="1"/>
  <c r="F57"/>
  <c r="F59" s="1"/>
  <c r="D13" s="1"/>
  <c r="D91"/>
  <c r="H155" i="48"/>
  <c r="H61"/>
  <c r="E75" i="65"/>
  <c r="F62" i="80"/>
  <c r="L43" i="78"/>
  <c r="H177" i="48" s="1"/>
  <c r="H140"/>
  <c r="H18" i="65"/>
  <c r="H20" i="48" s="1"/>
  <c r="E122" i="64"/>
  <c r="A14" i="48"/>
  <c r="F15" s="1"/>
  <c r="F10" i="64" s="1"/>
  <c r="A8"/>
  <c r="W25" i="55"/>
  <c r="E21" i="64"/>
  <c r="E239"/>
  <c r="E127"/>
  <c r="I35" i="80"/>
  <c r="I38" s="1"/>
  <c r="H161" i="48"/>
  <c r="I32" i="80"/>
  <c r="H207" i="48"/>
  <c r="I39" i="80"/>
  <c r="I48" s="1"/>
  <c r="AI25" i="55"/>
  <c r="AE25"/>
  <c r="K25"/>
  <c r="H191" i="48"/>
  <c r="H199" s="1"/>
  <c r="I40" i="80" s="1"/>
  <c r="H297" i="48"/>
  <c r="H299" s="1"/>
  <c r="K26" i="55"/>
  <c r="C164" i="64"/>
  <c r="L12" i="55"/>
  <c r="C26" s="1"/>
  <c r="G25"/>
  <c r="S25"/>
  <c r="H129" i="48"/>
  <c r="C25" i="55"/>
  <c r="N36" i="77"/>
  <c r="N37" s="1"/>
  <c r="N38" s="1"/>
  <c r="N39" s="1"/>
  <c r="N40" s="1"/>
  <c r="N41" s="1"/>
  <c r="N42" s="1"/>
  <c r="N43" s="1"/>
  <c r="N44" s="1"/>
  <c r="N45" s="1"/>
  <c r="N46" s="1"/>
  <c r="N47" s="1"/>
  <c r="N48" s="1"/>
  <c r="N49" s="1"/>
  <c r="N50" s="1"/>
  <c r="N51" s="1"/>
  <c r="N52" s="1"/>
  <c r="N53" s="1"/>
  <c r="N54" s="1"/>
  <c r="N55" s="1"/>
  <c r="N56" s="1"/>
  <c r="N57" s="1"/>
  <c r="N58" s="1"/>
  <c r="N59" s="1"/>
  <c r="N60" s="1"/>
  <c r="N61" s="1"/>
  <c r="N62" s="1"/>
  <c r="N63" s="1"/>
  <c r="N64" s="1"/>
  <c r="N65" s="1"/>
  <c r="N66" s="1"/>
  <c r="N67" s="1"/>
  <c r="N68" s="1"/>
  <c r="N69" s="1"/>
  <c r="N70" s="1"/>
  <c r="N71" s="1"/>
  <c r="O35"/>
  <c r="M36" s="1"/>
  <c r="E11" i="69"/>
  <c r="D28" i="71"/>
  <c r="D38" s="1"/>
  <c r="H116" i="48"/>
  <c r="H120" s="1"/>
  <c r="E114" i="64"/>
  <c r="E23"/>
  <c r="E22"/>
  <c r="C11" i="68"/>
  <c r="C51" s="1"/>
  <c r="C48"/>
  <c r="C78"/>
  <c r="C16"/>
  <c r="I88"/>
  <c r="L88" s="1"/>
  <c r="K88"/>
  <c r="J88"/>
  <c r="M88" s="1"/>
  <c r="H89"/>
  <c r="K129"/>
  <c r="J33" i="77"/>
  <c r="K33" s="1"/>
  <c r="K32"/>
  <c r="H21" i="48"/>
  <c r="H48"/>
  <c r="N33" i="77"/>
  <c r="O33" s="1"/>
  <c r="O32"/>
  <c r="E16" i="64"/>
  <c r="I25" i="65"/>
  <c r="K35" i="77" l="1"/>
  <c r="I36" s="1"/>
  <c r="I37" s="1"/>
  <c r="K37" s="1"/>
  <c r="I38" s="1"/>
  <c r="K38" s="1"/>
  <c r="AD38" i="55"/>
  <c r="C91" i="69"/>
  <c r="I65" i="68"/>
  <c r="L65" s="1"/>
  <c r="L35" i="55"/>
  <c r="M35" s="1"/>
  <c r="K36" s="1"/>
  <c r="M36" s="1"/>
  <c r="N36" s="1"/>
  <c r="AG40"/>
  <c r="AH40" s="1"/>
  <c r="W38" i="77"/>
  <c r="I37" i="68"/>
  <c r="L37" s="1"/>
  <c r="W40" i="77"/>
  <c r="X39" i="55"/>
  <c r="Y39" s="1"/>
  <c r="W40" s="1"/>
  <c r="Y40" s="1"/>
  <c r="Z40" s="1"/>
  <c r="W43" i="77"/>
  <c r="U44" s="1"/>
  <c r="U45" s="1"/>
  <c r="W45" s="1"/>
  <c r="U46" s="1"/>
  <c r="H38" i="68"/>
  <c r="I38" s="1"/>
  <c r="L38" s="1"/>
  <c r="AB39" i="55"/>
  <c r="AC39" s="1"/>
  <c r="AA40" s="1"/>
  <c r="AA41" s="1"/>
  <c r="AC41" s="1"/>
  <c r="AI40" i="77"/>
  <c r="AJ41" i="55"/>
  <c r="AK41" s="1"/>
  <c r="AI42" s="1"/>
  <c r="C156" i="68"/>
  <c r="I34" i="55"/>
  <c r="R37" i="77"/>
  <c r="S37" s="1"/>
  <c r="Q38" s="1"/>
  <c r="Z39"/>
  <c r="AA39" s="1"/>
  <c r="Y40" s="1"/>
  <c r="Y41" s="1"/>
  <c r="AA41" s="1"/>
  <c r="Y42" s="1"/>
  <c r="AA42" s="1"/>
  <c r="AA38"/>
  <c r="J37" i="68"/>
  <c r="M37" s="1"/>
  <c r="T37" i="55"/>
  <c r="U37" s="1"/>
  <c r="S38" s="1"/>
  <c r="U38" s="1"/>
  <c r="V38" s="1"/>
  <c r="J34"/>
  <c r="H15" i="78"/>
  <c r="K34" i="77"/>
  <c r="J66" i="68"/>
  <c r="M66" s="1"/>
  <c r="K66"/>
  <c r="N66" s="1"/>
  <c r="I66"/>
  <c r="L66" s="1"/>
  <c r="B18"/>
  <c r="B113" s="1"/>
  <c r="B19"/>
  <c r="B118" s="1"/>
  <c r="P37" i="55"/>
  <c r="Q37" s="1"/>
  <c r="O38" s="1"/>
  <c r="O39" s="1"/>
  <c r="Q39" s="1"/>
  <c r="W42" i="77"/>
  <c r="H67" i="68"/>
  <c r="I67" s="1"/>
  <c r="L67" s="1"/>
  <c r="D33" i="55"/>
  <c r="E33" s="1"/>
  <c r="C34" s="1"/>
  <c r="E32"/>
  <c r="F32" s="1"/>
  <c r="AM32" s="1"/>
  <c r="AO32" s="1"/>
  <c r="AO74" s="1"/>
  <c r="AI42" i="77"/>
  <c r="AG43"/>
  <c r="AI43" s="1"/>
  <c r="AG44" s="1"/>
  <c r="B78" i="68"/>
  <c r="A22" i="48"/>
  <c r="A18" i="64" s="1"/>
  <c r="F22" i="48"/>
  <c r="F18" i="64" s="1"/>
  <c r="N34" i="55"/>
  <c r="V36"/>
  <c r="Z38"/>
  <c r="A12" i="71"/>
  <c r="A15" s="1"/>
  <c r="C12"/>
  <c r="AE42" i="77"/>
  <c r="AC43"/>
  <c r="AE43" s="1"/>
  <c r="AC44" s="1"/>
  <c r="A18" i="78"/>
  <c r="H23"/>
  <c r="H85" i="48"/>
  <c r="H130"/>
  <c r="E15" i="71"/>
  <c r="H162" i="48"/>
  <c r="H163" s="1"/>
  <c r="E15" i="69"/>
  <c r="H91" i="48"/>
  <c r="H92" s="1"/>
  <c r="H94" s="1"/>
  <c r="H49"/>
  <c r="H50" s="1"/>
  <c r="F33" i="70"/>
  <c r="G33" s="1"/>
  <c r="H156" i="48"/>
  <c r="H157" s="1"/>
  <c r="H22"/>
  <c r="F12" i="69"/>
  <c r="D14"/>
  <c r="F11"/>
  <c r="D94"/>
  <c r="H182" i="48"/>
  <c r="H63"/>
  <c r="H65" s="1"/>
  <c r="O26" i="55"/>
  <c r="H131" i="48"/>
  <c r="E14" i="69"/>
  <c r="F13"/>
  <c r="AL40" i="55"/>
  <c r="A15" i="48"/>
  <c r="A9" i="64"/>
  <c r="I41" i="80"/>
  <c r="AI26" i="55"/>
  <c r="W26"/>
  <c r="F71"/>
  <c r="G26"/>
  <c r="J35" s="1"/>
  <c r="S26"/>
  <c r="H200" i="48"/>
  <c r="H203" s="1"/>
  <c r="I36" i="55"/>
  <c r="J36" s="1"/>
  <c r="G37"/>
  <c r="I37" s="1"/>
  <c r="O36" i="77"/>
  <c r="M37"/>
  <c r="O37" s="1"/>
  <c r="M38" s="1"/>
  <c r="C19" i="68"/>
  <c r="C118" s="1"/>
  <c r="C104"/>
  <c r="K89"/>
  <c r="N89" s="1"/>
  <c r="J89"/>
  <c r="M89" s="1"/>
  <c r="N88"/>
  <c r="I89"/>
  <c r="L89" s="1"/>
  <c r="H90"/>
  <c r="K24" i="78"/>
  <c r="K130" i="68"/>
  <c r="AH41" i="55"/>
  <c r="AE42"/>
  <c r="K36" i="77" l="1"/>
  <c r="F14" i="69"/>
  <c r="C94"/>
  <c r="K38" i="68"/>
  <c r="N38" s="1"/>
  <c r="Z39" i="55"/>
  <c r="AC40"/>
  <c r="AD40" s="1"/>
  <c r="K37"/>
  <c r="M37" s="1"/>
  <c r="K38" s="1"/>
  <c r="N35"/>
  <c r="AD39"/>
  <c r="W44" i="77"/>
  <c r="W41" i="55"/>
  <c r="Y41" s="1"/>
  <c r="W42" s="1"/>
  <c r="S39"/>
  <c r="U39" s="1"/>
  <c r="V39" s="1"/>
  <c r="J38" i="68"/>
  <c r="M38" s="1"/>
  <c r="H39"/>
  <c r="I39" s="1"/>
  <c r="L39" s="1"/>
  <c r="V37" i="55"/>
  <c r="K67" i="68"/>
  <c r="N67" s="1"/>
  <c r="AL41" i="55"/>
  <c r="R37"/>
  <c r="Y43" i="77"/>
  <c r="AA43" s="1"/>
  <c r="Y44" s="1"/>
  <c r="S38"/>
  <c r="Q39"/>
  <c r="S39" s="1"/>
  <c r="Q40" s="1"/>
  <c r="I39"/>
  <c r="K39" s="1"/>
  <c r="I40" s="1"/>
  <c r="I41" s="1"/>
  <c r="K41" s="1"/>
  <c r="I42" s="1"/>
  <c r="F33" i="55"/>
  <c r="AM33" s="1"/>
  <c r="AN33" s="1"/>
  <c r="AN74" s="1"/>
  <c r="Q38"/>
  <c r="R38" s="1"/>
  <c r="A24" i="48"/>
  <c r="A25" s="1"/>
  <c r="J67" i="68"/>
  <c r="M67" s="1"/>
  <c r="AA40" i="77"/>
  <c r="H68" i="68"/>
  <c r="K68" s="1"/>
  <c r="N68" s="1"/>
  <c r="E34" i="55"/>
  <c r="F34" s="1"/>
  <c r="AM34" s="1"/>
  <c r="AO34" s="1"/>
  <c r="C35"/>
  <c r="E35" s="1"/>
  <c r="AG45" i="77"/>
  <c r="AI45" s="1"/>
  <c r="AG46" s="1"/>
  <c r="AI44"/>
  <c r="AC45"/>
  <c r="AE45" s="1"/>
  <c r="AC46" s="1"/>
  <c r="AE44"/>
  <c r="A19" i="78"/>
  <c r="A20" s="1"/>
  <c r="A21" s="1"/>
  <c r="A16" i="71"/>
  <c r="A17" s="1"/>
  <c r="A18" s="1"/>
  <c r="A19" s="1"/>
  <c r="A20" s="1"/>
  <c r="A21" s="1"/>
  <c r="A22" s="1"/>
  <c r="A23" s="1"/>
  <c r="A24" s="1"/>
  <c r="A25" s="1"/>
  <c r="A26" s="1"/>
  <c r="A27" s="1"/>
  <c r="A28" s="1"/>
  <c r="A31" s="1"/>
  <c r="A32" s="1"/>
  <c r="A33" s="1"/>
  <c r="A34" s="1"/>
  <c r="A35" s="1"/>
  <c r="A36" s="1"/>
  <c r="A38" s="1"/>
  <c r="A41" s="1"/>
  <c r="A43" s="1"/>
  <c r="A45" s="1"/>
  <c r="H165" i="48"/>
  <c r="H30"/>
  <c r="H206"/>
  <c r="I18" i="80"/>
  <c r="I23" s="1"/>
  <c r="I47" s="1"/>
  <c r="E18" i="69"/>
  <c r="H202" i="48"/>
  <c r="H211"/>
  <c r="A20" i="64"/>
  <c r="A10"/>
  <c r="F17" i="48"/>
  <c r="F12" i="64" s="1"/>
  <c r="I44" i="80"/>
  <c r="I52" s="1"/>
  <c r="I43"/>
  <c r="I45"/>
  <c r="I53" s="1"/>
  <c r="H204" i="48"/>
  <c r="M15" i="78" s="1"/>
  <c r="O38" i="77"/>
  <c r="M39"/>
  <c r="O39" s="1"/>
  <c r="M40" s="1"/>
  <c r="G38" i="55"/>
  <c r="J37"/>
  <c r="R39"/>
  <c r="O40"/>
  <c r="K90" i="68"/>
  <c r="J90"/>
  <c r="M90" s="1"/>
  <c r="I90"/>
  <c r="L90" s="1"/>
  <c r="H91"/>
  <c r="AA42" i="55"/>
  <c r="AD41"/>
  <c r="K131" i="68"/>
  <c r="AE43" i="55"/>
  <c r="AG43" s="1"/>
  <c r="AG42"/>
  <c r="AH42" s="1"/>
  <c r="AI43"/>
  <c r="AK43" s="1"/>
  <c r="AK42"/>
  <c r="AL42" s="1"/>
  <c r="W46" i="77"/>
  <c r="U47"/>
  <c r="W47" s="1"/>
  <c r="U48" s="1"/>
  <c r="S40" i="55" l="1"/>
  <c r="U40" s="1"/>
  <c r="V40" s="1"/>
  <c r="C36" i="71"/>
  <c r="Z41" i="55"/>
  <c r="N37"/>
  <c r="A21" i="65"/>
  <c r="H40" i="68"/>
  <c r="J40" s="1"/>
  <c r="M40" s="1"/>
  <c r="K39"/>
  <c r="N39" s="1"/>
  <c r="J39"/>
  <c r="M39" s="1"/>
  <c r="K40" i="77"/>
  <c r="AA44"/>
  <c r="Y45"/>
  <c r="AA45" s="1"/>
  <c r="Y46" s="1"/>
  <c r="H69" i="68"/>
  <c r="J69" s="1"/>
  <c r="M69" s="1"/>
  <c r="S40" i="77"/>
  <c r="Q41"/>
  <c r="S41" s="1"/>
  <c r="Q42" s="1"/>
  <c r="I68" i="68"/>
  <c r="L68" s="1"/>
  <c r="C36" i="55"/>
  <c r="F35"/>
  <c r="AM35" s="1"/>
  <c r="AN35" s="1"/>
  <c r="J68" i="68"/>
  <c r="M68" s="1"/>
  <c r="AI46" i="77"/>
  <c r="AG47"/>
  <c r="AI47" s="1"/>
  <c r="AG48" s="1"/>
  <c r="A22" i="78"/>
  <c r="C38" i="71"/>
  <c r="C28"/>
  <c r="H21" i="78"/>
  <c r="AE46" i="77"/>
  <c r="AC47"/>
  <c r="AE47" s="1"/>
  <c r="AC48" s="1"/>
  <c r="H210" i="48"/>
  <c r="I51" i="80"/>
  <c r="I54" s="1"/>
  <c r="H212" i="48"/>
  <c r="A22" i="65"/>
  <c r="F58" i="48"/>
  <c r="F54" i="64" s="1"/>
  <c r="A26" i="48"/>
  <c r="A21" i="64"/>
  <c r="Q40" i="55"/>
  <c r="R40" s="1"/>
  <c r="O41"/>
  <c r="Q41" s="1"/>
  <c r="I38"/>
  <c r="J38" s="1"/>
  <c r="G39"/>
  <c r="I39" s="1"/>
  <c r="M41" i="77"/>
  <c r="O41" s="1"/>
  <c r="M42" s="1"/>
  <c r="O40"/>
  <c r="K91" i="68"/>
  <c r="N91" s="1"/>
  <c r="J91"/>
  <c r="M91" s="1"/>
  <c r="N90"/>
  <c r="I91"/>
  <c r="L91" s="1"/>
  <c r="H92"/>
  <c r="W48" i="77"/>
  <c r="U49"/>
  <c r="W49" s="1"/>
  <c r="U50" s="1"/>
  <c r="K42"/>
  <c r="I43"/>
  <c r="K43" s="1"/>
  <c r="I44" s="1"/>
  <c r="W43" i="55"/>
  <c r="Y43" s="1"/>
  <c r="Y42"/>
  <c r="Z42" s="1"/>
  <c r="AI44"/>
  <c r="AL43"/>
  <c r="AE44"/>
  <c r="AH43"/>
  <c r="K132" i="68"/>
  <c r="M38" i="55"/>
  <c r="N38" s="1"/>
  <c r="K39"/>
  <c r="M39" s="1"/>
  <c r="AA43"/>
  <c r="AC43" s="1"/>
  <c r="AC42"/>
  <c r="AD42" s="1"/>
  <c r="S41" l="1"/>
  <c r="U41" s="1"/>
  <c r="S42" s="1"/>
  <c r="H41" i="68"/>
  <c r="K41" s="1"/>
  <c r="N41" s="1"/>
  <c r="K40"/>
  <c r="N40" s="1"/>
  <c r="I40"/>
  <c r="L40" s="1"/>
  <c r="H70"/>
  <c r="I70" s="1"/>
  <c r="L70" s="1"/>
  <c r="I69"/>
  <c r="L69" s="1"/>
  <c r="AA46" i="77"/>
  <c r="Y47"/>
  <c r="AA47" s="1"/>
  <c r="Y48" s="1"/>
  <c r="Q43"/>
  <c r="S43" s="1"/>
  <c r="Q44" s="1"/>
  <c r="S42"/>
  <c r="K69" i="68"/>
  <c r="N69" s="1"/>
  <c r="C37" i="55"/>
  <c r="E37" s="1"/>
  <c r="E36"/>
  <c r="F36" s="1"/>
  <c r="AM36" s="1"/>
  <c r="AO36" s="1"/>
  <c r="AG49" i="77"/>
  <c r="AI49" s="1"/>
  <c r="AG50" s="1"/>
  <c r="AI48"/>
  <c r="AE48"/>
  <c r="AC49"/>
  <c r="AE49" s="1"/>
  <c r="AC50" s="1"/>
  <c r="A23" i="78"/>
  <c r="H12"/>
  <c r="H213" i="48"/>
  <c r="A23" i="65"/>
  <c r="A27" i="48"/>
  <c r="A22" i="64"/>
  <c r="F59" i="48"/>
  <c r="F55" i="64" s="1"/>
  <c r="G40" i="55"/>
  <c r="J39"/>
  <c r="R41"/>
  <c r="O42"/>
  <c r="O42" i="77"/>
  <c r="M43"/>
  <c r="O43" s="1"/>
  <c r="M44" s="1"/>
  <c r="K92" i="68"/>
  <c r="J92"/>
  <c r="M92" s="1"/>
  <c r="H93"/>
  <c r="I92"/>
  <c r="L92" s="1"/>
  <c r="N39" i="55"/>
  <c r="K40"/>
  <c r="AA44"/>
  <c r="AD43"/>
  <c r="AE45"/>
  <c r="AG45" s="1"/>
  <c r="AG44"/>
  <c r="AH44" s="1"/>
  <c r="AI45"/>
  <c r="AK45" s="1"/>
  <c r="AK44"/>
  <c r="AL44" s="1"/>
  <c r="Z43"/>
  <c r="W44"/>
  <c r="W50" i="77"/>
  <c r="U51"/>
  <c r="W51" s="1"/>
  <c r="U52" s="1"/>
  <c r="K133" i="68"/>
  <c r="K44" i="77"/>
  <c r="I45"/>
  <c r="K45" s="1"/>
  <c r="I46" s="1"/>
  <c r="V41" i="55" l="1"/>
  <c r="J41" i="68"/>
  <c r="M41" s="1"/>
  <c r="I41"/>
  <c r="L41" s="1"/>
  <c r="H42"/>
  <c r="K42" s="1"/>
  <c r="N42" s="1"/>
  <c r="K70"/>
  <c r="N70" s="1"/>
  <c r="H71"/>
  <c r="H72" s="1"/>
  <c r="J70"/>
  <c r="M70" s="1"/>
  <c r="AA48" i="77"/>
  <c r="Y49"/>
  <c r="AA49" s="1"/>
  <c r="Y50" s="1"/>
  <c r="S44"/>
  <c r="Q45"/>
  <c r="S45" s="1"/>
  <c r="Q46" s="1"/>
  <c r="F37" i="55"/>
  <c r="AM37" s="1"/>
  <c r="AN37" s="1"/>
  <c r="C38"/>
  <c r="AG51" i="77"/>
  <c r="AI51" s="1"/>
  <c r="AG52" s="1"/>
  <c r="AI50"/>
  <c r="AE50"/>
  <c r="AC51"/>
  <c r="AE51" s="1"/>
  <c r="AC52" s="1"/>
  <c r="A24" i="78"/>
  <c r="A31" s="1"/>
  <c r="H24"/>
  <c r="A24" i="65"/>
  <c r="A23" i="64"/>
  <c r="F60" i="48"/>
  <c r="F56" i="64" s="1"/>
  <c r="A28" i="48"/>
  <c r="F28"/>
  <c r="F24" i="64" s="1"/>
  <c r="I40" i="55"/>
  <c r="J40" s="1"/>
  <c r="G41"/>
  <c r="I41" s="1"/>
  <c r="M45" i="77"/>
  <c r="O45" s="1"/>
  <c r="M46" s="1"/>
  <c r="O44"/>
  <c r="Q42" i="55"/>
  <c r="R42" s="1"/>
  <c r="O43"/>
  <c r="Q43" s="1"/>
  <c r="K93" i="68"/>
  <c r="N93" s="1"/>
  <c r="J93"/>
  <c r="M93" s="1"/>
  <c r="N92"/>
  <c r="I93"/>
  <c r="L93" s="1"/>
  <c r="H94"/>
  <c r="I47" i="77"/>
  <c r="K47" s="1"/>
  <c r="I48" s="1"/>
  <c r="K46"/>
  <c r="U53"/>
  <c r="W53" s="1"/>
  <c r="U54" s="1"/>
  <c r="W52"/>
  <c r="W45" i="55"/>
  <c r="Y45" s="1"/>
  <c r="Y44"/>
  <c r="Z44" s="1"/>
  <c r="S43"/>
  <c r="U43" s="1"/>
  <c r="U42"/>
  <c r="V42" s="1"/>
  <c r="M40"/>
  <c r="N40" s="1"/>
  <c r="K41"/>
  <c r="M41" s="1"/>
  <c r="K137" i="68"/>
  <c r="AI46" i="55"/>
  <c r="AL45"/>
  <c r="AE46"/>
  <c r="AH45"/>
  <c r="AC44"/>
  <c r="AD44" s="1"/>
  <c r="AA45"/>
  <c r="AC45" s="1"/>
  <c r="J71" i="68" l="1"/>
  <c r="M71" s="1"/>
  <c r="J42"/>
  <c r="M42" s="1"/>
  <c r="H43"/>
  <c r="K43" s="1"/>
  <c r="N43" s="1"/>
  <c r="N47" s="1"/>
  <c r="I42"/>
  <c r="L42" s="1"/>
  <c r="I71"/>
  <c r="L71" s="1"/>
  <c r="K71"/>
  <c r="N71" s="1"/>
  <c r="AA50" i="77"/>
  <c r="Y51"/>
  <c r="AA51" s="1"/>
  <c r="Y52" s="1"/>
  <c r="Q47"/>
  <c r="S47" s="1"/>
  <c r="Q48" s="1"/>
  <c r="S46"/>
  <c r="E38" i="55"/>
  <c r="F38" s="1"/>
  <c r="AM38" s="1"/>
  <c r="AO38" s="1"/>
  <c r="C39"/>
  <c r="E39" s="1"/>
  <c r="AI52" i="77"/>
  <c r="AG53"/>
  <c r="AI53" s="1"/>
  <c r="AG54" s="1"/>
  <c r="AE52"/>
  <c r="AC53"/>
  <c r="AE53" s="1"/>
  <c r="AC54" s="1"/>
  <c r="K72" i="68"/>
  <c r="N72" s="1"/>
  <c r="J72"/>
  <c r="M72" s="1"/>
  <c r="I72"/>
  <c r="L72" s="1"/>
  <c r="L74" s="1"/>
  <c r="A32" i="78"/>
  <c r="A36" s="1"/>
  <c r="H32"/>
  <c r="F30" i="48"/>
  <c r="F26" i="64" s="1"/>
  <c r="A24"/>
  <c r="A30" i="48"/>
  <c r="R43" i="55"/>
  <c r="O44"/>
  <c r="O46" i="77"/>
  <c r="M47"/>
  <c r="O47" s="1"/>
  <c r="M48" s="1"/>
  <c r="G42" i="55"/>
  <c r="J41"/>
  <c r="K94" i="68"/>
  <c r="J94"/>
  <c r="M94" s="1"/>
  <c r="I94"/>
  <c r="L94" s="1"/>
  <c r="H95"/>
  <c r="J43"/>
  <c r="M43" s="1"/>
  <c r="S44" i="55"/>
  <c r="V43"/>
  <c r="W54" i="77"/>
  <c r="U55"/>
  <c r="W55" s="1"/>
  <c r="U56" s="1"/>
  <c r="AE47" i="55"/>
  <c r="AG47" s="1"/>
  <c r="AG46"/>
  <c r="AH46" s="1"/>
  <c r="AK46"/>
  <c r="AL46" s="1"/>
  <c r="AI47"/>
  <c r="AK47" s="1"/>
  <c r="K138" i="68"/>
  <c r="K139" s="1"/>
  <c r="K140" s="1"/>
  <c r="K141" s="1"/>
  <c r="K142" s="1"/>
  <c r="K143" s="1"/>
  <c r="K144" s="1"/>
  <c r="K145" s="1"/>
  <c r="K146" s="1"/>
  <c r="K147" s="1"/>
  <c r="K148" s="1"/>
  <c r="K42" i="55"/>
  <c r="N41"/>
  <c r="I49" i="77"/>
  <c r="K49" s="1"/>
  <c r="I50" s="1"/>
  <c r="K48"/>
  <c r="AA46" i="55"/>
  <c r="AD45"/>
  <c r="W46"/>
  <c r="Z45"/>
  <c r="M75" i="68" l="1"/>
  <c r="H73" i="48" s="1"/>
  <c r="H74" s="1"/>
  <c r="I43" i="68"/>
  <c r="L43" s="1"/>
  <c r="L45" s="1"/>
  <c r="M46"/>
  <c r="N76"/>
  <c r="Y53" i="77"/>
  <c r="AA53" s="1"/>
  <c r="Y54" s="1"/>
  <c r="AA52"/>
  <c r="Q49"/>
  <c r="S49" s="1"/>
  <c r="Q50" s="1"/>
  <c r="S48"/>
  <c r="F39" i="55"/>
  <c r="AM39" s="1"/>
  <c r="AN39" s="1"/>
  <c r="C40"/>
  <c r="AI54" i="77"/>
  <c r="AG55"/>
  <c r="AI55" s="1"/>
  <c r="AG56" s="1"/>
  <c r="A37" i="78"/>
  <c r="A38" s="1"/>
  <c r="A39" s="1"/>
  <c r="A40" s="1"/>
  <c r="A41" s="1"/>
  <c r="A42" s="1"/>
  <c r="A43" s="1"/>
  <c r="AC55" i="77"/>
  <c r="AE55" s="1"/>
  <c r="AC56" s="1"/>
  <c r="AE54"/>
  <c r="A26" i="64"/>
  <c r="A32" i="48"/>
  <c r="I42" i="55"/>
  <c r="J42" s="1"/>
  <c r="G43"/>
  <c r="I43" s="1"/>
  <c r="O48" i="77"/>
  <c r="M49"/>
  <c r="O49" s="1"/>
  <c r="M50" s="1"/>
  <c r="O45" i="55"/>
  <c r="Q45" s="1"/>
  <c r="Q44"/>
  <c r="R44" s="1"/>
  <c r="N94" i="68"/>
  <c r="K95"/>
  <c r="N95" s="1"/>
  <c r="J95"/>
  <c r="M95" s="1"/>
  <c r="I95"/>
  <c r="L95" s="1"/>
  <c r="H96"/>
  <c r="AL47" i="55"/>
  <c r="AI48"/>
  <c r="W56" i="77"/>
  <c r="U57"/>
  <c r="W57" s="1"/>
  <c r="U58" s="1"/>
  <c r="Y46" i="55"/>
  <c r="Z46" s="1"/>
  <c r="W47"/>
  <c r="Y47" s="1"/>
  <c r="AA47"/>
  <c r="AC47" s="1"/>
  <c r="AC46"/>
  <c r="AD46" s="1"/>
  <c r="I51" i="77"/>
  <c r="K51" s="1"/>
  <c r="I52" s="1"/>
  <c r="K50"/>
  <c r="M42" i="55"/>
  <c r="N42" s="1"/>
  <c r="K43"/>
  <c r="M43" s="1"/>
  <c r="AH47"/>
  <c r="AE48"/>
  <c r="S45"/>
  <c r="U45" s="1"/>
  <c r="U44"/>
  <c r="V44" s="1"/>
  <c r="Y55" i="77" l="1"/>
  <c r="AA55" s="1"/>
  <c r="Y56" s="1"/>
  <c r="AA54"/>
  <c r="Q51"/>
  <c r="S51" s="1"/>
  <c r="Q52" s="1"/>
  <c r="S50"/>
  <c r="C41" i="55"/>
  <c r="E41" s="1"/>
  <c r="E40"/>
  <c r="F40" s="1"/>
  <c r="AM40" s="1"/>
  <c r="AO40" s="1"/>
  <c r="H43" i="78"/>
  <c r="AI56" i="77"/>
  <c r="AG57"/>
  <c r="AI57" s="1"/>
  <c r="AG58" s="1"/>
  <c r="AE56"/>
  <c r="AC57"/>
  <c r="AE57" s="1"/>
  <c r="AC58" s="1"/>
  <c r="A28" i="64"/>
  <c r="A33" i="48"/>
  <c r="F33"/>
  <c r="F29" i="64" s="1"/>
  <c r="O46" i="55"/>
  <c r="R45"/>
  <c r="G44"/>
  <c r="J43"/>
  <c r="M51" i="77"/>
  <c r="O51" s="1"/>
  <c r="M52" s="1"/>
  <c r="O50"/>
  <c r="I96" i="68"/>
  <c r="L96" s="1"/>
  <c r="L98" s="1"/>
  <c r="L102" s="1"/>
  <c r="H43" i="48" s="1"/>
  <c r="H44" s="1"/>
  <c r="K96" i="68"/>
  <c r="J96"/>
  <c r="M96" s="1"/>
  <c r="M99" s="1"/>
  <c r="AE49" i="55"/>
  <c r="AG49" s="1"/>
  <c r="AG48"/>
  <c r="AH48" s="1"/>
  <c r="K44"/>
  <c r="N43"/>
  <c r="Z47"/>
  <c r="W48"/>
  <c r="V45"/>
  <c r="S46"/>
  <c r="I53" i="77"/>
  <c r="K53" s="1"/>
  <c r="I54" s="1"/>
  <c r="K52"/>
  <c r="AD47" i="55"/>
  <c r="AA48"/>
  <c r="U59" i="77"/>
  <c r="W59" s="1"/>
  <c r="U60" s="1"/>
  <c r="W58"/>
  <c r="AI49" i="55"/>
  <c r="AK49" s="1"/>
  <c r="AK48"/>
  <c r="AL48" s="1"/>
  <c r="H52" i="48" l="1"/>
  <c r="H242"/>
  <c r="H244" s="1"/>
  <c r="H245" s="1"/>
  <c r="Y57" i="77"/>
  <c r="AA57" s="1"/>
  <c r="Y58" s="1"/>
  <c r="AA56"/>
  <c r="S52"/>
  <c r="Q53"/>
  <c r="S53" s="1"/>
  <c r="Q54" s="1"/>
  <c r="C42" i="55"/>
  <c r="F41"/>
  <c r="AM41" s="1"/>
  <c r="AN41" s="1"/>
  <c r="AI58" i="77"/>
  <c r="AG59"/>
  <c r="AI59" s="1"/>
  <c r="AG60" s="1"/>
  <c r="AE58"/>
  <c r="AC59"/>
  <c r="AE59" s="1"/>
  <c r="AC60" s="1"/>
  <c r="A29" i="64"/>
  <c r="A35" i="48"/>
  <c r="M53" i="77"/>
  <c r="O53" s="1"/>
  <c r="M54" s="1"/>
  <c r="O52"/>
  <c r="G45" i="55"/>
  <c r="I45" s="1"/>
  <c r="I44"/>
  <c r="J44" s="1"/>
  <c r="O47"/>
  <c r="Q47" s="1"/>
  <c r="Q46"/>
  <c r="R46" s="1"/>
  <c r="N96" i="68"/>
  <c r="N100" s="1"/>
  <c r="AI50" i="55"/>
  <c r="AL49"/>
  <c r="AA49"/>
  <c r="AC49" s="1"/>
  <c r="AC48"/>
  <c r="AD48" s="1"/>
  <c r="U46"/>
  <c r="V46" s="1"/>
  <c r="S47"/>
  <c r="U47" s="1"/>
  <c r="K45"/>
  <c r="M45" s="1"/>
  <c r="M44"/>
  <c r="N44" s="1"/>
  <c r="AE50"/>
  <c r="AH49"/>
  <c r="U61" i="77"/>
  <c r="W61" s="1"/>
  <c r="U62" s="1"/>
  <c r="W60"/>
  <c r="K54"/>
  <c r="I55"/>
  <c r="K55" s="1"/>
  <c r="I56" s="1"/>
  <c r="Y48" i="55"/>
  <c r="Z48" s="1"/>
  <c r="W49"/>
  <c r="Y49" s="1"/>
  <c r="H67" i="48" l="1"/>
  <c r="H32"/>
  <c r="H33" s="1"/>
  <c r="H269"/>
  <c r="H279" s="1"/>
  <c r="H253"/>
  <c r="Y59" i="77"/>
  <c r="AA59" s="1"/>
  <c r="Y60" s="1"/>
  <c r="AA58"/>
  <c r="S54"/>
  <c r="Q55"/>
  <c r="S55" s="1"/>
  <c r="Q56" s="1"/>
  <c r="C43" i="55"/>
  <c r="E43" s="1"/>
  <c r="E42"/>
  <c r="F42" s="1"/>
  <c r="AM42" s="1"/>
  <c r="AO42" s="1"/>
  <c r="AI60" i="77"/>
  <c r="AG61"/>
  <c r="AI61" s="1"/>
  <c r="AG62" s="1"/>
  <c r="AE60"/>
  <c r="AC61"/>
  <c r="AE61" s="1"/>
  <c r="AC62" s="1"/>
  <c r="A31" i="64"/>
  <c r="F36" i="48"/>
  <c r="F32" i="64" s="1"/>
  <c r="A36" i="48"/>
  <c r="R47" i="55"/>
  <c r="O48"/>
  <c r="J45"/>
  <c r="G46"/>
  <c r="M55" i="77"/>
  <c r="O55" s="1"/>
  <c r="M56" s="1"/>
  <c r="O54"/>
  <c r="I57"/>
  <c r="K57" s="1"/>
  <c r="I58" s="1"/>
  <c r="K56"/>
  <c r="AD49" i="55"/>
  <c r="AA50"/>
  <c r="AK50"/>
  <c r="AL50" s="1"/>
  <c r="AI51"/>
  <c r="AK51" s="1"/>
  <c r="W62" i="77"/>
  <c r="U63"/>
  <c r="W63" s="1"/>
  <c r="U64" s="1"/>
  <c r="AG50" i="55"/>
  <c r="AH50" s="1"/>
  <c r="AE51"/>
  <c r="AG51" s="1"/>
  <c r="N45"/>
  <c r="K46"/>
  <c r="V47"/>
  <c r="S48"/>
  <c r="Z49"/>
  <c r="W50"/>
  <c r="H35" i="48" l="1"/>
  <c r="H36" s="1"/>
  <c r="H248"/>
  <c r="D16" i="69"/>
  <c r="D18" s="1"/>
  <c r="F18" s="1"/>
  <c r="H77" i="48" s="1"/>
  <c r="H78" s="1"/>
  <c r="E19" i="71"/>
  <c r="E23"/>
  <c r="F42" i="70"/>
  <c r="G42" s="1"/>
  <c r="G44" s="1"/>
  <c r="H169" i="48" s="1"/>
  <c r="H171" s="1"/>
  <c r="H254" s="1"/>
  <c r="E17" i="71"/>
  <c r="F22" i="70"/>
  <c r="G22" s="1"/>
  <c r="Y61" i="77"/>
  <c r="AA61" s="1"/>
  <c r="Y62" s="1"/>
  <c r="AA60"/>
  <c r="S56"/>
  <c r="Q57"/>
  <c r="S57" s="1"/>
  <c r="Q58" s="1"/>
  <c r="C44" i="55"/>
  <c r="F43"/>
  <c r="AM43" s="1"/>
  <c r="AN43" s="1"/>
  <c r="AG63" i="77"/>
  <c r="AI63" s="1"/>
  <c r="AG64" s="1"/>
  <c r="AI62"/>
  <c r="AC63"/>
  <c r="AE63" s="1"/>
  <c r="AC64" s="1"/>
  <c r="AE62"/>
  <c r="A32" i="64"/>
  <c r="F230" i="48"/>
  <c r="F141"/>
  <c r="F129" i="64" s="1"/>
  <c r="F86" i="48"/>
  <c r="A41"/>
  <c r="M57" i="77"/>
  <c r="O57" s="1"/>
  <c r="M58" s="1"/>
  <c r="O56"/>
  <c r="I46" i="55"/>
  <c r="J46" s="1"/>
  <c r="G47"/>
  <c r="I47" s="1"/>
  <c r="Q48"/>
  <c r="R48" s="1"/>
  <c r="O49"/>
  <c r="Q49" s="1"/>
  <c r="W51"/>
  <c r="Y51" s="1"/>
  <c r="Y50"/>
  <c r="Z50" s="1"/>
  <c r="S49"/>
  <c r="U49" s="1"/>
  <c r="U48"/>
  <c r="V48" s="1"/>
  <c r="M46"/>
  <c r="N46" s="1"/>
  <c r="K47"/>
  <c r="M47" s="1"/>
  <c r="AE52"/>
  <c r="AH51"/>
  <c r="U65" i="77"/>
  <c r="W65" s="1"/>
  <c r="U66" s="1"/>
  <c r="W64"/>
  <c r="AI52" i="55"/>
  <c r="AL51"/>
  <c r="AA51"/>
  <c r="AC51" s="1"/>
  <c r="AC50"/>
  <c r="AD50" s="1"/>
  <c r="K58" i="77"/>
  <c r="I59"/>
  <c r="K59" s="1"/>
  <c r="I60" s="1"/>
  <c r="H86" i="48" l="1"/>
  <c r="H87" s="1"/>
  <c r="H141"/>
  <c r="H142" s="1"/>
  <c r="H144" s="1"/>
  <c r="I70" i="80"/>
  <c r="I71" s="1"/>
  <c r="H230" i="48"/>
  <c r="H231" s="1"/>
  <c r="E28" i="71"/>
  <c r="E38" s="1"/>
  <c r="H260" i="48" s="1"/>
  <c r="H263" s="1"/>
  <c r="Y63" i="77"/>
  <c r="AA63" s="1"/>
  <c r="Y64" s="1"/>
  <c r="AA62"/>
  <c r="S58"/>
  <c r="Q59"/>
  <c r="S59" s="1"/>
  <c r="Q60" s="1"/>
  <c r="C45" i="55"/>
  <c r="E45" s="1"/>
  <c r="E44"/>
  <c r="F44" s="1"/>
  <c r="AM44" s="1"/>
  <c r="AO44" s="1"/>
  <c r="AI64" i="77"/>
  <c r="AG65"/>
  <c r="AI65" s="1"/>
  <c r="AG66" s="1"/>
  <c r="AE64"/>
  <c r="AC65"/>
  <c r="AE65" s="1"/>
  <c r="AC66" s="1"/>
  <c r="F213" i="64"/>
  <c r="G70" i="80"/>
  <c r="A37" i="64"/>
  <c r="A42" i="48"/>
  <c r="A43" s="1"/>
  <c r="G48" i="55"/>
  <c r="J47"/>
  <c r="O58" i="77"/>
  <c r="M59"/>
  <c r="O59" s="1"/>
  <c r="M60" s="1"/>
  <c r="R49" i="55"/>
  <c r="O50"/>
  <c r="AA52"/>
  <c r="AD51"/>
  <c r="U67" i="77"/>
  <c r="W67" s="1"/>
  <c r="U68" s="1"/>
  <c r="W66"/>
  <c r="V49" i="55"/>
  <c r="S50"/>
  <c r="I61" i="77"/>
  <c r="K61" s="1"/>
  <c r="I62" s="1"/>
  <c r="K60"/>
  <c r="N47" i="55"/>
  <c r="K48"/>
  <c r="W52"/>
  <c r="Z51"/>
  <c r="AK52"/>
  <c r="AL52" s="1"/>
  <c r="AI53"/>
  <c r="AK53" s="1"/>
  <c r="AG52"/>
  <c r="AH52" s="1"/>
  <c r="AE53"/>
  <c r="AG53" s="1"/>
  <c r="H97" i="48" l="1"/>
  <c r="H99" s="1"/>
  <c r="H106" s="1"/>
  <c r="H252"/>
  <c r="Y65" i="77"/>
  <c r="AA65" s="1"/>
  <c r="Y66" s="1"/>
  <c r="AA64"/>
  <c r="S60"/>
  <c r="Q61"/>
  <c r="S61" s="1"/>
  <c r="Q62" s="1"/>
  <c r="C46" i="55"/>
  <c r="F45"/>
  <c r="AM45" s="1"/>
  <c r="AN45" s="1"/>
  <c r="AG67" i="77"/>
  <c r="AI67" s="1"/>
  <c r="AG68" s="1"/>
  <c r="AI66"/>
  <c r="AC67"/>
  <c r="AE67" s="1"/>
  <c r="AC68" s="1"/>
  <c r="AE66"/>
  <c r="F44" i="48"/>
  <c r="A38" i="64"/>
  <c r="A44" i="48"/>
  <c r="A46" s="1"/>
  <c r="M61" i="77"/>
  <c r="O61" s="1"/>
  <c r="M62" s="1"/>
  <c r="O60"/>
  <c r="O51" i="55"/>
  <c r="Q51" s="1"/>
  <c r="Q50"/>
  <c r="R50" s="1"/>
  <c r="G49"/>
  <c r="I49" s="1"/>
  <c r="I48"/>
  <c r="J48" s="1"/>
  <c r="AL53"/>
  <c r="AI54"/>
  <c r="W53"/>
  <c r="Y53" s="1"/>
  <c r="Y52"/>
  <c r="Z52" s="1"/>
  <c r="K49"/>
  <c r="M49" s="1"/>
  <c r="M48"/>
  <c r="N48" s="1"/>
  <c r="W68" i="77"/>
  <c r="U69"/>
  <c r="W69" s="1"/>
  <c r="AC52" i="55"/>
  <c r="AD52" s="1"/>
  <c r="AA53"/>
  <c r="AC53" s="1"/>
  <c r="AE54"/>
  <c r="AH53"/>
  <c r="I63" i="77"/>
  <c r="K63" s="1"/>
  <c r="I64" s="1"/>
  <c r="K62"/>
  <c r="S51" i="55"/>
  <c r="U51" s="1"/>
  <c r="U50"/>
  <c r="V50" s="1"/>
  <c r="H108" i="48" l="1"/>
  <c r="H249"/>
  <c r="Y67" i="77"/>
  <c r="AA67" s="1"/>
  <c r="Y68" s="1"/>
  <c r="AA66"/>
  <c r="S62"/>
  <c r="Q63"/>
  <c r="S63" s="1"/>
  <c r="Q64" s="1"/>
  <c r="C47" i="55"/>
  <c r="E47" s="1"/>
  <c r="E46"/>
  <c r="F46" s="1"/>
  <c r="AM46" s="1"/>
  <c r="AO46" s="1"/>
  <c r="AG69" i="77"/>
  <c r="AI69" s="1"/>
  <c r="AG70" s="1"/>
  <c r="AI68"/>
  <c r="AE68"/>
  <c r="AC69"/>
  <c r="AE69" s="1"/>
  <c r="AC70" s="1"/>
  <c r="A39" i="64"/>
  <c r="A47" i="48"/>
  <c r="F48" s="1"/>
  <c r="F41" i="64" s="1"/>
  <c r="O62" i="77"/>
  <c r="M63"/>
  <c r="O63" s="1"/>
  <c r="M64" s="1"/>
  <c r="J49" i="55"/>
  <c r="G50"/>
  <c r="O52"/>
  <c r="R51"/>
  <c r="AD53"/>
  <c r="AA54"/>
  <c r="U70" i="77"/>
  <c r="V51" i="55"/>
  <c r="S52"/>
  <c r="K64" i="77"/>
  <c r="I65"/>
  <c r="K65" s="1"/>
  <c r="AE55" i="55"/>
  <c r="AG55" s="1"/>
  <c r="AG54"/>
  <c r="AH54" s="1"/>
  <c r="K50"/>
  <c r="N49"/>
  <c r="Z53"/>
  <c r="W54"/>
  <c r="AI55"/>
  <c r="AK55" s="1"/>
  <c r="AK54"/>
  <c r="AL54" s="1"/>
  <c r="H215" i="48" l="1"/>
  <c r="H250"/>
  <c r="I13" i="80" s="1"/>
  <c r="I56" s="1"/>
  <c r="I75" s="1"/>
  <c r="I77" s="1"/>
  <c r="H277" i="48" s="1"/>
  <c r="Y69" i="77"/>
  <c r="AA69" s="1"/>
  <c r="Y70" s="1"/>
  <c r="AA70" s="1"/>
  <c r="AA68"/>
  <c r="S64"/>
  <c r="Q65"/>
  <c r="S65" s="1"/>
  <c r="Q66" s="1"/>
  <c r="S66" s="1"/>
  <c r="C48" i="55"/>
  <c r="F47"/>
  <c r="AM47" s="1"/>
  <c r="AN47" s="1"/>
  <c r="AG71" i="77"/>
  <c r="AI71" s="1"/>
  <c r="AI70"/>
  <c r="AC71"/>
  <c r="AE71" s="1"/>
  <c r="AE70"/>
  <c r="A48" i="48"/>
  <c r="A25" i="65"/>
  <c r="F21" i="48"/>
  <c r="F17" i="64" s="1"/>
  <c r="A40"/>
  <c r="Q52" i="55"/>
  <c r="R52" s="1"/>
  <c r="O53"/>
  <c r="Q53" s="1"/>
  <c r="O64" i="77"/>
  <c r="M65"/>
  <c r="O65" s="1"/>
  <c r="M66" s="1"/>
  <c r="O66" s="1"/>
  <c r="I50" i="55"/>
  <c r="J50" s="1"/>
  <c r="G51"/>
  <c r="I51" s="1"/>
  <c r="Q67" i="77"/>
  <c r="S67" s="1"/>
  <c r="K51" i="55"/>
  <c r="M51" s="1"/>
  <c r="M50"/>
  <c r="N50" s="1"/>
  <c r="I66" i="77"/>
  <c r="S53" i="55"/>
  <c r="U53" s="1"/>
  <c r="U52"/>
  <c r="V52" s="1"/>
  <c r="AA55"/>
  <c r="AC55" s="1"/>
  <c r="AC54"/>
  <c r="AD54" s="1"/>
  <c r="AI56"/>
  <c r="AL55"/>
  <c r="Y71" i="77"/>
  <c r="AA71" s="1"/>
  <c r="W55" i="55"/>
  <c r="Y55" s="1"/>
  <c r="Y54"/>
  <c r="Z54" s="1"/>
  <c r="AH55"/>
  <c r="AE56"/>
  <c r="M67" i="77"/>
  <c r="O67" s="1"/>
  <c r="U71"/>
  <c r="W71" s="1"/>
  <c r="W70"/>
  <c r="H233" i="48" l="1"/>
  <c r="H235" s="1"/>
  <c r="H256" s="1"/>
  <c r="H255"/>
  <c r="E48" i="55"/>
  <c r="F48" s="1"/>
  <c r="AM48" s="1"/>
  <c r="AO48" s="1"/>
  <c r="C49"/>
  <c r="E49" s="1"/>
  <c r="A41" i="64"/>
  <c r="A49" i="48"/>
  <c r="F50" s="1"/>
  <c r="F43" i="64" s="1"/>
  <c r="G52" i="55"/>
  <c r="J51"/>
  <c r="O54"/>
  <c r="R53"/>
  <c r="M68" i="77"/>
  <c r="Q68"/>
  <c r="Z55" i="55"/>
  <c r="W56"/>
  <c r="AI57"/>
  <c r="AK57" s="1"/>
  <c r="AK56"/>
  <c r="AL56" s="1"/>
  <c r="AD55"/>
  <c r="AA56"/>
  <c r="S54"/>
  <c r="V53"/>
  <c r="K66" i="77"/>
  <c r="I67"/>
  <c r="K67" s="1"/>
  <c r="N51" i="55"/>
  <c r="K52"/>
  <c r="AE57"/>
  <c r="AG57" s="1"/>
  <c r="AG56"/>
  <c r="AH56" s="1"/>
  <c r="H257" i="48" l="1"/>
  <c r="H265" s="1"/>
  <c r="H239"/>
  <c r="F49" i="55"/>
  <c r="AM49" s="1"/>
  <c r="AN49" s="1"/>
  <c r="C50"/>
  <c r="A50" i="48"/>
  <c r="A42" i="64"/>
  <c r="G53" i="55"/>
  <c r="I53" s="1"/>
  <c r="I52"/>
  <c r="J52" s="1"/>
  <c r="Q54"/>
  <c r="R54" s="1"/>
  <c r="O55"/>
  <c r="Q55" s="1"/>
  <c r="K53"/>
  <c r="M53" s="1"/>
  <c r="M52"/>
  <c r="N52" s="1"/>
  <c r="I68" i="77"/>
  <c r="AC56" i="55"/>
  <c r="AD56" s="1"/>
  <c r="AA57"/>
  <c r="AC57" s="1"/>
  <c r="Y56"/>
  <c r="Z56" s="1"/>
  <c r="W57"/>
  <c r="Y57" s="1"/>
  <c r="AE58"/>
  <c r="AH57"/>
  <c r="S55"/>
  <c r="U55" s="1"/>
  <c r="U54"/>
  <c r="V54" s="1"/>
  <c r="AL57"/>
  <c r="AI58"/>
  <c r="S68" i="77"/>
  <c r="Q69"/>
  <c r="S69" s="1"/>
  <c r="M69"/>
  <c r="O69" s="1"/>
  <c r="O68"/>
  <c r="H283" i="48" l="1"/>
  <c r="H268"/>
  <c r="H276"/>
  <c r="E50" i="55"/>
  <c r="F50" s="1"/>
  <c r="AM50" s="1"/>
  <c r="AO50" s="1"/>
  <c r="C51"/>
  <c r="E51" s="1"/>
  <c r="A43" i="64"/>
  <c r="F52" i="48"/>
  <c r="F47" i="64" s="1"/>
  <c r="A52" i="48"/>
  <c r="G54" i="55"/>
  <c r="J53"/>
  <c r="R55"/>
  <c r="O56"/>
  <c r="M70" i="77"/>
  <c r="AK58" i="55"/>
  <c r="AL58" s="1"/>
  <c r="AI59"/>
  <c r="AK59" s="1"/>
  <c r="W58"/>
  <c r="Z57"/>
  <c r="AD57"/>
  <c r="AA58"/>
  <c r="Q70" i="77"/>
  <c r="V55" i="55"/>
  <c r="S56"/>
  <c r="AE59"/>
  <c r="AG59" s="1"/>
  <c r="AG58"/>
  <c r="AH58" s="1"/>
  <c r="I69" i="77"/>
  <c r="K69" s="1"/>
  <c r="K68"/>
  <c r="K54" i="55"/>
  <c r="N53"/>
  <c r="D105" i="68" l="1"/>
  <c r="D116" s="1"/>
  <c r="H116" s="1"/>
  <c r="N152"/>
  <c r="H286" i="48"/>
  <c r="H292" s="1"/>
  <c r="H271"/>
  <c r="N9" i="77" s="1"/>
  <c r="H272" i="48"/>
  <c r="N15" i="77" s="1"/>
  <c r="H270" i="48"/>
  <c r="C52" i="55"/>
  <c r="F51"/>
  <c r="AM51" s="1"/>
  <c r="AN51" s="1"/>
  <c r="A47" i="64"/>
  <c r="F32" i="48"/>
  <c r="F28" i="64" s="1"/>
  <c r="A55" i="48"/>
  <c r="G55" i="55"/>
  <c r="I55" s="1"/>
  <c r="I54"/>
  <c r="J54" s="1"/>
  <c r="Q56"/>
  <c r="R56" s="1"/>
  <c r="O57"/>
  <c r="Q57" s="1"/>
  <c r="U56"/>
  <c r="V56" s="1"/>
  <c r="S57"/>
  <c r="U57" s="1"/>
  <c r="AA59"/>
  <c r="AC59" s="1"/>
  <c r="AC58"/>
  <c r="AD58" s="1"/>
  <c r="AL59"/>
  <c r="AI60"/>
  <c r="M54"/>
  <c r="N54" s="1"/>
  <c r="K55"/>
  <c r="M55" s="1"/>
  <c r="I70" i="77"/>
  <c r="AH59" i="55"/>
  <c r="AE60"/>
  <c r="Q71" i="77"/>
  <c r="S71" s="1"/>
  <c r="S70"/>
  <c r="Y58" i="55"/>
  <c r="Z58" s="1"/>
  <c r="W59"/>
  <c r="Y59" s="1"/>
  <c r="M71" i="77"/>
  <c r="O71" s="1"/>
  <c r="O70"/>
  <c r="AG26" l="1"/>
  <c r="Q26"/>
  <c r="I26"/>
  <c r="M26"/>
  <c r="E26"/>
  <c r="U26"/>
  <c r="AC27"/>
  <c r="Y27"/>
  <c r="AC26"/>
  <c r="Y26"/>
  <c r="H125" i="68"/>
  <c r="O125" s="1"/>
  <c r="P125" s="1"/>
  <c r="H133"/>
  <c r="O133" s="1"/>
  <c r="P133" s="1"/>
  <c r="H123"/>
  <c r="O123" s="1"/>
  <c r="P123" s="1"/>
  <c r="H130"/>
  <c r="O130" s="1"/>
  <c r="P130" s="1"/>
  <c r="H126"/>
  <c r="O126" s="1"/>
  <c r="P126" s="1"/>
  <c r="H124"/>
  <c r="O124" s="1"/>
  <c r="P124" s="1"/>
  <c r="H132"/>
  <c r="O132" s="1"/>
  <c r="P132" s="1"/>
  <c r="H128"/>
  <c r="O128" s="1"/>
  <c r="P128" s="1"/>
  <c r="H129"/>
  <c r="O129" s="1"/>
  <c r="P129" s="1"/>
  <c r="H127"/>
  <c r="O127" s="1"/>
  <c r="P127" s="1"/>
  <c r="H122"/>
  <c r="H131"/>
  <c r="O131" s="1"/>
  <c r="P131" s="1"/>
  <c r="E52" i="55"/>
  <c r="F52" s="1"/>
  <c r="AM52" s="1"/>
  <c r="AO52" s="1"/>
  <c r="C53"/>
  <c r="E53" s="1"/>
  <c r="A57" i="48"/>
  <c r="A51" i="64"/>
  <c r="A52"/>
  <c r="J55" i="55"/>
  <c r="G56"/>
  <c r="R57"/>
  <c r="O58"/>
  <c r="AD59"/>
  <c r="AA60"/>
  <c r="V57"/>
  <c r="S58"/>
  <c r="W60"/>
  <c r="Z59"/>
  <c r="AE61"/>
  <c r="AG61" s="1"/>
  <c r="AG60"/>
  <c r="AH60" s="1"/>
  <c r="N55"/>
  <c r="K56"/>
  <c r="AK60"/>
  <c r="AL60" s="1"/>
  <c r="AI61"/>
  <c r="AK61" s="1"/>
  <c r="I71" i="77"/>
  <c r="K71" s="1"/>
  <c r="K70"/>
  <c r="AJ68" l="1"/>
  <c r="AJ58"/>
  <c r="AJ56"/>
  <c r="AJ60"/>
  <c r="AJ66"/>
  <c r="AJ42"/>
  <c r="AJ64"/>
  <c r="AJ40"/>
  <c r="AJ54"/>
  <c r="AJ48"/>
  <c r="AJ52"/>
  <c r="AJ50"/>
  <c r="AJ46"/>
  <c r="AJ62"/>
  <c r="AJ44"/>
  <c r="AJ70"/>
  <c r="P34"/>
  <c r="AK34" s="1"/>
  <c r="AM34" s="1"/>
  <c r="P48"/>
  <c r="P46"/>
  <c r="P52"/>
  <c r="P36"/>
  <c r="P54"/>
  <c r="P56"/>
  <c r="P42"/>
  <c r="P58"/>
  <c r="AK58" s="1"/>
  <c r="AM58" s="1"/>
  <c r="P62"/>
  <c r="P38"/>
  <c r="P50"/>
  <c r="P60"/>
  <c r="P44"/>
  <c r="P40"/>
  <c r="P32"/>
  <c r="P66"/>
  <c r="P64"/>
  <c r="P68"/>
  <c r="X68"/>
  <c r="X42"/>
  <c r="X50"/>
  <c r="X56"/>
  <c r="X38"/>
  <c r="X64"/>
  <c r="X46"/>
  <c r="X54"/>
  <c r="X58"/>
  <c r="X62"/>
  <c r="X52"/>
  <c r="X66"/>
  <c r="X40"/>
  <c r="X48"/>
  <c r="X44"/>
  <c r="X60"/>
  <c r="X70"/>
  <c r="T44"/>
  <c r="T52"/>
  <c r="T60"/>
  <c r="T40"/>
  <c r="T54"/>
  <c r="T38"/>
  <c r="T42"/>
  <c r="T50"/>
  <c r="T48"/>
  <c r="T46"/>
  <c r="T36"/>
  <c r="T58"/>
  <c r="T56"/>
  <c r="T62"/>
  <c r="T66"/>
  <c r="T64"/>
  <c r="T68"/>
  <c r="AB60"/>
  <c r="AB54"/>
  <c r="AB38"/>
  <c r="AB56"/>
  <c r="AB66"/>
  <c r="AB42"/>
  <c r="AB52"/>
  <c r="AB48"/>
  <c r="AB44"/>
  <c r="AB58"/>
  <c r="AB62"/>
  <c r="AB46"/>
  <c r="AB50"/>
  <c r="AB40"/>
  <c r="AB64"/>
  <c r="AB70"/>
  <c r="AB68"/>
  <c r="H58"/>
  <c r="H34"/>
  <c r="H38"/>
  <c r="H56"/>
  <c r="H68"/>
  <c r="H62"/>
  <c r="H64"/>
  <c r="H42"/>
  <c r="H46"/>
  <c r="H32"/>
  <c r="H60"/>
  <c r="H66"/>
  <c r="H70"/>
  <c r="H36"/>
  <c r="H48"/>
  <c r="H52"/>
  <c r="H44"/>
  <c r="H54"/>
  <c r="H40"/>
  <c r="H50"/>
  <c r="T70"/>
  <c r="P70"/>
  <c r="AB63"/>
  <c r="AB55"/>
  <c r="AB69"/>
  <c r="AB61"/>
  <c r="AB67"/>
  <c r="AB59"/>
  <c r="AB57"/>
  <c r="AB45"/>
  <c r="AB39"/>
  <c r="AB53"/>
  <c r="AB49"/>
  <c r="AB65"/>
  <c r="AB41"/>
  <c r="AB47"/>
  <c r="AB51"/>
  <c r="AB43"/>
  <c r="AB71"/>
  <c r="AF48"/>
  <c r="AF50"/>
  <c r="AF52"/>
  <c r="AF66"/>
  <c r="AF62"/>
  <c r="AF40"/>
  <c r="AF64"/>
  <c r="AF60"/>
  <c r="AF46"/>
  <c r="AF42"/>
  <c r="AF44"/>
  <c r="AF54"/>
  <c r="AF56"/>
  <c r="AF68"/>
  <c r="AF58"/>
  <c r="AF70"/>
  <c r="L62"/>
  <c r="L42"/>
  <c r="L60"/>
  <c r="L38"/>
  <c r="L56"/>
  <c r="L34"/>
  <c r="L40"/>
  <c r="L58"/>
  <c r="L50"/>
  <c r="L48"/>
  <c r="L32"/>
  <c r="L36"/>
  <c r="L52"/>
  <c r="L64"/>
  <c r="L44"/>
  <c r="L46"/>
  <c r="L54"/>
  <c r="L66"/>
  <c r="L68"/>
  <c r="AF59"/>
  <c r="AF67"/>
  <c r="AF69"/>
  <c r="AF63"/>
  <c r="AF41"/>
  <c r="AF45"/>
  <c r="AF55"/>
  <c r="AF49"/>
  <c r="AF51"/>
  <c r="AF43"/>
  <c r="AF71"/>
  <c r="AF65"/>
  <c r="AF53"/>
  <c r="AF57"/>
  <c r="AF47"/>
  <c r="AF61"/>
  <c r="L70"/>
  <c r="AK70" s="1"/>
  <c r="AM70" s="1"/>
  <c r="H134" i="68"/>
  <c r="O122"/>
  <c r="P122" s="1"/>
  <c r="P134" s="1"/>
  <c r="C54" i="55"/>
  <c r="F53"/>
  <c r="AM53" s="1"/>
  <c r="AN53" s="1"/>
  <c r="A58" i="48"/>
  <c r="A53" i="64"/>
  <c r="O59" i="55"/>
  <c r="Q59" s="1"/>
  <c r="Q58"/>
  <c r="R58" s="1"/>
  <c r="I56"/>
  <c r="J56" s="1"/>
  <c r="G57"/>
  <c r="I57" s="1"/>
  <c r="AL61"/>
  <c r="AI62"/>
  <c r="M56"/>
  <c r="N56" s="1"/>
  <c r="K57"/>
  <c r="M57" s="1"/>
  <c r="S59"/>
  <c r="U59" s="1"/>
  <c r="U58"/>
  <c r="V58" s="1"/>
  <c r="AC60"/>
  <c r="AD60" s="1"/>
  <c r="AA61"/>
  <c r="AC61" s="1"/>
  <c r="AH61"/>
  <c r="AE62"/>
  <c r="Y60"/>
  <c r="Z60" s="1"/>
  <c r="W61"/>
  <c r="Y61" s="1"/>
  <c r="AK64" i="77" l="1"/>
  <c r="AM64" s="1"/>
  <c r="AK48"/>
  <c r="AM48" s="1"/>
  <c r="AK50"/>
  <c r="AM50" s="1"/>
  <c r="AK62"/>
  <c r="AM62" s="1"/>
  <c r="AK38"/>
  <c r="AM38" s="1"/>
  <c r="AK46"/>
  <c r="AM46" s="1"/>
  <c r="AK52"/>
  <c r="AM52" s="1"/>
  <c r="AK44"/>
  <c r="AM44" s="1"/>
  <c r="AK54"/>
  <c r="AM54" s="1"/>
  <c r="AK60"/>
  <c r="AM60" s="1"/>
  <c r="AK36"/>
  <c r="AM36" s="1"/>
  <c r="AK66"/>
  <c r="AM66" s="1"/>
  <c r="AK40"/>
  <c r="AM40" s="1"/>
  <c r="AK56"/>
  <c r="AM56" s="1"/>
  <c r="AK68"/>
  <c r="AM68" s="1"/>
  <c r="AK32"/>
  <c r="AM32" s="1"/>
  <c r="AK42"/>
  <c r="AM42" s="1"/>
  <c r="H137" i="68"/>
  <c r="N137"/>
  <c r="E54" i="55"/>
  <c r="F54" s="1"/>
  <c r="AM54" s="1"/>
  <c r="AO54" s="1"/>
  <c r="C55"/>
  <c r="E55" s="1"/>
  <c r="A54" i="64"/>
  <c r="A59" i="48"/>
  <c r="O60" i="55"/>
  <c r="R59"/>
  <c r="J57"/>
  <c r="G58"/>
  <c r="W62"/>
  <c r="Z61"/>
  <c r="AE63"/>
  <c r="AG63" s="1"/>
  <c r="AG62"/>
  <c r="AH62" s="1"/>
  <c r="AA62"/>
  <c r="AD61"/>
  <c r="K58"/>
  <c r="N57"/>
  <c r="AI63"/>
  <c r="AK63" s="1"/>
  <c r="AK62"/>
  <c r="AL62" s="1"/>
  <c r="S60"/>
  <c r="V59"/>
  <c r="O137" i="68" l="1"/>
  <c r="H138" s="1"/>
  <c r="O138" s="1"/>
  <c r="H139" s="1"/>
  <c r="O139" s="1"/>
  <c r="H140" s="1"/>
  <c r="O140" s="1"/>
  <c r="H141" s="1"/>
  <c r="O141" s="1"/>
  <c r="H142" s="1"/>
  <c r="O142" s="1"/>
  <c r="H143" s="1"/>
  <c r="O143" s="1"/>
  <c r="H144" s="1"/>
  <c r="O144" s="1"/>
  <c r="H145" s="1"/>
  <c r="O145" s="1"/>
  <c r="H146" s="1"/>
  <c r="O146" s="1"/>
  <c r="H147" s="1"/>
  <c r="O147" s="1"/>
  <c r="H148" s="1"/>
  <c r="O148" s="1"/>
  <c r="N138"/>
  <c r="N139" s="1"/>
  <c r="N140" s="1"/>
  <c r="N141" s="1"/>
  <c r="N142" s="1"/>
  <c r="N143" s="1"/>
  <c r="N144" s="1"/>
  <c r="N145" s="1"/>
  <c r="N146" s="1"/>
  <c r="N147" s="1"/>
  <c r="N148" s="1"/>
  <c r="C56" i="55"/>
  <c r="F55"/>
  <c r="AM55" s="1"/>
  <c r="AN55" s="1"/>
  <c r="A60" i="48"/>
  <c r="A55" i="64"/>
  <c r="I58" i="55"/>
  <c r="J58" s="1"/>
  <c r="G59"/>
  <c r="I59" s="1"/>
  <c r="O61"/>
  <c r="Q61" s="1"/>
  <c r="Q60"/>
  <c r="R60" s="1"/>
  <c r="S61"/>
  <c r="U61" s="1"/>
  <c r="U60"/>
  <c r="V60" s="1"/>
  <c r="AI64"/>
  <c r="AL63"/>
  <c r="K59"/>
  <c r="M59" s="1"/>
  <c r="M58"/>
  <c r="N58" s="1"/>
  <c r="AA63"/>
  <c r="AC63" s="1"/>
  <c r="AC62"/>
  <c r="AD62" s="1"/>
  <c r="AH63"/>
  <c r="AE64"/>
  <c r="W63"/>
  <c r="Y63" s="1"/>
  <c r="Y62"/>
  <c r="Z62" s="1"/>
  <c r="N149" i="68" l="1"/>
  <c r="N151" s="1"/>
  <c r="N153" s="1"/>
  <c r="D157" s="1"/>
  <c r="C57" i="55"/>
  <c r="E57" s="1"/>
  <c r="E56"/>
  <c r="F56" s="1"/>
  <c r="AM56" s="1"/>
  <c r="AO56" s="1"/>
  <c r="A61" i="48"/>
  <c r="A56" i="64"/>
  <c r="F61" i="48"/>
  <c r="F57" i="64" s="1"/>
  <c r="R61" i="55"/>
  <c r="O62"/>
  <c r="G60"/>
  <c r="J59"/>
  <c r="AG64"/>
  <c r="AH64" s="1"/>
  <c r="AE65"/>
  <c r="AG65" s="1"/>
  <c r="Z63"/>
  <c r="W64"/>
  <c r="AA64"/>
  <c r="AD63"/>
  <c r="N59"/>
  <c r="K60"/>
  <c r="AI65"/>
  <c r="AK65" s="1"/>
  <c r="AK64"/>
  <c r="AL64" s="1"/>
  <c r="S62"/>
  <c r="V61"/>
  <c r="C58" l="1"/>
  <c r="F57"/>
  <c r="AM57" s="1"/>
  <c r="AN57" s="1"/>
  <c r="A57" i="64"/>
  <c r="A62" i="48"/>
  <c r="I60" i="55"/>
  <c r="J60" s="1"/>
  <c r="G61"/>
  <c r="I61" s="1"/>
  <c r="O63"/>
  <c r="Q63" s="1"/>
  <c r="Q62"/>
  <c r="R62" s="1"/>
  <c r="U62"/>
  <c r="V62" s="1"/>
  <c r="S63"/>
  <c r="U63" s="1"/>
  <c r="AL65"/>
  <c r="AI66"/>
  <c r="AC64"/>
  <c r="AD64" s="1"/>
  <c r="AA65"/>
  <c r="AC65" s="1"/>
  <c r="AE66"/>
  <c r="AH65"/>
  <c r="K61"/>
  <c r="M61" s="1"/>
  <c r="M60"/>
  <c r="N60" s="1"/>
  <c r="Y64"/>
  <c r="Z64" s="1"/>
  <c r="W65"/>
  <c r="Y65" s="1"/>
  <c r="E58" l="1"/>
  <c r="F58" s="1"/>
  <c r="AM58" s="1"/>
  <c r="AO58" s="1"/>
  <c r="C59"/>
  <c r="E59" s="1"/>
  <c r="A63" i="48"/>
  <c r="A58" i="64"/>
  <c r="F63" i="48"/>
  <c r="F59" i="64" s="1"/>
  <c r="O64" i="55"/>
  <c r="R63"/>
  <c r="G62"/>
  <c r="J61"/>
  <c r="N61"/>
  <c r="K62"/>
  <c r="AG66"/>
  <c r="AH66" s="1"/>
  <c r="AE67"/>
  <c r="AG67" s="1"/>
  <c r="AA66"/>
  <c r="AD65"/>
  <c r="AK66"/>
  <c r="AL66" s="1"/>
  <c r="AI67"/>
  <c r="AK67" s="1"/>
  <c r="S64"/>
  <c r="V63"/>
  <c r="W66"/>
  <c r="Z65"/>
  <c r="F59" l="1"/>
  <c r="AM59" s="1"/>
  <c r="AN59" s="1"/>
  <c r="C60"/>
  <c r="A59" i="64"/>
  <c r="A65" i="48"/>
  <c r="F65"/>
  <c r="F61" i="64" s="1"/>
  <c r="G63" i="55"/>
  <c r="I63" s="1"/>
  <c r="I62"/>
  <c r="J62" s="1"/>
  <c r="O65"/>
  <c r="Q65" s="1"/>
  <c r="Q64"/>
  <c r="R64" s="1"/>
  <c r="AI68"/>
  <c r="AL67"/>
  <c r="AH67"/>
  <c r="AE68"/>
  <c r="K63"/>
  <c r="M63" s="1"/>
  <c r="M62"/>
  <c r="N62" s="1"/>
  <c r="Y66"/>
  <c r="Z66" s="1"/>
  <c r="W67"/>
  <c r="Y67" s="1"/>
  <c r="S65"/>
  <c r="U65" s="1"/>
  <c r="U64"/>
  <c r="V64" s="1"/>
  <c r="AC66"/>
  <c r="AD66" s="1"/>
  <c r="AA67"/>
  <c r="AC67" s="1"/>
  <c r="E60" l="1"/>
  <c r="F60" s="1"/>
  <c r="AM60" s="1"/>
  <c r="AO60" s="1"/>
  <c r="C61"/>
  <c r="E61" s="1"/>
  <c r="A61" i="64"/>
  <c r="F67" i="48"/>
  <c r="F63" i="64" s="1"/>
  <c r="A67" i="48"/>
  <c r="R65" i="55"/>
  <c r="O66"/>
  <c r="G64"/>
  <c r="J63"/>
  <c r="AA68"/>
  <c r="AD67"/>
  <c r="Z67"/>
  <c r="W68"/>
  <c r="AG68"/>
  <c r="AH68" s="1"/>
  <c r="AE69"/>
  <c r="AG69" s="1"/>
  <c r="V65"/>
  <c r="S66"/>
  <c r="N63"/>
  <c r="K64"/>
  <c r="AI69"/>
  <c r="AK69" s="1"/>
  <c r="AK68"/>
  <c r="AL68" s="1"/>
  <c r="C62" l="1"/>
  <c r="F61"/>
  <c r="AM61" s="1"/>
  <c r="AN61" s="1"/>
  <c r="A73" i="48"/>
  <c r="F35"/>
  <c r="F31" i="64" s="1"/>
  <c r="A63"/>
  <c r="I64" i="55"/>
  <c r="J64" s="1"/>
  <c r="G65"/>
  <c r="I65" s="1"/>
  <c r="O67"/>
  <c r="Q67" s="1"/>
  <c r="Q66"/>
  <c r="R66" s="1"/>
  <c r="AI70"/>
  <c r="AL69"/>
  <c r="Y68"/>
  <c r="Z68" s="1"/>
  <c r="W69"/>
  <c r="Y69" s="1"/>
  <c r="K65"/>
  <c r="M65" s="1"/>
  <c r="M64"/>
  <c r="N64" s="1"/>
  <c r="U66"/>
  <c r="V66" s="1"/>
  <c r="S67"/>
  <c r="U67" s="1"/>
  <c r="AE70"/>
  <c r="AH69"/>
  <c r="AC68"/>
  <c r="AD68" s="1"/>
  <c r="AA69"/>
  <c r="AC69" s="1"/>
  <c r="C63" l="1"/>
  <c r="E63" s="1"/>
  <c r="E62"/>
  <c r="F62" s="1"/>
  <c r="AM62" s="1"/>
  <c r="AO62" s="1"/>
  <c r="A74" i="48"/>
  <c r="A77" s="1"/>
  <c r="F74"/>
  <c r="O68" i="55"/>
  <c r="R67"/>
  <c r="G66"/>
  <c r="J65"/>
  <c r="AD69"/>
  <c r="AA70"/>
  <c r="V67"/>
  <c r="S68"/>
  <c r="W70"/>
  <c r="Z69"/>
  <c r="AG70"/>
  <c r="AH70" s="1"/>
  <c r="AE71"/>
  <c r="AG71" s="1"/>
  <c r="AH71" s="1"/>
  <c r="N65"/>
  <c r="K66"/>
  <c r="AK70"/>
  <c r="AL70" s="1"/>
  <c r="AI71"/>
  <c r="AK71" s="1"/>
  <c r="AL71" s="1"/>
  <c r="C64" l="1"/>
  <c r="F63"/>
  <c r="AM63" s="1"/>
  <c r="AN63" s="1"/>
  <c r="F78" i="48"/>
  <c r="F73" i="64" s="1"/>
  <c r="A68"/>
  <c r="A78" i="48"/>
  <c r="I66" i="55"/>
  <c r="J66" s="1"/>
  <c r="G67"/>
  <c r="I67" s="1"/>
  <c r="O69"/>
  <c r="Q69" s="1"/>
  <c r="Q68"/>
  <c r="R68" s="1"/>
  <c r="M66"/>
  <c r="N66" s="1"/>
  <c r="K67"/>
  <c r="M67" s="1"/>
  <c r="S69"/>
  <c r="U69" s="1"/>
  <c r="U68"/>
  <c r="V68" s="1"/>
  <c r="AC70"/>
  <c r="AD70" s="1"/>
  <c r="AA71"/>
  <c r="AC71" s="1"/>
  <c r="AD71" s="1"/>
  <c r="Y70"/>
  <c r="Z70" s="1"/>
  <c r="W71"/>
  <c r="Y71" s="1"/>
  <c r="Z71" s="1"/>
  <c r="E64" l="1"/>
  <c r="F64" s="1"/>
  <c r="AM64" s="1"/>
  <c r="AO64" s="1"/>
  <c r="C65"/>
  <c r="E65" s="1"/>
  <c r="A80" i="48"/>
  <c r="A73" i="64"/>
  <c r="O70" i="55"/>
  <c r="R69"/>
  <c r="G68"/>
  <c r="J67"/>
  <c r="K68"/>
  <c r="N67"/>
  <c r="V69"/>
  <c r="S70"/>
  <c r="C66" l="1"/>
  <c r="F65"/>
  <c r="AM65" s="1"/>
  <c r="AN65" s="1"/>
  <c r="A45" i="64"/>
  <c r="A83" i="48"/>
  <c r="F242"/>
  <c r="F238" i="64" s="1"/>
  <c r="G69" i="55"/>
  <c r="I69" s="1"/>
  <c r="I68"/>
  <c r="J68" s="1"/>
  <c r="O71"/>
  <c r="Q71" s="1"/>
  <c r="R71" s="1"/>
  <c r="Q70"/>
  <c r="R70" s="1"/>
  <c r="U70"/>
  <c r="V70" s="1"/>
  <c r="S71"/>
  <c r="U71" s="1"/>
  <c r="V71" s="1"/>
  <c r="K69"/>
  <c r="M69" s="1"/>
  <c r="M68"/>
  <c r="N68" s="1"/>
  <c r="C67" l="1"/>
  <c r="E67" s="1"/>
  <c r="E66"/>
  <c r="F66" s="1"/>
  <c r="AM66" s="1"/>
  <c r="AO66" s="1"/>
  <c r="A38" i="65"/>
  <c r="A84" i="48"/>
  <c r="A77" i="64"/>
  <c r="J69" i="55"/>
  <c r="G70"/>
  <c r="N69"/>
  <c r="K70"/>
  <c r="F67" l="1"/>
  <c r="AM67" s="1"/>
  <c r="AN67" s="1"/>
  <c r="C68"/>
  <c r="A39" i="65"/>
  <c r="A85" i="48"/>
  <c r="I70" i="55"/>
  <c r="J70" s="1"/>
  <c r="G71"/>
  <c r="I71" s="1"/>
  <c r="J71" s="1"/>
  <c r="M70"/>
  <c r="N70" s="1"/>
  <c r="K71"/>
  <c r="M71" s="1"/>
  <c r="N71" s="1"/>
  <c r="E68" l="1"/>
  <c r="F68" s="1"/>
  <c r="AM68" s="1"/>
  <c r="AO68" s="1"/>
  <c r="C69"/>
  <c r="E69" s="1"/>
  <c r="A86" i="48"/>
  <c r="A87" s="1"/>
  <c r="AM71" i="55"/>
  <c r="AN71" s="1"/>
  <c r="F69" l="1"/>
  <c r="AM69" s="1"/>
  <c r="AN69" s="1"/>
  <c r="C70"/>
  <c r="E70" s="1"/>
  <c r="F70" s="1"/>
  <c r="AM70" s="1"/>
  <c r="AO70" s="1"/>
  <c r="A79" i="64"/>
  <c r="A90" i="48"/>
  <c r="F87"/>
  <c r="F79" i="64" s="1"/>
  <c r="A91" i="48" l="1"/>
  <c r="A82" i="64"/>
  <c r="A83" l="1"/>
  <c r="A92" i="48"/>
  <c r="F92"/>
  <c r="F84" i="64" s="1"/>
  <c r="A84" l="1"/>
  <c r="A93" i="48"/>
  <c r="A94" l="1"/>
  <c r="A85" i="64"/>
  <c r="F94" i="48"/>
  <c r="F86" i="64" s="1"/>
  <c r="A86" l="1"/>
  <c r="A97" i="48"/>
  <c r="A98" l="1"/>
  <c r="F99" s="1"/>
  <c r="F91" i="64" s="1"/>
  <c r="A89"/>
  <c r="A90" l="1"/>
  <c r="A99" i="48"/>
  <c r="A102" l="1"/>
  <c r="A91" i="64"/>
  <c r="A94" l="1"/>
  <c r="A374" s="1"/>
  <c r="A94" i="65"/>
  <c r="A103" i="48"/>
  <c r="A95" i="64" l="1"/>
  <c r="A104" i="48"/>
  <c r="A96" i="65"/>
  <c r="F104" i="48"/>
  <c r="F96" i="64" s="1"/>
  <c r="A96" l="1"/>
  <c r="A106" i="48"/>
  <c r="F106"/>
  <c r="F98" i="64" s="1"/>
  <c r="A98" l="1"/>
  <c r="F108" i="48"/>
  <c r="F100" i="64" s="1"/>
  <c r="A108" i="48"/>
  <c r="A114" l="1"/>
  <c r="A100" i="64"/>
  <c r="A105" l="1"/>
  <c r="A115" i="48"/>
  <c r="A106" i="64" l="1"/>
  <c r="A116" i="48"/>
  <c r="A117" l="1"/>
  <c r="A118" s="1"/>
  <c r="A52" i="65"/>
  <c r="A109" l="1"/>
  <c r="A119" i="48"/>
  <c r="A54" i="65" l="1"/>
  <c r="A120" i="48"/>
  <c r="F120"/>
  <c r="F108" i="64" s="1"/>
  <c r="A123" i="48" l="1"/>
  <c r="A108" i="64"/>
  <c r="A112" l="1"/>
  <c r="A124" i="48"/>
  <c r="A125" l="1"/>
  <c r="A126" l="1"/>
  <c r="F138" l="1"/>
  <c r="F126" i="64" s="1"/>
  <c r="A127" i="48"/>
  <c r="A60" i="65" l="1"/>
  <c r="A114" i="64"/>
  <c r="A128" i="48"/>
  <c r="A115" i="64" l="1"/>
  <c r="A129" i="48"/>
  <c r="F129"/>
  <c r="F117" i="64" s="1"/>
  <c r="A130" i="48" l="1"/>
  <c r="F131" s="1"/>
  <c r="F119" i="64" s="1"/>
  <c r="A117"/>
  <c r="A118" l="1"/>
  <c r="A131" i="48"/>
  <c r="A119" i="64" l="1"/>
  <c r="A134" i="48"/>
  <c r="A62" i="65" l="1"/>
  <c r="A135" i="48"/>
  <c r="F136" s="1"/>
  <c r="F124" i="64" s="1"/>
  <c r="A122"/>
  <c r="A81" i="65" l="1"/>
  <c r="A136" i="48"/>
  <c r="A124" i="64" l="1"/>
  <c r="A138" i="48"/>
  <c r="A139" l="1"/>
  <c r="A126" i="64"/>
  <c r="A68" i="65" l="1"/>
  <c r="A140" i="48"/>
  <c r="A127" i="64"/>
  <c r="F140" i="48"/>
  <c r="F128" i="64" s="1"/>
  <c r="A141" i="48" l="1"/>
  <c r="F142" s="1"/>
  <c r="F130" i="64" s="1"/>
  <c r="A128"/>
  <c r="A142" i="48" l="1"/>
  <c r="A129" i="64"/>
  <c r="F144" i="48" l="1"/>
  <c r="F132" i="64" s="1"/>
  <c r="A144" i="48"/>
  <c r="A130" i="64"/>
  <c r="A150" i="48" l="1"/>
  <c r="F97"/>
  <c r="F89" i="64" s="1"/>
  <c r="A132"/>
  <c r="A153" i="48" l="1"/>
  <c r="A137" i="64"/>
  <c r="A139" l="1"/>
  <c r="A28" i="65"/>
  <c r="A154" i="48"/>
  <c r="A140" i="64" l="1"/>
  <c r="A155" i="48"/>
  <c r="A29" i="65"/>
  <c r="F155" i="48"/>
  <c r="F141" i="64" s="1"/>
  <c r="A141" l="1"/>
  <c r="A156" i="48"/>
  <c r="F157" s="1"/>
  <c r="F143" i="64" s="1"/>
  <c r="A157" i="48" l="1"/>
  <c r="A142" i="64"/>
  <c r="A159" i="48" l="1"/>
  <c r="A143" i="64"/>
  <c r="A145" l="1"/>
  <c r="A160" i="48"/>
  <c r="F161" s="1"/>
  <c r="F147" i="64" s="1"/>
  <c r="A30" i="65"/>
  <c r="A31" l="1"/>
  <c r="A161" i="48"/>
  <c r="A146" i="64"/>
  <c r="A147" l="1"/>
  <c r="A162" i="48"/>
  <c r="F163" s="1"/>
  <c r="F149" i="64" s="1"/>
  <c r="A163" i="48" l="1"/>
  <c r="A148" i="64"/>
  <c r="A149" l="1"/>
  <c r="F165" i="48"/>
  <c r="F152" i="64" s="1"/>
  <c r="A165" i="48"/>
  <c r="A169" l="1"/>
  <c r="A152" i="64"/>
  <c r="A171" i="48" l="1"/>
  <c r="F171"/>
  <c r="F158" i="64" s="1"/>
  <c r="A156"/>
  <c r="A176" i="48" l="1"/>
  <c r="A17" i="80" s="1"/>
  <c r="A158" i="64"/>
  <c r="A177" i="48" l="1"/>
  <c r="A18" i="80" s="1"/>
  <c r="A163" i="64"/>
  <c r="A164" l="1"/>
  <c r="A178" i="48"/>
  <c r="A179" l="1"/>
  <c r="A19" i="80"/>
  <c r="A180" i="48" l="1"/>
  <c r="A20" i="80"/>
  <c r="A181" i="48" l="1"/>
  <c r="F182" s="1"/>
  <c r="A21" i="80"/>
  <c r="F165" i="64" l="1"/>
  <c r="G23" i="80"/>
  <c r="A22"/>
  <c r="A182" i="48"/>
  <c r="A23" i="80" l="1"/>
  <c r="A184" i="48"/>
  <c r="A165" i="64"/>
  <c r="A25" i="80" l="1"/>
  <c r="A167" i="64"/>
  <c r="A187" i="48"/>
  <c r="A28" i="80" l="1"/>
  <c r="A188" i="48"/>
  <c r="A170" i="64"/>
  <c r="A29" i="80" l="1"/>
  <c r="A171" i="64"/>
  <c r="A189" i="48"/>
  <c r="A30" i="80" l="1"/>
  <c r="A190" i="48"/>
  <c r="A172" i="64"/>
  <c r="F191" i="48" l="1"/>
  <c r="A31" i="80"/>
  <c r="A173" i="64"/>
  <c r="A191" i="48"/>
  <c r="F181" i="64"/>
  <c r="A178"/>
  <c r="A32" i="80" l="1"/>
  <c r="F199" i="48"/>
  <c r="A194"/>
  <c r="A174" i="64"/>
  <c r="G32" i="80"/>
  <c r="F174" i="64"/>
  <c r="A181"/>
  <c r="A195" i="48" l="1"/>
  <c r="A36" i="80" s="1"/>
  <c r="F206" i="48"/>
  <c r="G47" i="80" s="1"/>
  <c r="G40"/>
  <c r="F183" i="64"/>
  <c r="A35" i="80"/>
  <c r="A177" i="64"/>
  <c r="A196" i="48" l="1"/>
  <c r="A37" i="80" s="1"/>
  <c r="F190" i="64"/>
  <c r="A197" i="48" l="1"/>
  <c r="A38" i="80" s="1"/>
  <c r="F197" i="48"/>
  <c r="G38" i="80" s="1"/>
  <c r="A198" i="48" l="1"/>
  <c r="F207" s="1"/>
  <c r="G48" i="80" s="1"/>
  <c r="F188" i="48" l="1"/>
  <c r="G29" i="80" s="1"/>
  <c r="A39"/>
  <c r="A182" i="64"/>
  <c r="A199" i="48"/>
  <c r="A40" i="80" s="1"/>
  <c r="F191" i="64"/>
  <c r="A183"/>
  <c r="F171" l="1"/>
  <c r="F200" i="48"/>
  <c r="G41" i="80" s="1"/>
  <c r="A200" i="48"/>
  <c r="A41" i="80" s="1"/>
  <c r="F204" i="48" l="1"/>
  <c r="G45" i="80" s="1"/>
  <c r="F203" i="48"/>
  <c r="G44" i="80" s="1"/>
  <c r="F184" i="64"/>
  <c r="A202" i="48"/>
  <c r="A43" i="80" s="1"/>
  <c r="F202" i="48"/>
  <c r="G43" i="80" s="1"/>
  <c r="A184" i="64"/>
  <c r="F188"/>
  <c r="F187"/>
  <c r="A203" i="48" l="1"/>
  <c r="A44" i="80" s="1"/>
  <c r="A186" i="64"/>
  <c r="F186"/>
  <c r="A204" i="48" l="1"/>
  <c r="A45" i="80" s="1"/>
  <c r="A187" i="64"/>
  <c r="A206" i="48" l="1"/>
  <c r="A47" i="80" s="1"/>
  <c r="A188" i="64"/>
  <c r="A190" l="1"/>
  <c r="F210" i="48"/>
  <c r="G51" i="80" s="1"/>
  <c r="A207" i="48"/>
  <c r="A48" i="80" s="1"/>
  <c r="A208" i="48" l="1"/>
  <c r="A49" i="80" s="1"/>
  <c r="F194" i="64"/>
  <c r="F211" i="48"/>
  <c r="G52" i="80" s="1"/>
  <c r="A191" i="64"/>
  <c r="A210" i="48" l="1"/>
  <c r="A51" i="80" s="1"/>
  <c r="F212" i="48"/>
  <c r="G53" i="80" s="1"/>
  <c r="A192" i="64"/>
  <c r="F195"/>
  <c r="A194"/>
  <c r="A211" i="48" l="1"/>
  <c r="A52" i="80" s="1"/>
  <c r="F196" i="64"/>
  <c r="A195"/>
  <c r="A212" i="48" l="1"/>
  <c r="A53" i="80" s="1"/>
  <c r="A196" i="64"/>
  <c r="A213" i="48" l="1"/>
  <c r="A54" i="80" s="1"/>
  <c r="F213" i="48"/>
  <c r="G54" i="80" s="1"/>
  <c r="F197" i="64"/>
  <c r="A197"/>
  <c r="A215" i="48" l="1"/>
  <c r="A56" i="80" s="1"/>
  <c r="F215" i="48"/>
  <c r="F199" i="64"/>
  <c r="A199"/>
  <c r="A221" i="48" l="1"/>
  <c r="A61" i="80" s="1"/>
  <c r="A204" i="64"/>
  <c r="A222" i="48" l="1"/>
  <c r="A62" i="80" s="1"/>
  <c r="A75" i="65"/>
  <c r="A205" i="64"/>
  <c r="A223" i="48" l="1"/>
  <c r="A63" i="80" s="1"/>
  <c r="A206" i="64"/>
  <c r="A224" i="48" l="1"/>
  <c r="A64" i="80" s="1"/>
  <c r="A207" i="64"/>
  <c r="A225" i="48" l="1"/>
  <c r="A65" i="80" s="1"/>
  <c r="A208" i="64"/>
  <c r="A228" i="48" l="1"/>
  <c r="A68" i="80" s="1"/>
  <c r="F233" i="48"/>
  <c r="F218" i="64"/>
  <c r="G75" i="80"/>
  <c r="A211" i="64"/>
  <c r="A229" i="48" l="1"/>
  <c r="A69" i="80" s="1"/>
  <c r="A212" i="64"/>
  <c r="A230" i="48" l="1"/>
  <c r="A70" i="80" s="1"/>
  <c r="A213" i="64"/>
  <c r="A231" i="48" l="1"/>
  <c r="A71" i="80" s="1"/>
  <c r="F231" i="48"/>
  <c r="G71" i="80" s="1"/>
  <c r="A214" i="64"/>
  <c r="F214"/>
  <c r="A233" i="48" l="1"/>
  <c r="A235" s="1"/>
  <c r="A75" i="80"/>
  <c r="A218" i="64"/>
  <c r="F235" i="48" l="1"/>
  <c r="F277"/>
  <c r="F261" i="64" s="1"/>
  <c r="A77" i="80"/>
  <c r="F220" i="64"/>
  <c r="G77" i="80"/>
  <c r="A220" i="64"/>
  <c r="A239" i="48"/>
  <c r="F239"/>
  <c r="F235" i="64" s="1"/>
  <c r="A242" i="48" l="1"/>
  <c r="A235" i="64"/>
  <c r="A238" l="1"/>
  <c r="A243" i="48"/>
  <c r="A87" i="65" l="1"/>
  <c r="A239" i="64"/>
  <c r="A244" i="48"/>
  <c r="F244"/>
  <c r="F240" i="64" s="1"/>
  <c r="A240" l="1"/>
  <c r="F245" i="48"/>
  <c r="F241" i="64" s="1"/>
  <c r="A245" i="48"/>
  <c r="A241" i="64" l="1"/>
  <c r="F248" i="48"/>
  <c r="F225" i="64" s="1"/>
  <c r="F250" i="48"/>
  <c r="G13" i="80" s="1"/>
  <c r="F253" i="48"/>
  <c r="F230" i="64" s="1"/>
  <c r="F269" i="48"/>
  <c r="F253" i="64" s="1"/>
  <c r="A248" i="48"/>
  <c r="F249"/>
  <c r="F226" i="64" s="1"/>
  <c r="F252" i="48"/>
  <c r="F229" i="64" s="1"/>
  <c r="F254" i="48"/>
  <c r="F231" i="64" s="1"/>
  <c r="F255" i="48"/>
  <c r="F232" i="64" s="1"/>
  <c r="F256" i="48"/>
  <c r="F233" i="64" s="1"/>
  <c r="F227" l="1"/>
  <c r="A249" i="48"/>
  <c r="A225" i="64"/>
  <c r="A250" i="48" l="1"/>
  <c r="A13" i="80" s="1"/>
  <c r="G56" s="1"/>
  <c r="A226" i="64"/>
  <c r="A252" i="48" l="1"/>
  <c r="A227" i="64"/>
  <c r="A229" l="1"/>
  <c r="A253" i="48"/>
  <c r="A230" i="64" l="1"/>
  <c r="A254" i="48"/>
  <c r="A231" i="64" l="1"/>
  <c r="A255" i="48"/>
  <c r="A256" l="1"/>
  <c r="A232" i="64"/>
  <c r="A257" i="48" l="1"/>
  <c r="A233" i="64"/>
  <c r="F257" i="48"/>
  <c r="F242" i="64" s="1"/>
  <c r="A242" l="1"/>
  <c r="A260" i="48"/>
  <c r="A261" l="1"/>
  <c r="F263" s="1"/>
  <c r="A246" i="64"/>
  <c r="C324" i="48" l="1"/>
  <c r="A263"/>
  <c r="A102" i="65"/>
  <c r="A247" i="64"/>
  <c r="A390" s="1"/>
  <c r="A265" i="48" l="1"/>
  <c r="F265"/>
  <c r="F249" i="64" s="1"/>
  <c r="F283" i="48" l="1"/>
  <c r="F267" i="64" s="1"/>
  <c r="F268" i="48"/>
  <c r="F252" i="64" s="1"/>
  <c r="A249"/>
  <c r="F276" i="48"/>
  <c r="F260" i="64" s="1"/>
  <c r="A268" i="48"/>
  <c r="A269" l="1"/>
  <c r="F272" s="1"/>
  <c r="F256" i="64" s="1"/>
  <c r="A252"/>
  <c r="F270" i="48" l="1"/>
  <c r="F254" i="64" s="1"/>
  <c r="F271" i="48"/>
  <c r="F255" i="64" s="1"/>
  <c r="A270" i="48"/>
  <c r="F279"/>
  <c r="F263" i="64" s="1"/>
  <c r="A253"/>
  <c r="A254" l="1"/>
  <c r="A271" i="48"/>
  <c r="A272" l="1"/>
  <c r="B10" i="55"/>
  <c r="D9" i="77"/>
  <c r="A255" i="64"/>
  <c r="D15" i="77" l="1"/>
  <c r="A256" i="64"/>
  <c r="B16" i="55"/>
  <c r="A276" i="48"/>
  <c r="A260" i="64" l="1"/>
  <c r="A277" i="48"/>
  <c r="F278" s="1"/>
  <c r="F262" i="64" s="1"/>
  <c r="A261" l="1"/>
  <c r="A278" i="48"/>
  <c r="A262" i="64" l="1"/>
  <c r="A279" i="48"/>
  <c r="F281" s="1"/>
  <c r="F265" i="64" s="1"/>
  <c r="A280" i="48" l="1"/>
  <c r="A263" i="64"/>
  <c r="F280" i="48"/>
  <c r="F264" i="64" s="1"/>
  <c r="A281" i="48" l="1"/>
  <c r="A264" i="64"/>
  <c r="B11" i="55" l="1"/>
  <c r="D10" i="77"/>
  <c r="A265" i="64"/>
  <c r="A283" i="48"/>
  <c r="A284" l="1"/>
  <c r="A285" s="1"/>
  <c r="A267" i="64"/>
  <c r="F286" i="48" l="1"/>
  <c r="F269" i="64" s="1"/>
  <c r="A286" i="48"/>
  <c r="A268" i="64"/>
  <c r="A289" i="48" l="1"/>
  <c r="F290" s="1"/>
  <c r="F273" i="64" s="1"/>
  <c r="A269"/>
  <c r="A272" l="1"/>
  <c r="A116" i="65"/>
  <c r="A290" i="48"/>
  <c r="A292" l="1"/>
  <c r="A273" i="64"/>
  <c r="F292" i="48"/>
  <c r="F275" i="64" s="1"/>
  <c r="A295" i="48" l="1"/>
  <c r="A275" i="64"/>
  <c r="A296" i="48" l="1"/>
  <c r="A297" s="1"/>
  <c r="F297" l="1"/>
  <c r="F299"/>
  <c r="A299"/>
  <c r="H278" l="1"/>
  <c r="H280" l="1"/>
  <c r="H281"/>
  <c r="N10" i="77" s="1"/>
  <c r="N11" s="1"/>
  <c r="Q27" l="1"/>
  <c r="I27"/>
  <c r="U27"/>
  <c r="E27"/>
  <c r="AG27"/>
  <c r="M27"/>
  <c r="AJ53" l="1"/>
  <c r="AJ55"/>
  <c r="AJ59"/>
  <c r="AJ65"/>
  <c r="AJ63"/>
  <c r="AJ51"/>
  <c r="AJ49"/>
  <c r="AJ67"/>
  <c r="AJ45"/>
  <c r="AJ69"/>
  <c r="AJ43"/>
  <c r="AJ61"/>
  <c r="AJ71"/>
  <c r="AJ47"/>
  <c r="AJ41"/>
  <c r="AJ57"/>
  <c r="T37"/>
  <c r="T55"/>
  <c r="T47"/>
  <c r="T59"/>
  <c r="T63"/>
  <c r="T45"/>
  <c r="T65"/>
  <c r="T57"/>
  <c r="T61"/>
  <c r="T41"/>
  <c r="T53"/>
  <c r="T67"/>
  <c r="T43"/>
  <c r="T49"/>
  <c r="T51"/>
  <c r="T39"/>
  <c r="T69"/>
  <c r="T71"/>
  <c r="X63"/>
  <c r="X43"/>
  <c r="X61"/>
  <c r="X47"/>
  <c r="X69"/>
  <c r="X57"/>
  <c r="X55"/>
  <c r="X65"/>
  <c r="X51"/>
  <c r="X53"/>
  <c r="X59"/>
  <c r="X67"/>
  <c r="X39"/>
  <c r="X45"/>
  <c r="X41"/>
  <c r="X49"/>
  <c r="X71"/>
  <c r="H69"/>
  <c r="H61"/>
  <c r="H45"/>
  <c r="H41"/>
  <c r="H49"/>
  <c r="H53"/>
  <c r="H55"/>
  <c r="H57"/>
  <c r="H35"/>
  <c r="H51"/>
  <c r="H59"/>
  <c r="H37"/>
  <c r="H65"/>
  <c r="H63"/>
  <c r="H33"/>
  <c r="H71"/>
  <c r="H39"/>
  <c r="H47"/>
  <c r="H67"/>
  <c r="H43"/>
  <c r="P51"/>
  <c r="P47"/>
  <c r="P59"/>
  <c r="P43"/>
  <c r="P41"/>
  <c r="P61"/>
  <c r="P55"/>
  <c r="P53"/>
  <c r="P67"/>
  <c r="P35"/>
  <c r="P57"/>
  <c r="P65"/>
  <c r="P49"/>
  <c r="P33"/>
  <c r="P39"/>
  <c r="P45"/>
  <c r="P37"/>
  <c r="P63"/>
  <c r="P69"/>
  <c r="P71"/>
  <c r="L65"/>
  <c r="L37"/>
  <c r="L57"/>
  <c r="L39"/>
  <c r="L43"/>
  <c r="L53"/>
  <c r="L41"/>
  <c r="L67"/>
  <c r="L59"/>
  <c r="L55"/>
  <c r="L35"/>
  <c r="L47"/>
  <c r="L63"/>
  <c r="L45"/>
  <c r="L33"/>
  <c r="L51"/>
  <c r="L61"/>
  <c r="L49"/>
  <c r="L69"/>
  <c r="L71"/>
  <c r="AK71" l="1"/>
  <c r="AL71" s="1"/>
  <c r="AK69"/>
  <c r="AL69" s="1"/>
  <c r="AK51"/>
  <c r="AL51" s="1"/>
  <c r="AK45"/>
  <c r="AL45" s="1"/>
  <c r="AK65"/>
  <c r="AL65" s="1"/>
  <c r="AK53"/>
  <c r="AL53" s="1"/>
  <c r="AK43"/>
  <c r="AL43" s="1"/>
  <c r="AK37"/>
  <c r="AL37" s="1"/>
  <c r="AK49"/>
  <c r="AL49" s="1"/>
  <c r="AK41"/>
  <c r="AL41" s="1"/>
  <c r="AK35"/>
  <c r="AL35" s="1"/>
  <c r="AK67"/>
  <c r="AL67" s="1"/>
  <c r="AK39"/>
  <c r="AL39" s="1"/>
  <c r="AK57"/>
  <c r="AL57" s="1"/>
  <c r="AK55"/>
  <c r="AL55" s="1"/>
  <c r="AK59"/>
  <c r="AL59" s="1"/>
  <c r="AK63"/>
  <c r="AL63" s="1"/>
  <c r="AK33"/>
  <c r="AL33" s="1"/>
  <c r="AK61"/>
  <c r="AL61" s="1"/>
  <c r="AK47"/>
  <c r="AL47" s="1"/>
  <c r="D122" i="69" l="1"/>
  <c r="D121"/>
  <c r="D135" l="1"/>
  <c r="C135" s="1"/>
  <c r="D138" l="1"/>
  <c r="C138" s="1"/>
  <c r="C57"/>
  <c r="C59" s="1"/>
  <c r="D34"/>
  <c r="D57" l="1"/>
  <c r="D59" s="1"/>
  <c r="D23" s="1"/>
  <c r="E25" s="1"/>
</calcChain>
</file>

<file path=xl/sharedStrings.xml><?xml version="1.0" encoding="utf-8"?>
<sst xmlns="http://schemas.openxmlformats.org/spreadsheetml/2006/main" count="1942" uniqueCount="995">
  <si>
    <t>Remove from A&amp;G in Formula.  This amount is not significant - no need to look for trans-related costs.</t>
  </si>
  <si>
    <t>None</t>
  </si>
  <si>
    <t>1/ (1-T)</t>
  </si>
  <si>
    <t>Account 456.1 - Other Electric Revenues</t>
  </si>
  <si>
    <t>General Expenses Allocated to Transmission</t>
  </si>
  <si>
    <t>Operations &amp; Maintenance Expense</t>
  </si>
  <si>
    <t>GridSouth Expense</t>
  </si>
  <si>
    <t>Total Acct 566</t>
  </si>
  <si>
    <t>p321.97b</t>
  </si>
  <si>
    <t>Note #1:  For the initial rate year, enter zero for each month before the rate went into effect;</t>
  </si>
  <si>
    <t xml:space="preserve">            adjust for partial effective month if necessary</t>
  </si>
  <si>
    <t>Reacquired Debt</t>
  </si>
  <si>
    <t>13 monthly balances from Attachment 6</t>
  </si>
  <si>
    <t>Total Account</t>
  </si>
  <si>
    <t>Transmission of Electricity for Others - Network Customers</t>
  </si>
  <si>
    <t>4470004 - Transmission Short-Term (Note 1)</t>
  </si>
  <si>
    <t>Land Rental Revenue - Generation Property</t>
  </si>
  <si>
    <t>Well Rental Revenue - Generation Property</t>
  </si>
  <si>
    <t>Revenue from Special Facilities (Note 3)</t>
  </si>
  <si>
    <t>Woodland Hills Contract (Note 1)</t>
  </si>
  <si>
    <t xml:space="preserve">Pole Attachment Rental Revenue - Cable &amp; Telephone (Note 2) </t>
  </si>
  <si>
    <t>Revenue from Directly Assigned Transmission Facilities (Note 3)</t>
  </si>
  <si>
    <t xml:space="preserve">Note 3: If the costs associated with the Directly Assigned Facility Charges are included in the Rates, the associated revenues are included in the Rates.  If the costs associated with the Directly Assigned Facility Charges are not included in the Rates, the associated revenues are not included in the Rates.  </t>
  </si>
  <si>
    <t>Revenue Credit Amount</t>
  </si>
  <si>
    <t>Notes:</t>
  </si>
  <si>
    <t>Revenue from Directly Assigned Distribution Facilities (Note 3)</t>
  </si>
  <si>
    <t>Rent paid by affiliates to SCE&amp;G for use of General Plant Assets (Note 2)</t>
  </si>
  <si>
    <t>Adjustments To Rate Base</t>
  </si>
  <si>
    <t xml:space="preserve">Taxes Other than Income Taxes                                                  </t>
  </si>
  <si>
    <t>Taxes Other than Income Taxes</t>
  </si>
  <si>
    <t>Attachment 2 - Taxes Other Than Income Taxes Worksheet</t>
  </si>
  <si>
    <t>12 CP Average</t>
  </si>
  <si>
    <t>Network &amp; Point to Point Services Rate ($/MW/Year)</t>
  </si>
  <si>
    <t>Network &amp; Point to Point Services Rate</t>
  </si>
  <si>
    <t xml:space="preserve">Revenue Credits Net of Interest on Network Credits </t>
  </si>
  <si>
    <t>Rate of Return ( R )</t>
  </si>
  <si>
    <t>Transmission Plant</t>
  </si>
  <si>
    <t>Prior Year 12 CP</t>
  </si>
  <si>
    <t xml:space="preserve"> Divided by</t>
  </si>
  <si>
    <t>Times</t>
  </si>
  <si>
    <t>Current Year 12 CP</t>
  </si>
  <si>
    <t>=</t>
  </si>
  <si>
    <t xml:space="preserve">              Enter 1/12 of Step 9 for each month the rate was in effect</t>
  </si>
  <si>
    <t>Prior Year ATRR</t>
  </si>
  <si>
    <t>Estimated Prior</t>
  </si>
  <si>
    <t>Adjusted Estimated</t>
  </si>
  <si>
    <t>Yellow-shaded cells are input cells</t>
  </si>
  <si>
    <t>GridSouth Costs</t>
  </si>
  <si>
    <t>Assets/Liabilities due to rate regulated capitalization of incurred costs that would otherwise be charged to expense/income - Purchased Power</t>
  </si>
  <si>
    <t>Assets/Liabilities due to rate regulated capitalization of incurred costs that would otherwise be charged to expense/income - Nuclear Plant Expenses</t>
  </si>
  <si>
    <t>GridSouth Surcharge Cost Support</t>
  </si>
  <si>
    <t>2.  ADIT items related only to Transmission are directly assigned to Column D</t>
  </si>
  <si>
    <t>1.  ADIT items related only to Non-Electric Operations (e.g., Gas, Water, Sewer) or Production are directly assigned to Column C</t>
  </si>
  <si>
    <t>3.  ADIT items related Plant and not in Columns C &amp; D are directly assigned to Column E</t>
  </si>
  <si>
    <t>4.  ADIT items related to Labor and not in Columns C &amp; D are directly assigned to Column F</t>
  </si>
  <si>
    <t>Demand Side Management</t>
  </si>
  <si>
    <t>Federal &amp; State Res and Exp</t>
  </si>
  <si>
    <t>Prepayments - Municipal License Fees</t>
  </si>
  <si>
    <t>Assets/Liabilities due to rate regulated capitalization of incurred costs that would otherwise be charged to expense/income - relates to Production Only (SC PSC Order 2009-261-E)</t>
  </si>
  <si>
    <t>Long Term Interest Expense (Acct. 427 and 430) from p. 257(i)</t>
  </si>
  <si>
    <t>Gross Proceeds of LTD Issuances</t>
  </si>
  <si>
    <t>p117.63c</t>
  </si>
  <si>
    <t>p117.64c</t>
  </si>
  <si>
    <t>p117.65c</t>
  </si>
  <si>
    <t>p117.66c</t>
  </si>
  <si>
    <t>O</t>
  </si>
  <si>
    <t>Schedule 1 Rate ($/MW/Year)</t>
  </si>
  <si>
    <t xml:space="preserve">    Amort. Of Debt Discount and Expense (Acct. 428)</t>
  </si>
  <si>
    <t xml:space="preserve">    (Less) Amort. Of Premium on Debt-Credit (Acct. 429)</t>
  </si>
  <si>
    <t xml:space="preserve">    Remove Accumulated Other Comprehensive Income</t>
  </si>
  <si>
    <t xml:space="preserve">    Remove Preferred Stock (Acct. 204)</t>
  </si>
  <si>
    <t xml:space="preserve">    Remove Account 216.1</t>
  </si>
  <si>
    <t xml:space="preserve">      Remove Unamortized Premium on Long-Term Debt</t>
  </si>
  <si>
    <t xml:space="preserve">     Remove Excluded Transmission Facilities</t>
  </si>
  <si>
    <t xml:space="preserve">     Remove A&amp;G Wages Expense</t>
  </si>
  <si>
    <t xml:space="preserve">    Remove Accumulated Depreciation Associated with Facilities with Outstanding Network Credits</t>
  </si>
  <si>
    <t xml:space="preserve">     Remove Account 565 Expenses </t>
  </si>
  <si>
    <t xml:space="preserve">    Remove Property Insurance Account 924</t>
  </si>
  <si>
    <t xml:space="preserve">    Remove Regulatory Commission Exp Account 928</t>
  </si>
  <si>
    <t xml:space="preserve">    Remove General Advertising Exp Account 930.1</t>
  </si>
  <si>
    <t>Remove:  Interest on Network Credits</t>
  </si>
  <si>
    <t>4470006 - Transmission Network &amp; Long-Term</t>
  </si>
  <si>
    <t xml:space="preserve">4470004 - ST Ancillary Services Revenue </t>
  </si>
  <si>
    <t xml:space="preserve">4470006 - Network &amp; LT Ancillary Services Revenue </t>
  </si>
  <si>
    <t xml:space="preserve">Ancillary 1 &amp; 2 Charges - Network Customers </t>
  </si>
  <si>
    <t>Operation &amp; Maintenance Expense (Excluding GridSouth)</t>
  </si>
  <si>
    <t>Expense Related to Transmission Operations &amp; Management</t>
  </si>
  <si>
    <t xml:space="preserve">      Remove (Less) Unamortized Discounts on Long-Term Debt</t>
  </si>
  <si>
    <t>Remove Amount</t>
  </si>
  <si>
    <t xml:space="preserve">     Remove Expenses Associated with Schedule 1 Rate</t>
  </si>
  <si>
    <t xml:space="preserve">    (561) Load Dispatching</t>
  </si>
  <si>
    <t xml:space="preserve">    (561.2) Load Dispatch-Monitor and Operate Transmission System</t>
  </si>
  <si>
    <t xml:space="preserve">    (561.1) Load Dispatch-Reliability</t>
  </si>
  <si>
    <t xml:space="preserve">    (561.3) Load Dispatch-Transmission Service and Scheduling</t>
  </si>
  <si>
    <t xml:space="preserve">    (561.4) Scheduling, System Control and Dispatch Services</t>
  </si>
  <si>
    <t>p112.16c</t>
  </si>
  <si>
    <t>p112.15c</t>
  </si>
  <si>
    <t>p112.12c</t>
  </si>
  <si>
    <t>p112.22c</t>
  </si>
  <si>
    <t>p112.23c</t>
  </si>
  <si>
    <t>p112.3c</t>
  </si>
  <si>
    <t>p118.29c</t>
  </si>
  <si>
    <t xml:space="preserve">     Remove NERC/SERC Assessments included in Account 566</t>
  </si>
  <si>
    <t xml:space="preserve">     GridSouth Expenses included in Account 566  </t>
  </si>
  <si>
    <t>Schedule 1 Rate</t>
  </si>
  <si>
    <t>Account 561 Expenses Associated with Schedule 1 Rate</t>
  </si>
  <si>
    <t>p205.15g</t>
  </si>
  <si>
    <t>p205.24g</t>
  </si>
  <si>
    <t>p205.34g</t>
  </si>
  <si>
    <t>p205.44g</t>
  </si>
  <si>
    <t>p207.57g</t>
  </si>
  <si>
    <t>p207.74g</t>
  </si>
  <si>
    <t>p207.83g</t>
  </si>
  <si>
    <t>p207.98g</t>
  </si>
  <si>
    <t>Total Electric Plant in Service</t>
  </si>
  <si>
    <t>p207.58g less p.207.57g</t>
  </si>
  <si>
    <t>Projects and incentives included as inputs on this Attachment must be authorized by FERC as the result of one or more appropriate filings.</t>
  </si>
  <si>
    <t>Remove Asset Retirement Costs for Steam Production</t>
  </si>
  <si>
    <t>Remove Asset Retirement Costs for Nuclear Production</t>
  </si>
  <si>
    <t>Remove Asset Retirement Costs for Hydraulic Production</t>
  </si>
  <si>
    <t>Remove Asset Retirement Costs for Other Production</t>
  </si>
  <si>
    <t>Remove Asset Retirement Costs for Transmission Plant</t>
  </si>
  <si>
    <t>Remove Asset Retirement Costs for Distribution Plant</t>
  </si>
  <si>
    <t>Remove Asset Retirement Costs for Regional Transmission &amp; Market Oper</t>
  </si>
  <si>
    <t>Remove Asset Retirement Costs for General Plant</t>
  </si>
  <si>
    <t>Note 2: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This revenue is allocated to transmission based on salaries and wages or gross plant (as appropriate) and included as a revenue credit to the revenue requirement.</t>
  </si>
  <si>
    <t>p356.1/ 118-603 thru 118-698</t>
  </si>
  <si>
    <t>Excludes Construction Work In Progress and Asset Retirement Costs (ARC).</t>
  </si>
  <si>
    <t>p321.112b</t>
  </si>
  <si>
    <t>p321.96b</t>
  </si>
  <si>
    <t>p323.197b</t>
  </si>
  <si>
    <t>p354.21b</t>
  </si>
  <si>
    <t>p219.25c</t>
  </si>
  <si>
    <t xml:space="preserve">p219.28c </t>
  </si>
  <si>
    <t>p336.11b</t>
  </si>
  <si>
    <t>p111.57c</t>
  </si>
  <si>
    <t>p321.84b</t>
  </si>
  <si>
    <t>p321.85b</t>
  </si>
  <si>
    <t>p321.86b</t>
  </si>
  <si>
    <t>p321.87b</t>
  </si>
  <si>
    <t>p321.88b</t>
  </si>
  <si>
    <t xml:space="preserve">     GridSouth Amortization </t>
  </si>
  <si>
    <t xml:space="preserve">     Remove GridSouth Expenses included in Account 566  </t>
  </si>
  <si>
    <t>Attachment 8 - Capital Structure Worksheet</t>
  </si>
  <si>
    <t>Attachment 8</t>
  </si>
  <si>
    <t>Adjustment to Remove Revenue Requirement Associated with Excluded Transmission Facilities</t>
  </si>
  <si>
    <t>Q</t>
  </si>
  <si>
    <t>Note:  Prior Year Balances are entered only for the Reconciliation Calculation.</t>
  </si>
  <si>
    <t xml:space="preserve">    Remove PBOP Current Year Accrual</t>
  </si>
  <si>
    <t>Hedging Gains/Losses Included/Excluded from Long-Term Debt Interest Expense</t>
  </si>
  <si>
    <t>Included in</t>
  </si>
  <si>
    <t xml:space="preserve">Included Hedge Gain/Loss Amounts </t>
  </si>
  <si>
    <t>Gain</t>
  </si>
  <si>
    <t>Loss</t>
  </si>
  <si>
    <t>Interest Expense</t>
  </si>
  <si>
    <t>Amort. of Gains/Losses on Pre-issuance and Variable to Fixed Rate Cash Flow Hedges</t>
  </si>
  <si>
    <t>(Note 1)</t>
  </si>
  <si>
    <t>Excluded from</t>
  </si>
  <si>
    <t xml:space="preserve">    Remove (Gain)/Loss on Ineffective Portion of Pre-issuance Cash Flow Hedges</t>
  </si>
  <si>
    <t>(Note 2)</t>
  </si>
  <si>
    <t xml:space="preserve">    Remove (Gain)/Loss on Post-issuance Cash Flow Hedges</t>
  </si>
  <si>
    <t xml:space="preserve">    Remove (Gain)/Loss on Proprietary Hedges</t>
  </si>
  <si>
    <t xml:space="preserve">    Remove (Gain)/Loss on Fair Value Hedges</t>
  </si>
  <si>
    <t xml:space="preserve">    Total Included Hedge Gain Loss Amounts</t>
  </si>
  <si>
    <t xml:space="preserve">Only the amortization of gains/losses on interest rate hedges/swaps on underlying long term debt which are associated with the effective portion of pre-issuance cash flow hedges and cash </t>
  </si>
  <si>
    <t>R</t>
  </si>
  <si>
    <t>S</t>
  </si>
  <si>
    <t>flow  hedges to change variable rate long term debt to a fixed rate may be included in the formula rate.  The amortization of gains/losses associated with long-term debt are itemized</t>
  </si>
  <si>
    <t>by debt issuance in SCE&amp;G's FERC Form 1, pages 256.1 and 257.1.  These amounts are included in long-term debt interest expense accounts 427 and 430 line 101 of Appendix A.</t>
  </si>
  <si>
    <t>(net of accumulated depreciation) towards the construction of Network Transmission Facilities. Interest on the Network Credits as booked each year is added to the revenue</t>
  </si>
  <si>
    <t>Settlement Amount</t>
  </si>
  <si>
    <t xml:space="preserve">Equity, Preferred and Debt ratios will be the ratios determined by the actual capital structure using the calculations specified by the formula.  If during any annual </t>
  </si>
  <si>
    <t>recalculation the formula produces an equity ratio at line 125 exceeding 54.00%, the value of Proprietary Capital at Attachment 8, line 1, will be reduced by the amount</t>
  </si>
  <si>
    <t>p205.5g plus p207.99g less p207.98g</t>
  </si>
  <si>
    <t>Imbalance Penalties</t>
  </si>
  <si>
    <t>Miscellaneous Charges &amp; Adjustments (Note 2)</t>
  </si>
  <si>
    <t>Electric portion is based on labor &amp; plant allocations by account #</t>
  </si>
  <si>
    <t>Balance at</t>
  </si>
  <si>
    <t>December 31,</t>
  </si>
  <si>
    <t>Ending Year</t>
  </si>
  <si>
    <t>Common Plant</t>
  </si>
  <si>
    <t>Electric %</t>
  </si>
  <si>
    <t>Total of Monthly Peak Loads</t>
  </si>
  <si>
    <t>p257.1.33(i)</t>
  </si>
  <si>
    <t xml:space="preserve">    Total Excluded Hedge (Gain)/Loss Amounts</t>
  </si>
  <si>
    <t>Excluded Hedge (Gain)/Loss Amounts</t>
  </si>
  <si>
    <t>amounts.  Should SCE&amp;G issue Preferred stock in the future, the formula will be populated with per books values.</t>
  </si>
  <si>
    <t xml:space="preserve">beginning  Jun 1, 2010.  Beginning June 1, 2015 and each year thereafter, the value of the GridSouth amortization at line 65 will be zero. </t>
  </si>
  <si>
    <t xml:space="preserve">                                                                                                                                                                                                                                                                                                                                                                                                                                                                                                                                                                                                                                                                                                                                                                                                                                                                                                                                                                                                                                                                                                                                                                                                                                                                                                                                                                                                                                                                                                                                                                                                                                                                                                                                                                                                                                                                                                                                                                                                                                                                                                                                                                                                                                                                                                                                                                                                                                                                                                                                                                                                                                                                                                                                                                                                                                                                                                                                                                                                                                                                                                                                                                                                                                                                                                                                                                                                                                                                                                                                                                                                                                                                                                                                                                                                                                                                                                                                                                                                                                                                                                                                                                                                                                                                                                                                                                                                                                                                                                                                                                                                                                                                                                                                                                                                                                                                                                                                                                                                                                                                                                                                                                                                                                                                                                                                                                                                                                                                                                                                                                                                                                                                                                                                                                                                                                                                                                                                                                                                                                                                                                                                                                                                                                                                                                                                                                                                                                                                                                                                                                                                                                                                                                                                                                                                                                                                                                                                                                                                                                                                                                                                                                                                                                                                                                                                                                                                                                                                                                                                                                                                                                                                                                                                                                                                                                                                                                                                                                                                                                                                                                                                                                                                                                                                                                                                                                                                                                                                                                                                                                                                                                                                                                                                                                                                                                                                                                                                                                                                                                                                                                                                                                                                                                                                                                                                                                                                                                                                                                                                                                                                                                                                                                                                                                                                                                                                                                                                                                                                                                                                                                                                                                                                                                                                                                                                                                                                                                                                                                                                                     </t>
  </si>
  <si>
    <t>Total Income Taxes</t>
  </si>
  <si>
    <t>Net Property, Plant &amp; Equipment</t>
  </si>
  <si>
    <t>Taxes Other than Income</t>
  </si>
  <si>
    <t>Common Stock</t>
  </si>
  <si>
    <t>(Note P)</t>
  </si>
  <si>
    <t>Revenue Credits</t>
  </si>
  <si>
    <t>C</t>
  </si>
  <si>
    <t>Gross Plant Allocator</t>
  </si>
  <si>
    <t>Total  Capitalization</t>
  </si>
  <si>
    <t>Total Long Term Debt</t>
  </si>
  <si>
    <t>Total Long Term Debt (WCLTD)</t>
  </si>
  <si>
    <t>REVENUE REQUIREMENT</t>
  </si>
  <si>
    <t>I</t>
  </si>
  <si>
    <t>Total Taxes Other than Income</t>
  </si>
  <si>
    <t>J</t>
  </si>
  <si>
    <t>Long Term Interest</t>
  </si>
  <si>
    <t>p323.160b</t>
  </si>
  <si>
    <t>p323.162b</t>
  </si>
  <si>
    <t>Depreciation Expense</t>
  </si>
  <si>
    <t>Transmission Depreciation Expense</t>
  </si>
  <si>
    <t>Transmission Wages Expense</t>
  </si>
  <si>
    <t>Total Wages Expense</t>
  </si>
  <si>
    <t>p356</t>
  </si>
  <si>
    <t xml:space="preserve"> </t>
  </si>
  <si>
    <t>E</t>
  </si>
  <si>
    <t>A</t>
  </si>
  <si>
    <t>D</t>
  </si>
  <si>
    <t>G</t>
  </si>
  <si>
    <t>Preferred Stock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</si>
  <si>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</si>
  <si>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</si>
  <si>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</si>
  <si>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</si>
  <si>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</si>
  <si>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Other Taxes</t>
  </si>
  <si>
    <t>p207.95g</t>
  </si>
  <si>
    <t>p207.58.g</t>
  </si>
  <si>
    <t>(Notes A &amp; L)</t>
  </si>
  <si>
    <t>p266.h</t>
  </si>
  <si>
    <t>Total Prepayments Allocated to Transmission</t>
  </si>
  <si>
    <t>Total Cash Working Capital Allocated to Transmission</t>
  </si>
  <si>
    <t>Transmission Materials &amp; Supplies</t>
  </si>
  <si>
    <t>Directly Assigned A&amp;G</t>
  </si>
  <si>
    <t>Allocated General &amp; Common Expenses</t>
  </si>
  <si>
    <t>Adjustment to Remove Revenue Requirements Associated with Excluded Transmission Facilities</t>
  </si>
  <si>
    <t>Excluded Transmission Facilities</t>
  </si>
  <si>
    <t>Included Transmission Facilities</t>
  </si>
  <si>
    <t>Inclusion Ratio</t>
  </si>
  <si>
    <t>Adjusted Gross Revenue Requirement</t>
  </si>
  <si>
    <t>(Note S)</t>
  </si>
  <si>
    <t xml:space="preserve">All Regulatory Commission Expenses </t>
  </si>
  <si>
    <t>Total Materials &amp; Supplies Allocated to Transmission</t>
  </si>
  <si>
    <t>Materials and Supplies</t>
  </si>
  <si>
    <t>Company Records</t>
  </si>
  <si>
    <t>P</t>
  </si>
  <si>
    <t>Accumulated Depreciation</t>
  </si>
  <si>
    <t>Prepayments</t>
  </si>
  <si>
    <t>Cash Working Capital</t>
  </si>
  <si>
    <t>Allocators</t>
  </si>
  <si>
    <t>Common Plant In Service - Electric</t>
  </si>
  <si>
    <t>Transmission Gross Plant</t>
  </si>
  <si>
    <t>Transmission Net Plant</t>
  </si>
  <si>
    <t>Total Accumulated Depreciation</t>
  </si>
  <si>
    <t>Total Plant In Service</t>
  </si>
  <si>
    <t>Wages &amp; Salary Allocation Factor</t>
  </si>
  <si>
    <t>TOTAL Plant In Service</t>
  </si>
  <si>
    <t>Common Plant (Electric Only)</t>
  </si>
  <si>
    <t>Common Plant Accumulated Depreciation (Electric Only)</t>
  </si>
  <si>
    <t>General &amp; Common Plant Allocated to Transmission</t>
  </si>
  <si>
    <t>Plant In Service</t>
  </si>
  <si>
    <t>Net Plant Allocation Factor</t>
  </si>
  <si>
    <t>Undistributed Stores Exp</t>
  </si>
  <si>
    <t>General Depreciation Allocated to Transmission</t>
  </si>
  <si>
    <t>Common Depreciation - Electric Only Allocated to Transmission</t>
  </si>
  <si>
    <t>Return / Capitalization Calculations</t>
  </si>
  <si>
    <t>Capitalization</t>
  </si>
  <si>
    <t>ITC Adjustment</t>
  </si>
  <si>
    <t>ITC Adjustment Allocated to Transmission</t>
  </si>
  <si>
    <t>SIT=State Income Tax Rate or Composite</t>
  </si>
  <si>
    <t>FIT=Federal Income Tax Rate</t>
  </si>
  <si>
    <t>Investment Return = Rate Base * Rate of Return</t>
  </si>
  <si>
    <t>Income Tax Rates</t>
  </si>
  <si>
    <t>Preferred Dividends</t>
  </si>
  <si>
    <t>p227.6c &amp; 15.c</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</si>
  <si>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</si>
  <si>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</si>
  <si>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</si>
  <si>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</si>
  <si>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</si>
  <si>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</si>
  <si>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</si>
  <si>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</si>
  <si>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</si>
  <si>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</si>
  <si>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Wages &amp; Salary Allocator</t>
  </si>
  <si>
    <t>Common Plant O&amp;M</t>
  </si>
  <si>
    <t>Total Transmission O&amp;M</t>
  </si>
  <si>
    <t>Total A&amp;G</t>
  </si>
  <si>
    <t>Transmission Plant In Service</t>
  </si>
  <si>
    <t>Total General &amp; Common</t>
  </si>
  <si>
    <t>TOTAL Accumulated Depreciation</t>
  </si>
  <si>
    <t>TOTAL Net Property, Plant &amp; Equipment</t>
  </si>
  <si>
    <t>Adjustment to Rate Base</t>
  </si>
  <si>
    <t>Plant Calculations</t>
  </si>
  <si>
    <t>Net Plant</t>
  </si>
  <si>
    <t>Net Plant Allocator</t>
  </si>
  <si>
    <t>Rate Base</t>
  </si>
  <si>
    <t xml:space="preserve">p266.8f </t>
  </si>
  <si>
    <t xml:space="preserve">Income Tax Component = </t>
  </si>
  <si>
    <t>Accumulated Common Amortization - Electric</t>
  </si>
  <si>
    <t>p352-353</t>
  </si>
  <si>
    <t>Plant Allocation Factors</t>
  </si>
  <si>
    <t>Wage &amp; Salary Allocation Factor</t>
  </si>
  <si>
    <t>p227.8c</t>
  </si>
  <si>
    <t>1/8th Rule</t>
  </si>
  <si>
    <t>TOTAL Adjustment to Rate Base</t>
  </si>
  <si>
    <t>(Note T)</t>
  </si>
  <si>
    <t>Total</t>
  </si>
  <si>
    <t>B</t>
  </si>
  <si>
    <t>Proprietary Capital</t>
  </si>
  <si>
    <t>(Note A)</t>
  </si>
  <si>
    <t>(Note C)</t>
  </si>
  <si>
    <t>(Note L)</t>
  </si>
  <si>
    <t>Amortized Investment Tax Credit</t>
  </si>
  <si>
    <t>Prepayments (Account 165)</t>
  </si>
  <si>
    <t>Total Transmission Allocated</t>
  </si>
  <si>
    <t>Transmission Accumulated Depreciation</t>
  </si>
  <si>
    <t>Electric Plant in Service</t>
  </si>
  <si>
    <t>Investment Return</t>
  </si>
  <si>
    <t>Income Taxes</t>
  </si>
  <si>
    <t>Gross Revenue Requirement</t>
  </si>
  <si>
    <t xml:space="preserve">    Less EPRI Dues</t>
  </si>
  <si>
    <t>Subtotal - Transmission Related</t>
  </si>
  <si>
    <t>T/ (1-T)</t>
  </si>
  <si>
    <t>p</t>
  </si>
  <si>
    <t>(percent of federal income tax deductible for state purposes)</t>
  </si>
  <si>
    <t>Notes</t>
  </si>
  <si>
    <t>Accumulated Intangible Amortization</t>
  </si>
  <si>
    <t>Accumulated Common Plant Depreciation - Electric</t>
  </si>
  <si>
    <t>Allocator</t>
  </si>
  <si>
    <t>p214</t>
  </si>
  <si>
    <t>p110.46d</t>
  </si>
  <si>
    <t>x 1/8</t>
  </si>
  <si>
    <t>Fixed</t>
  </si>
  <si>
    <t>(Note Q)</t>
  </si>
  <si>
    <t>T</t>
  </si>
  <si>
    <t>Net Revenue Requirement</t>
  </si>
  <si>
    <t>O&amp;M</t>
  </si>
  <si>
    <t>p200.21c</t>
  </si>
  <si>
    <t>Subtotal</t>
  </si>
  <si>
    <t>Electric portion only</t>
  </si>
  <si>
    <t>Transmission Portion Only</t>
  </si>
  <si>
    <t>(Notes A &amp; B)</t>
  </si>
  <si>
    <t>Accumulated Investment Tax Credit Account No. 255</t>
  </si>
  <si>
    <t xml:space="preserve">    Less Regulatory Commission Exp Account 928</t>
  </si>
  <si>
    <t>(Note G)</t>
  </si>
  <si>
    <t>Regulatory Commission Exp Account 928</t>
  </si>
  <si>
    <t>General Advertising Exp Account 930.1</t>
  </si>
  <si>
    <t>Property Insurance Account 924</t>
  </si>
  <si>
    <t>(Note I)</t>
  </si>
  <si>
    <t>Debt %</t>
  </si>
  <si>
    <t>Common %</t>
  </si>
  <si>
    <t>Debt Cost</t>
  </si>
  <si>
    <t>Common Cost</t>
  </si>
  <si>
    <t>Weighted Cost of Debt</t>
  </si>
  <si>
    <t>Weighted Cost of Common</t>
  </si>
  <si>
    <t>Preferred %</t>
  </si>
  <si>
    <t>Preferred Cost</t>
  </si>
  <si>
    <t>Weighted Cost of Preferred</t>
  </si>
  <si>
    <t>Transmission</t>
  </si>
  <si>
    <t>ADIT-190</t>
  </si>
  <si>
    <t>ADIT- 282</t>
  </si>
  <si>
    <t>ADIT-283</t>
  </si>
  <si>
    <t>Accumulated Deferred Income Taxes</t>
  </si>
  <si>
    <t xml:space="preserve">Safety related advertising included in Account 930.1  </t>
  </si>
  <si>
    <t>(Note B)</t>
  </si>
  <si>
    <t xml:space="preserve">Plant </t>
  </si>
  <si>
    <t>Related</t>
  </si>
  <si>
    <t>Labor</t>
  </si>
  <si>
    <t>Or Other</t>
  </si>
  <si>
    <t>Only</t>
  </si>
  <si>
    <t>Instructions for Account 190:</t>
  </si>
  <si>
    <t>Instructions for Account 283:</t>
  </si>
  <si>
    <t>Instructions for Account 282:</t>
  </si>
  <si>
    <t>Subtotal - p234</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</si>
  <si>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</si>
  <si>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</si>
  <si>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</si>
  <si>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</si>
  <si>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</si>
  <si>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</si>
  <si>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</si>
  <si>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</si>
  <si>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</si>
  <si>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</si>
  <si>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</si>
  <si>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</si>
  <si>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Total Included</t>
  </si>
  <si>
    <t>Plant Held for Future Use (Including Land)</t>
  </si>
  <si>
    <t xml:space="preserve">  multiplied by (1/1-T).  A utility must not include tax credits as a reduction to rate base and as an amortization against taxable income.</t>
  </si>
  <si>
    <t>Incentive Return and Taxes</t>
  </si>
  <si>
    <t>Note</t>
  </si>
  <si>
    <t>Project A</t>
  </si>
  <si>
    <t>Life</t>
  </si>
  <si>
    <t>CIAC</t>
  </si>
  <si>
    <t>Details</t>
  </si>
  <si>
    <t>Invest Yr</t>
  </si>
  <si>
    <t>ROE Incentive</t>
  </si>
  <si>
    <t>No</t>
  </si>
  <si>
    <t>Yes</t>
  </si>
  <si>
    <t>W Incentive</t>
  </si>
  <si>
    <t>FCR if a CIAC</t>
  </si>
  <si>
    <t>FCR if not a CIAC</t>
  </si>
  <si>
    <t>FCR for This Project</t>
  </si>
  <si>
    <t xml:space="preserve">Line B less Line A </t>
  </si>
  <si>
    <t>Investment</t>
  </si>
  <si>
    <t>Annual Depreciation Exp</t>
  </si>
  <si>
    <t>FCR W/O Incentive</t>
  </si>
  <si>
    <t>Revenue</t>
  </si>
  <si>
    <t>Beginning</t>
  </si>
  <si>
    <t>Depreciation</t>
  </si>
  <si>
    <t>Ending</t>
  </si>
  <si>
    <t>Project B</t>
  </si>
  <si>
    <t>Project C</t>
  </si>
  <si>
    <t>Project D</t>
  </si>
  <si>
    <t>Project E</t>
  </si>
  <si>
    <t>Project F</t>
  </si>
  <si>
    <t>Project G</t>
  </si>
  <si>
    <t>Project H</t>
  </si>
  <si>
    <t>Project I</t>
  </si>
  <si>
    <t>….</t>
  </si>
  <si>
    <t>…..</t>
  </si>
  <si>
    <t>Incentive Charged</t>
  </si>
  <si>
    <t>Revenue Credit</t>
  </si>
  <si>
    <t>Formula Line</t>
  </si>
  <si>
    <t>New Plant Carrying Charge</t>
  </si>
  <si>
    <t>W/O Incentive</t>
  </si>
  <si>
    <t>SIT for Year</t>
  </si>
  <si>
    <t>Per State Tax Code</t>
  </si>
  <si>
    <t>Network Credits</t>
  </si>
  <si>
    <t>Net Outstanding Credits</t>
  </si>
  <si>
    <t>Revenue Credits &amp; Interest on Network Credits</t>
  </si>
  <si>
    <t xml:space="preserve">Outstanding Network Credits is the balance of Network Facilities Upgrades Credits due Transmission Customers who have made lump-sum payments </t>
  </si>
  <si>
    <t xml:space="preserve">Net Plant Carrying Charge without New Investment Incentive </t>
  </si>
  <si>
    <t>Net Plant Carrying Charge without New Investment Incentive without Depreciation</t>
  </si>
  <si>
    <t>Net Plant Carrying Charge without New Investment Incentive</t>
  </si>
  <si>
    <t>Net Plant Carrying Charge with 100 Basis Point New Investment Incentive</t>
  </si>
  <si>
    <t>Net Plant Carrying Charge with 100 Basis Point New Investment Incentive without Depreciation</t>
  </si>
  <si>
    <t>Network Zonal Service Rate</t>
  </si>
  <si>
    <t>Max (p401.29 to 40d)</t>
  </si>
  <si>
    <t>PJM Formula Line #s, Descriptions, Notes, Form 1 Page #s and Instructions</t>
  </si>
  <si>
    <t>Electric Portion</t>
  </si>
  <si>
    <t>EPRI Dues</t>
  </si>
  <si>
    <t>Outstanding Network Credits Worksheet</t>
  </si>
  <si>
    <t>Education and Out Reach Worksheet</t>
  </si>
  <si>
    <t>Excluded Plant Worksheet</t>
  </si>
  <si>
    <t>EPRI Dues Worksheet</t>
  </si>
  <si>
    <t>Electric / Non-electric Worksheet</t>
  </si>
  <si>
    <t>Transmission / Non-transmission Worksheet</t>
  </si>
  <si>
    <t>MultiState Workpaper</t>
  </si>
  <si>
    <t>X</t>
  </si>
  <si>
    <t>PJM Load Worksheet</t>
  </si>
  <si>
    <t>Regulatory Expense Related to Transmission Worksheet</t>
  </si>
  <si>
    <t>(Note H)</t>
  </si>
  <si>
    <t>(Line 11)</t>
  </si>
  <si>
    <t>(Line 12)</t>
  </si>
  <si>
    <t>Form 1 Amount</t>
  </si>
  <si>
    <t>Non-electric  Portion</t>
  </si>
  <si>
    <t>Enter Details</t>
  </si>
  <si>
    <t>Enter</t>
  </si>
  <si>
    <t>Transmission Related</t>
  </si>
  <si>
    <t>Safety Related</t>
  </si>
  <si>
    <t>Enter State</t>
  </si>
  <si>
    <t>Enter %</t>
  </si>
  <si>
    <t>Enter Calculation</t>
  </si>
  <si>
    <t>State 1</t>
  </si>
  <si>
    <t>State 2</t>
  </si>
  <si>
    <t>State 3</t>
  </si>
  <si>
    <t>State 4</t>
  </si>
  <si>
    <t>State 5</t>
  </si>
  <si>
    <t>Education &amp; Outreach</t>
  </si>
  <si>
    <t>Other</t>
  </si>
  <si>
    <t>Enter $</t>
  </si>
  <si>
    <t>Description of the Facilities</t>
  </si>
  <si>
    <t>Enter  Total $</t>
  </si>
  <si>
    <t>Add more lines if necessary</t>
  </si>
  <si>
    <t>General Description of the Facilities</t>
  </si>
  <si>
    <t>Specific Description of the Facility</t>
  </si>
  <si>
    <t>General Description of the Credits</t>
  </si>
  <si>
    <t>Specific Description of the Credits</t>
  </si>
  <si>
    <t>Description of the Credits</t>
  </si>
  <si>
    <t xml:space="preserve">Description &amp; PJM Documentation </t>
  </si>
  <si>
    <t>Interest on Outstanding Network Credits Worksheet</t>
  </si>
  <si>
    <t>Description of the Interest on the Credits</t>
  </si>
  <si>
    <t>Specific Description of the Interest on the Credits</t>
  </si>
  <si>
    <t>F</t>
  </si>
  <si>
    <t>N</t>
  </si>
  <si>
    <t xml:space="preserve">Composite Income Taxes                                                                                                       </t>
  </si>
  <si>
    <t>Net Revenue Requirement Less Return and Taxes</t>
  </si>
  <si>
    <t>Net Revenue Requirement with 100 Basis Point New Investment Incentive</t>
  </si>
  <si>
    <t>In Service Month (1-12)</t>
  </si>
  <si>
    <t>Step</t>
  </si>
  <si>
    <t>Month</t>
  </si>
  <si>
    <t>Year</t>
  </si>
  <si>
    <t>Action</t>
  </si>
  <si>
    <t>April</t>
  </si>
  <si>
    <t>May</t>
  </si>
  <si>
    <t>June</t>
  </si>
  <si>
    <t>Weighting</t>
  </si>
  <si>
    <t>One 12th</t>
  </si>
  <si>
    <t>Jan</t>
  </si>
  <si>
    <t>Feb</t>
  </si>
  <si>
    <t>Mar</t>
  </si>
  <si>
    <t>Apr</t>
  </si>
  <si>
    <t>Jun</t>
  </si>
  <si>
    <t>Jul</t>
  </si>
  <si>
    <t>Aug</t>
  </si>
  <si>
    <t>Sep</t>
  </si>
  <si>
    <t>Oct</t>
  </si>
  <si>
    <t>Nov</t>
  </si>
  <si>
    <t>Dec</t>
  </si>
  <si>
    <t>Yr</t>
  </si>
  <si>
    <t>Interest</t>
  </si>
  <si>
    <t>Months</t>
  </si>
  <si>
    <t>Balance</t>
  </si>
  <si>
    <t>Amort</t>
  </si>
  <si>
    <t>Total Transmission Plant In Service</t>
  </si>
  <si>
    <t>Safety Related Advertising Worksheet</t>
  </si>
  <si>
    <t>Non-transmission Related</t>
  </si>
  <si>
    <t>CWIP In Form 1 Amount</t>
  </si>
  <si>
    <t>Non-safety Related</t>
  </si>
  <si>
    <t>Draft - Work in Progress</t>
  </si>
  <si>
    <t>Exhibit E - Cap Add Worksheet</t>
  </si>
  <si>
    <t>Fixed plus 100 Basis Pts</t>
  </si>
  <si>
    <t>Cost Support Matrix                                                                                                                                                                          PJM Formula Line #s, Descriptions, Notes, Form 1 Page #s and Instructions</t>
  </si>
  <si>
    <t>Electric / Non-electric Cost Support</t>
  </si>
  <si>
    <t>CWIP &amp; Expensed Lease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</si>
  <si>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</si>
  <si>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</si>
  <si>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</si>
  <si>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</si>
  <si>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</si>
  <si>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</si>
  <si>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</si>
  <si>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</si>
  <si>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MultiState Cost Support</t>
  </si>
  <si>
    <t>Interest on Outstanding Network Credits Cost Support</t>
  </si>
  <si>
    <t xml:space="preserve">  Rate Formula Template, since they are recovered elsewhere.</t>
  </si>
  <si>
    <t>Return Calculation</t>
  </si>
  <si>
    <t>The FCR resulting from Formula in a given year is used for that year only</t>
  </si>
  <si>
    <t>Therefore actual revenues collected in a year do not change based on cost data for subsequent years</t>
  </si>
  <si>
    <t>Total with interest</t>
  </si>
  <si>
    <t>True-up amount</t>
  </si>
  <si>
    <t>Total as reported on p. 263(i)</t>
  </si>
  <si>
    <t>Account 454 - Rent from Electric Property</t>
  </si>
  <si>
    <t>Total Rent Revenues</t>
  </si>
  <si>
    <t>Attachment 1 - Accumulated Deferred Income Taxes (ADIT) Worksheet</t>
  </si>
  <si>
    <t>Attachment 3 - Revenue Credit Workpaper</t>
  </si>
  <si>
    <t>Attachment 5 - Cost Support</t>
  </si>
  <si>
    <t>Attachment 7 - Transmission Enhancement Charge Worksheet</t>
  </si>
  <si>
    <t>Attachment 6 - Estimate and True-up Worksheet</t>
  </si>
  <si>
    <t>Attachment 6</t>
  </si>
  <si>
    <t>Attachment 1</t>
  </si>
  <si>
    <t>Attachment 5</t>
  </si>
  <si>
    <t>Attachment 3</t>
  </si>
  <si>
    <t>Attachment 4</t>
  </si>
  <si>
    <t>Less FASB 109 Above if not separately removed</t>
  </si>
  <si>
    <t>Less FASB 106 Above if not separately removed</t>
  </si>
  <si>
    <t>The FCR resulting from Formula in a given year is used for that year only.</t>
  </si>
  <si>
    <t xml:space="preserve">Regulatory Commission Expenses directly related to transmission service, RTO filings, or transmission siting itemized in Form 1 at 351.h. </t>
  </si>
  <si>
    <t xml:space="preserve">Subtotal - p275 </t>
  </si>
  <si>
    <t xml:space="preserve">Subtotal - p277  </t>
  </si>
  <si>
    <t xml:space="preserve">Wages &amp; Salary Allocator </t>
  </si>
  <si>
    <t>FERC Form 1  Page No or Instruction</t>
  </si>
  <si>
    <t>p354.27b</t>
  </si>
  <si>
    <t>South Carolina</t>
  </si>
  <si>
    <t>Environmental Clean-up</t>
  </si>
  <si>
    <t>South Carolina Fuel Company (Nuclear Fuel Amt)</t>
  </si>
  <si>
    <t>State Depreciation</t>
  </si>
  <si>
    <t>Emission Allowances</t>
  </si>
  <si>
    <t>Deferred Fuel</t>
  </si>
  <si>
    <t>Pension Expense</t>
  </si>
  <si>
    <t>Pension - 158</t>
  </si>
  <si>
    <t>OPEB</t>
  </si>
  <si>
    <t>p323.185b</t>
  </si>
  <si>
    <t>p323.191b</t>
  </si>
  <si>
    <t>p323.189b</t>
  </si>
  <si>
    <t>County Property</t>
  </si>
  <si>
    <t>Municipal Property</t>
  </si>
  <si>
    <t>FUTA</t>
  </si>
  <si>
    <t>SUTA</t>
  </si>
  <si>
    <t>FICA</t>
  </si>
  <si>
    <t>License</t>
  </si>
  <si>
    <t>Electric Generation</t>
  </si>
  <si>
    <t>p207.104g</t>
  </si>
  <si>
    <t>Account 447 - Sales for Resale</t>
  </si>
  <si>
    <t>Total Sales for Resale Transmission Revenues</t>
  </si>
  <si>
    <t>p227.16c</t>
  </si>
  <si>
    <t>Regulatory Commission Exp Account 928 - Transmission Related</t>
  </si>
  <si>
    <t>p336.7b</t>
  </si>
  <si>
    <t>p201.21h</t>
  </si>
  <si>
    <t>p201.18h</t>
  </si>
  <si>
    <t>Production</t>
  </si>
  <si>
    <t>ADIT Fed Elec Plt FASB 109</t>
  </si>
  <si>
    <t>ADIT State Elec Plt FASB 109</t>
  </si>
  <si>
    <t>ADIT Fed Elec ITC FASB 109</t>
  </si>
  <si>
    <t>ADIT State Elec ITC FASB 109</t>
  </si>
  <si>
    <t>UNCOLLECTABLES ELEC</t>
  </si>
  <si>
    <t>OTHER POST RETIRE BENEF-ELEC</t>
  </si>
  <si>
    <t>OPEB - FAS 158</t>
  </si>
  <si>
    <t>STORM DAMAGES ELEC</t>
  </si>
  <si>
    <t>KEY EMP ELEC</t>
  </si>
  <si>
    <t>BONUS ELEC</t>
  </si>
  <si>
    <t>EARLY RETIRE ELEC</t>
  </si>
  <si>
    <t>ELEC  ACCRUED VACATION</t>
  </si>
  <si>
    <t>MAJOR MAINTENANCE</t>
  </si>
  <si>
    <t>UNEARNED REVENUE</t>
  </si>
  <si>
    <t>All Other SCE&amp;G:</t>
  </si>
  <si>
    <t>INJURIES &amp; DAMAGES ELEC</t>
  </si>
  <si>
    <t>ELEC  LONG-TERM DISABILITY</t>
  </si>
  <si>
    <t>All Transmission</t>
  </si>
  <si>
    <t>5. Deferred income taxes arise when items are included in taxable income in different periods than they are included in rates - therefore, if the item giving rise to the ADIT is not included in the formula, the associated ADIT amount shall be excluded</t>
  </si>
  <si>
    <t>A&amp;G Allocated to Transmission</t>
  </si>
  <si>
    <t>Justification</t>
  </si>
  <si>
    <t>Detailed separately in Tax Dpt. Schedule.  Category is based on type of ADIT.  See breakdown below:</t>
  </si>
  <si>
    <t>H</t>
  </si>
  <si>
    <t xml:space="preserve">Book estimate accrued and expensed, tax deduction when paid. - Relates to clean-up of underground storage tanks at various generating stations - production only.  </t>
  </si>
  <si>
    <t>Book estimate accrued and expensed, tax deduction when paid - employees in all functions.</t>
  </si>
  <si>
    <t>Book estimate accrued and expensed, tax deduction when paid - employees is all functions.</t>
  </si>
  <si>
    <t>Assets/Liabilities due to rate regulated capitalization of incurred costs that would otherwise be charged to expense/income - excluded from ratemaking.</t>
  </si>
  <si>
    <t>Property basis differences resulting from book/tax differences that are deducted at different times - related to all functions.</t>
  </si>
  <si>
    <t>Property basis differences resulting from book/tax differences that are deducted at different times - related to Production only.</t>
  </si>
  <si>
    <t>Gross-up for income tax due on FAS 109 property basis differences, taxable when received - excluded for rate-making.</t>
  </si>
  <si>
    <t>Book estimate accrued and expensed.  Tax deduction when paid - related to Production only.</t>
  </si>
  <si>
    <t xml:space="preserve">Book amount amortized; Tax deduction in year reacquired.  </t>
  </si>
  <si>
    <t>Book estimate accrued and expensed.  Tax deduction when paid - employees in all functions.</t>
  </si>
  <si>
    <t xml:space="preserve">Outstanding Network Credits </t>
  </si>
  <si>
    <t>p336.11d</t>
  </si>
  <si>
    <t>p263.18.i</t>
  </si>
  <si>
    <t>p263.19.i</t>
  </si>
  <si>
    <t>p263.3.i</t>
  </si>
  <si>
    <t>p263.4.i</t>
  </si>
  <si>
    <t>p263.13.i</t>
  </si>
  <si>
    <t>p263.10.i</t>
  </si>
  <si>
    <t>p263.12.i</t>
  </si>
  <si>
    <t>p263.9.i</t>
  </si>
  <si>
    <t>Income Tax - Federal</t>
  </si>
  <si>
    <t>Income Tax - State</t>
  </si>
  <si>
    <t>p263.2.i</t>
  </si>
  <si>
    <t>NUSTART</t>
  </si>
  <si>
    <t xml:space="preserve">Federal Depreciation </t>
  </si>
  <si>
    <t>Accumulated Depreciation Electric Plant</t>
  </si>
  <si>
    <t>Prepayments - Labor Related (Account 165)</t>
  </si>
  <si>
    <t>Prepayments - Plant Related (Account 165)</t>
  </si>
  <si>
    <t>General Plant Depreciation - Electric Only</t>
  </si>
  <si>
    <t>Intangible Plant Amortization - Electric Only</t>
  </si>
  <si>
    <t>Common Plant Depreciation - Electric Only</t>
  </si>
  <si>
    <t>Common Plant Amortization - Electric Only</t>
  </si>
  <si>
    <t>General &amp; Intangible Plant - Electric Only</t>
  </si>
  <si>
    <t>Common Plant - Electric Only</t>
  </si>
  <si>
    <t>Accumulated General Plant Depreciation - Electric Only</t>
  </si>
  <si>
    <t>Accumulated Other Utility Plant Amortization - Electric Only</t>
  </si>
  <si>
    <t>SCE&amp;G Load Cost Support</t>
  </si>
  <si>
    <t xml:space="preserve">Description &amp; SCE&amp;G Documentation </t>
  </si>
  <si>
    <t>CWIP (weighted by months expected to be placed in service)</t>
  </si>
  <si>
    <t>Prepayments - Labor Related</t>
  </si>
  <si>
    <t>Prepayments - Plant Related</t>
  </si>
  <si>
    <t>Expensed for tax purposes when paid; expensed for book purposes when incurred.</t>
  </si>
  <si>
    <t>Book estimate accrued and expensed, tax deduction when paid - employees in all functions.  Offset is in account 283.</t>
  </si>
  <si>
    <t>Book estimate accrued and expensed, tax deduction when paid - employees in all functions.  Relates to an amt. created by the action of the SC PSC (Order No. 2007-335-E).</t>
  </si>
  <si>
    <t xml:space="preserve">Book estimate accrued and expensed.  Tax deduction when paid - employees in all functions.  </t>
  </si>
  <si>
    <t>Book estimate accrued and expensed.  Tax deduction when paid - employees in all functions.  Offset is in 190 account so neither is included in RB.</t>
  </si>
  <si>
    <t>K</t>
  </si>
  <si>
    <t xml:space="preserve">Education and outreach expenses relating to transmission, for example siting or billing </t>
  </si>
  <si>
    <t>Total Other Electric Revenues</t>
  </si>
  <si>
    <t>SC Only</t>
  </si>
  <si>
    <t>General Advertising Exp Account 930.1 - Education &amp; Outreach</t>
  </si>
  <si>
    <t>General Advertising Exp Account 930.1 - Safety</t>
  </si>
  <si>
    <t>Totals</t>
  </si>
  <si>
    <t>Column C amount totals</t>
  </si>
  <si>
    <t>Column C ADIT items (below) relate only to Non-Electric Operations (e.g., Gas) OR Production OR Items NOT included in the ADIT calculation above</t>
  </si>
  <si>
    <t>Accumulated Common Depreciation - Electric Only</t>
  </si>
  <si>
    <t xml:space="preserve">Accumulated Common Other Utility Plant Amort. - Electric Only </t>
  </si>
  <si>
    <t xml:space="preserve">Attachment 6 </t>
  </si>
  <si>
    <t>p354.28b</t>
  </si>
  <si>
    <t>p336.10b</t>
  </si>
  <si>
    <t>p336.1d</t>
  </si>
  <si>
    <t>Attachment 2</t>
  </si>
  <si>
    <t>Net Transmission Plant times Inclusion Ratio</t>
  </si>
  <si>
    <t>Summary and Adjustment by Inclusion Ratio</t>
  </si>
  <si>
    <t xml:space="preserve">Net Plant Carrying Charge without New Investment Incentive without Depreciation, Return, nor Income Taxes </t>
  </si>
  <si>
    <t>Composite Income Taxes                               (Note H)</t>
  </si>
  <si>
    <t>Depreciation Rates</t>
  </si>
  <si>
    <t>TRANSMISSION PLANT</t>
  </si>
  <si>
    <t>R3</t>
  </si>
  <si>
    <t>Station Equipment</t>
  </si>
  <si>
    <t>Towers &amp; Fixtures</t>
  </si>
  <si>
    <t>Poles &amp; Fixtures</t>
  </si>
  <si>
    <t>R2.5</t>
  </si>
  <si>
    <t>Attachment A Line #s, Descriptions, Notes, Form 1 Page #s and Instructions</t>
  </si>
  <si>
    <t>Construction Work in Progress (CWIP)</t>
  </si>
  <si>
    <t>Construction Work in Progress Transmission</t>
  </si>
  <si>
    <t>Total Electric</t>
  </si>
  <si>
    <t>(Note D)</t>
  </si>
  <si>
    <t>Attachment 7</t>
  </si>
  <si>
    <t>Average</t>
  </si>
  <si>
    <t>Roads &amp; Trails</t>
  </si>
  <si>
    <t>Network or Point to Point transactions of one year or more for which the full revenue is received by the transmission owner</t>
  </si>
  <si>
    <t>p200.18c/d</t>
  </si>
  <si>
    <t>p200.21c/d</t>
  </si>
  <si>
    <t>Property basis difference resulting from accelerated tax depreciation versus depreciation used for ratemaking purposes - relates to production only.</t>
  </si>
  <si>
    <t xml:space="preserve">Book expense for bad debts, tax deduction when written off and all collection efforts abandoned - relates to Retail customers only.  </t>
  </si>
  <si>
    <t>Assets/Liabilities due to rate regulated capitalization of incurred costs that would otherwise be charged to expense/income - relates to Production Only (SC PSC Order 2005-2)</t>
  </si>
  <si>
    <t>Revenue is recognized when received for tax purposes but only recognized when earned for book purposes - relates to Retail Only.</t>
  </si>
  <si>
    <t>Assets/Liabilities due to book capitalization of incurred costs that are charged to expense/income for tax purposes - relates to all functions (internally developed software).</t>
  </si>
  <si>
    <t>Property basis difference resulting from accelerated tax depreciation versus depreciation used for ratemaking purposes - relates to Production only.</t>
  </si>
  <si>
    <t>Allocated General Expenses</t>
  </si>
  <si>
    <t>General Expenses</t>
  </si>
  <si>
    <t>Fixed Charge Rate (FCR) if not a CIAC</t>
  </si>
  <si>
    <t>(Yes or No)</t>
  </si>
  <si>
    <t>Useful life of the project</t>
  </si>
  <si>
    <t>"Yes" if the customer has paid a lumpsum payment in the amount of the investment on line 29, Otherwise "No"</t>
  </si>
  <si>
    <t>Input the allowed increase in ROE</t>
  </si>
  <si>
    <t>Increased ROE (Basis Points)</t>
  </si>
  <si>
    <t>From line 3 above if "No" on line 13 and from line 7 above if "Yes" on line 13</t>
  </si>
  <si>
    <t>Line 14 plus (line 5 times line 15)/100</t>
  </si>
  <si>
    <t>Line 17 divided by line 12</t>
  </si>
  <si>
    <t>W Increased ROE</t>
  </si>
  <si>
    <t>On the formulas used in the Columns for lines 22+ are as follows</t>
  </si>
  <si>
    <t>For Plant in service:  (first year means first year the project is placed in service)</t>
  </si>
  <si>
    <t>For CWIP:</t>
  </si>
  <si>
    <t>"Beginning" is the investment on line 17 for the first year and is the "Ending" for the prior year after the first year</t>
  </si>
  <si>
    <t xml:space="preserve">Beginning is the line 17 for that year </t>
  </si>
  <si>
    <t>"Depreciation" is the annual depreciation in line 18 divided by twelve times the difference of thirteen minus line 19 in the first year and line 18 thereafter if "no" on line 13.  "Depreciation" is "0" (zero) if "Yes" on line 13</t>
  </si>
  <si>
    <t>Depreciation is not used</t>
  </si>
  <si>
    <t>"Ending" is "Beginning" less "Depreciation"</t>
  </si>
  <si>
    <t xml:space="preserve">Ending is the same as Beginning </t>
  </si>
  <si>
    <t>Revenue is "Ending" times line 16 for the current year times the quotient line 19 divided by 13 plus "Depreciation" for the first year and "Ending" times line 16 plus "Depreciation" thereafter</t>
  </si>
  <si>
    <t>Revenue is Ending times line 16 for the current year</t>
  </si>
  <si>
    <t>Increased Revenue Requirement due to Authorized Incentive ROE</t>
  </si>
  <si>
    <t>(A)</t>
  </si>
  <si>
    <t>(B)</t>
  </si>
  <si>
    <t>(D)</t>
  </si>
  <si>
    <t>(E)</t>
  </si>
  <si>
    <t>(F)</t>
  </si>
  <si>
    <t>(G)</t>
  </si>
  <si>
    <t>(H)</t>
  </si>
  <si>
    <t>(I)</t>
  </si>
  <si>
    <t>(J)</t>
  </si>
  <si>
    <t>Monthly Additions</t>
  </si>
  <si>
    <t>Other Plant In Service</t>
  </si>
  <si>
    <t>CWIP</t>
  </si>
  <si>
    <t>Incentive Plant</t>
  </si>
  <si>
    <t>Amount (A x D)</t>
  </si>
  <si>
    <t>Amount (B x D)</t>
  </si>
  <si>
    <t>Amount (C x D)</t>
  </si>
  <si>
    <t xml:space="preserve"> =(E /12)</t>
  </si>
  <si>
    <t xml:space="preserve"> =(F/12)</t>
  </si>
  <si>
    <t xml:space="preserve"> =(G /12)</t>
  </si>
  <si>
    <t>Dec (prior year)</t>
  </si>
  <si>
    <t>Investment -- incentive projects</t>
  </si>
  <si>
    <t>TX Plant Cap. Ads</t>
  </si>
  <si>
    <t>GENERAL PLANT</t>
  </si>
  <si>
    <t>Structures &amp; Improvements</t>
  </si>
  <si>
    <t>Stores Equipment</t>
  </si>
  <si>
    <t>Communication Equipment</t>
  </si>
  <si>
    <t>Miscellaneous Equipment</t>
  </si>
  <si>
    <t>S0.5</t>
  </si>
  <si>
    <t>SQ</t>
  </si>
  <si>
    <t>12 CP Peak Load</t>
  </si>
  <si>
    <t>Average 12 CP Peak Load</t>
  </si>
  <si>
    <t>SCE&amp;G FERC Form 1, p. 400 (Total less ST PtP &amp; Other)</t>
  </si>
  <si>
    <t>South Carolina Electric &amp; Gas Company (SCEG)</t>
  </si>
  <si>
    <t xml:space="preserve">Formula Rate </t>
  </si>
  <si>
    <t>Rec Cap Reg Asset</t>
  </si>
  <si>
    <t>VCS Cost - Reg Asset</t>
  </si>
  <si>
    <t>Nuclear Decommissioning</t>
  </si>
  <si>
    <t xml:space="preserve">Book estimate accrued and expensed, tax deduction when paid. - production only.  </t>
  </si>
  <si>
    <t xml:space="preserve">December 31, </t>
  </si>
  <si>
    <t>Portion</t>
  </si>
  <si>
    <t>Electric</t>
  </si>
  <si>
    <t xml:space="preserve">Non-electric  </t>
  </si>
  <si>
    <t>Remove ST PtP Total of Monthly Peak Loads</t>
  </si>
  <si>
    <t>Remove Other Total of Monthly Peak Loads</t>
  </si>
  <si>
    <t>Prior Year Estimated Transmission Plant Additions (weighted by months in service)</t>
  </si>
  <si>
    <t>New Estimated Transmission Plant Additions for Current Calendar Year (weighted by months in service)</t>
  </si>
  <si>
    <t>Input to Line 21 of Appendix A (Formula Rate)</t>
  </si>
  <si>
    <t>Input to Line 21 of Appendix A (Reconciliation)</t>
  </si>
  <si>
    <t>Input to Line 20 of Appendix A (Reconciliation)</t>
  </si>
  <si>
    <t>Previous rate went into effect</t>
  </si>
  <si>
    <t>Previously posted on SCE&amp;G web site - Annual Transmission Revenue Requirement (ATRR)</t>
  </si>
  <si>
    <t>Post on SCE&amp;G web site - ATRR</t>
  </si>
  <si>
    <t xml:space="preserve">Add Transmission Plant Additions (weighted by months in service) </t>
  </si>
  <si>
    <t>Transmission Plant Additions (weighted by months in service)</t>
  </si>
  <si>
    <t>Rates go into effect for current rate year</t>
  </si>
  <si>
    <t>TO estimates Transmission Plant Additions during Current calendar year weighted based on Months expected to be in service</t>
  </si>
  <si>
    <t>Total Monthly Transmission Plant Additions Placed in Service during Current Form 1 year</t>
  </si>
  <si>
    <t>Input to Line 39 of Appendix A (Formula Rate)</t>
  </si>
  <si>
    <t>Input to Attachment 7</t>
  </si>
  <si>
    <t>The revenue requirement resulting from the reconciliation spreadsheet is the amount that would have been the basis for the rates in the current rate year if the prior year actual</t>
  </si>
  <si>
    <t xml:space="preserve">For Reconciliation Only - Remove New Transmission Plant Additions for Current Form 1 Year  </t>
  </si>
  <si>
    <t>FERC Interest Rate on Refunds (18 CFR § 35.19a) for March Current Calendar Year</t>
  </si>
  <si>
    <t>Interest Rate</t>
  </si>
  <si>
    <t>Minus</t>
  </si>
  <si>
    <t>Reconciliation Revenue</t>
  </si>
  <si>
    <t xml:space="preserve">(Refund)/Surcharge </t>
  </si>
  <si>
    <t>TO populates the formula with Current Form 1 year data</t>
  </si>
  <si>
    <t>Rev Req based on Current Form 1 Year data with estimated Transmission Plant Additions for Current Calendar Year</t>
  </si>
  <si>
    <t>(including CWIP and Incentive Plant, if authorized by FERC as the result of one or more appropriate filings)</t>
  </si>
  <si>
    <t>(Note #1)</t>
  </si>
  <si>
    <t>ATRR for Current Rate Year</t>
  </si>
  <si>
    <t>True-up - TO calculates Interest on Refund or Surcharge amount</t>
  </si>
  <si>
    <t>True-up - TO calculates the Reconciliation spreadsheet revenue requirement</t>
  </si>
  <si>
    <t>Estimated Prior Year ATRR</t>
  </si>
  <si>
    <t>True-up -  TO multiplies the Estimated Prior Year ATRR by the ratio of the Current Form 1 12 CP divisor to the Prior Form 1 12 CP divisor.</t>
  </si>
  <si>
    <t>Summary</t>
  </si>
  <si>
    <t>Detailed Calculations</t>
  </si>
  <si>
    <t>Requirement -- Step 7</t>
  </si>
  <si>
    <t>Prior Year ATRR -- Step 8</t>
  </si>
  <si>
    <t>True-up - TO calculates the difference between the Reconciliation Revenue Requirement from Step 7 and the Adjusted Estimated Prior Year ATRR from Step 8</t>
  </si>
  <si>
    <t>1/12 of Step 9</t>
  </si>
  <si>
    <t>The difference between the Reconciliation Revenue Requirement and the Adjusted Estimated Prior Year ATRR with interest</t>
  </si>
  <si>
    <t>Year ATRR -- Step 2</t>
  </si>
  <si>
    <t>Net of Acct 190, 282, and 283 Accounts less the FAS 109 Amounts</t>
  </si>
  <si>
    <t>Projects and incentives included as inputs on Attachment 7 must be authorized by FERC as the result of one or more appropriate filings.</t>
  </si>
  <si>
    <t>TO entered estimated Transmission Plant Additions during Prior calendar year weighted based on Months expected to be in service</t>
  </si>
  <si>
    <t>True-up - TO inputs actual monthly Transmission Plant Additions placed in service during the Current Form 1 year and calculates weighted average Transmission Plant Additions amount</t>
  </si>
  <si>
    <t>T=1 - {[(1 - SIT) * (1 - FIT)] / (1 - SIT * FIT * p)} =</t>
  </si>
  <si>
    <t>CIT=(T/1-T) * Investment Return * (1-(WCLTD/R)) =</t>
  </si>
  <si>
    <t>Basis of True-up [(Refund)/Surcharge]</t>
  </si>
  <si>
    <t>Annual Transmission Revenue Requirement</t>
  </si>
  <si>
    <t xml:space="preserve">Per the Settlement Agreement in ER10-516-000, GridSouth costs will be included in the formula as a fixed amount of $4,400,000 per year for five years </t>
  </si>
  <si>
    <t>Transmission of Electricity for Others - Form 1, pg 330 column k less Network Customers &amp;  Woodland Hills (Note 1)</t>
  </si>
  <si>
    <t xml:space="preserve">Ancillary 1 &amp; 2 Charges - Form 1, pg 330 column m less Network Customers </t>
  </si>
  <si>
    <t xml:space="preserve">    Amortization Of Loss on Reacquired Debt (Acct 428.1)</t>
  </si>
  <si>
    <t xml:space="preserve">    (Less) Amortization Of Gain on Reacquired Debt (Acct. 429.1)</t>
  </si>
  <si>
    <t xml:space="preserve">For the Reconciliation: Equity &amp;  Debt Ratios will be determined based on beginning and end of year average balances.  </t>
  </si>
  <si>
    <t xml:space="preserve">Amount of transmission plant excluded from rates includes investment in generation step-up transformers and plant that is Directly Assigned or Assignable to one or more entities, to the </t>
  </si>
  <si>
    <t>extent included in Plant in Service.</t>
  </si>
  <si>
    <t xml:space="preserve"> and estimated time-weighted transmission plant additions had been a perfect estimate of that rate year's revenue requirement.</t>
  </si>
  <si>
    <t>U</t>
  </si>
  <si>
    <t>For the reconciliation of the partial rate year ending May 31, 2010, Preferred stock amounts and associated dividends are inputs not reflecting booked</t>
  </si>
  <si>
    <t>Equity Ratio Cap applies to both the estimated Rate Year rate to be billed and the reconciliation average capitalization.</t>
  </si>
  <si>
    <t>Attachment 4 - Fixed Charge Rate Increment due to 100 Basis Point Increase in ROE</t>
  </si>
  <si>
    <t>Note: The incremental revenue requirement due to a 100 basis point increment in ROE calculated herein is used only as an input</t>
  </si>
  <si>
    <t xml:space="preserve">specific project incentives are authorized by the Commission according to the filing process specified in the Protocols and </t>
  </si>
  <si>
    <t>Attachment 7.</t>
  </si>
  <si>
    <t xml:space="preserve">Gains/Losses and related ADIT associated with the ineffective portion of pre-issuance cash flow hedges, post-issuance cash flow hedges, proprietary hedges, fair value hedges and </t>
  </si>
  <si>
    <t xml:space="preserve">speculative hedges shall not flow through the formula rate.  </t>
  </si>
  <si>
    <t>Gains and Losses on sale of "Plant Held for Future Use" will be credited to rate payers by adjusting the value of the “Plant Held for Future Use” reported in Form 1 before inclusion in line 43.</t>
  </si>
  <si>
    <t xml:space="preserve">    Add FERC authorized PBOP amount</t>
  </si>
  <si>
    <t>Regulatory Asset - Environment</t>
  </si>
  <si>
    <t>Pollution Control</t>
  </si>
  <si>
    <t>p112.24c</t>
  </si>
  <si>
    <t>Long Term Debt -- Net Proceeds</t>
  </si>
  <si>
    <t>Base ROE will be supported in the original filing and no change in base ROE may be made unless authorized by the Commission in response to a full FPA Section 205 or 206 filing.</t>
  </si>
  <si>
    <t>For the Estimated Formula: Equity &amp; Debt Ratios will be determined based on end of year balances.</t>
  </si>
  <si>
    <t>The Long-Term Debt balance used to determine the Debt Ratio will be the Gross Proceeds of Long-Term Debt Issuances Outstanding.</t>
  </si>
  <si>
    <t>For Postemployment Benefits Other than Pensions (PBOPs) line 71 removes the annual accrual amount and line 70 adds the FERC  authorized expense.  The FERC authorized expense</t>
  </si>
  <si>
    <t>amount is set at zero and no changes shall be made unless authorized by the Commission in response to a limited FPA Section 205 filing.</t>
  </si>
  <si>
    <t>Construction Work in Progress (CWIP) is set at zero and no changes shall be made unless authorized by the Commission in response to a full FPA Section 205 filing.</t>
  </si>
  <si>
    <t>necessary to produce an equity ratio at line 123 equal to 54.00%.  The equity ratio of 54.00% may not be exceeded unless authorized by the Commission in response to a full FPA Section 205 or 206 filing.</t>
  </si>
  <si>
    <t>1/(1 - Line 135)</t>
  </si>
  <si>
    <t>Note 1: All revenues related to transmission that are received as a transmission owner, for which the cost of the service is recovered under this formula, except as specifically provided for elsewhere in this Attachment or elsewhere in the formula will be included as a revenue credit or included in the 12 CP Average peak on line 176 of Appendix A.  Types of revenue included as a revenue credit are: short-term point to point sales and other revenue not included in the peak.</t>
  </si>
  <si>
    <t>to Appendix A at line 167.  None of the calculations herein affect the annual revenue requirement unless and until one or more</t>
  </si>
  <si>
    <t>Appears on line 173 in Appendix A (Formula Rate)</t>
  </si>
  <si>
    <t>(C)</t>
  </si>
  <si>
    <t>Assets/Liabilities due to rate regulated capitalization of incurred costs that would otherwise be charged to expense/income - relates to Production Only (SC PSC Order 2009-489-E)</t>
  </si>
  <si>
    <t>Assets/Liabilities due to rate regulated capitalization of incurred costs that would otherwise be charged to expense/income - relates to Production Only (SC PSC Order 2009-489-E &amp; 2008-393-E)</t>
  </si>
  <si>
    <t>INTANGIBLE PLANT</t>
  </si>
  <si>
    <t>Amortization Rates</t>
  </si>
  <si>
    <t>For the Reconciliation: Line 20 removes New Transmission Plant Additions for the current Form 1 year while Line 21 adds back those additions weighted by the months placed in service. (Step 6 on Attachment 6)</t>
  </si>
  <si>
    <t>For the Final Formula: Line 21 adds New Transmission Plant Additions for current calendar year by the months placed in service. (Step 5 on Attachment 6)</t>
  </si>
  <si>
    <t>Depreciation and Amortization rates are fixed, as shown on Attachment 5 for Transmission and General Plant and are not subject to adjustment except pursuant to a limited FPA Section 205 or 206 filing.</t>
  </si>
  <si>
    <t>Summary of Attachment 1</t>
  </si>
  <si>
    <t>Total = the ADIT adjustment to RB on Appendix A.</t>
  </si>
  <si>
    <t>FERC Form 1 Page No.</t>
  </si>
  <si>
    <t>p.400</t>
  </si>
  <si>
    <t xml:space="preserve">As described in FERC Form 1, page 336, section B, the amortization bases for electric intangible plant consist of the following: </t>
  </si>
  <si>
    <t xml:space="preserve">- Limited term electric plant related to licensing and facility contractual terms are amortized over 20 to 40 yrs.  </t>
  </si>
  <si>
    <t>-Data processing software costs are being amortized over the expected life of each software application: </t>
  </si>
  <si>
    <t xml:space="preserve">   3 yr property is 33.33%; 5 yr is 20.00%; 7 yr property is 14.33% and 10 yr property is 10.00%.</t>
  </si>
  <si>
    <t>GSUs excluded from TX rates</t>
  </si>
  <si>
    <t>Appendix A, line 160</t>
  </si>
  <si>
    <t>Reconciliation (Informational Only, Not Used in Appendix A)</t>
  </si>
  <si>
    <t>Assets/Liabilities due to rate regulated capitalization of incurred costs that would otherwise be charged to expense/income - relates to Production Only (SC PSC Order 2010-828)</t>
  </si>
  <si>
    <t>Scrubber</t>
  </si>
  <si>
    <t>ARO</t>
  </si>
  <si>
    <t>ARC</t>
  </si>
  <si>
    <t>Defer Capacity</t>
  </si>
  <si>
    <t>Fukishima</t>
  </si>
  <si>
    <t>Canadys</t>
  </si>
  <si>
    <t>ARO Reg Asset</t>
  </si>
  <si>
    <t>Assets/Liabilities due to rate regulated capitalization of incurred costs that would otherwise be charged to expense/income. Offset is in 190 and 282 account so none are included in RB.</t>
  </si>
  <si>
    <t>Assets/Liabilities due to rate regulated capitalization of incurred costs that would otherwise be charged to expense/income. Offset is in 190 and 283 account so none are included in RB.</t>
  </si>
  <si>
    <t>Assets/Liabilities due to rate regulated capitalization of incurred costs that would otherwise be charged to expense/income. Offset is in 282 and 283 account so none are included in RB.</t>
  </si>
  <si>
    <t>Assets/Liabilities due to rate regulated capitalization of incurred costs that would otherwise be charged to expense/income - relates to Production Only</t>
  </si>
  <si>
    <t>p.257.2(i)</t>
  </si>
  <si>
    <t xml:space="preserve">Federal &amp; State Intangible </t>
  </si>
  <si>
    <t xml:space="preserve">Federal &amp; State Basis Difference </t>
  </si>
  <si>
    <t>Appendix H-1</t>
  </si>
  <si>
    <t>Nuclear Refueling</t>
  </si>
  <si>
    <t>Federal &amp; State New Nuclear Rate Base</t>
  </si>
  <si>
    <t>Grants</t>
  </si>
  <si>
    <t>Federal &amp; State New Nuclear 174 Rate Base</t>
  </si>
  <si>
    <t xml:space="preserve">Book estimate accrued and expensed, tax deduction when paid. - Production only.  </t>
  </si>
  <si>
    <t>Net Gain on Interest Rate Derivatives</t>
  </si>
  <si>
    <t>Revenue is recognized when received for tax purposes but deferred for book purposes under a SCPSC rate order - relates to Retail Only.</t>
  </si>
  <si>
    <t>Property basis difference resulting from accelerated tax depreciation versus depreciation used for ratemaking purposes</t>
  </si>
  <si>
    <t xml:space="preserve">Property basis difference resulting from accelerated tax depreciation versus depreciation used for ratemaking purposes </t>
  </si>
  <si>
    <t>Property basis differences resulting from book/tax differences that are deducted at different times</t>
  </si>
  <si>
    <t>Expensed for tax purposes when paid; expensed for book purposes when incurred - relates to Retail only.</t>
  </si>
  <si>
    <t>LT Pledges</t>
  </si>
  <si>
    <t>Urquhart 3</t>
  </si>
  <si>
    <t>McMeekin</t>
  </si>
  <si>
    <t>VCS #1 - Nuclear Amended</t>
  </si>
  <si>
    <t>Book estimate accrued and expensed, tax deduction when paid - relates to donations to non-profits, excluded from ratemaking.</t>
  </si>
  <si>
    <t>Net Metering</t>
  </si>
  <si>
    <t>Assets/Liabilities due to rate regulated capitalization of incurred costs that would otherwise be charged to expense/income - relates to Retail Only</t>
  </si>
  <si>
    <t>R2</t>
  </si>
  <si>
    <t>S2.5</t>
  </si>
  <si>
    <t>L2</t>
  </si>
  <si>
    <t>Underground Conduit</t>
  </si>
  <si>
    <t>R4</t>
  </si>
  <si>
    <t>S0</t>
  </si>
  <si>
    <t>Survivor Curve</t>
  </si>
  <si>
    <t>Net Salvage Percent</t>
  </si>
  <si>
    <t>Accrual Rate (Annual) Percent</t>
  </si>
  <si>
    <t>Average Remaining Life</t>
  </si>
  <si>
    <t>Structures and Improvements</t>
  </si>
  <si>
    <t xml:space="preserve">    Nuclear</t>
  </si>
  <si>
    <t>SCE&amp;G 2014 Depreciation Study</t>
  </si>
  <si>
    <t xml:space="preserve">    Other</t>
  </si>
  <si>
    <t xml:space="preserve">    Parr Hydro</t>
  </si>
  <si>
    <t xml:space="preserve">    Fairfield</t>
  </si>
  <si>
    <t xml:space="preserve">    Saluda</t>
  </si>
  <si>
    <t xml:space="preserve">    Stevens Creek</t>
  </si>
  <si>
    <t xml:space="preserve">    Neal Shoals</t>
  </si>
  <si>
    <t>Station Equipment - Step Up Transformers</t>
  </si>
  <si>
    <t xml:space="preserve">    Nuclear Step-Up</t>
  </si>
  <si>
    <t xml:space="preserve">    Parr Hydro Step-Up</t>
  </si>
  <si>
    <t xml:space="preserve">    Fairfield Step-Up</t>
  </si>
  <si>
    <t xml:space="preserve">    Saluda Step-Up</t>
  </si>
  <si>
    <t xml:space="preserve">    Wateree Step-Up</t>
  </si>
  <si>
    <t xml:space="preserve">    McMeekin Step-Up</t>
  </si>
  <si>
    <t xml:space="preserve">    Urquhart Step-Up</t>
  </si>
  <si>
    <t xml:space="preserve">    Williams Step-Up</t>
  </si>
  <si>
    <t xml:space="preserve">    Cope Step-Up</t>
  </si>
  <si>
    <t xml:space="preserve">    Williams GT Step-Up</t>
  </si>
  <si>
    <t xml:space="preserve">    Hardeeville Step-Up</t>
  </si>
  <si>
    <t xml:space="preserve">    Coit Step-Up</t>
  </si>
  <si>
    <t xml:space="preserve">    Urquhart GT Step-Up</t>
  </si>
  <si>
    <t xml:space="preserve">    Hagood Step-Up</t>
  </si>
  <si>
    <t xml:space="preserve">    Stevens Creek Step-Up</t>
  </si>
  <si>
    <t xml:space="preserve">    Jasper Step-Up</t>
  </si>
  <si>
    <t>Station Equipment - Leasehold</t>
  </si>
  <si>
    <t>Poles &amp; Fixtures - Leasehold</t>
  </si>
  <si>
    <t>Overhead Conductors &amp; Devices - Overhead</t>
  </si>
  <si>
    <t>Overhead Conductors &amp; Devices - Fiber Optic</t>
  </si>
  <si>
    <t>Overhead Conductors &amp; Devices - Leasehold</t>
  </si>
  <si>
    <t>Underground Conductors &amp; Devices</t>
  </si>
  <si>
    <t>Structures &amp; Improvements - Warehouse</t>
  </si>
  <si>
    <t>Structures &amp; Improvements - Office Lease</t>
  </si>
  <si>
    <t>Structures &amp; Improvements - Warehouse Lease</t>
  </si>
  <si>
    <t>Office Furniture &amp; Equipment</t>
  </si>
  <si>
    <t>Office Furniture &amp; Equipment - EDP</t>
  </si>
  <si>
    <t>Office Furniture &amp; Equipment - Data Handling</t>
  </si>
  <si>
    <t>Tools, Shop &amp; Garage Equipment - Hand Tools</t>
  </si>
  <si>
    <t>Tools, Shop &amp; Garage Equipment - Line</t>
  </si>
  <si>
    <t>Tools, Shop &amp; Garage Equipment - Shop</t>
  </si>
  <si>
    <t>Tools, Shop &amp; Garage Equipment - Garage</t>
  </si>
  <si>
    <t>Laboratory Equipment - Meter Test</t>
  </si>
  <si>
    <t>Laboratory Equipment - Other Test</t>
  </si>
  <si>
    <t>Laboratory Equipment - Field Test</t>
  </si>
  <si>
    <t>Total Trans Depreciation Expense (must tie to p336.7.f)</t>
  </si>
  <si>
    <t>Total Gen Depreciation Expense (must tie to p336.10.f)</t>
  </si>
  <si>
    <t>PBOP's</t>
  </si>
  <si>
    <t>Total PBOP</t>
  </si>
  <si>
    <t>Electric % of</t>
  </si>
  <si>
    <t>Remove</t>
  </si>
  <si>
    <t>Accrual for</t>
  </si>
  <si>
    <t>SCANA PBOP</t>
  </si>
  <si>
    <t>Subs on Corp.</t>
  </si>
  <si>
    <t>Remove  1/3</t>
  </si>
  <si>
    <t>Transition</t>
  </si>
  <si>
    <t>SCE&amp;G</t>
  </si>
  <si>
    <t>Attachment A Line #s, Descriptions, Notes, Form 1 page #s and Instructions</t>
  </si>
  <si>
    <t>Accrual Booked</t>
  </si>
  <si>
    <t>Payroll System</t>
  </si>
  <si>
    <t>Nuclear Amount</t>
  </si>
  <si>
    <t>Obligation Amort.</t>
  </si>
  <si>
    <t xml:space="preserve">Allocated General Expenses </t>
  </si>
  <si>
    <t>Add FERC authorized PBOP amount</t>
  </si>
  <si>
    <t>(NOTE O)</t>
  </si>
  <si>
    <t>Remove PBOP Current Year Accrued</t>
  </si>
  <si>
    <t>Cybersecurity</t>
  </si>
  <si>
    <t>Pilot FIN 48 Interest</t>
  </si>
  <si>
    <t>Pilot Interest / Professional Fees</t>
  </si>
  <si>
    <t>Interest related to Property basis differences resulting from book/tax differences that are deducted at different times - related to NND</t>
  </si>
  <si>
    <t>Professional Fees related to Property basis differences resulting from book/tax differences that are deducted at different times - related to NND</t>
  </si>
  <si>
    <t>Assets/Liabilities due to rate regulated capitalization of incurred costs that would otherwise be charged to expense/income</t>
  </si>
  <si>
    <t xml:space="preserve">Federal &amp; State Basis Difference Nuclear </t>
  </si>
  <si>
    <t>Exhibit 2</t>
  </si>
  <si>
    <r>
      <rPr>
        <b/>
        <sz val="9"/>
        <rFont val="Arial"/>
        <family val="2"/>
      </rPr>
      <t>Indicate "Reconciliation" or "Estimate"</t>
    </r>
    <r>
      <rPr>
        <b/>
        <sz val="10"/>
        <rFont val="Arial"/>
        <family val="2"/>
      </rPr>
      <t xml:space="preserve">                         Reconciliation</t>
    </r>
  </si>
  <si>
    <t>Pilot FAS 109</t>
  </si>
  <si>
    <t>Assets/Liabilities due to rate regulated capitalization of incurred costs - NND</t>
  </si>
</sst>
</file>

<file path=xl/styles.xml><?xml version="1.0" encoding="utf-8"?>
<styleSheet xmlns="http://schemas.openxmlformats.org/spreadsheetml/2006/main">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0.0000%"/>
    <numFmt numFmtId="173" formatCode="0.00000%"/>
    <numFmt numFmtId="174" formatCode="0.000000%"/>
    <numFmt numFmtId="175" formatCode="0.0"/>
    <numFmt numFmtId="176" formatCode="#,##0.0000"/>
    <numFmt numFmtId="177" formatCode="0.000000"/>
    <numFmt numFmtId="178" formatCode="_(* #,##0.0_);_(* \(#,##0.0\);_(* &quot;-&quot;??_);_(@_)"/>
  </numFmts>
  <fonts count="99">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b/>
      <sz val="12"/>
      <color indexed="10"/>
      <name val="Arial"/>
      <family val="2"/>
    </font>
    <font>
      <sz val="12"/>
      <color indexed="10"/>
      <name val="Arial"/>
      <family val="2"/>
    </font>
    <font>
      <b/>
      <sz val="10"/>
      <color indexed="10"/>
      <name val="Arial"/>
      <family val="2"/>
    </font>
    <font>
      <sz val="12"/>
      <name val="Arial MT"/>
    </font>
    <font>
      <b/>
      <sz val="14"/>
      <name val="Arial"/>
      <family val="2"/>
    </font>
    <font>
      <sz val="12"/>
      <name val="Arial Narrow"/>
      <family val="2"/>
    </font>
    <font>
      <b/>
      <sz val="12"/>
      <color indexed="10"/>
      <name val="Arial Narrow"/>
      <family val="2"/>
    </font>
    <font>
      <b/>
      <i/>
      <sz val="10"/>
      <name val="Arial"/>
      <family val="2"/>
    </font>
    <font>
      <b/>
      <sz val="10"/>
      <color indexed="10"/>
      <name val="Helv"/>
    </font>
    <font>
      <b/>
      <i/>
      <sz val="12"/>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b/>
      <sz val="10"/>
      <name val="Arial Narrow"/>
      <family val="2"/>
    </font>
    <font>
      <sz val="10"/>
      <color indexed="12"/>
      <name val="Arial Narrow"/>
      <family val="2"/>
    </font>
    <font>
      <sz val="10"/>
      <color indexed="10"/>
      <name val="Arial Narrow"/>
      <family val="2"/>
    </font>
    <font>
      <b/>
      <sz val="12"/>
      <name val="Arial Narrow"/>
      <family val="2"/>
    </font>
    <font>
      <sz val="12"/>
      <color indexed="12"/>
      <name val="Arial Narrow"/>
      <family val="2"/>
    </font>
    <font>
      <b/>
      <sz val="12"/>
      <color indexed="13"/>
      <name val="Arial Narrow"/>
      <family val="2"/>
    </font>
    <font>
      <sz val="12"/>
      <color indexed="13"/>
      <name val="Arial Narrow"/>
      <family val="2"/>
    </font>
    <font>
      <sz val="12"/>
      <color indexed="10"/>
      <name val="Arial Narrow"/>
      <family val="2"/>
    </font>
    <font>
      <b/>
      <u/>
      <sz val="12"/>
      <name val="Arial Narrow"/>
      <family val="2"/>
    </font>
    <font>
      <b/>
      <sz val="14"/>
      <name val="Arial Narrow"/>
      <family val="2"/>
    </font>
    <font>
      <sz val="14"/>
      <name val="Arial Narrow"/>
      <family val="2"/>
    </font>
    <font>
      <b/>
      <i/>
      <sz val="12"/>
      <color indexed="14"/>
      <name val="Arial Narrow"/>
      <family val="2"/>
    </font>
    <font>
      <sz val="9"/>
      <color indexed="10"/>
      <name val="Arial Narrow"/>
      <family val="2"/>
    </font>
    <font>
      <b/>
      <sz val="14"/>
      <color indexed="10"/>
      <name val="Arial"/>
      <family val="2"/>
    </font>
    <font>
      <b/>
      <sz val="16"/>
      <color indexed="10"/>
      <name val="Arial"/>
      <family val="2"/>
    </font>
    <font>
      <sz val="11"/>
      <name val="Arial Narrow"/>
      <family val="2"/>
    </font>
    <font>
      <b/>
      <sz val="16"/>
      <name val="Arial"/>
      <family val="2"/>
    </font>
    <font>
      <sz val="9"/>
      <name val="Arial Narrow"/>
      <family val="2"/>
    </font>
    <font>
      <b/>
      <sz val="9"/>
      <name val="Arial Narrow"/>
      <family val="2"/>
    </font>
    <font>
      <b/>
      <u/>
      <sz val="10"/>
      <name val="Arial"/>
      <family val="2"/>
    </font>
    <font>
      <b/>
      <i/>
      <sz val="14"/>
      <name val="Arial Narrow"/>
      <family val="2"/>
    </font>
    <font>
      <b/>
      <i/>
      <u/>
      <sz val="10"/>
      <name val="Arial"/>
      <family val="2"/>
    </font>
    <font>
      <sz val="10"/>
      <color indexed="12"/>
      <name val="Arial"/>
      <family val="2"/>
    </font>
    <font>
      <sz val="10"/>
      <name val="Arial"/>
      <family val="2"/>
    </font>
    <font>
      <sz val="8"/>
      <color indexed="10"/>
      <name val="Arial"/>
      <family val="2"/>
    </font>
    <font>
      <sz val="8"/>
      <color indexed="10"/>
      <name val="Arial Narrow"/>
      <family val="2"/>
    </font>
    <font>
      <sz val="10"/>
      <color indexed="14"/>
      <name val="Arial Narrow"/>
      <family val="2"/>
    </font>
    <font>
      <sz val="10"/>
      <name val="MS Sans Serif"/>
      <family val="2"/>
    </font>
    <font>
      <b/>
      <sz val="10"/>
      <name val="MS Sans Serif"/>
      <family val="2"/>
    </font>
    <font>
      <b/>
      <sz val="10"/>
      <name val="Helv"/>
    </font>
    <font>
      <sz val="10"/>
      <name val="Helv"/>
    </font>
    <font>
      <sz val="10"/>
      <color indexed="12"/>
      <name val="Helv"/>
    </font>
    <font>
      <sz val="10"/>
      <name val="Arial MT"/>
    </font>
    <font>
      <sz val="10"/>
      <color indexed="10"/>
      <name val="Helv"/>
    </font>
    <font>
      <b/>
      <sz val="10"/>
      <color indexed="13"/>
      <name val="Helvetica"/>
      <family val="2"/>
    </font>
    <font>
      <b/>
      <sz val="10"/>
      <color indexed="13"/>
      <name val="Helv"/>
    </font>
    <font>
      <b/>
      <u/>
      <sz val="10"/>
      <name val="Arial Narrow"/>
      <family val="2"/>
    </font>
    <font>
      <b/>
      <i/>
      <sz val="14"/>
      <name val="Arial"/>
      <family val="2"/>
    </font>
    <font>
      <sz val="14"/>
      <name val="Arial"/>
      <family val="2"/>
    </font>
    <font>
      <i/>
      <sz val="14"/>
      <name val="Arial"/>
      <family val="2"/>
    </font>
    <font>
      <sz val="10"/>
      <name val="Arial"/>
      <family val="2"/>
    </font>
    <font>
      <sz val="10"/>
      <color indexed="8"/>
      <name val="Arial"/>
      <family val="2"/>
    </font>
    <font>
      <sz val="10"/>
      <color indexed="10"/>
      <name val="Arial"/>
      <family val="2"/>
    </font>
    <font>
      <sz val="10"/>
      <color indexed="30"/>
      <name val="Arial"/>
      <family val="2"/>
    </font>
    <font>
      <b/>
      <sz val="10"/>
      <color indexed="10"/>
      <name val="Arial Narrow"/>
      <family val="2"/>
    </font>
    <font>
      <sz val="10"/>
      <color indexed="10"/>
      <name val="Arial Narrow"/>
      <family val="2"/>
    </font>
    <font>
      <sz val="10"/>
      <color indexed="18"/>
      <name val="Arial"/>
      <family val="2"/>
    </font>
    <font>
      <sz val="10"/>
      <color indexed="62"/>
      <name val="Arial Narrow"/>
      <family val="2"/>
    </font>
    <font>
      <sz val="10"/>
      <color indexed="62"/>
      <name val="Arial"/>
      <family val="2"/>
    </font>
    <font>
      <b/>
      <sz val="9"/>
      <color indexed="10"/>
      <name val="Arial"/>
      <family val="2"/>
    </font>
    <font>
      <sz val="9"/>
      <color indexed="10"/>
      <name val="Arial"/>
      <family val="2"/>
    </font>
    <font>
      <sz val="9"/>
      <color indexed="62"/>
      <name val="Arial"/>
      <family val="2"/>
    </font>
    <font>
      <u/>
      <sz val="10"/>
      <name val="Arial"/>
      <family val="2"/>
    </font>
    <font>
      <sz val="10"/>
      <color indexed="17"/>
      <name val="Arial"/>
      <family val="2"/>
    </font>
    <font>
      <sz val="9"/>
      <color indexed="17"/>
      <name val="Arial"/>
      <family val="2"/>
    </font>
    <font>
      <sz val="10"/>
      <color indexed="17"/>
      <name val="Arial Narrow"/>
      <family val="2"/>
    </font>
    <font>
      <sz val="8"/>
      <name val="Arial"/>
      <family val="2"/>
    </font>
    <font>
      <sz val="10"/>
      <color theme="1"/>
      <name val="Arial"/>
      <family val="2"/>
    </font>
    <font>
      <sz val="10"/>
      <color rgb="FF00B050"/>
      <name val="Arial"/>
      <family val="2"/>
    </font>
    <font>
      <b/>
      <sz val="9"/>
      <color indexed="10"/>
      <name val="Arial Narrow"/>
      <family val="2"/>
    </font>
    <font>
      <b/>
      <i/>
      <sz val="9"/>
      <name val="Arial Narrow"/>
      <family val="2"/>
    </font>
    <font>
      <b/>
      <sz val="9"/>
      <name val="Arial"/>
      <family val="2"/>
    </font>
    <font>
      <sz val="9"/>
      <color rgb="FFFF0000"/>
      <name val="Arial Narrow"/>
      <family val="2"/>
    </font>
    <font>
      <sz val="9"/>
      <name val="Arial"/>
      <family val="2"/>
    </font>
    <font>
      <sz val="11"/>
      <name val="Calibri"/>
      <family val="2"/>
    </font>
    <font>
      <sz val="12"/>
      <name val="Helv"/>
    </font>
    <font>
      <sz val="10"/>
      <color indexed="8"/>
      <name val="MS Sans Serif"/>
      <family val="2"/>
    </font>
    <font>
      <sz val="11"/>
      <color theme="1"/>
      <name val="Calibri"/>
      <family val="2"/>
      <scheme val="minor"/>
    </font>
    <font>
      <b/>
      <sz val="20"/>
      <name val="Arial"/>
      <family val="2"/>
    </font>
    <font>
      <b/>
      <sz val="11"/>
      <color theme="1"/>
      <name val="Calibri"/>
      <family val="2"/>
      <scheme val="minor"/>
    </font>
    <font>
      <b/>
      <sz val="11"/>
      <color rgb="FFFF0000"/>
      <name val="Calibri"/>
      <family val="2"/>
      <scheme val="minor"/>
    </font>
    <font>
      <sz val="11"/>
      <name val="Calibri"/>
      <family val="2"/>
      <scheme val="minor"/>
    </font>
  </fonts>
  <fills count="12">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17"/>
        <bgColor indexed="64"/>
      </patternFill>
    </fill>
    <fill>
      <patternFill patternType="solid">
        <fgColor rgb="FFFFFF99"/>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double">
        <color indexed="64"/>
      </bottom>
      <diagonal/>
    </border>
    <border>
      <left style="medium">
        <color indexed="64"/>
      </left>
      <right/>
      <top style="thin">
        <color indexed="64"/>
      </top>
      <bottom/>
      <diagonal/>
    </border>
  </borders>
  <cellStyleXfs count="88">
    <xf numFmtId="0" fontId="0" fillId="0" borderId="0"/>
    <xf numFmtId="43" fontId="7" fillId="0" borderId="0" applyFont="0" applyFill="0" applyBorder="0" applyAlignment="0" applyProtection="0"/>
    <xf numFmtId="43" fontId="7" fillId="0" borderId="0" applyFont="0" applyFill="0" applyBorder="0" applyAlignment="0" applyProtection="0"/>
    <xf numFmtId="43" fontId="5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7" fillId="0" borderId="0" applyFont="0" applyFill="0" applyBorder="0" applyAlignment="0" applyProtection="0"/>
    <xf numFmtId="44" fontId="7" fillId="0" borderId="0" applyFont="0" applyFill="0" applyBorder="0" applyAlignment="0" applyProtection="0"/>
    <xf numFmtId="44" fontId="5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8" fillId="0" borderId="0" applyFont="0" applyFill="0" applyBorder="0" applyAlignment="0" applyProtection="0"/>
    <xf numFmtId="0" fontId="7" fillId="0" borderId="0"/>
    <xf numFmtId="0" fontId="7" fillId="0" borderId="0"/>
    <xf numFmtId="0" fontId="84" fillId="0" borderId="0"/>
    <xf numFmtId="165" fontId="12" fillId="0" borderId="0"/>
    <xf numFmtId="170" fontId="16" fillId="0" borderId="0" applyProtection="0"/>
    <xf numFmtId="0" fontId="7" fillId="0" borderId="0"/>
    <xf numFmtId="9" fontId="7" fillId="0" borderId="0" applyFont="0" applyFill="0" applyBorder="0" applyAlignment="0" applyProtection="0"/>
    <xf numFmtId="9" fontId="5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8" fillId="0" borderId="0" applyFont="0" applyFill="0" applyBorder="0" applyAlignment="0" applyProtection="0"/>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55" fillId="0" borderId="1">
      <alignment horizontal="center"/>
    </xf>
    <xf numFmtId="3" fontId="54" fillId="0" borderId="0" applyFont="0" applyFill="0" applyBorder="0" applyAlignment="0" applyProtection="0"/>
    <xf numFmtId="0" fontId="54" fillId="2" borderId="0" applyNumberFormat="0" applyFont="0" applyBorder="0" applyAlignment="0" applyProtection="0"/>
    <xf numFmtId="43" fontId="7" fillId="0" borderId="0" applyFont="0" applyFill="0" applyBorder="0" applyAlignment="0" applyProtection="0"/>
    <xf numFmtId="0" fontId="6" fillId="0" borderId="0"/>
    <xf numFmtId="165" fontId="92" fillId="0" borderId="0"/>
    <xf numFmtId="0" fontId="5" fillId="0" borderId="0"/>
    <xf numFmtId="0" fontId="68" fillId="0" borderId="0">
      <alignment vertical="top"/>
    </xf>
    <xf numFmtId="0" fontId="93" fillId="0" borderId="0"/>
    <xf numFmtId="0" fontId="93" fillId="0" borderId="0" applyNumberFormat="0" applyFont="0" applyFill="0" applyBorder="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44" fontId="5" fillId="0" borderId="0" applyFont="0" applyFill="0" applyBorder="0" applyAlignment="0" applyProtection="0"/>
    <xf numFmtId="43" fontId="5" fillId="0" borderId="0" applyFont="0" applyFill="0" applyBorder="0" applyAlignment="0" applyProtection="0"/>
    <xf numFmtId="0" fontId="94" fillId="0" borderId="0"/>
    <xf numFmtId="0" fontId="93" fillId="0" borderId="0"/>
    <xf numFmtId="43" fontId="9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94" fillId="0" borderId="0"/>
    <xf numFmtId="0" fontId="68" fillId="0" borderId="0">
      <alignment vertical="top"/>
    </xf>
    <xf numFmtId="0" fontId="5" fillId="0" borderId="0"/>
    <xf numFmtId="43" fontId="5"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3" fillId="0" borderId="0"/>
    <xf numFmtId="0" fontId="4" fillId="0" borderId="0"/>
    <xf numFmtId="43" fontId="4" fillId="0" borderId="0" applyFont="0" applyFill="0" applyBorder="0" applyAlignment="0" applyProtection="0"/>
    <xf numFmtId="0" fontId="2" fillId="0" borderId="0"/>
    <xf numFmtId="0" fontId="7"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356">
    <xf numFmtId="0" fontId="0" fillId="0" borderId="0" xfId="0"/>
    <xf numFmtId="0" fontId="9" fillId="0" borderId="0" xfId="0" applyFont="1"/>
    <xf numFmtId="0" fontId="0" fillId="0" borderId="0" xfId="0" applyFill="1"/>
    <xf numFmtId="0" fontId="11" fillId="0" borderId="0" xfId="0" applyNumberFormat="1" applyFont="1" applyAlignment="1">
      <alignment horizontal="center"/>
    </xf>
    <xf numFmtId="0" fontId="11" fillId="0" borderId="0" xfId="0" applyFont="1" applyAlignment="1"/>
    <xf numFmtId="0" fontId="11" fillId="0" borderId="0" xfId="0" applyFont="1"/>
    <xf numFmtId="0" fontId="11" fillId="0" borderId="0" xfId="0" applyNumberFormat="1" applyFont="1" applyAlignment="1">
      <alignment horizontal="left"/>
    </xf>
    <xf numFmtId="0" fontId="11" fillId="0" borderId="0" xfId="0" applyFont="1" applyFill="1"/>
    <xf numFmtId="0" fontId="11" fillId="0" borderId="0" xfId="0" applyFont="1" applyFill="1" applyAlignment="1">
      <alignment horizontal="left"/>
    </xf>
    <xf numFmtId="0" fontId="11" fillId="0" borderId="0" xfId="0" applyFont="1" applyAlignment="1">
      <alignment horizontal="left"/>
    </xf>
    <xf numFmtId="0" fontId="11" fillId="0" borderId="0" xfId="0" applyFont="1" applyBorder="1"/>
    <xf numFmtId="0" fontId="11" fillId="0" borderId="0" xfId="0" applyFont="1" applyFill="1" applyAlignment="1">
      <alignment horizontal="right"/>
    </xf>
    <xf numFmtId="0" fontId="11" fillId="0" borderId="0" xfId="0" applyFont="1" applyFill="1" applyBorder="1"/>
    <xf numFmtId="0" fontId="11" fillId="0" borderId="0" xfId="0" applyNumberFormat="1" applyFont="1" applyFill="1" applyBorder="1" applyAlignment="1">
      <alignment horizontal="center"/>
    </xf>
    <xf numFmtId="0" fontId="18" fillId="0" borderId="0" xfId="0" applyFont="1" applyBorder="1" applyAlignment="1"/>
    <xf numFmtId="0" fontId="19" fillId="0" borderId="0" xfId="0" applyFont="1" applyBorder="1" applyAlignment="1">
      <alignment horizontal="center"/>
    </xf>
    <xf numFmtId="37" fontId="18" fillId="0" borderId="0" xfId="0" applyNumberFormat="1" applyFont="1" applyBorder="1" applyAlignment="1">
      <alignment horizontal="left"/>
    </xf>
    <xf numFmtId="0" fontId="18" fillId="0" borderId="0" xfId="0" applyFont="1" applyFill="1" applyAlignment="1"/>
    <xf numFmtId="0" fontId="18" fillId="0" borderId="0" xfId="0" applyFont="1" applyAlignment="1"/>
    <xf numFmtId="0" fontId="9" fillId="0" borderId="0" xfId="0" applyFont="1" applyFill="1"/>
    <xf numFmtId="0" fontId="20" fillId="0" borderId="0" xfId="0" applyFont="1"/>
    <xf numFmtId="0" fontId="0" fillId="0" borderId="0" xfId="0" applyAlignment="1">
      <alignment horizontal="center"/>
    </xf>
    <xf numFmtId="0" fontId="20" fillId="0" borderId="0" xfId="0" applyFont="1" applyFill="1" applyAlignment="1">
      <alignment horizontal="center"/>
    </xf>
    <xf numFmtId="0" fontId="24" fillId="0" borderId="0" xfId="0" applyFont="1"/>
    <xf numFmtId="0" fontId="24" fillId="0" borderId="0" xfId="0" applyFont="1" applyFill="1"/>
    <xf numFmtId="0" fontId="24" fillId="0" borderId="0" xfId="0" applyFont="1" applyBorder="1"/>
    <xf numFmtId="0" fontId="23" fillId="0" borderId="0" xfId="0" applyFont="1" applyBorder="1"/>
    <xf numFmtId="0" fontId="20" fillId="0" borderId="0" xfId="0" applyFont="1" applyAlignment="1">
      <alignment horizontal="center"/>
    </xf>
    <xf numFmtId="0" fontId="20" fillId="0" borderId="0" xfId="0" applyFont="1" applyFill="1" applyAlignment="1">
      <alignment horizontal="right"/>
    </xf>
    <xf numFmtId="0" fontId="15" fillId="0" borderId="0" xfId="0" applyFont="1"/>
    <xf numFmtId="0" fontId="20" fillId="0" borderId="0" xfId="0" applyNumberFormat="1" applyFont="1" applyFill="1" applyBorder="1" applyAlignment="1">
      <alignment horizontal="center"/>
    </xf>
    <xf numFmtId="0" fontId="20" fillId="0" borderId="0" xfId="0" applyFont="1" applyBorder="1" applyAlignment="1">
      <alignment horizontal="center"/>
    </xf>
    <xf numFmtId="0" fontId="26" fillId="0" borderId="0" xfId="0" applyFont="1" applyAlignment="1">
      <alignment horizontal="center"/>
    </xf>
    <xf numFmtId="164" fontId="0" fillId="0" borderId="0" xfId="1" applyNumberFormat="1" applyFont="1"/>
    <xf numFmtId="43" fontId="0" fillId="0" borderId="0" xfId="0" applyNumberFormat="1"/>
    <xf numFmtId="0" fontId="0" fillId="0" borderId="2" xfId="0" applyBorder="1"/>
    <xf numFmtId="0" fontId="0" fillId="0" borderId="0" xfId="0" applyBorder="1"/>
    <xf numFmtId="0" fontId="0" fillId="0" borderId="3" xfId="0" applyBorder="1"/>
    <xf numFmtId="0" fontId="0" fillId="0" borderId="4" xfId="0" applyBorder="1"/>
    <xf numFmtId="0" fontId="0" fillId="0" borderId="1" xfId="0" applyBorder="1"/>
    <xf numFmtId="0" fontId="0" fillId="0" borderId="5" xfId="0" applyBorder="1"/>
    <xf numFmtId="164" fontId="0" fillId="0" borderId="0" xfId="1" applyNumberFormat="1" applyFont="1" applyFill="1"/>
    <xf numFmtId="172" fontId="0" fillId="0" borderId="0" xfId="18" applyNumberFormat="1" applyFont="1"/>
    <xf numFmtId="0" fontId="8" fillId="0" borderId="0" xfId="0" applyFont="1" applyAlignment="1">
      <alignment horizontal="left"/>
    </xf>
    <xf numFmtId="0" fontId="25" fillId="0" borderId="0" xfId="0" applyFont="1" applyFill="1" applyAlignment="1">
      <alignment horizontal="center"/>
    </xf>
    <xf numFmtId="0" fontId="28" fillId="0" borderId="0" xfId="0" applyFont="1" applyFill="1" applyBorder="1" applyAlignment="1">
      <alignment horizontal="center"/>
    </xf>
    <xf numFmtId="0" fontId="27" fillId="0" borderId="0" xfId="0" applyFont="1" applyBorder="1" applyAlignment="1">
      <alignment horizontal="center"/>
    </xf>
    <xf numFmtId="0" fontId="27" fillId="0" borderId="0" xfId="0" applyNumberFormat="1" applyFont="1" applyBorder="1" applyAlignment="1">
      <alignment horizontal="left"/>
    </xf>
    <xf numFmtId="0" fontId="30" fillId="0" borderId="0" xfId="0" applyNumberFormat="1" applyFont="1" applyFill="1" applyAlignment="1"/>
    <xf numFmtId="0" fontId="18" fillId="0" borderId="0" xfId="0" applyNumberFormat="1" applyFont="1" applyAlignment="1">
      <alignment horizontal="center"/>
    </xf>
    <xf numFmtId="0" fontId="18" fillId="0" borderId="0" xfId="0" applyFont="1" applyFill="1" applyBorder="1"/>
    <xf numFmtId="0" fontId="18" fillId="0" borderId="0" xfId="0" applyFont="1" applyBorder="1" applyAlignment="1">
      <alignment horizontal="center"/>
    </xf>
    <xf numFmtId="0" fontId="18" fillId="0" borderId="6" xfId="0" applyNumberFormat="1" applyFont="1" applyBorder="1" applyAlignment="1"/>
    <xf numFmtId="3" fontId="18" fillId="0" borderId="6" xfId="0" applyNumberFormat="1" applyFont="1" applyBorder="1" applyAlignment="1"/>
    <xf numFmtId="3" fontId="18" fillId="0" borderId="6" xfId="0" applyNumberFormat="1" applyFont="1" applyBorder="1" applyAlignment="1">
      <alignment horizontal="center"/>
    </xf>
    <xf numFmtId="0" fontId="30" fillId="0" borderId="7" xfId="0" applyNumberFormat="1" applyFont="1" applyFill="1" applyBorder="1" applyAlignment="1"/>
    <xf numFmtId="0" fontId="18" fillId="0" borderId="7" xfId="0" applyFont="1" applyFill="1" applyBorder="1" applyAlignment="1"/>
    <xf numFmtId="3" fontId="18" fillId="0" borderId="7" xfId="0" applyNumberFormat="1" applyFont="1" applyFill="1" applyBorder="1" applyAlignment="1">
      <alignment horizontal="center"/>
    </xf>
    <xf numFmtId="3" fontId="18" fillId="0" borderId="0" xfId="0" applyNumberFormat="1" applyFont="1" applyFill="1" applyAlignment="1">
      <alignment horizontal="center"/>
    </xf>
    <xf numFmtId="0" fontId="31" fillId="0" borderId="0" xfId="0" applyFont="1" applyFill="1" applyBorder="1" applyAlignment="1">
      <alignment horizontal="center"/>
    </xf>
    <xf numFmtId="0" fontId="18" fillId="0" borderId="0" xfId="0" applyFont="1" applyFill="1" applyBorder="1" applyAlignment="1"/>
    <xf numFmtId="0" fontId="32" fillId="3" borderId="0" xfId="0" applyFont="1" applyFill="1" applyBorder="1" applyAlignment="1"/>
    <xf numFmtId="0" fontId="18" fillId="3" borderId="0" xfId="0" applyFont="1" applyFill="1" applyBorder="1" applyAlignment="1"/>
    <xf numFmtId="0" fontId="30" fillId="3" borderId="0" xfId="0" applyNumberFormat="1" applyFont="1" applyFill="1" applyBorder="1" applyAlignment="1">
      <alignment horizontal="center"/>
    </xf>
    <xf numFmtId="0" fontId="32" fillId="0" borderId="0" xfId="0" applyFont="1" applyFill="1" applyBorder="1" applyAlignment="1"/>
    <xf numFmtId="0" fontId="30" fillId="0" borderId="0" xfId="0" applyNumberFormat="1" applyFont="1" applyFill="1" applyBorder="1" applyAlignment="1">
      <alignment horizontal="center"/>
    </xf>
    <xf numFmtId="3" fontId="18" fillId="0" borderId="0" xfId="0" applyNumberFormat="1" applyFont="1" applyBorder="1" applyAlignment="1"/>
    <xf numFmtId="0" fontId="18" fillId="0" borderId="0" xfId="0" applyNumberFormat="1" applyFont="1" applyBorder="1" applyAlignment="1"/>
    <xf numFmtId="3" fontId="18" fillId="0" borderId="0" xfId="0" applyNumberFormat="1" applyFont="1" applyBorder="1" applyAlignment="1">
      <alignment horizontal="center"/>
    </xf>
    <xf numFmtId="0" fontId="30" fillId="0" borderId="0" xfId="0" applyNumberFormat="1" applyFont="1" applyFill="1" applyBorder="1" applyAlignment="1">
      <alignment horizontal="left"/>
    </xf>
    <xf numFmtId="3" fontId="18" fillId="0" borderId="0" xfId="0" applyNumberFormat="1" applyFont="1" applyFill="1" applyBorder="1" applyAlignment="1"/>
    <xf numFmtId="0" fontId="18" fillId="0" borderId="0" xfId="0" applyNumberFormat="1" applyFont="1" applyFill="1" applyBorder="1" applyAlignment="1"/>
    <xf numFmtId="0" fontId="31" fillId="0" borderId="0" xfId="0" applyFont="1" applyFill="1" applyBorder="1"/>
    <xf numFmtId="3" fontId="31" fillId="0" borderId="0" xfId="0" applyNumberFormat="1" applyFont="1" applyFill="1" applyBorder="1" applyAlignment="1">
      <alignment horizontal="center"/>
    </xf>
    <xf numFmtId="0" fontId="18" fillId="0" borderId="0" xfId="0" applyFont="1" applyFill="1" applyBorder="1" applyAlignment="1">
      <alignment horizontal="left"/>
    </xf>
    <xf numFmtId="0" fontId="18" fillId="0" borderId="0" xfId="0" applyNumberFormat="1" applyFont="1" applyBorder="1" applyAlignment="1">
      <alignment horizontal="center"/>
    </xf>
    <xf numFmtId="0" fontId="30" fillId="0" borderId="0" xfId="0" applyFont="1" applyBorder="1" applyAlignment="1">
      <alignment horizontal="left"/>
    </xf>
    <xf numFmtId="0" fontId="18" fillId="0" borderId="0" xfId="0" applyNumberFormat="1" applyFont="1" applyFill="1" applyBorder="1" applyAlignment="1">
      <alignment horizontal="left"/>
    </xf>
    <xf numFmtId="0" fontId="18" fillId="0" borderId="0" xfId="0" applyNumberFormat="1" applyFont="1" applyBorder="1" applyAlignment="1">
      <alignment horizontal="left"/>
    </xf>
    <xf numFmtId="3" fontId="30" fillId="0" borderId="0" xfId="0" applyNumberFormat="1" applyFont="1" applyBorder="1" applyAlignment="1"/>
    <xf numFmtId="3" fontId="30" fillId="0" borderId="0" xfId="0" applyNumberFormat="1" applyFont="1" applyFill="1" applyBorder="1" applyAlignment="1"/>
    <xf numFmtId="0" fontId="18" fillId="0" borderId="0" xfId="0" applyFont="1" applyFill="1" applyBorder="1" applyAlignment="1">
      <alignment horizontal="center"/>
    </xf>
    <xf numFmtId="0" fontId="30" fillId="0" borderId="0" xfId="0" applyNumberFormat="1" applyFont="1" applyBorder="1" applyAlignment="1"/>
    <xf numFmtId="0" fontId="30" fillId="0" borderId="0" xfId="0" applyFont="1" applyBorder="1" applyAlignment="1"/>
    <xf numFmtId="0" fontId="30" fillId="0" borderId="0" xfId="0" applyFont="1" applyBorder="1" applyAlignment="1">
      <alignment horizontal="center"/>
    </xf>
    <xf numFmtId="168" fontId="30" fillId="0" borderId="0" xfId="0" applyNumberFormat="1" applyFont="1" applyBorder="1" applyAlignment="1">
      <alignment horizontal="left"/>
    </xf>
    <xf numFmtId="0" fontId="18" fillId="0" borderId="0" xfId="0" applyFont="1" applyBorder="1"/>
    <xf numFmtId="168" fontId="18" fillId="0" borderId="0" xfId="0" applyNumberFormat="1" applyFont="1" applyBorder="1" applyAlignment="1">
      <alignment horizontal="left"/>
    </xf>
    <xf numFmtId="0" fontId="36" fillId="0" borderId="8" xfId="0" applyNumberFormat="1" applyFont="1" applyBorder="1" applyAlignment="1">
      <alignment horizontal="center"/>
    </xf>
    <xf numFmtId="0" fontId="36" fillId="0" borderId="0" xfId="0" applyNumberFormat="1" applyFont="1" applyBorder="1" applyAlignment="1">
      <alignment horizontal="center"/>
    </xf>
    <xf numFmtId="0" fontId="30" fillId="0" borderId="0" xfId="0" applyNumberFormat="1" applyFont="1" applyBorder="1" applyAlignment="1">
      <alignment horizontal="left"/>
    </xf>
    <xf numFmtId="0" fontId="36" fillId="0" borderId="0" xfId="0" applyNumberFormat="1" applyFont="1" applyFill="1" applyBorder="1" applyAlignment="1"/>
    <xf numFmtId="0" fontId="36" fillId="0" borderId="0" xfId="0" applyFont="1" applyFill="1" applyBorder="1" applyAlignment="1"/>
    <xf numFmtId="3" fontId="36" fillId="0" borderId="0" xfId="0" applyNumberFormat="1" applyFont="1" applyBorder="1" applyAlignment="1">
      <alignment horizontal="center"/>
    </xf>
    <xf numFmtId="0" fontId="18" fillId="0" borderId="0" xfId="0" applyNumberFormat="1" applyFont="1" applyFill="1" applyBorder="1" applyAlignment="1">
      <alignment horizontal="center"/>
    </xf>
    <xf numFmtId="3" fontId="36" fillId="0" borderId="0" xfId="0" applyNumberFormat="1" applyFont="1" applyFill="1" applyBorder="1" applyAlignment="1">
      <alignment horizontal="center"/>
    </xf>
    <xf numFmtId="0" fontId="30" fillId="0" borderId="0" xfId="0" applyNumberFormat="1" applyFont="1" applyFill="1" applyBorder="1" applyAlignment="1"/>
    <xf numFmtId="0" fontId="36" fillId="0" borderId="9" xfId="0" applyNumberFormat="1" applyFont="1" applyBorder="1" applyAlignment="1">
      <alignment horizontal="left"/>
    </xf>
    <xf numFmtId="0" fontId="30" fillId="0" borderId="0" xfId="0" applyFont="1" applyFill="1" applyBorder="1"/>
    <xf numFmtId="0" fontId="31" fillId="0" borderId="0" xfId="0" applyFont="1" applyBorder="1" applyAlignment="1">
      <alignment horizontal="center"/>
    </xf>
    <xf numFmtId="0" fontId="19" fillId="4" borderId="0" xfId="0" applyFont="1" applyFill="1" applyBorder="1" applyAlignment="1">
      <alignment horizontal="center"/>
    </xf>
    <xf numFmtId="0" fontId="36" fillId="0" borderId="9" xfId="0" applyNumberFormat="1" applyFont="1" applyBorder="1" applyAlignment="1">
      <alignment horizontal="center"/>
    </xf>
    <xf numFmtId="0" fontId="30" fillId="0" borderId="2" xfId="0" applyNumberFormat="1" applyFont="1" applyFill="1" applyBorder="1" applyAlignment="1">
      <alignment horizontal="center"/>
    </xf>
    <xf numFmtId="3" fontId="18" fillId="0" borderId="3" xfId="0" applyNumberFormat="1" applyFont="1" applyBorder="1" applyAlignment="1"/>
    <xf numFmtId="0" fontId="18" fillId="0" borderId="2" xfId="0" applyNumberFormat="1" applyFont="1" applyBorder="1" applyAlignment="1">
      <alignment horizontal="center"/>
    </xf>
    <xf numFmtId="0" fontId="31" fillId="0" borderId="0" xfId="0" applyFont="1" applyFill="1" applyBorder="1" applyAlignment="1">
      <alignment horizontal="left"/>
    </xf>
    <xf numFmtId="0" fontId="18" fillId="0" borderId="2" xfId="0" applyFont="1" applyBorder="1" applyAlignment="1">
      <alignment horizontal="center"/>
    </xf>
    <xf numFmtId="0" fontId="18" fillId="0" borderId="3" xfId="0" applyFont="1" applyBorder="1"/>
    <xf numFmtId="0" fontId="18" fillId="0" borderId="3" xfId="0" applyFont="1" applyFill="1" applyBorder="1"/>
    <xf numFmtId="3" fontId="18" fillId="0" borderId="10" xfId="0" applyNumberFormat="1" applyFont="1" applyBorder="1" applyAlignment="1"/>
    <xf numFmtId="0" fontId="18" fillId="0" borderId="3" xfId="0" applyFont="1" applyBorder="1" applyAlignment="1"/>
    <xf numFmtId="3" fontId="18" fillId="0" borderId="11" xfId="0" applyNumberFormat="1" applyFont="1" applyBorder="1" applyAlignment="1"/>
    <xf numFmtId="3" fontId="18" fillId="0" borderId="0" xfId="0" applyNumberFormat="1" applyFont="1" applyFill="1" applyBorder="1" applyAlignment="1">
      <alignment horizontal="center"/>
    </xf>
    <xf numFmtId="0" fontId="18" fillId="0" borderId="2" xfId="0" applyNumberFormat="1" applyFont="1" applyFill="1" applyBorder="1" applyAlignment="1">
      <alignment horizontal="center"/>
    </xf>
    <xf numFmtId="3" fontId="18" fillId="0" borderId="3" xfId="0" applyNumberFormat="1" applyFont="1" applyFill="1" applyBorder="1" applyAlignment="1"/>
    <xf numFmtId="0" fontId="18" fillId="0" borderId="2" xfId="0" applyNumberFormat="1" applyFont="1" applyBorder="1" applyAlignment="1">
      <alignment horizontal="left"/>
    </xf>
    <xf numFmtId="0" fontId="32" fillId="3" borderId="2" xfId="0" applyFont="1" applyFill="1" applyBorder="1" applyAlignment="1">
      <alignment horizontal="left"/>
    </xf>
    <xf numFmtId="0" fontId="18" fillId="3" borderId="3" xfId="0" applyFont="1" applyFill="1" applyBorder="1"/>
    <xf numFmtId="0" fontId="33" fillId="0" borderId="2" xfId="0" applyFont="1" applyFill="1" applyBorder="1" applyAlignment="1">
      <alignment horizontal="center"/>
    </xf>
    <xf numFmtId="0" fontId="18" fillId="0" borderId="2" xfId="0" applyFont="1" applyFill="1" applyBorder="1" applyAlignment="1">
      <alignment horizontal="center"/>
    </xf>
    <xf numFmtId="0" fontId="18" fillId="0" borderId="0" xfId="0" applyFont="1" applyFill="1" applyBorder="1" applyAlignment="1">
      <alignment horizontal="right"/>
    </xf>
    <xf numFmtId="0" fontId="18" fillId="0" borderId="3" xfId="0" applyFont="1" applyFill="1" applyBorder="1" applyAlignment="1">
      <alignment horizontal="left"/>
    </xf>
    <xf numFmtId="0" fontId="19" fillId="0" borderId="0" xfId="0" applyFont="1" applyFill="1" applyBorder="1"/>
    <xf numFmtId="3" fontId="34" fillId="0" borderId="0" xfId="0" applyNumberFormat="1" applyFont="1" applyFill="1" applyBorder="1" applyAlignment="1">
      <alignment horizontal="center"/>
    </xf>
    <xf numFmtId="0" fontId="18" fillId="5" borderId="2" xfId="0" applyNumberFormat="1" applyFont="1" applyFill="1" applyBorder="1" applyAlignment="1">
      <alignment horizontal="center"/>
    </xf>
    <xf numFmtId="3" fontId="31" fillId="0" borderId="3" xfId="0" applyNumberFormat="1" applyFont="1" applyBorder="1" applyAlignment="1">
      <alignment horizontal="right"/>
    </xf>
    <xf numFmtId="0" fontId="35" fillId="0" borderId="0" xfId="0" applyNumberFormat="1" applyFont="1" applyFill="1" applyBorder="1" applyAlignment="1">
      <alignment horizontal="left"/>
    </xf>
    <xf numFmtId="0" fontId="18" fillId="0" borderId="3" xfId="0" applyNumberFormat="1" applyFont="1" applyBorder="1" applyAlignment="1">
      <alignment horizontal="left"/>
    </xf>
    <xf numFmtId="0" fontId="18" fillId="0" borderId="0" xfId="0" applyNumberFormat="1" applyFont="1" applyFill="1" applyBorder="1" applyAlignment="1">
      <alignment horizontal="right"/>
    </xf>
    <xf numFmtId="0" fontId="34" fillId="0" borderId="0" xfId="0" applyFont="1" applyFill="1" applyBorder="1" applyAlignment="1">
      <alignment horizontal="center"/>
    </xf>
    <xf numFmtId="3" fontId="31" fillId="0" borderId="3" xfId="0" applyNumberFormat="1" applyFont="1" applyFill="1" applyBorder="1" applyAlignment="1">
      <alignment horizontal="right"/>
    </xf>
    <xf numFmtId="0" fontId="18" fillId="0" borderId="3" xfId="0" applyNumberFormat="1" applyFont="1" applyFill="1" applyBorder="1" applyAlignment="1">
      <alignment horizontal="left"/>
    </xf>
    <xf numFmtId="0" fontId="18" fillId="0" borderId="0" xfId="0" applyFont="1" applyBorder="1" applyAlignment="1">
      <alignment horizontal="left"/>
    </xf>
    <xf numFmtId="0" fontId="30" fillId="0" borderId="0" xfId="0" applyNumberFormat="1" applyFont="1" applyFill="1" applyBorder="1" applyAlignment="1">
      <alignment horizontal="right"/>
    </xf>
    <xf numFmtId="0" fontId="30" fillId="0" borderId="2" xfId="0" applyFont="1" applyBorder="1"/>
    <xf numFmtId="0" fontId="30" fillId="0" borderId="0" xfId="0" applyFont="1" applyBorder="1"/>
    <xf numFmtId="3" fontId="31" fillId="0" borderId="0" xfId="0" applyNumberFormat="1" applyFont="1" applyBorder="1" applyAlignment="1">
      <alignment horizontal="center"/>
    </xf>
    <xf numFmtId="0" fontId="30" fillId="3" borderId="0" xfId="0" applyNumberFormat="1" applyFont="1" applyFill="1" applyBorder="1" applyAlignment="1">
      <alignment horizontal="left"/>
    </xf>
    <xf numFmtId="0" fontId="18" fillId="0" borderId="3" xfId="0" applyFont="1" applyFill="1" applyBorder="1" applyAlignment="1"/>
    <xf numFmtId="0" fontId="18" fillId="0" borderId="3" xfId="0" applyNumberFormat="1" applyFont="1" applyFill="1" applyBorder="1" applyAlignment="1"/>
    <xf numFmtId="0" fontId="18" fillId="0" borderId="3" xfId="0" applyFont="1" applyBorder="1" applyAlignment="1">
      <alignment horizontal="right"/>
    </xf>
    <xf numFmtId="0" fontId="18" fillId="0" borderId="0" xfId="0" applyNumberFormat="1" applyFont="1" applyBorder="1" applyAlignment="1">
      <alignment horizontal="right"/>
    </xf>
    <xf numFmtId="0" fontId="31" fillId="0" borderId="0" xfId="0" applyNumberFormat="1" applyFont="1" applyFill="1" applyBorder="1" applyAlignment="1">
      <alignment horizontal="center"/>
    </xf>
    <xf numFmtId="0" fontId="18" fillId="0" borderId="3" xfId="0" applyNumberFormat="1" applyFont="1" applyBorder="1" applyAlignment="1"/>
    <xf numFmtId="3" fontId="18" fillId="0" borderId="0" xfId="0" applyNumberFormat="1" applyFont="1" applyBorder="1" applyAlignment="1">
      <alignment horizontal="left"/>
    </xf>
    <xf numFmtId="0" fontId="18" fillId="0" borderId="0" xfId="0" applyNumberFormat="1" applyFont="1" applyFill="1" applyBorder="1"/>
    <xf numFmtId="170" fontId="18" fillId="0" borderId="0" xfId="0" applyNumberFormat="1" applyFont="1" applyBorder="1" applyAlignment="1"/>
    <xf numFmtId="0" fontId="36" fillId="0" borderId="2" xfId="0" applyNumberFormat="1" applyFont="1" applyBorder="1" applyAlignment="1">
      <alignment horizontal="center"/>
    </xf>
    <xf numFmtId="3" fontId="30" fillId="0" borderId="3" xfId="0" applyNumberFormat="1" applyFont="1" applyBorder="1" applyAlignment="1"/>
    <xf numFmtId="0" fontId="38" fillId="0" borderId="2" xfId="0" applyFont="1" applyBorder="1" applyAlignment="1">
      <alignment horizontal="left"/>
    </xf>
    <xf numFmtId="0" fontId="18" fillId="5" borderId="3" xfId="0" applyFont="1" applyFill="1" applyBorder="1" applyAlignment="1"/>
    <xf numFmtId="0" fontId="39" fillId="4" borderId="0" xfId="0" applyFont="1" applyFill="1" applyBorder="1" applyAlignment="1"/>
    <xf numFmtId="0" fontId="36" fillId="0" borderId="12" xfId="0" applyNumberFormat="1" applyFont="1" applyBorder="1" applyAlignment="1">
      <alignment horizontal="center"/>
    </xf>
    <xf numFmtId="0" fontId="31" fillId="0" borderId="0" xfId="0" applyFont="1" applyFill="1" applyBorder="1" applyAlignment="1"/>
    <xf numFmtId="3" fontId="31" fillId="0" borderId="0" xfId="0" applyNumberFormat="1" applyFont="1" applyBorder="1" applyAlignment="1">
      <alignment horizontal="right"/>
    </xf>
    <xf numFmtId="3" fontId="31" fillId="0" borderId="0" xfId="0" applyNumberFormat="1" applyFont="1" applyFill="1" applyBorder="1" applyAlignment="1">
      <alignment horizontal="right"/>
    </xf>
    <xf numFmtId="0" fontId="30" fillId="0" borderId="0" xfId="0" applyNumberFormat="1" applyFont="1" applyBorder="1" applyAlignment="1">
      <alignment horizontal="center"/>
    </xf>
    <xf numFmtId="0" fontId="31" fillId="0" borderId="0" xfId="0" applyNumberFormat="1" applyFont="1" applyBorder="1" applyAlignment="1">
      <alignment horizontal="center"/>
    </xf>
    <xf numFmtId="165" fontId="18" fillId="0" borderId="0" xfId="15" applyFont="1" applyBorder="1" applyAlignment="1">
      <alignment vertical="center"/>
    </xf>
    <xf numFmtId="3" fontId="30" fillId="0" borderId="0" xfId="0" applyNumberFormat="1" applyFont="1" applyBorder="1" applyAlignment="1">
      <alignment horizontal="center"/>
    </xf>
    <xf numFmtId="0" fontId="30" fillId="0" borderId="0" xfId="0" applyFont="1" applyFill="1" applyBorder="1" applyAlignment="1"/>
    <xf numFmtId="0" fontId="37" fillId="0" borderId="0" xfId="0" applyNumberFormat="1" applyFont="1" applyBorder="1" applyAlignment="1">
      <alignment horizontal="center"/>
    </xf>
    <xf numFmtId="0" fontId="36" fillId="0" borderId="0" xfId="0" applyNumberFormat="1" applyFont="1" applyBorder="1" applyAlignment="1">
      <alignment horizontal="left"/>
    </xf>
    <xf numFmtId="0" fontId="36" fillId="0" borderId="0" xfId="0" applyFont="1" applyFill="1" applyBorder="1"/>
    <xf numFmtId="0" fontId="36" fillId="0" borderId="0" xfId="0" applyFont="1" applyBorder="1" applyAlignment="1">
      <alignment horizontal="center"/>
    </xf>
    <xf numFmtId="3" fontId="36" fillId="0" borderId="3" xfId="0" applyNumberFormat="1" applyFont="1" applyBorder="1" applyAlignment="1"/>
    <xf numFmtId="0" fontId="18" fillId="0" borderId="4" xfId="0" applyNumberFormat="1" applyFont="1" applyFill="1" applyBorder="1" applyAlignment="1">
      <alignment horizontal="center"/>
    </xf>
    <xf numFmtId="0" fontId="18" fillId="0" borderId="1" xfId="0" applyNumberFormat="1" applyFont="1" applyBorder="1" applyAlignment="1">
      <alignment horizontal="center"/>
    </xf>
    <xf numFmtId="0" fontId="18" fillId="0" borderId="1" xfId="0" applyFont="1" applyBorder="1" applyAlignment="1"/>
    <xf numFmtId="0" fontId="31" fillId="0" borderId="1" xfId="0" applyFont="1" applyBorder="1" applyAlignment="1">
      <alignment horizontal="center"/>
    </xf>
    <xf numFmtId="0" fontId="18" fillId="0" borderId="5" xfId="0" applyFont="1" applyFill="1" applyBorder="1"/>
    <xf numFmtId="0" fontId="18" fillId="0" borderId="1" xfId="0" applyNumberFormat="1" applyFont="1" applyFill="1" applyBorder="1" applyAlignment="1">
      <alignment horizontal="center"/>
    </xf>
    <xf numFmtId="0" fontId="18" fillId="0" borderId="1" xfId="0" applyNumberFormat="1" applyFont="1" applyFill="1" applyBorder="1" applyAlignment="1"/>
    <xf numFmtId="0" fontId="18" fillId="0" borderId="1" xfId="0" applyFont="1" applyFill="1" applyBorder="1" applyAlignment="1"/>
    <xf numFmtId="3" fontId="31" fillId="0" borderId="1" xfId="0" applyNumberFormat="1" applyFont="1" applyBorder="1" applyAlignment="1">
      <alignment horizontal="center"/>
    </xf>
    <xf numFmtId="3" fontId="18" fillId="0" borderId="1" xfId="0" applyNumberFormat="1" applyFont="1" applyBorder="1" applyAlignment="1"/>
    <xf numFmtId="0" fontId="41" fillId="0" borderId="0" xfId="0" applyFont="1" applyFill="1" applyBorder="1" applyAlignment="1">
      <alignment horizontal="left"/>
    </xf>
    <xf numFmtId="0" fontId="18" fillId="0" borderId="1" xfId="0" applyNumberFormat="1" applyFont="1" applyFill="1" applyBorder="1" applyAlignment="1">
      <alignment horizontal="right"/>
    </xf>
    <xf numFmtId="0" fontId="18" fillId="0" borderId="1" xfId="0" applyNumberFormat="1" applyFont="1" applyFill="1" applyBorder="1" applyAlignment="1">
      <alignment horizontal="left"/>
    </xf>
    <xf numFmtId="0" fontId="31" fillId="0" borderId="1" xfId="0" applyNumberFormat="1" applyFont="1" applyFill="1" applyBorder="1" applyAlignment="1">
      <alignment horizontal="center"/>
    </xf>
    <xf numFmtId="0" fontId="18" fillId="0" borderId="5" xfId="0" applyNumberFormat="1" applyFont="1" applyFill="1" applyBorder="1" applyAlignment="1">
      <alignment horizontal="left"/>
    </xf>
    <xf numFmtId="0" fontId="18" fillId="0" borderId="1" xfId="0" applyNumberFormat="1" applyFont="1" applyBorder="1" applyAlignment="1"/>
    <xf numFmtId="0" fontId="31" fillId="0" borderId="1" xfId="0" applyFont="1" applyFill="1" applyBorder="1" applyAlignment="1">
      <alignment horizontal="center"/>
    </xf>
    <xf numFmtId="3" fontId="18" fillId="0" borderId="5" xfId="0" applyNumberFormat="1" applyFont="1" applyFill="1" applyBorder="1" applyAlignment="1"/>
    <xf numFmtId="0" fontId="18" fillId="0" borderId="1" xfId="0" applyFont="1" applyBorder="1"/>
    <xf numFmtId="3" fontId="31" fillId="0" borderId="1" xfId="0" applyNumberFormat="1" applyFont="1" applyFill="1" applyBorder="1" applyAlignment="1">
      <alignment horizontal="center"/>
    </xf>
    <xf numFmtId="3" fontId="18" fillId="0" borderId="1" xfId="0" applyNumberFormat="1" applyFont="1" applyFill="1" applyBorder="1" applyAlignment="1"/>
    <xf numFmtId="0" fontId="18" fillId="0" borderId="5" xfId="0" applyNumberFormat="1" applyFont="1" applyFill="1" applyBorder="1" applyAlignment="1"/>
    <xf numFmtId="0" fontId="18" fillId="0" borderId="4" xfId="0" applyNumberFormat="1" applyFont="1" applyBorder="1" applyAlignment="1">
      <alignment horizontal="center"/>
    </xf>
    <xf numFmtId="0" fontId="18" fillId="0" borderId="1" xfId="0" applyNumberFormat="1" applyFont="1" applyFill="1" applyBorder="1"/>
    <xf numFmtId="170" fontId="18" fillId="0" borderId="1" xfId="0" applyNumberFormat="1" applyFont="1" applyBorder="1" applyAlignment="1"/>
    <xf numFmtId="0" fontId="31" fillId="0" borderId="1" xfId="0" applyFont="1" applyFill="1" applyBorder="1" applyAlignment="1"/>
    <xf numFmtId="0" fontId="18" fillId="0" borderId="3" xfId="0" applyNumberFormat="1" applyFont="1" applyFill="1" applyBorder="1" applyAlignment="1">
      <alignment horizontal="center"/>
    </xf>
    <xf numFmtId="0" fontId="18" fillId="0" borderId="5" xfId="0" applyNumberFormat="1" applyFont="1" applyFill="1" applyBorder="1" applyAlignment="1">
      <alignment horizontal="center"/>
    </xf>
    <xf numFmtId="0" fontId="24" fillId="0" borderId="3" xfId="0" applyFont="1" applyBorder="1"/>
    <xf numFmtId="0" fontId="24" fillId="0" borderId="1" xfId="0" applyFont="1" applyBorder="1"/>
    <xf numFmtId="0" fontId="24" fillId="0" borderId="2" xfId="0" applyFont="1" applyBorder="1"/>
    <xf numFmtId="0" fontId="24" fillId="0" borderId="0" xfId="0" applyFont="1" applyFill="1" applyBorder="1" applyAlignment="1">
      <alignment horizontal="center" wrapText="1"/>
    </xf>
    <xf numFmtId="0" fontId="27" fillId="0" borderId="2" xfId="0" applyFont="1" applyBorder="1" applyAlignment="1">
      <alignment horizontal="center"/>
    </xf>
    <xf numFmtId="0" fontId="27" fillId="0" borderId="2" xfId="0" applyFont="1" applyBorder="1"/>
    <xf numFmtId="0" fontId="27" fillId="0" borderId="0" xfId="0" applyFont="1" applyFill="1" applyBorder="1" applyAlignment="1">
      <alignment horizontal="center" wrapText="1"/>
    </xf>
    <xf numFmtId="0" fontId="24" fillId="0" borderId="4" xfId="0" applyFont="1" applyBorder="1"/>
    <xf numFmtId="0" fontId="24" fillId="0" borderId="5" xfId="0" applyFont="1" applyBorder="1"/>
    <xf numFmtId="0" fontId="27" fillId="0" borderId="4" xfId="0" applyFont="1" applyBorder="1" applyAlignment="1">
      <alignment horizontal="center"/>
    </xf>
    <xf numFmtId="0" fontId="42" fillId="0" borderId="0" xfId="0" applyFont="1"/>
    <xf numFmtId="0" fontId="23" fillId="6" borderId="13" xfId="0" applyFont="1" applyFill="1" applyBorder="1" applyAlignment="1">
      <alignment horizontal="center" wrapText="1"/>
    </xf>
    <xf numFmtId="0" fontId="23" fillId="6" borderId="14" xfId="0" applyFont="1" applyFill="1" applyBorder="1" applyAlignment="1">
      <alignment horizontal="center" wrapText="1"/>
    </xf>
    <xf numFmtId="0" fontId="27" fillId="0" borderId="5" xfId="0" applyFont="1" applyBorder="1" applyAlignment="1">
      <alignment horizontal="center"/>
    </xf>
    <xf numFmtId="0" fontId="23" fillId="6" borderId="15" xfId="0" applyFont="1" applyFill="1" applyBorder="1" applyAlignment="1">
      <alignment horizontal="center" wrapText="1"/>
    </xf>
    <xf numFmtId="0" fontId="27" fillId="0" borderId="1" xfId="0" applyFont="1" applyBorder="1" applyAlignment="1">
      <alignment horizontal="center"/>
    </xf>
    <xf numFmtId="0" fontId="23" fillId="0" borderId="1" xfId="0" applyFont="1" applyBorder="1"/>
    <xf numFmtId="0" fontId="43" fillId="0" borderId="0" xfId="0" applyFont="1" applyAlignment="1">
      <alignment horizontal="center"/>
    </xf>
    <xf numFmtId="0" fontId="24" fillId="0" borderId="0" xfId="0" applyFont="1" applyFill="1" applyBorder="1" applyAlignment="1">
      <alignment horizontal="center"/>
    </xf>
    <xf numFmtId="0" fontId="27" fillId="0" borderId="0" xfId="0" applyFont="1" applyBorder="1"/>
    <xf numFmtId="0" fontId="27" fillId="0" borderId="3" xfId="0" applyFont="1" applyBorder="1" applyAlignment="1">
      <alignment horizontal="center"/>
    </xf>
    <xf numFmtId="0" fontId="24" fillId="0" borderId="15" xfId="0" applyFont="1" applyBorder="1"/>
    <xf numFmtId="0" fontId="24" fillId="0" borderId="13" xfId="0" applyFont="1" applyBorder="1" applyAlignment="1">
      <alignment horizontal="center"/>
    </xf>
    <xf numFmtId="0" fontId="27" fillId="0" borderId="15" xfId="0" applyFont="1" applyBorder="1" applyAlignment="1">
      <alignment horizontal="center"/>
    </xf>
    <xf numFmtId="0" fontId="27" fillId="0" borderId="13" xfId="0" applyFont="1" applyBorder="1" applyAlignment="1">
      <alignment horizontal="center"/>
    </xf>
    <xf numFmtId="164" fontId="27" fillId="0" borderId="14" xfId="1" applyNumberFormat="1" applyFont="1" applyBorder="1" applyAlignment="1">
      <alignment horizontal="center"/>
    </xf>
    <xf numFmtId="0" fontId="27" fillId="0" borderId="14" xfId="0" applyFont="1" applyBorder="1" applyAlignment="1">
      <alignment horizontal="center"/>
    </xf>
    <xf numFmtId="0" fontId="24" fillId="0" borderId="0" xfId="0" applyFont="1" applyBorder="1" applyAlignment="1">
      <alignment horizontal="center"/>
    </xf>
    <xf numFmtId="0" fontId="24" fillId="0" borderId="2" xfId="0" applyFont="1" applyBorder="1" applyAlignment="1">
      <alignment horizontal="center"/>
    </xf>
    <xf numFmtId="164" fontId="24" fillId="0" borderId="3" xfId="1" applyNumberFormat="1" applyFont="1" applyBorder="1" applyAlignment="1">
      <alignment horizontal="center"/>
    </xf>
    <xf numFmtId="0" fontId="24" fillId="0" borderId="3" xfId="0" applyFont="1" applyBorder="1" applyAlignment="1">
      <alignment horizontal="center"/>
    </xf>
    <xf numFmtId="164" fontId="24" fillId="0" borderId="3" xfId="1" applyNumberFormat="1" applyFont="1" applyBorder="1"/>
    <xf numFmtId="164" fontId="24" fillId="0" borderId="2" xfId="1" applyNumberFormat="1" applyFont="1" applyBorder="1"/>
    <xf numFmtId="164" fontId="24" fillId="0" borderId="0" xfId="1" applyNumberFormat="1" applyFont="1" applyBorder="1"/>
    <xf numFmtId="0" fontId="24" fillId="0" borderId="1" xfId="0" applyFont="1" applyBorder="1" applyAlignment="1">
      <alignment horizontal="center"/>
    </xf>
    <xf numFmtId="164" fontId="24" fillId="0" borderId="4" xfId="1" applyNumberFormat="1" applyFont="1" applyBorder="1"/>
    <xf numFmtId="164" fontId="24" fillId="0" borderId="1" xfId="1" applyNumberFormat="1" applyFont="1" applyBorder="1"/>
    <xf numFmtId="164" fontId="24" fillId="0" borderId="5" xfId="1" applyNumberFormat="1" applyFont="1" applyBorder="1"/>
    <xf numFmtId="0" fontId="27" fillId="0" borderId="16" xfId="0" applyFont="1" applyBorder="1" applyAlignment="1">
      <alignment horizontal="center"/>
    </xf>
    <xf numFmtId="0" fontId="27" fillId="0" borderId="13" xfId="0" applyFont="1" applyFill="1" applyBorder="1" applyAlignment="1">
      <alignment horizontal="center"/>
    </xf>
    <xf numFmtId="0" fontId="27" fillId="0" borderId="14" xfId="0" applyFont="1" applyFill="1" applyBorder="1" applyAlignment="1">
      <alignment horizontal="center"/>
    </xf>
    <xf numFmtId="0" fontId="24" fillId="0" borderId="17" xfId="0" applyFont="1" applyBorder="1" applyAlignment="1">
      <alignment horizontal="center"/>
    </xf>
    <xf numFmtId="164" fontId="24" fillId="0" borderId="0" xfId="0" applyNumberFormat="1" applyFont="1" applyBorder="1"/>
    <xf numFmtId="167" fontId="24" fillId="0" borderId="3" xfId="0" applyNumberFormat="1" applyFont="1" applyBorder="1"/>
    <xf numFmtId="167" fontId="24" fillId="0" borderId="0" xfId="0" applyNumberFormat="1" applyFont="1" applyBorder="1"/>
    <xf numFmtId="164" fontId="24" fillId="0" borderId="2" xfId="0" applyNumberFormat="1" applyFont="1" applyBorder="1"/>
    <xf numFmtId="164" fontId="27" fillId="0" borderId="2" xfId="0" applyNumberFormat="1" applyFont="1" applyBorder="1"/>
    <xf numFmtId="164" fontId="27" fillId="0" borderId="17" xfId="0" applyNumberFormat="1" applyFont="1" applyBorder="1"/>
    <xf numFmtId="164" fontId="27" fillId="0" borderId="0" xfId="0" applyNumberFormat="1" applyFont="1" applyBorder="1"/>
    <xf numFmtId="164" fontId="27" fillId="0" borderId="3" xfId="1" applyNumberFormat="1" applyFont="1" applyBorder="1"/>
    <xf numFmtId="164" fontId="27" fillId="0" borderId="4" xfId="0" applyNumberFormat="1" applyFont="1" applyBorder="1"/>
    <xf numFmtId="164" fontId="27" fillId="0" borderId="18" xfId="0" applyNumberFormat="1" applyFont="1" applyBorder="1"/>
    <xf numFmtId="164" fontId="27" fillId="0" borderId="1" xfId="0" applyNumberFormat="1" applyFont="1" applyBorder="1"/>
    <xf numFmtId="164" fontId="27" fillId="0" borderId="5" xfId="1" applyNumberFormat="1" applyFont="1" applyBorder="1"/>
    <xf numFmtId="167" fontId="24" fillId="0" borderId="1" xfId="0" applyNumberFormat="1" applyFont="1" applyBorder="1"/>
    <xf numFmtId="0" fontId="24" fillId="0" borderId="0" xfId="0" applyFont="1" applyAlignment="1">
      <alignment horizontal="center"/>
    </xf>
    <xf numFmtId="164" fontId="24" fillId="0" borderId="0" xfId="1" applyNumberFormat="1" applyFont="1"/>
    <xf numFmtId="167" fontId="24" fillId="0" borderId="0" xfId="7" applyNumberFormat="1" applyFont="1"/>
    <xf numFmtId="0" fontId="27" fillId="0" borderId="16" xfId="0" applyFont="1" applyFill="1" applyBorder="1" applyAlignment="1">
      <alignment horizontal="center"/>
    </xf>
    <xf numFmtId="167" fontId="24" fillId="0" borderId="17" xfId="7" applyNumberFormat="1" applyFont="1" applyBorder="1"/>
    <xf numFmtId="167" fontId="24" fillId="0" borderId="18" xfId="7" applyNumberFormat="1" applyFont="1" applyBorder="1"/>
    <xf numFmtId="0" fontId="24" fillId="0" borderId="2" xfId="0" applyFont="1" applyFill="1" applyBorder="1"/>
    <xf numFmtId="164" fontId="24" fillId="0" borderId="2" xfId="1" applyNumberFormat="1" applyFont="1" applyFill="1" applyBorder="1"/>
    <xf numFmtId="164" fontId="24" fillId="0" borderId="0" xfId="1" applyNumberFormat="1" applyFont="1" applyFill="1" applyBorder="1"/>
    <xf numFmtId="164" fontId="24" fillId="0" borderId="3" xfId="1" applyNumberFormat="1" applyFont="1" applyFill="1" applyBorder="1"/>
    <xf numFmtId="0" fontId="0" fillId="0" borderId="0" xfId="0" applyFill="1" applyBorder="1" applyAlignment="1">
      <alignment horizontal="center"/>
    </xf>
    <xf numFmtId="0" fontId="0" fillId="0" borderId="0" xfId="0" applyFill="1" applyBorder="1"/>
    <xf numFmtId="164" fontId="0" fillId="0" borderId="0" xfId="1" applyNumberFormat="1" applyFont="1" applyFill="1" applyBorder="1"/>
    <xf numFmtId="0" fontId="24" fillId="0" borderId="14" xfId="0" applyFont="1" applyBorder="1"/>
    <xf numFmtId="0" fontId="24" fillId="0" borderId="3" xfId="0" applyFont="1" applyFill="1" applyBorder="1"/>
    <xf numFmtId="0" fontId="44" fillId="0" borderId="0" xfId="0" applyFont="1" applyAlignment="1">
      <alignment horizontal="center"/>
    </xf>
    <xf numFmtId="0" fontId="44" fillId="0" borderId="0" xfId="0" applyFont="1"/>
    <xf numFmtId="0" fontId="45" fillId="0" borderId="0" xfId="0" applyFont="1" applyAlignment="1">
      <alignment horizontal="left"/>
    </xf>
    <xf numFmtId="16" fontId="44" fillId="0" borderId="0" xfId="0" applyNumberFormat="1" applyFont="1" applyAlignment="1">
      <alignment horizontal="center"/>
    </xf>
    <xf numFmtId="164" fontId="44" fillId="0" borderId="0" xfId="1" applyNumberFormat="1" applyFont="1"/>
    <xf numFmtId="167" fontId="44" fillId="0" borderId="0" xfId="7" applyNumberFormat="1" applyFont="1"/>
    <xf numFmtId="0" fontId="44" fillId="0" borderId="0" xfId="0" applyFont="1" applyAlignment="1">
      <alignment horizontal="left"/>
    </xf>
    <xf numFmtId="164" fontId="44" fillId="4" borderId="0" xfId="1" applyNumberFormat="1" applyFont="1" applyFill="1"/>
    <xf numFmtId="164" fontId="44" fillId="0" borderId="0" xfId="0" applyNumberFormat="1" applyFont="1"/>
    <xf numFmtId="172" fontId="44" fillId="0" borderId="0" xfId="18" applyNumberFormat="1" applyFont="1"/>
    <xf numFmtId="167" fontId="44" fillId="0" borderId="0" xfId="0" applyNumberFormat="1" applyFont="1"/>
    <xf numFmtId="167" fontId="44" fillId="0" borderId="0" xfId="7" applyNumberFormat="1" applyFont="1" applyAlignment="1">
      <alignment horizontal="left"/>
    </xf>
    <xf numFmtId="164" fontId="44" fillId="0" borderId="0" xfId="0" applyNumberFormat="1" applyFont="1" applyAlignment="1">
      <alignment horizontal="left"/>
    </xf>
    <xf numFmtId="164" fontId="44" fillId="0" borderId="0" xfId="0" applyNumberFormat="1" applyFont="1" applyAlignment="1">
      <alignment horizontal="center"/>
    </xf>
    <xf numFmtId="172" fontId="44" fillId="0" borderId="0" xfId="0" applyNumberFormat="1" applyFont="1"/>
    <xf numFmtId="168" fontId="44" fillId="0" borderId="0" xfId="18" applyNumberFormat="1" applyFont="1"/>
    <xf numFmtId="167" fontId="44" fillId="0" borderId="0" xfId="0" applyNumberFormat="1" applyFont="1" applyAlignment="1">
      <alignment horizontal="center"/>
    </xf>
    <xf numFmtId="0" fontId="15" fillId="0" borderId="2" xfId="0" applyFont="1" applyBorder="1"/>
    <xf numFmtId="164" fontId="44" fillId="0" borderId="0" xfId="1" applyNumberFormat="1" applyFont="1" applyFill="1"/>
    <xf numFmtId="167" fontId="44" fillId="4" borderId="0" xfId="7" applyNumberFormat="1" applyFont="1" applyFill="1"/>
    <xf numFmtId="167" fontId="44" fillId="0" borderId="0" xfId="7" applyNumberFormat="1" applyFont="1" applyFill="1" applyAlignment="1">
      <alignment horizontal="left"/>
    </xf>
    <xf numFmtId="0" fontId="44" fillId="0" borderId="0" xfId="0" applyFont="1" applyFill="1"/>
    <xf numFmtId="164" fontId="44" fillId="0" borderId="0" xfId="0" applyNumberFormat="1" applyFont="1" applyFill="1"/>
    <xf numFmtId="0" fontId="44" fillId="0" borderId="0" xfId="0" applyFont="1" applyBorder="1" applyAlignment="1">
      <alignment horizontal="center"/>
    </xf>
    <xf numFmtId="0" fontId="44" fillId="0" borderId="0" xfId="0" applyFont="1" applyBorder="1"/>
    <xf numFmtId="0" fontId="44" fillId="0" borderId="0" xfId="0" applyNumberFormat="1" applyFont="1" applyAlignment="1">
      <alignment horizontal="left"/>
    </xf>
    <xf numFmtId="0" fontId="44" fillId="0" borderId="0" xfId="7" applyNumberFormat="1" applyFont="1" applyFill="1" applyAlignment="1">
      <alignment horizontal="left"/>
    </xf>
    <xf numFmtId="0" fontId="10" fillId="0" borderId="0" xfId="0" applyFont="1" applyFill="1"/>
    <xf numFmtId="0" fontId="8" fillId="0" borderId="0" xfId="0" applyFont="1" applyAlignment="1"/>
    <xf numFmtId="0" fontId="46" fillId="0" borderId="0" xfId="0" applyFont="1" applyAlignment="1"/>
    <xf numFmtId="3" fontId="24" fillId="0" borderId="0" xfId="0" applyNumberFormat="1" applyFont="1" applyBorder="1" applyAlignment="1">
      <alignment horizontal="center"/>
    </xf>
    <xf numFmtId="3" fontId="24" fillId="0" borderId="2" xfId="0" applyNumberFormat="1" applyFont="1" applyBorder="1" applyAlignment="1">
      <alignment horizontal="center"/>
    </xf>
    <xf numFmtId="3" fontId="24" fillId="0" borderId="0" xfId="0" applyNumberFormat="1" applyFont="1" applyFill="1" applyBorder="1" applyAlignment="1">
      <alignment horizontal="center"/>
    </xf>
    <xf numFmtId="0" fontId="20" fillId="0" borderId="0" xfId="0" applyFont="1" applyFill="1"/>
    <xf numFmtId="0" fontId="11" fillId="7" borderId="0" xfId="0" applyFont="1" applyFill="1"/>
    <xf numFmtId="0" fontId="11" fillId="7" borderId="0" xfId="0" applyFont="1" applyFill="1" applyAlignment="1"/>
    <xf numFmtId="0" fontId="11" fillId="7" borderId="0" xfId="0" applyNumberFormat="1" applyFont="1" applyFill="1" applyAlignment="1">
      <alignment horizontal="center"/>
    </xf>
    <xf numFmtId="0" fontId="8" fillId="0" borderId="0" xfId="0" applyFont="1"/>
    <xf numFmtId="172" fontId="9" fillId="0" borderId="0" xfId="18" applyNumberFormat="1" applyFont="1" applyFill="1" applyAlignment="1"/>
    <xf numFmtId="43" fontId="11" fillId="0" borderId="0" xfId="1" applyFont="1" applyFill="1"/>
    <xf numFmtId="174" fontId="11" fillId="0" borderId="0" xfId="18" applyNumberFormat="1" applyFont="1" applyFill="1"/>
    <xf numFmtId="43" fontId="11" fillId="0" borderId="0" xfId="0" applyNumberFormat="1" applyFont="1" applyFill="1"/>
    <xf numFmtId="0" fontId="48" fillId="0" borderId="0" xfId="0" applyFont="1" applyFill="1" applyAlignment="1">
      <alignment horizontal="center"/>
    </xf>
    <xf numFmtId="0" fontId="48" fillId="0" borderId="0" xfId="0" applyFont="1" applyFill="1" applyBorder="1" applyAlignment="1">
      <alignment horizontal="center"/>
    </xf>
    <xf numFmtId="0" fontId="27" fillId="0" borderId="0" xfId="0" applyFont="1" applyFill="1" applyBorder="1"/>
    <xf numFmtId="37" fontId="20" fillId="0" borderId="0" xfId="0" applyNumberFormat="1" applyFont="1" applyFill="1" applyAlignment="1">
      <alignment horizontal="center"/>
    </xf>
    <xf numFmtId="0" fontId="24" fillId="0" borderId="0" xfId="0" applyFont="1" applyFill="1" applyBorder="1"/>
    <xf numFmtId="0" fontId="23" fillId="0" borderId="2" xfId="0" applyFont="1" applyFill="1" applyBorder="1" applyAlignment="1">
      <alignment horizontal="center" wrapText="1"/>
    </xf>
    <xf numFmtId="0" fontId="7" fillId="0" borderId="0" xfId="0" applyFont="1"/>
    <xf numFmtId="3" fontId="24" fillId="0" borderId="0" xfId="0" applyNumberFormat="1" applyFont="1" applyBorder="1" applyAlignment="1">
      <alignment horizontal="right"/>
    </xf>
    <xf numFmtId="164" fontId="24" fillId="0" borderId="1" xfId="1" applyNumberFormat="1"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7" fillId="0" borderId="0" xfId="0" applyFont="1" applyAlignment="1">
      <alignment horizontal="left"/>
    </xf>
    <xf numFmtId="164" fontId="7" fillId="0" borderId="0" xfId="1" applyNumberFormat="1" applyFont="1" applyAlignment="1"/>
    <xf numFmtId="0" fontId="7" fillId="0" borderId="0" xfId="0" applyFont="1" applyAlignment="1">
      <alignment horizontal="center"/>
    </xf>
    <xf numFmtId="0" fontId="7" fillId="0" borderId="0" xfId="0" applyFont="1" applyAlignment="1"/>
    <xf numFmtId="0" fontId="7" fillId="0" borderId="0" xfId="0" applyFont="1" applyAlignment="1">
      <alignment horizontal="left" wrapText="1"/>
    </xf>
    <xf numFmtId="164" fontId="7" fillId="0" borderId="0" xfId="1" applyNumberFormat="1" applyFont="1" applyFill="1" applyAlignment="1"/>
    <xf numFmtId="0" fontId="7" fillId="0" borderId="0" xfId="0" applyFont="1" applyAlignment="1">
      <alignment vertical="top"/>
    </xf>
    <xf numFmtId="0" fontId="7" fillId="0" borderId="0" xfId="0" applyFont="1" applyAlignment="1">
      <alignment horizontal="left" vertical="center" wrapText="1"/>
    </xf>
    <xf numFmtId="164" fontId="7" fillId="0" borderId="0" xfId="1" applyNumberFormat="1" applyFont="1" applyFill="1" applyBorder="1" applyAlignment="1"/>
    <xf numFmtId="0" fontId="7" fillId="0" borderId="0" xfId="0" applyFont="1" applyAlignment="1">
      <alignment vertical="top" wrapText="1"/>
    </xf>
    <xf numFmtId="164" fontId="7" fillId="0" borderId="0" xfId="1" applyNumberFormat="1" applyFont="1" applyBorder="1" applyAlignment="1"/>
    <xf numFmtId="0" fontId="7" fillId="0" borderId="0" xfId="0" applyFont="1" applyBorder="1"/>
    <xf numFmtId="0" fontId="7" fillId="0" borderId="20" xfId="0" applyFont="1" applyBorder="1" applyAlignment="1"/>
    <xf numFmtId="0" fontId="7" fillId="0" borderId="0" xfId="0" applyFont="1" applyBorder="1" applyAlignment="1"/>
    <xf numFmtId="0" fontId="7" fillId="0" borderId="20" xfId="0" applyFont="1" applyFill="1" applyBorder="1" applyAlignment="1">
      <alignment horizontal="center"/>
    </xf>
    <xf numFmtId="0" fontId="7" fillId="0" borderId="0" xfId="0" applyFont="1" applyAlignment="1">
      <alignment horizontal="center" wrapText="1"/>
    </xf>
    <xf numFmtId="37" fontId="7" fillId="0" borderId="0" xfId="0" applyNumberFormat="1" applyFont="1" applyFill="1"/>
    <xf numFmtId="37" fontId="7" fillId="0" borderId="0" xfId="0" applyNumberFormat="1" applyFont="1" applyFill="1" applyAlignment="1">
      <alignment horizontal="center"/>
    </xf>
    <xf numFmtId="0" fontId="27" fillId="0" borderId="0" xfId="0" applyFont="1" applyFill="1" applyBorder="1" applyAlignment="1">
      <alignment horizontal="left"/>
    </xf>
    <xf numFmtId="0" fontId="69" fillId="0" borderId="0" xfId="0" applyFont="1" applyFill="1"/>
    <xf numFmtId="0" fontId="70" fillId="0" borderId="0" xfId="0" applyFont="1" applyFill="1"/>
    <xf numFmtId="0" fontId="8" fillId="0" borderId="0" xfId="0" applyFont="1" applyFill="1" applyAlignment="1">
      <alignment horizontal="left"/>
    </xf>
    <xf numFmtId="0" fontId="24" fillId="0" borderId="3" xfId="0" applyFont="1" applyFill="1" applyBorder="1" applyAlignment="1"/>
    <xf numFmtId="0" fontId="24" fillId="0" borderId="0" xfId="0" applyFont="1" applyFill="1" applyBorder="1" applyAlignment="1"/>
    <xf numFmtId="0" fontId="24" fillId="0" borderId="1" xfId="0" applyFont="1" applyFill="1" applyBorder="1" applyAlignment="1"/>
    <xf numFmtId="0" fontId="23" fillId="6" borderId="15" xfId="0" applyFont="1" applyFill="1" applyBorder="1" applyAlignment="1">
      <alignment horizontal="center" wrapText="1"/>
    </xf>
    <xf numFmtId="0" fontId="7" fillId="0" borderId="0" xfId="0" applyFont="1" applyFill="1" applyBorder="1"/>
    <xf numFmtId="43" fontId="27" fillId="0" borderId="0" xfId="1" applyFont="1" applyFill="1" applyBorder="1"/>
    <xf numFmtId="0" fontId="24" fillId="0" borderId="1" xfId="0" applyFont="1" applyFill="1" applyBorder="1"/>
    <xf numFmtId="0" fontId="8" fillId="0" borderId="0" xfId="0" applyNumberFormat="1" applyFont="1" applyFill="1" applyBorder="1" applyAlignment="1"/>
    <xf numFmtId="0" fontId="7" fillId="0" borderId="0" xfId="0" applyFont="1" applyFill="1" applyBorder="1" applyAlignment="1"/>
    <xf numFmtId="3" fontId="7" fillId="0" borderId="0" xfId="0" applyNumberFormat="1" applyFont="1" applyFill="1" applyBorder="1" applyAlignment="1">
      <alignment horizontal="center"/>
    </xf>
    <xf numFmtId="0" fontId="7" fillId="0" borderId="0" xfId="0" applyFont="1" applyFill="1" applyBorder="1" applyAlignment="1">
      <alignment horizontal="center"/>
    </xf>
    <xf numFmtId="0" fontId="7" fillId="0" borderId="0" xfId="0" applyNumberFormat="1" applyFont="1" applyFill="1" applyBorder="1" applyAlignment="1">
      <alignment horizontal="left"/>
    </xf>
    <xf numFmtId="3" fontId="7" fillId="0" borderId="0" xfId="0" applyNumberFormat="1" applyFont="1" applyFill="1" applyBorder="1" applyAlignment="1">
      <alignment horizontal="right"/>
    </xf>
    <xf numFmtId="3" fontId="7" fillId="0" borderId="0" xfId="0" applyNumberFormat="1" applyFont="1" applyFill="1" applyBorder="1"/>
    <xf numFmtId="0" fontId="7" fillId="0" borderId="0" xfId="0" applyNumberFormat="1" applyFont="1" applyFill="1" applyBorder="1" applyAlignment="1"/>
    <xf numFmtId="0" fontId="8" fillId="0" borderId="0" xfId="0" applyFont="1" applyFill="1"/>
    <xf numFmtId="3" fontId="24" fillId="0" borderId="0" xfId="0" applyNumberFormat="1" applyFont="1" applyBorder="1" applyAlignment="1">
      <alignment horizontal="left" wrapText="1"/>
    </xf>
    <xf numFmtId="0" fontId="24" fillId="0" borderId="2" xfId="0" applyFont="1" applyFill="1" applyBorder="1" applyAlignment="1">
      <alignment horizontal="center"/>
    </xf>
    <xf numFmtId="164" fontId="24" fillId="0" borderId="0" xfId="1" applyNumberFormat="1" applyFont="1" applyFill="1" applyBorder="1" applyAlignment="1">
      <alignment horizontal="center"/>
    </xf>
    <xf numFmtId="0" fontId="20" fillId="0" borderId="0" xfId="0" applyFont="1" applyFill="1" applyBorder="1" applyAlignment="1">
      <alignment horizontal="center"/>
    </xf>
    <xf numFmtId="0" fontId="7" fillId="0" borderId="20" xfId="0" applyFont="1" applyFill="1" applyBorder="1"/>
    <xf numFmtId="10" fontId="11" fillId="0" borderId="0" xfId="18" applyNumberFormat="1" applyFont="1"/>
    <xf numFmtId="0" fontId="7" fillId="0" borderId="0" xfId="12"/>
    <xf numFmtId="0" fontId="7" fillId="0" borderId="0" xfId="12" applyAlignment="1">
      <alignment horizontal="center"/>
    </xf>
    <xf numFmtId="0" fontId="44" fillId="0" borderId="0" xfId="12" applyFont="1" applyAlignment="1">
      <alignment horizontal="center"/>
    </xf>
    <xf numFmtId="0" fontId="44" fillId="0" borderId="0" xfId="12" applyFont="1"/>
    <xf numFmtId="0" fontId="44" fillId="0" borderId="0" xfId="17" applyFont="1" applyBorder="1" applyAlignment="1">
      <alignment horizontal="center"/>
    </xf>
    <xf numFmtId="0" fontId="7" fillId="0" borderId="0" xfId="12" applyFill="1" applyBorder="1" applyAlignment="1">
      <alignment horizontal="center"/>
    </xf>
    <xf numFmtId="0" fontId="7" fillId="0" borderId="0" xfId="12" applyFill="1" applyBorder="1"/>
    <xf numFmtId="0" fontId="7" fillId="0" borderId="0" xfId="12" applyAlignment="1">
      <alignment horizontal="left"/>
    </xf>
    <xf numFmtId="164" fontId="7" fillId="0" borderId="0" xfId="4" applyNumberFormat="1"/>
    <xf numFmtId="0" fontId="8" fillId="0" borderId="0" xfId="12" applyFont="1" applyAlignment="1">
      <alignment horizontal="left"/>
    </xf>
    <xf numFmtId="0" fontId="19" fillId="0" borderId="0" xfId="12" applyNumberFormat="1" applyFont="1" applyFill="1"/>
    <xf numFmtId="0" fontId="7" fillId="0" borderId="0" xfId="12" applyFill="1" applyAlignment="1"/>
    <xf numFmtId="0" fontId="7" fillId="0" borderId="0" xfId="12" applyFill="1" applyAlignment="1">
      <alignment wrapText="1"/>
    </xf>
    <xf numFmtId="0" fontId="7" fillId="0" borderId="0" xfId="12" applyFill="1"/>
    <xf numFmtId="0" fontId="24" fillId="0" borderId="15" xfId="12" applyFont="1" applyFill="1" applyBorder="1"/>
    <xf numFmtId="0" fontId="24" fillId="0" borderId="13" xfId="12" applyFont="1" applyBorder="1" applyAlignment="1">
      <alignment horizontal="center"/>
    </xf>
    <xf numFmtId="0" fontId="27" fillId="0" borderId="15" xfId="12" applyFont="1" applyBorder="1" applyAlignment="1">
      <alignment horizontal="center"/>
    </xf>
    <xf numFmtId="0" fontId="27" fillId="0" borderId="13" xfId="12" applyFont="1" applyBorder="1" applyAlignment="1">
      <alignment horizontal="center"/>
    </xf>
    <xf numFmtId="0" fontId="27" fillId="0" borderId="14" xfId="12" applyFont="1" applyBorder="1" applyAlignment="1">
      <alignment horizontal="center"/>
    </xf>
    <xf numFmtId="0" fontId="24" fillId="0" borderId="13" xfId="12" applyFont="1" applyBorder="1"/>
    <xf numFmtId="0" fontId="24" fillId="0" borderId="15" xfId="12" applyFont="1" applyBorder="1"/>
    <xf numFmtId="0" fontId="24" fillId="0" borderId="14" xfId="12" applyFont="1" applyBorder="1"/>
    <xf numFmtId="0" fontId="7" fillId="0" borderId="0" xfId="12" applyAlignment="1">
      <alignment horizontal="left" wrapText="1"/>
    </xf>
    <xf numFmtId="0" fontId="24" fillId="0" borderId="2" xfId="12" applyFont="1" applyFill="1" applyBorder="1"/>
    <xf numFmtId="0" fontId="24" fillId="0" borderId="0" xfId="12" applyFont="1" applyBorder="1" applyAlignment="1">
      <alignment horizontal="center"/>
    </xf>
    <xf numFmtId="0" fontId="24" fillId="4" borderId="15" xfId="12" applyFont="1" applyFill="1" applyBorder="1" applyAlignment="1">
      <alignment horizontal="center"/>
    </xf>
    <xf numFmtId="0" fontId="7" fillId="0" borderId="13" xfId="12" applyBorder="1"/>
    <xf numFmtId="0" fontId="7" fillId="0" borderId="13" xfId="12" applyBorder="1" applyAlignment="1">
      <alignment horizontal="center"/>
    </xf>
    <xf numFmtId="0" fontId="7" fillId="0" borderId="14" xfId="12" applyBorder="1" applyAlignment="1">
      <alignment horizontal="center"/>
    </xf>
    <xf numFmtId="0" fontId="24" fillId="4" borderId="2" xfId="12" applyFont="1" applyFill="1" applyBorder="1" applyAlignment="1">
      <alignment horizontal="center"/>
    </xf>
    <xf numFmtId="0" fontId="7" fillId="0" borderId="0" xfId="12" applyBorder="1" applyAlignment="1">
      <alignment horizontal="center"/>
    </xf>
    <xf numFmtId="0" fontId="7" fillId="0" borderId="3" xfId="12" applyBorder="1" applyAlignment="1">
      <alignment horizontal="center"/>
    </xf>
    <xf numFmtId="0" fontId="24" fillId="0" borderId="0" xfId="12" applyFont="1" applyBorder="1"/>
    <xf numFmtId="0" fontId="24" fillId="0" borderId="2" xfId="12" applyFont="1" applyBorder="1"/>
    <xf numFmtId="0" fontId="24" fillId="0" borderId="3" xfId="12" applyFont="1" applyBorder="1"/>
    <xf numFmtId="2" fontId="24" fillId="4" borderId="2" xfId="12" applyNumberFormat="1" applyFont="1" applyFill="1" applyBorder="1" applyAlignment="1">
      <alignment horizontal="center"/>
    </xf>
    <xf numFmtId="0" fontId="51" fillId="0" borderId="0" xfId="12" applyFont="1" applyBorder="1"/>
    <xf numFmtId="0" fontId="24" fillId="0" borderId="3" xfId="12" applyFont="1" applyBorder="1" applyAlignment="1">
      <alignment horizontal="center"/>
    </xf>
    <xf numFmtId="164" fontId="24" fillId="0" borderId="3" xfId="4" applyNumberFormat="1" applyFont="1" applyBorder="1" applyAlignment="1">
      <alignment horizontal="center"/>
    </xf>
    <xf numFmtId="164" fontId="24" fillId="0" borderId="0" xfId="4" applyNumberFormat="1" applyFont="1" applyBorder="1"/>
    <xf numFmtId="0" fontId="7" fillId="0" borderId="0" xfId="12" applyBorder="1"/>
    <xf numFmtId="0" fontId="51" fillId="0" borderId="0" xfId="12" applyFont="1" applyFill="1" applyBorder="1"/>
    <xf numFmtId="0" fontId="24" fillId="0" borderId="0" xfId="12" applyFont="1" applyFill="1" applyBorder="1" applyAlignment="1">
      <alignment horizontal="center"/>
    </xf>
    <xf numFmtId="0" fontId="24" fillId="0" borderId="3" xfId="12" applyFont="1" applyFill="1" applyBorder="1" applyAlignment="1">
      <alignment horizontal="center"/>
    </xf>
    <xf numFmtId="0" fontId="52" fillId="0" borderId="0" xfId="12" applyFont="1" applyFill="1" applyBorder="1" applyAlignment="1">
      <alignment horizontal="left"/>
    </xf>
    <xf numFmtId="164" fontId="24" fillId="0" borderId="3" xfId="4" applyNumberFormat="1" applyFont="1" applyFill="1" applyBorder="1" applyAlignment="1">
      <alignment horizontal="center"/>
    </xf>
    <xf numFmtId="0" fontId="29" fillId="0" borderId="0" xfId="12" applyFont="1" applyFill="1" applyBorder="1" applyAlignment="1">
      <alignment horizontal="left"/>
    </xf>
    <xf numFmtId="0" fontId="29" fillId="0" borderId="0" xfId="12" applyFont="1" applyFill="1" applyBorder="1" applyAlignment="1">
      <alignment horizontal="center"/>
    </xf>
    <xf numFmtId="0" fontId="29" fillId="0" borderId="3" xfId="12" applyFont="1" applyFill="1" applyBorder="1" applyAlignment="1">
      <alignment horizontal="center"/>
    </xf>
    <xf numFmtId="172" fontId="24" fillId="0" borderId="2" xfId="12" applyNumberFormat="1" applyFont="1" applyBorder="1"/>
    <xf numFmtId="164" fontId="24" fillId="0" borderId="3" xfId="4" applyNumberFormat="1" applyFont="1" applyBorder="1"/>
    <xf numFmtId="3" fontId="24" fillId="4" borderId="2" xfId="12" applyNumberFormat="1" applyFont="1" applyFill="1" applyBorder="1" applyAlignment="1">
      <alignment horizontal="center"/>
    </xf>
    <xf numFmtId="164" fontId="24" fillId="4" borderId="2" xfId="4" applyNumberFormat="1" applyFont="1" applyFill="1" applyBorder="1"/>
    <xf numFmtId="164" fontId="24" fillId="0" borderId="2" xfId="4" applyNumberFormat="1" applyFont="1" applyBorder="1"/>
    <xf numFmtId="164" fontId="24" fillId="0" borderId="0" xfId="4" applyNumberFormat="1" applyFont="1" applyFill="1" applyBorder="1"/>
    <xf numFmtId="164" fontId="24" fillId="0" borderId="3" xfId="4" applyNumberFormat="1" applyFont="1" applyFill="1" applyBorder="1"/>
    <xf numFmtId="0" fontId="24" fillId="0" borderId="0" xfId="12" applyFont="1" applyFill="1" applyBorder="1"/>
    <xf numFmtId="0" fontId="24" fillId="0" borderId="4" xfId="12" applyFont="1" applyFill="1" applyBorder="1"/>
    <xf numFmtId="0" fontId="24" fillId="0" borderId="5" xfId="12" applyFont="1" applyFill="1" applyBorder="1"/>
    <xf numFmtId="0" fontId="24" fillId="0" borderId="16" xfId="12" applyFont="1" applyBorder="1"/>
    <xf numFmtId="0" fontId="27" fillId="0" borderId="16" xfId="12" applyFont="1" applyBorder="1" applyAlignment="1">
      <alignment horizontal="center"/>
    </xf>
    <xf numFmtId="164" fontId="27" fillId="0" borderId="13" xfId="4" applyNumberFormat="1" applyFont="1" applyBorder="1" applyAlignment="1">
      <alignment horizontal="center"/>
    </xf>
    <xf numFmtId="0" fontId="27" fillId="0" borderId="16" xfId="12" applyFont="1" applyFill="1" applyBorder="1" applyAlignment="1">
      <alignment horizontal="center"/>
    </xf>
    <xf numFmtId="0" fontId="27" fillId="0" borderId="15" xfId="12" applyFont="1" applyFill="1" applyBorder="1" applyAlignment="1">
      <alignment horizontal="center" wrapText="1"/>
    </xf>
    <xf numFmtId="0" fontId="27" fillId="0" borderId="14" xfId="12" applyFont="1" applyFill="1" applyBorder="1" applyAlignment="1">
      <alignment horizontal="center" wrapText="1"/>
    </xf>
    <xf numFmtId="0" fontId="24" fillId="0" borderId="17" xfId="12" applyFont="1" applyBorder="1"/>
    <xf numFmtId="167" fontId="7" fillId="0" borderId="0" xfId="12" applyNumberFormat="1"/>
    <xf numFmtId="164" fontId="27" fillId="0" borderId="17" xfId="12" applyNumberFormat="1" applyFont="1" applyBorder="1"/>
    <xf numFmtId="0" fontId="24" fillId="0" borderId="18" xfId="12" applyFont="1" applyBorder="1"/>
    <xf numFmtId="164" fontId="27" fillId="0" borderId="18" xfId="12" applyNumberFormat="1" applyFont="1" applyBorder="1"/>
    <xf numFmtId="0" fontId="24" fillId="0" borderId="0" xfId="12" applyFont="1"/>
    <xf numFmtId="0" fontId="24" fillId="0" borderId="0" xfId="12" applyFont="1" applyAlignment="1">
      <alignment horizontal="center"/>
    </xf>
    <xf numFmtId="164" fontId="24" fillId="0" borderId="0" xfId="4" applyNumberFormat="1" applyFont="1"/>
    <xf numFmtId="167" fontId="24" fillId="0" borderId="0" xfId="9" applyNumberFormat="1" applyFont="1"/>
    <xf numFmtId="0" fontId="7" fillId="0" borderId="0" xfId="12" applyFont="1" applyAlignment="1">
      <alignment horizontal="left"/>
    </xf>
    <xf numFmtId="43" fontId="7" fillId="0" borderId="0" xfId="12" applyNumberFormat="1"/>
    <xf numFmtId="43" fontId="24" fillId="0" borderId="2" xfId="4" applyNumberFormat="1" applyFont="1" applyFill="1" applyBorder="1"/>
    <xf numFmtId="164" fontId="53" fillId="0" borderId="2" xfId="4" applyNumberFormat="1" applyFont="1" applyFill="1" applyBorder="1"/>
    <xf numFmtId="43" fontId="53" fillId="0" borderId="2" xfId="4" applyNumberFormat="1" applyFont="1" applyFill="1" applyBorder="1"/>
    <xf numFmtId="164" fontId="44" fillId="0" borderId="0" xfId="12" applyNumberFormat="1" applyFont="1" applyAlignment="1">
      <alignment horizontal="center"/>
    </xf>
    <xf numFmtId="0" fontId="7" fillId="0" borderId="0" xfId="0" applyFont="1" applyFill="1" applyAlignment="1"/>
    <xf numFmtId="0" fontId="24" fillId="0" borderId="3" xfId="0" applyFont="1" applyFill="1" applyBorder="1" applyAlignment="1">
      <alignment horizontal="center" wrapText="1"/>
    </xf>
    <xf numFmtId="0" fontId="7" fillId="0" borderId="0" xfId="0" applyFont="1" applyBorder="1" applyAlignment="1">
      <alignment horizontal="left"/>
    </xf>
    <xf numFmtId="0" fontId="8" fillId="0" borderId="3" xfId="0" applyFont="1" applyBorder="1"/>
    <xf numFmtId="0" fontId="8" fillId="0" borderId="0" xfId="0" applyFont="1" applyFill="1" applyBorder="1" applyAlignment="1">
      <alignment horizontal="left"/>
    </xf>
    <xf numFmtId="0" fontId="56" fillId="0" borderId="0" xfId="0" applyFont="1" applyFill="1" applyBorder="1" applyAlignment="1"/>
    <xf numFmtId="0" fontId="8" fillId="0" borderId="0" xfId="0" applyFont="1" applyFill="1" applyBorder="1" applyAlignment="1"/>
    <xf numFmtId="0" fontId="8" fillId="0" borderId="0" xfId="0" applyFont="1" applyFill="1" applyBorder="1" applyAlignment="1">
      <alignment horizontal="center" wrapText="1"/>
    </xf>
    <xf numFmtId="0" fontId="8" fillId="0" borderId="0" xfId="0" applyFont="1" applyFill="1" applyBorder="1"/>
    <xf numFmtId="0" fontId="7" fillId="0" borderId="0" xfId="0" applyFont="1" applyFill="1" applyBorder="1" applyAlignment="1">
      <alignment horizontal="left"/>
    </xf>
    <xf numFmtId="0" fontId="7" fillId="0" borderId="0" xfId="0" applyFont="1" applyFill="1" applyBorder="1" applyAlignment="1">
      <alignment horizontal="center" wrapText="1"/>
    </xf>
    <xf numFmtId="0" fontId="8" fillId="0" borderId="0" xfId="0" applyNumberFormat="1" applyFont="1" applyFill="1" applyAlignment="1">
      <alignment horizontal="center"/>
    </xf>
    <xf numFmtId="0" fontId="8" fillId="0" borderId="0" xfId="0" applyNumberFormat="1" applyFont="1" applyFill="1" applyAlignment="1"/>
    <xf numFmtId="3" fontId="7" fillId="0" borderId="0" xfId="0" applyNumberFormat="1" applyFont="1" applyFill="1" applyAlignment="1">
      <alignment horizontal="center"/>
    </xf>
    <xf numFmtId="3" fontId="7" fillId="0" borderId="0" xfId="0" applyNumberFormat="1" applyFont="1" applyFill="1" applyAlignment="1"/>
    <xf numFmtId="0" fontId="7" fillId="0" borderId="0" xfId="0" applyNumberFormat="1" applyFont="1" applyAlignment="1">
      <alignment horizontal="center"/>
    </xf>
    <xf numFmtId="0" fontId="7" fillId="0" borderId="0" xfId="0" applyNumberFormat="1" applyFont="1" applyFill="1" applyAlignment="1">
      <alignment horizontal="center"/>
    </xf>
    <xf numFmtId="0" fontId="7" fillId="0" borderId="0" xfId="0" applyNumberFormat="1" applyFont="1" applyBorder="1" applyAlignment="1">
      <alignment horizontal="center"/>
    </xf>
    <xf numFmtId="0" fontId="7" fillId="0" borderId="0" xfId="0" applyNumberFormat="1" applyFont="1" applyFill="1" applyBorder="1" applyAlignment="1">
      <alignment horizontal="center"/>
    </xf>
    <xf numFmtId="0" fontId="7" fillId="0" borderId="6" xfId="0" applyNumberFormat="1" applyFont="1" applyFill="1" applyBorder="1" applyAlignment="1"/>
    <xf numFmtId="3" fontId="7" fillId="0" borderId="6" xfId="0" applyNumberFormat="1" applyFont="1" applyFill="1" applyBorder="1" applyAlignment="1"/>
    <xf numFmtId="3" fontId="7" fillId="0" borderId="6" xfId="0" applyNumberFormat="1" applyFont="1" applyFill="1" applyBorder="1" applyAlignment="1">
      <alignment horizontal="center"/>
    </xf>
    <xf numFmtId="0" fontId="7" fillId="0" borderId="6" xfId="0" applyFont="1" applyFill="1" applyBorder="1" applyAlignment="1"/>
    <xf numFmtId="0" fontId="7" fillId="0" borderId="0" xfId="0" applyNumberFormat="1" applyFont="1" applyFill="1" applyAlignment="1"/>
    <xf numFmtId="0" fontId="8" fillId="0" borderId="7" xfId="0" applyNumberFormat="1" applyFont="1" applyFill="1" applyBorder="1" applyAlignment="1"/>
    <xf numFmtId="0" fontId="7" fillId="0" borderId="7" xfId="0" applyFont="1" applyFill="1" applyBorder="1" applyAlignment="1"/>
    <xf numFmtId="3" fontId="7" fillId="0" borderId="7" xfId="0" applyNumberFormat="1" applyFont="1" applyFill="1" applyBorder="1" applyAlignment="1">
      <alignment horizontal="center"/>
    </xf>
    <xf numFmtId="3" fontId="7" fillId="0" borderId="7" xfId="0" applyNumberFormat="1" applyFont="1" applyFill="1" applyBorder="1" applyAlignment="1"/>
    <xf numFmtId="172" fontId="8" fillId="0" borderId="7" xfId="18" applyNumberFormat="1" applyFont="1" applyFill="1" applyBorder="1" applyAlignment="1"/>
    <xf numFmtId="172" fontId="8" fillId="0" borderId="0" xfId="18" applyNumberFormat="1" applyFont="1" applyFill="1" applyAlignment="1"/>
    <xf numFmtId="3" fontId="7" fillId="0" borderId="20" xfId="0" applyNumberFormat="1" applyFont="1" applyFill="1" applyBorder="1" applyAlignment="1"/>
    <xf numFmtId="0" fontId="7" fillId="0" borderId="6" xfId="0" applyFont="1" applyFill="1" applyBorder="1"/>
    <xf numFmtId="0" fontId="7" fillId="0" borderId="6" xfId="0" applyFont="1" applyFill="1" applyBorder="1" applyAlignment="1">
      <alignment horizontal="center"/>
    </xf>
    <xf numFmtId="3" fontId="7" fillId="0" borderId="0" xfId="0" applyNumberFormat="1" applyFont="1" applyFill="1"/>
    <xf numFmtId="0" fontId="8" fillId="0" borderId="7" xfId="0" applyFont="1" applyFill="1" applyBorder="1"/>
    <xf numFmtId="0" fontId="7" fillId="0" borderId="7" xfId="0" applyFont="1" applyFill="1" applyBorder="1"/>
    <xf numFmtId="0" fontId="7" fillId="0" borderId="7" xfId="0" applyFont="1" applyFill="1" applyBorder="1" applyAlignment="1">
      <alignment horizontal="center"/>
    </xf>
    <xf numFmtId="0" fontId="7" fillId="0" borderId="0" xfId="0" applyNumberFormat="1" applyFont="1" applyAlignment="1">
      <alignment horizontal="left"/>
    </xf>
    <xf numFmtId="0" fontId="7" fillId="0" borderId="20" xfId="0" applyNumberFormat="1" applyFont="1" applyFill="1" applyBorder="1" applyAlignment="1"/>
    <xf numFmtId="0" fontId="7" fillId="0" borderId="20" xfId="0" applyFont="1" applyFill="1" applyBorder="1" applyAlignment="1"/>
    <xf numFmtId="0" fontId="7" fillId="0" borderId="20" xfId="0" applyFont="1" applyFill="1" applyBorder="1" applyAlignment="1">
      <alignment horizontal="left"/>
    </xf>
    <xf numFmtId="3" fontId="7" fillId="0" borderId="0" xfId="0" applyNumberFormat="1" applyFont="1" applyFill="1" applyBorder="1" applyAlignment="1"/>
    <xf numFmtId="3" fontId="8" fillId="0" borderId="0" xfId="0" applyNumberFormat="1" applyFont="1" applyFill="1" applyAlignment="1"/>
    <xf numFmtId="0" fontId="8" fillId="0" borderId="0" xfId="0" applyNumberFormat="1" applyFont="1" applyFill="1" applyAlignment="1">
      <alignment horizontal="right"/>
    </xf>
    <xf numFmtId="172" fontId="7" fillId="0" borderId="0" xfId="18" applyNumberFormat="1" applyFont="1" applyFill="1" applyAlignment="1"/>
    <xf numFmtId="0" fontId="8" fillId="0" borderId="6" xfId="0" applyNumberFormat="1" applyFont="1" applyFill="1" applyBorder="1" applyAlignment="1"/>
    <xf numFmtId="3" fontId="8" fillId="0" borderId="6" xfId="0" applyNumberFormat="1" applyFont="1" applyFill="1" applyBorder="1" applyAlignment="1"/>
    <xf numFmtId="0" fontId="8" fillId="0" borderId="7" xfId="0" applyFont="1" applyFill="1" applyBorder="1" applyAlignment="1">
      <alignment horizontal="center"/>
    </xf>
    <xf numFmtId="3" fontId="8" fillId="0" borderId="7" xfId="0" applyNumberFormat="1" applyFont="1" applyFill="1" applyBorder="1" applyAlignment="1"/>
    <xf numFmtId="3" fontId="8" fillId="0" borderId="7" xfId="0" applyNumberFormat="1" applyFont="1" applyFill="1" applyBorder="1"/>
    <xf numFmtId="168" fontId="7" fillId="0" borderId="0" xfId="0" applyNumberFormat="1" applyFont="1" applyFill="1" applyAlignment="1">
      <alignment horizontal="center"/>
    </xf>
    <xf numFmtId="172" fontId="7" fillId="0" borderId="0" xfId="18" applyNumberFormat="1" applyFont="1" applyFill="1" applyBorder="1" applyAlignment="1"/>
    <xf numFmtId="0" fontId="7" fillId="0" borderId="0" xfId="0" applyFont="1" applyFill="1" applyAlignment="1">
      <alignment horizontal="right"/>
    </xf>
    <xf numFmtId="3" fontId="8" fillId="0" borderId="6" xfId="0" applyNumberFormat="1" applyFont="1" applyFill="1" applyBorder="1" applyAlignment="1">
      <alignment horizontal="right"/>
    </xf>
    <xf numFmtId="3" fontId="8" fillId="0" borderId="0" xfId="0" applyNumberFormat="1" applyFont="1" applyFill="1" applyBorder="1" applyAlignment="1">
      <alignment horizontal="right"/>
    </xf>
    <xf numFmtId="3" fontId="8" fillId="0" borderId="0" xfId="0" applyNumberFormat="1" applyFont="1" applyFill="1" applyBorder="1" applyAlignment="1"/>
    <xf numFmtId="0" fontId="7" fillId="0" borderId="0" xfId="0" applyNumberFormat="1" applyFont="1" applyFill="1" applyAlignment="1">
      <alignment horizontal="left"/>
    </xf>
    <xf numFmtId="172" fontId="7" fillId="0" borderId="0" xfId="0" applyNumberFormat="1" applyFont="1" applyFill="1" applyAlignment="1">
      <alignment horizontal="right"/>
    </xf>
    <xf numFmtId="0" fontId="7" fillId="0" borderId="0" xfId="0" applyNumberFormat="1" applyFont="1" applyFill="1" applyAlignment="1">
      <alignment horizontal="right"/>
    </xf>
    <xf numFmtId="0" fontId="7" fillId="0" borderId="6" xfId="0" applyNumberFormat="1" applyFont="1" applyFill="1" applyBorder="1" applyAlignment="1">
      <alignment horizontal="center"/>
    </xf>
    <xf numFmtId="0" fontId="7" fillId="0" borderId="20" xfId="0" applyNumberFormat="1" applyFont="1" applyFill="1" applyBorder="1" applyAlignment="1">
      <alignment horizontal="center"/>
    </xf>
    <xf numFmtId="3" fontId="7" fillId="0" borderId="6" xfId="0" applyNumberFormat="1" applyFont="1" applyFill="1" applyBorder="1" applyAlignment="1">
      <alignment horizontal="right"/>
    </xf>
    <xf numFmtId="0" fontId="7" fillId="0" borderId="20" xfId="0" applyNumberFormat="1" applyFont="1" applyFill="1" applyBorder="1" applyAlignment="1">
      <alignment horizontal="left"/>
    </xf>
    <xf numFmtId="0" fontId="8" fillId="0" borderId="6" xfId="0" applyFont="1" applyFill="1" applyBorder="1"/>
    <xf numFmtId="0" fontId="8" fillId="0" borderId="6" xfId="0" applyFont="1" applyFill="1" applyBorder="1" applyAlignment="1"/>
    <xf numFmtId="0" fontId="8" fillId="0" borderId="6" xfId="0" applyNumberFormat="1" applyFont="1" applyFill="1" applyBorder="1" applyAlignment="1">
      <alignment horizontal="center"/>
    </xf>
    <xf numFmtId="3" fontId="8" fillId="0" borderId="6" xfId="0" applyNumberFormat="1" applyFont="1" applyFill="1" applyBorder="1"/>
    <xf numFmtId="0" fontId="7" fillId="0" borderId="0" xfId="0" applyFont="1" applyFill="1" applyAlignment="1">
      <alignment horizontal="left"/>
    </xf>
    <xf numFmtId="0" fontId="8" fillId="0" borderId="6" xfId="0" applyNumberFormat="1" applyFont="1" applyFill="1" applyBorder="1" applyAlignment="1">
      <alignment horizontal="left"/>
    </xf>
    <xf numFmtId="0" fontId="8" fillId="0" borderId="6" xfId="0" applyFont="1" applyFill="1" applyBorder="1" applyAlignment="1">
      <alignment horizontal="left"/>
    </xf>
    <xf numFmtId="0" fontId="8" fillId="0" borderId="6" xfId="0" applyFont="1" applyFill="1" applyBorder="1" applyAlignment="1">
      <alignment horizontal="center"/>
    </xf>
    <xf numFmtId="0" fontId="8" fillId="0" borderId="0" xfId="0" applyNumberFormat="1" applyFont="1" applyFill="1" applyBorder="1" applyAlignment="1">
      <alignment horizontal="left"/>
    </xf>
    <xf numFmtId="0" fontId="8" fillId="0" borderId="0" xfId="0" applyFont="1" applyFill="1" applyBorder="1" applyAlignment="1">
      <alignment horizontal="center"/>
    </xf>
    <xf numFmtId="3" fontId="57" fillId="0" borderId="0" xfId="0" applyNumberFormat="1" applyFont="1" applyFill="1" applyBorder="1" applyAlignment="1">
      <alignment horizontal="right"/>
    </xf>
    <xf numFmtId="3" fontId="57" fillId="0" borderId="20" xfId="0" applyNumberFormat="1" applyFont="1" applyFill="1" applyBorder="1" applyAlignment="1">
      <alignment horizontal="right"/>
    </xf>
    <xf numFmtId="0" fontId="8" fillId="0" borderId="0" xfId="0" applyNumberFormat="1" applyFont="1" applyFill="1" applyAlignment="1">
      <alignment horizontal="left"/>
    </xf>
    <xf numFmtId="0" fontId="7" fillId="0" borderId="6" xfId="0" applyNumberFormat="1" applyFont="1" applyFill="1" applyBorder="1" applyAlignment="1">
      <alignment horizontal="left"/>
    </xf>
    <xf numFmtId="172" fontId="7" fillId="0" borderId="20" xfId="0" applyNumberFormat="1" applyFont="1" applyFill="1" applyBorder="1" applyAlignment="1">
      <alignment horizontal="right"/>
    </xf>
    <xf numFmtId="0" fontId="8" fillId="0" borderId="7" xfId="0" applyNumberFormat="1" applyFont="1" applyFill="1" applyBorder="1" applyAlignment="1">
      <alignment horizontal="left"/>
    </xf>
    <xf numFmtId="0" fontId="8" fillId="0" borderId="7" xfId="0" applyFont="1" applyFill="1" applyBorder="1" applyAlignment="1"/>
    <xf numFmtId="0" fontId="8" fillId="0" borderId="7" xfId="0" applyNumberFormat="1" applyFont="1" applyFill="1" applyBorder="1" applyAlignment="1">
      <alignment horizontal="center"/>
    </xf>
    <xf numFmtId="0" fontId="8" fillId="0" borderId="7" xfId="0" applyFont="1" applyFill="1" applyBorder="1" applyAlignment="1">
      <alignment horizontal="right"/>
    </xf>
    <xf numFmtId="3" fontId="8" fillId="0" borderId="7" xfId="0" applyNumberFormat="1" applyFont="1" applyFill="1" applyBorder="1" applyAlignment="1">
      <alignment horizontal="right"/>
    </xf>
    <xf numFmtId="3" fontId="8" fillId="0" borderId="0" xfId="1" applyNumberFormat="1" applyFont="1" applyFill="1"/>
    <xf numFmtId="165" fontId="7" fillId="0" borderId="20" xfId="15" applyFont="1" applyFill="1" applyBorder="1" applyAlignment="1">
      <alignment vertical="center"/>
    </xf>
    <xf numFmtId="3" fontId="7" fillId="0" borderId="20" xfId="0" applyNumberFormat="1" applyFont="1" applyFill="1" applyBorder="1" applyAlignment="1">
      <alignment horizontal="center"/>
    </xf>
    <xf numFmtId="3" fontId="7" fillId="0" borderId="20" xfId="0" applyNumberFormat="1" applyFont="1" applyFill="1" applyBorder="1" applyAlignment="1">
      <alignment horizontal="right"/>
    </xf>
    <xf numFmtId="0" fontId="7" fillId="0" borderId="0" xfId="0" applyNumberFormat="1" applyFont="1" applyFill="1" applyBorder="1"/>
    <xf numFmtId="3" fontId="7" fillId="0" borderId="0" xfId="0" applyNumberFormat="1" applyFont="1" applyFill="1" applyAlignment="1">
      <alignment horizontal="left"/>
    </xf>
    <xf numFmtId="3" fontId="7" fillId="0" borderId="0" xfId="0" quotePrefix="1" applyNumberFormat="1" applyFont="1" applyFill="1" applyAlignment="1">
      <alignment horizontal="right"/>
    </xf>
    <xf numFmtId="3" fontId="8" fillId="0" borderId="0" xfId="0" quotePrefix="1" applyNumberFormat="1" applyFont="1" applyFill="1" applyBorder="1" applyAlignment="1">
      <alignment horizontal="right"/>
    </xf>
    <xf numFmtId="166" fontId="8" fillId="0" borderId="0" xfId="0" applyNumberFormat="1" applyFont="1" applyFill="1" applyAlignment="1"/>
    <xf numFmtId="0" fontId="8" fillId="0" borderId="0" xfId="0" applyNumberFormat="1" applyFont="1" applyAlignment="1">
      <alignment horizontal="center"/>
    </xf>
    <xf numFmtId="168" fontId="8" fillId="0" borderId="7" xfId="0" applyNumberFormat="1" applyFont="1" applyFill="1" applyBorder="1" applyAlignment="1">
      <alignment horizontal="left"/>
    </xf>
    <xf numFmtId="3" fontId="8" fillId="0" borderId="7" xfId="0" applyNumberFormat="1" applyFont="1" applyFill="1" applyBorder="1" applyAlignment="1">
      <alignment horizontal="center"/>
    </xf>
    <xf numFmtId="169" fontId="8" fillId="0" borderId="7" xfId="0" applyNumberFormat="1" applyFont="1" applyFill="1" applyBorder="1" applyAlignment="1">
      <alignment horizontal="center"/>
    </xf>
    <xf numFmtId="166" fontId="7" fillId="0" borderId="0" xfId="0" applyNumberFormat="1" applyFont="1" applyFill="1" applyAlignment="1"/>
    <xf numFmtId="168" fontId="8" fillId="0" borderId="0" xfId="0" applyNumberFormat="1" applyFont="1" applyFill="1" applyBorder="1" applyAlignment="1">
      <alignment horizontal="left"/>
    </xf>
    <xf numFmtId="169" fontId="7" fillId="0" borderId="0" xfId="0" applyNumberFormat="1" applyFont="1" applyFill="1" applyAlignment="1">
      <alignment horizontal="center"/>
    </xf>
    <xf numFmtId="0" fontId="59" fillId="0" borderId="0" xfId="0" applyNumberFormat="1" applyFont="1" applyFill="1"/>
    <xf numFmtId="170" fontId="7" fillId="0" borderId="0" xfId="0" applyNumberFormat="1" applyFont="1" applyFill="1" applyAlignment="1"/>
    <xf numFmtId="168" fontId="7" fillId="0" borderId="0" xfId="0" applyNumberFormat="1" applyFont="1" applyFill="1" applyAlignment="1">
      <alignment horizontal="left"/>
    </xf>
    <xf numFmtId="10" fontId="7" fillId="0" borderId="0" xfId="0" applyNumberFormat="1" applyFont="1" applyFill="1" applyAlignment="1">
      <alignment horizontal="right"/>
    </xf>
    <xf numFmtId="10" fontId="59" fillId="0" borderId="0" xfId="0" applyNumberFormat="1" applyFont="1" applyFill="1"/>
    <xf numFmtId="10" fontId="7" fillId="0" borderId="0" xfId="18" applyNumberFormat="1" applyFont="1" applyFill="1" applyAlignment="1"/>
    <xf numFmtId="0" fontId="59" fillId="0" borderId="20" xfId="0" applyNumberFormat="1" applyFont="1" applyFill="1" applyBorder="1"/>
    <xf numFmtId="10" fontId="15" fillId="0" borderId="0" xfId="0" applyNumberFormat="1" applyFont="1" applyFill="1" applyAlignment="1">
      <alignment horizontal="right"/>
    </xf>
    <xf numFmtId="3" fontId="8" fillId="0" borderId="0" xfId="1" applyNumberFormat="1" applyFont="1" applyFill="1" applyAlignment="1">
      <alignment horizontal="right"/>
    </xf>
    <xf numFmtId="169" fontId="8" fillId="0" borderId="7" xfId="0" applyNumberFormat="1" applyFont="1" applyFill="1" applyBorder="1" applyAlignment="1"/>
    <xf numFmtId="3" fontId="8" fillId="0" borderId="7" xfId="1" applyNumberFormat="1" applyFont="1" applyFill="1" applyBorder="1" applyAlignment="1">
      <alignment horizontal="right"/>
    </xf>
    <xf numFmtId="3" fontId="7" fillId="0" borderId="0" xfId="0" applyNumberFormat="1" applyFont="1" applyFill="1" applyAlignment="1">
      <alignment horizontal="right"/>
    </xf>
    <xf numFmtId="169" fontId="7" fillId="0" borderId="0" xfId="0" applyNumberFormat="1" applyFont="1" applyFill="1" applyAlignment="1"/>
    <xf numFmtId="173" fontId="7" fillId="0" borderId="0" xfId="18" applyNumberFormat="1" applyFont="1" applyFill="1" applyAlignment="1">
      <alignment horizontal="right"/>
    </xf>
    <xf numFmtId="168" fontId="7" fillId="0" borderId="0" xfId="0" applyNumberFormat="1" applyFont="1" applyBorder="1" applyAlignment="1">
      <alignment horizontal="left"/>
    </xf>
    <xf numFmtId="3" fontId="7" fillId="0" borderId="0" xfId="0" applyNumberFormat="1" applyFont="1" applyAlignment="1">
      <alignment horizontal="center"/>
    </xf>
    <xf numFmtId="0" fontId="8" fillId="0" borderId="8" xfId="0" applyNumberFormat="1" applyFont="1" applyBorder="1" applyAlignment="1">
      <alignment horizontal="center"/>
    </xf>
    <xf numFmtId="0" fontId="7" fillId="0" borderId="9" xfId="0" applyNumberFormat="1" applyFont="1" applyBorder="1" applyAlignment="1">
      <alignment horizontal="center"/>
    </xf>
    <xf numFmtId="0" fontId="8" fillId="0" borderId="9" xfId="0" applyNumberFormat="1" applyFont="1" applyFill="1" applyBorder="1" applyAlignment="1"/>
    <xf numFmtId="0" fontId="8" fillId="0" borderId="9" xfId="0" applyFont="1" applyFill="1" applyBorder="1" applyAlignment="1"/>
    <xf numFmtId="3" fontId="8" fillId="0" borderId="9" xfId="0" applyNumberFormat="1" applyFont="1" applyBorder="1" applyAlignment="1">
      <alignment horizontal="center"/>
    </xf>
    <xf numFmtId="0" fontId="7" fillId="0" borderId="9" xfId="0" applyFont="1" applyBorder="1" applyAlignment="1"/>
    <xf numFmtId="3" fontId="8" fillId="0" borderId="9" xfId="0" applyNumberFormat="1" applyFont="1" applyFill="1" applyBorder="1"/>
    <xf numFmtId="0" fontId="8" fillId="0" borderId="0" xfId="0" applyNumberFormat="1" applyFont="1" applyBorder="1" applyAlignment="1">
      <alignment horizontal="center"/>
    </xf>
    <xf numFmtId="3" fontId="8" fillId="0" borderId="0" xfId="0" applyNumberFormat="1" applyFont="1" applyBorder="1" applyAlignment="1">
      <alignment horizontal="center"/>
    </xf>
    <xf numFmtId="3" fontId="8" fillId="0" borderId="0" xfId="0" applyNumberFormat="1" applyFont="1" applyBorder="1" applyAlignment="1"/>
    <xf numFmtId="3" fontId="8" fillId="0" borderId="0" xfId="0" applyNumberFormat="1" applyFont="1" applyFill="1" applyBorder="1"/>
    <xf numFmtId="0" fontId="8" fillId="0" borderId="0" xfId="0" applyNumberFormat="1" applyFont="1" applyBorder="1" applyAlignment="1">
      <alignment horizontal="left"/>
    </xf>
    <xf numFmtId="3" fontId="7" fillId="0" borderId="0" xfId="0" applyNumberFormat="1" applyFont="1" applyBorder="1" applyAlignment="1"/>
    <xf numFmtId="0" fontId="8" fillId="0" borderId="20" xfId="0" applyFont="1" applyFill="1" applyBorder="1" applyAlignment="1"/>
    <xf numFmtId="3" fontId="7" fillId="0" borderId="20" xfId="0" applyNumberFormat="1" applyFont="1" applyFill="1" applyBorder="1"/>
    <xf numFmtId="3" fontId="8" fillId="0" borderId="0" xfId="0" applyNumberFormat="1" applyFont="1" applyFill="1" applyBorder="1" applyAlignment="1">
      <alignment horizontal="center"/>
    </xf>
    <xf numFmtId="3" fontId="8" fillId="0" borderId="6" xfId="0" applyNumberFormat="1" applyFont="1" applyFill="1" applyBorder="1" applyAlignment="1">
      <alignment horizontal="center"/>
    </xf>
    <xf numFmtId="3" fontId="7" fillId="0" borderId="6" xfId="0" applyNumberFormat="1" applyFont="1" applyFill="1" applyBorder="1"/>
    <xf numFmtId="168" fontId="7" fillId="0" borderId="0" xfId="0" applyNumberFormat="1" applyFont="1" applyFill="1" applyBorder="1" applyAlignment="1">
      <alignment horizontal="left"/>
    </xf>
    <xf numFmtId="168" fontId="7" fillId="0" borderId="20" xfId="0" applyNumberFormat="1" applyFont="1" applyFill="1" applyBorder="1" applyAlignment="1">
      <alignment horizontal="left"/>
    </xf>
    <xf numFmtId="0" fontId="8" fillId="0" borderId="0" xfId="0" applyFont="1" applyFill="1" applyAlignment="1"/>
    <xf numFmtId="0" fontId="8" fillId="0" borderId="8" xfId="0" applyNumberFormat="1" applyFont="1" applyFill="1" applyBorder="1" applyAlignment="1">
      <alignment horizontal="center"/>
    </xf>
    <xf numFmtId="0" fontId="8" fillId="0" borderId="9" xfId="0" applyFont="1" applyFill="1" applyBorder="1"/>
    <xf numFmtId="0" fontId="8" fillId="0" borderId="9" xfId="0" applyNumberFormat="1" applyFont="1" applyFill="1" applyBorder="1" applyAlignment="1">
      <alignment horizontal="left"/>
    </xf>
    <xf numFmtId="0" fontId="8" fillId="0" borderId="9" xfId="0" applyFont="1" applyFill="1" applyBorder="1" applyAlignment="1">
      <alignment horizontal="center"/>
    </xf>
    <xf numFmtId="3" fontId="8" fillId="0" borderId="9" xfId="0" applyNumberFormat="1" applyFont="1" applyFill="1" applyBorder="1" applyAlignment="1"/>
    <xf numFmtId="0" fontId="8" fillId="0" borderId="0" xfId="0" applyNumberFormat="1" applyFont="1" applyAlignment="1">
      <alignment horizontal="left"/>
    </xf>
    <xf numFmtId="0" fontId="57" fillId="0" borderId="0" xfId="0" applyFont="1" applyAlignment="1"/>
    <xf numFmtId="2" fontId="7" fillId="0" borderId="0" xfId="0" applyNumberFormat="1" applyFont="1" applyFill="1" applyBorder="1"/>
    <xf numFmtId="37" fontId="56" fillId="0" borderId="0" xfId="0" applyNumberFormat="1" applyFont="1" applyFill="1" applyBorder="1" applyAlignment="1">
      <alignment horizontal="right"/>
    </xf>
    <xf numFmtId="37" fontId="57" fillId="0" borderId="0" xfId="0" applyNumberFormat="1" applyFont="1" applyBorder="1" applyAlignment="1">
      <alignment horizontal="left"/>
    </xf>
    <xf numFmtId="0" fontId="8" fillId="0" borderId="9" xfId="0" applyNumberFormat="1" applyFont="1" applyBorder="1" applyAlignment="1">
      <alignment horizontal="center"/>
    </xf>
    <xf numFmtId="0" fontId="8" fillId="0" borderId="9" xfId="0" applyNumberFormat="1" applyFont="1" applyBorder="1" applyAlignment="1">
      <alignment horizontal="left"/>
    </xf>
    <xf numFmtId="37" fontId="8" fillId="0" borderId="9" xfId="0" applyNumberFormat="1" applyFont="1" applyFill="1" applyBorder="1" applyAlignment="1">
      <alignment horizontal="center"/>
    </xf>
    <xf numFmtId="0" fontId="24" fillId="0" borderId="0" xfId="0" applyFont="1" applyBorder="1" applyAlignment="1"/>
    <xf numFmtId="37" fontId="24" fillId="0" borderId="0" xfId="0" applyNumberFormat="1" applyFont="1" applyBorder="1" applyAlignment="1">
      <alignment horizontal="left"/>
    </xf>
    <xf numFmtId="0" fontId="8" fillId="0" borderId="0" xfId="0" applyNumberFormat="1" applyFont="1" applyFill="1" applyBorder="1" applyAlignment="1">
      <alignment horizontal="center"/>
    </xf>
    <xf numFmtId="0" fontId="24" fillId="0" borderId="0" xfId="0" applyFont="1" applyFill="1" applyAlignment="1">
      <alignment horizontal="left"/>
    </xf>
    <xf numFmtId="37" fontId="24" fillId="0" borderId="0" xfId="0" applyNumberFormat="1" applyFont="1" applyFill="1" applyBorder="1" applyAlignment="1">
      <alignment horizontal="left"/>
    </xf>
    <xf numFmtId="0" fontId="24" fillId="0" borderId="0" xfId="0" applyNumberFormat="1" applyFont="1" applyFill="1"/>
    <xf numFmtId="0" fontId="24" fillId="0" borderId="0" xfId="0" applyFont="1" applyFill="1" applyAlignment="1"/>
    <xf numFmtId="0" fontId="24" fillId="0" borderId="0" xfId="0" applyFont="1" applyAlignment="1"/>
    <xf numFmtId="170" fontId="24" fillId="0" borderId="0" xfId="16" applyFont="1" applyFill="1" applyAlignment="1" applyProtection="1">
      <protection locked="0"/>
    </xf>
    <xf numFmtId="0" fontId="24" fillId="0" borderId="0" xfId="0" applyNumberFormat="1" applyFont="1" applyFill="1" applyBorder="1" applyAlignment="1">
      <alignment horizontal="left"/>
    </xf>
    <xf numFmtId="0" fontId="24" fillId="0" borderId="0" xfId="0" applyNumberFormat="1" applyFont="1" applyFill="1" applyBorder="1" applyAlignment="1">
      <alignment horizontal="center"/>
    </xf>
    <xf numFmtId="3" fontId="7" fillId="0" borderId="0" xfId="0" applyNumberFormat="1" applyFont="1" applyAlignment="1"/>
    <xf numFmtId="3" fontId="7" fillId="0" borderId="20" xfId="0" applyNumberFormat="1" applyFont="1" applyBorder="1" applyAlignment="1"/>
    <xf numFmtId="0" fontId="7" fillId="0" borderId="7" xfId="0" applyFont="1" applyBorder="1"/>
    <xf numFmtId="3" fontId="57" fillId="0" borderId="0" xfId="0" applyNumberFormat="1" applyFont="1" applyBorder="1" applyAlignment="1">
      <alignment horizontal="right"/>
    </xf>
    <xf numFmtId="0" fontId="7" fillId="0" borderId="0" xfId="0" applyNumberFormat="1" applyFont="1" applyAlignment="1"/>
    <xf numFmtId="0" fontId="7" fillId="0" borderId="0" xfId="0" applyNumberFormat="1" applyFont="1" applyBorder="1"/>
    <xf numFmtId="0" fontId="7" fillId="0" borderId="0" xfId="0" applyNumberFormat="1" applyFont="1" applyBorder="1" applyAlignment="1">
      <alignment horizontal="left"/>
    </xf>
    <xf numFmtId="3" fontId="7" fillId="0" borderId="0" xfId="0" applyNumberFormat="1" applyFont="1" applyAlignment="1">
      <alignment horizontal="left"/>
    </xf>
    <xf numFmtId="3" fontId="7" fillId="0" borderId="0" xfId="0" quotePrefix="1" applyNumberFormat="1" applyFont="1" applyAlignment="1">
      <alignment horizontal="right"/>
    </xf>
    <xf numFmtId="0" fontId="7" fillId="0" borderId="0" xfId="0" applyFont="1" applyAlignment="1">
      <alignment horizontal="right"/>
    </xf>
    <xf numFmtId="0" fontId="7" fillId="0" borderId="20" xfId="0" applyNumberFormat="1" applyFont="1" applyBorder="1" applyAlignment="1">
      <alignment horizontal="center"/>
    </xf>
    <xf numFmtId="0" fontId="7" fillId="0" borderId="20" xfId="0" applyNumberFormat="1" applyFont="1" applyBorder="1" applyAlignment="1">
      <alignment horizontal="left"/>
    </xf>
    <xf numFmtId="3" fontId="7" fillId="0" borderId="20" xfId="0" applyNumberFormat="1" applyFont="1" applyBorder="1" applyAlignment="1">
      <alignment horizontal="right"/>
    </xf>
    <xf numFmtId="0" fontId="8" fillId="0" borderId="0" xfId="0" applyNumberFormat="1" applyFont="1" applyBorder="1" applyAlignment="1"/>
    <xf numFmtId="3" fontId="8" fillId="0" borderId="0" xfId="0" quotePrefix="1" applyNumberFormat="1" applyFont="1" applyBorder="1" applyAlignment="1">
      <alignment horizontal="right"/>
    </xf>
    <xf numFmtId="168" fontId="8" fillId="0" borderId="7" xfId="0" applyNumberFormat="1" applyFont="1" applyBorder="1" applyAlignment="1">
      <alignment horizontal="left"/>
    </xf>
    <xf numFmtId="3" fontId="8" fillId="0" borderId="7" xfId="0" applyNumberFormat="1" applyFont="1" applyBorder="1" applyAlignment="1"/>
    <xf numFmtId="169" fontId="8" fillId="0" borderId="7" xfId="0" applyNumberFormat="1" applyFont="1" applyBorder="1" applyAlignment="1">
      <alignment horizontal="center"/>
    </xf>
    <xf numFmtId="168" fontId="8" fillId="0" borderId="0" xfId="0" applyNumberFormat="1" applyFont="1" applyBorder="1" applyAlignment="1">
      <alignment horizontal="left"/>
    </xf>
    <xf numFmtId="169" fontId="7" fillId="0" borderId="0" xfId="0" applyNumberFormat="1" applyFont="1" applyAlignment="1">
      <alignment horizontal="center"/>
    </xf>
    <xf numFmtId="168" fontId="7" fillId="0" borderId="0" xfId="0" applyNumberFormat="1" applyFont="1" applyAlignment="1">
      <alignment horizontal="left"/>
    </xf>
    <xf numFmtId="168" fontId="7" fillId="0" borderId="0" xfId="0" applyNumberFormat="1" applyFont="1" applyAlignment="1">
      <alignment horizontal="center"/>
    </xf>
    <xf numFmtId="3" fontId="58" fillId="0" borderId="0" xfId="0" applyNumberFormat="1" applyFont="1" applyBorder="1" applyAlignment="1">
      <alignment horizontal="right"/>
    </xf>
    <xf numFmtId="0" fontId="8" fillId="0" borderId="7" xfId="0" applyFont="1" applyBorder="1" applyAlignment="1">
      <alignment horizontal="center"/>
    </xf>
    <xf numFmtId="169" fontId="8" fillId="0" borderId="7" xfId="0" applyNumberFormat="1" applyFont="1" applyBorder="1" applyAlignment="1"/>
    <xf numFmtId="169" fontId="7" fillId="0" borderId="0" xfId="0" applyNumberFormat="1" applyFont="1" applyAlignment="1"/>
    <xf numFmtId="172" fontId="7" fillId="0" borderId="0" xfId="0" applyNumberFormat="1" applyFont="1" applyFill="1"/>
    <xf numFmtId="9" fontId="7" fillId="0" borderId="0" xfId="0" applyNumberFormat="1" applyFont="1" applyFill="1"/>
    <xf numFmtId="0" fontId="7" fillId="0" borderId="19" xfId="0" applyFont="1" applyFill="1" applyBorder="1"/>
    <xf numFmtId="0" fontId="7" fillId="0" borderId="19" xfId="0" applyNumberFormat="1" applyFont="1" applyFill="1" applyBorder="1" applyAlignment="1">
      <alignment wrapText="1"/>
    </xf>
    <xf numFmtId="0" fontId="13" fillId="0" borderId="0" xfId="0" applyFont="1" applyFill="1"/>
    <xf numFmtId="0" fontId="14" fillId="0" borderId="0" xfId="0" applyFont="1" applyFill="1"/>
    <xf numFmtId="0" fontId="7" fillId="0" borderId="0" xfId="0" applyFont="1" applyFill="1" applyAlignment="1">
      <alignment horizontal="left" wrapText="1"/>
    </xf>
    <xf numFmtId="0" fontId="7" fillId="0" borderId="0" xfId="0" applyFont="1" applyFill="1" applyAlignment="1">
      <alignment horizontal="right" wrapText="1"/>
    </xf>
    <xf numFmtId="172" fontId="7" fillId="0" borderId="0" xfId="0" applyNumberFormat="1" applyFont="1" applyFill="1" applyAlignment="1">
      <alignment horizontal="center" wrapText="1"/>
    </xf>
    <xf numFmtId="0" fontId="7" fillId="0" borderId="0" xfId="0" applyFont="1" applyFill="1" applyAlignment="1">
      <alignment horizontal="left" vertical="center" wrapText="1"/>
    </xf>
    <xf numFmtId="0" fontId="13" fillId="0" borderId="0" xfId="0" applyFont="1"/>
    <xf numFmtId="164" fontId="11" fillId="0" borderId="0" xfId="1" applyNumberFormat="1" applyFont="1" applyAlignment="1"/>
    <xf numFmtId="0" fontId="9" fillId="0" borderId="0" xfId="0" applyFont="1" applyAlignment="1"/>
    <xf numFmtId="0" fontId="7" fillId="0" borderId="0" xfId="0" applyFont="1" applyAlignment="1">
      <alignment wrapText="1"/>
    </xf>
    <xf numFmtId="3" fontId="7" fillId="0" borderId="0" xfId="1" applyNumberFormat="1" applyFont="1"/>
    <xf numFmtId="0" fontId="61" fillId="3" borderId="0" xfId="0" applyFont="1" applyFill="1"/>
    <xf numFmtId="0" fontId="7" fillId="3" borderId="0" xfId="0" applyFont="1" applyFill="1"/>
    <xf numFmtId="3" fontId="7" fillId="0" borderId="0" xfId="0" applyNumberFormat="1" applyFont="1" applyBorder="1" applyAlignment="1">
      <alignment horizontal="left"/>
    </xf>
    <xf numFmtId="165" fontId="7" fillId="0" borderId="20" xfId="15" applyFont="1" applyBorder="1" applyAlignment="1">
      <alignment vertical="center"/>
    </xf>
    <xf numFmtId="3" fontId="7" fillId="0" borderId="20" xfId="0" applyNumberFormat="1" applyFont="1" applyBorder="1" applyAlignment="1">
      <alignment horizontal="left"/>
    </xf>
    <xf numFmtId="3" fontId="8" fillId="0" borderId="0" xfId="0" applyNumberFormat="1" applyFont="1" applyAlignment="1">
      <alignment horizontal="left"/>
    </xf>
    <xf numFmtId="3" fontId="7" fillId="0" borderId="20" xfId="0" applyNumberFormat="1" applyFont="1" applyFill="1" applyBorder="1" applyAlignment="1">
      <alignment horizontal="left"/>
    </xf>
    <xf numFmtId="0" fontId="49" fillId="0" borderId="0" xfId="0" applyFont="1" applyAlignment="1">
      <alignment horizontal="left"/>
    </xf>
    <xf numFmtId="0" fontId="7" fillId="0" borderId="20" xfId="0" applyFont="1" applyBorder="1" applyAlignment="1">
      <alignment horizontal="left"/>
    </xf>
    <xf numFmtId="0" fontId="8" fillId="0" borderId="0" xfId="0" applyFont="1" applyBorder="1" applyAlignment="1">
      <alignment horizontal="left"/>
    </xf>
    <xf numFmtId="166" fontId="7" fillId="0" borderId="0" xfId="0" applyNumberFormat="1" applyFont="1" applyAlignment="1"/>
    <xf numFmtId="0" fontId="62" fillId="3" borderId="0" xfId="0" applyFont="1" applyFill="1" applyAlignment="1">
      <alignment horizontal="left"/>
    </xf>
    <xf numFmtId="0" fontId="62" fillId="3" borderId="0" xfId="0" applyFont="1" applyFill="1" applyAlignment="1"/>
    <xf numFmtId="0" fontId="56" fillId="3" borderId="0" xfId="0" applyNumberFormat="1" applyFont="1" applyFill="1" applyAlignment="1">
      <alignment horizontal="left"/>
    </xf>
    <xf numFmtId="0" fontId="56" fillId="3" borderId="0" xfId="0" applyNumberFormat="1" applyFont="1" applyFill="1" applyAlignment="1">
      <alignment horizontal="center"/>
    </xf>
    <xf numFmtId="0" fontId="7" fillId="3" borderId="0" xfId="0" applyFont="1" applyFill="1" applyBorder="1" applyAlignment="1">
      <alignment horizontal="center" wrapText="1"/>
    </xf>
    <xf numFmtId="172" fontId="8" fillId="0" borderId="0" xfId="18" applyNumberFormat="1" applyFont="1" applyAlignment="1"/>
    <xf numFmtId="172" fontId="7" fillId="0" borderId="0" xfId="0" applyNumberFormat="1" applyFont="1" applyBorder="1" applyAlignment="1">
      <alignment horizontal="right"/>
    </xf>
    <xf numFmtId="0" fontId="49" fillId="0" borderId="6" xfId="0" applyNumberFormat="1" applyFont="1" applyFill="1" applyBorder="1" applyAlignment="1">
      <alignment horizontal="center"/>
    </xf>
    <xf numFmtId="3" fontId="58" fillId="0" borderId="6" xfId="0" applyNumberFormat="1" applyFont="1" applyBorder="1" applyAlignment="1">
      <alignment horizontal="right"/>
    </xf>
    <xf numFmtId="3" fontId="57" fillId="0" borderId="6" xfId="0" applyNumberFormat="1" applyFont="1" applyBorder="1" applyAlignment="1">
      <alignment horizontal="right"/>
    </xf>
    <xf numFmtId="0" fontId="10" fillId="0" borderId="0" xfId="0" applyNumberFormat="1" applyFont="1" applyFill="1" applyBorder="1" applyAlignment="1">
      <alignment horizontal="center"/>
    </xf>
    <xf numFmtId="3" fontId="10" fillId="0" borderId="0" xfId="0" applyNumberFormat="1" applyFont="1" applyBorder="1" applyAlignment="1"/>
    <xf numFmtId="3" fontId="60" fillId="0" borderId="0" xfId="0" applyNumberFormat="1" applyFont="1" applyBorder="1" applyAlignment="1">
      <alignment horizontal="right"/>
    </xf>
    <xf numFmtId="3" fontId="21" fillId="0" borderId="0" xfId="0" applyNumberFormat="1" applyFont="1" applyBorder="1" applyAlignment="1">
      <alignment horizontal="right"/>
    </xf>
    <xf numFmtId="3" fontId="7" fillId="0" borderId="0" xfId="1" applyNumberFormat="1" applyFont="1" applyFill="1" applyAlignment="1"/>
    <xf numFmtId="0" fontId="24" fillId="0" borderId="2" xfId="0" applyNumberFormat="1" applyFont="1" applyBorder="1" applyAlignment="1">
      <alignment horizontal="center"/>
    </xf>
    <xf numFmtId="0" fontId="24" fillId="0" borderId="0" xfId="0" applyNumberFormat="1" applyFont="1" applyBorder="1" applyAlignment="1">
      <alignment horizontal="center"/>
    </xf>
    <xf numFmtId="0" fontId="27" fillId="0" borderId="0" xfId="0" applyNumberFormat="1" applyFont="1" applyFill="1" applyBorder="1" applyAlignment="1"/>
    <xf numFmtId="0" fontId="24" fillId="0" borderId="3" xfId="0" applyFont="1" applyBorder="1" applyAlignment="1"/>
    <xf numFmtId="0" fontId="24" fillId="0" borderId="2" xfId="0" applyNumberFormat="1" applyFont="1" applyFill="1" applyBorder="1" applyAlignment="1">
      <alignment horizontal="center"/>
    </xf>
    <xf numFmtId="3" fontId="24" fillId="0" borderId="3" xfId="0" applyNumberFormat="1" applyFont="1" applyFill="1" applyBorder="1" applyAlignment="1"/>
    <xf numFmtId="3" fontId="24" fillId="0" borderId="3" xfId="0" applyNumberFormat="1" applyFont="1" applyBorder="1" applyAlignment="1"/>
    <xf numFmtId="0" fontId="24" fillId="0" borderId="0" xfId="0" applyNumberFormat="1" applyFont="1" applyFill="1" applyBorder="1" applyAlignment="1"/>
    <xf numFmtId="0" fontId="28" fillId="0" borderId="0" xfId="0" applyFont="1" applyFill="1" applyBorder="1" applyAlignment="1"/>
    <xf numFmtId="3" fontId="27" fillId="0" borderId="3" xfId="0" applyNumberFormat="1" applyFont="1" applyBorder="1" applyAlignment="1"/>
    <xf numFmtId="3" fontId="24" fillId="0" borderId="0" xfId="0" applyNumberFormat="1" applyFont="1" applyFill="1" applyBorder="1" applyAlignment="1"/>
    <xf numFmtId="0" fontId="27" fillId="0" borderId="0" xfId="0" applyNumberFormat="1" applyFont="1" applyFill="1" applyBorder="1" applyAlignment="1">
      <alignment horizontal="left"/>
    </xf>
    <xf numFmtId="0" fontId="28" fillId="0" borderId="0" xfId="0" applyFont="1" applyFill="1" applyBorder="1"/>
    <xf numFmtId="3" fontId="28" fillId="0" borderId="3" xfId="0" applyNumberFormat="1" applyFont="1" applyBorder="1" applyAlignment="1">
      <alignment horizontal="right"/>
    </xf>
    <xf numFmtId="0" fontId="63" fillId="0" borderId="0" xfId="0" applyNumberFormat="1" applyFont="1" applyFill="1" applyBorder="1" applyAlignment="1">
      <alignment horizontal="left"/>
    </xf>
    <xf numFmtId="0" fontId="24" fillId="0" borderId="3" xfId="0" applyNumberFormat="1" applyFont="1" applyBorder="1" applyAlignment="1">
      <alignment horizontal="left"/>
    </xf>
    <xf numFmtId="0" fontId="24" fillId="0" borderId="0" xfId="0" applyNumberFormat="1" applyFont="1" applyFill="1" applyBorder="1" applyAlignment="1">
      <alignment horizontal="right"/>
    </xf>
    <xf numFmtId="0" fontId="24" fillId="0" borderId="3" xfId="0" applyNumberFormat="1" applyFont="1" applyFill="1" applyBorder="1" applyAlignment="1">
      <alignment horizontal="left"/>
    </xf>
    <xf numFmtId="0" fontId="27" fillId="0" borderId="0" xfId="0" applyFont="1" applyBorder="1" applyAlignment="1">
      <alignment horizontal="left"/>
    </xf>
    <xf numFmtId="0" fontId="24" fillId="0" borderId="3" xfId="0" applyFont="1" applyBorder="1" applyAlignment="1">
      <alignment horizontal="right"/>
    </xf>
    <xf numFmtId="0" fontId="24" fillId="0" borderId="0" xfId="0" applyNumberFormat="1" applyFont="1" applyBorder="1" applyAlignment="1">
      <alignment horizontal="right"/>
    </xf>
    <xf numFmtId="168" fontId="27" fillId="0" borderId="0" xfId="0" applyNumberFormat="1" applyFont="1" applyBorder="1" applyAlignment="1">
      <alignment horizontal="left"/>
    </xf>
    <xf numFmtId="3" fontId="27" fillId="0" borderId="0" xfId="0" applyNumberFormat="1" applyFont="1" applyBorder="1" applyAlignment="1">
      <alignment horizontal="center"/>
    </xf>
    <xf numFmtId="0" fontId="27" fillId="0" borderId="0" xfId="0" applyFont="1" applyFill="1" applyBorder="1" applyAlignment="1"/>
    <xf numFmtId="0" fontId="27" fillId="0" borderId="2" xfId="0" applyNumberFormat="1" applyFont="1" applyBorder="1" applyAlignment="1">
      <alignment horizontal="center"/>
    </xf>
    <xf numFmtId="0" fontId="24" fillId="0" borderId="4" xfId="0" applyNumberFormat="1" applyFont="1" applyFill="1" applyBorder="1" applyAlignment="1">
      <alignment horizontal="center"/>
    </xf>
    <xf numFmtId="0" fontId="24" fillId="0" borderId="1" xfId="0" applyNumberFormat="1" applyFont="1" applyBorder="1" applyAlignment="1">
      <alignment horizontal="center"/>
    </xf>
    <xf numFmtId="0" fontId="15" fillId="0" borderId="0" xfId="0" applyFont="1" applyFill="1" applyBorder="1" applyAlignment="1">
      <alignment horizontal="left"/>
    </xf>
    <xf numFmtId="0" fontId="15" fillId="0" borderId="2" xfId="0" applyFont="1" applyFill="1" applyBorder="1" applyAlignment="1">
      <alignment horizontal="center"/>
    </xf>
    <xf numFmtId="0" fontId="15" fillId="0" borderId="0" xfId="0" applyFont="1" applyFill="1" applyBorder="1" applyAlignment="1">
      <alignment horizontal="center"/>
    </xf>
    <xf numFmtId="0" fontId="15" fillId="0" borderId="3" xfId="0" applyFont="1" applyFill="1" applyBorder="1" applyAlignment="1">
      <alignment horizontal="center"/>
    </xf>
    <xf numFmtId="0" fontId="24" fillId="0" borderId="1" xfId="0" applyNumberFormat="1" applyFont="1" applyFill="1" applyBorder="1" applyAlignment="1">
      <alignment horizontal="right"/>
    </xf>
    <xf numFmtId="0" fontId="24" fillId="0" borderId="1" xfId="0" applyNumberFormat="1" applyFont="1" applyFill="1" applyBorder="1" applyAlignment="1">
      <alignment horizontal="left"/>
    </xf>
    <xf numFmtId="0" fontId="24" fillId="0" borderId="5" xfId="0" applyNumberFormat="1" applyFont="1" applyFill="1" applyBorder="1" applyAlignment="1">
      <alignment horizontal="left"/>
    </xf>
    <xf numFmtId="0" fontId="24" fillId="0" borderId="1" xfId="0" applyNumberFormat="1" applyFont="1" applyFill="1" applyBorder="1" applyAlignment="1">
      <alignment horizontal="center"/>
    </xf>
    <xf numFmtId="0" fontId="28" fillId="0" borderId="1" xfId="0" applyFont="1" applyFill="1" applyBorder="1" applyAlignment="1"/>
    <xf numFmtId="0" fontId="24" fillId="0" borderId="5" xfId="0" applyNumberFormat="1" applyFont="1" applyFill="1" applyBorder="1" applyAlignment="1">
      <alignment horizontal="center"/>
    </xf>
    <xf numFmtId="0" fontId="24" fillId="0" borderId="3" xfId="0" applyNumberFormat="1" applyFont="1" applyFill="1" applyBorder="1" applyAlignment="1">
      <alignment horizontal="center"/>
    </xf>
    <xf numFmtId="0" fontId="28" fillId="0" borderId="1" xfId="0" applyFont="1" applyFill="1" applyBorder="1" applyAlignment="1">
      <alignment horizontal="center"/>
    </xf>
    <xf numFmtId="0" fontId="24" fillId="0" borderId="4" xfId="0" applyNumberFormat="1" applyFont="1" applyBorder="1" applyAlignment="1">
      <alignment horizontal="center"/>
    </xf>
    <xf numFmtId="0" fontId="24" fillId="0" borderId="1" xfId="0" applyNumberFormat="1" applyFont="1" applyFill="1" applyBorder="1"/>
    <xf numFmtId="170" fontId="24" fillId="0" borderId="1" xfId="0" applyNumberFormat="1" applyFont="1" applyBorder="1" applyAlignment="1"/>
    <xf numFmtId="0" fontId="24" fillId="0" borderId="5" xfId="0" applyFont="1" applyBorder="1" applyAlignment="1"/>
    <xf numFmtId="0" fontId="7" fillId="0" borderId="4" xfId="0" applyFont="1" applyBorder="1"/>
    <xf numFmtId="0" fontId="7" fillId="0" borderId="1" xfId="0" applyFont="1" applyBorder="1"/>
    <xf numFmtId="0" fontId="7" fillId="0" borderId="5" xfId="0" applyFont="1" applyBorder="1"/>
    <xf numFmtId="0" fontId="27" fillId="0" borderId="2" xfId="0" applyFont="1" applyFill="1" applyBorder="1"/>
    <xf numFmtId="2" fontId="24" fillId="0" borderId="2" xfId="0" applyNumberFormat="1" applyFont="1" applyFill="1" applyBorder="1" applyAlignment="1"/>
    <xf numFmtId="2" fontId="24" fillId="0" borderId="0" xfId="0" applyNumberFormat="1" applyFont="1" applyFill="1" applyBorder="1" applyAlignment="1">
      <alignment horizontal="center"/>
    </xf>
    <xf numFmtId="2" fontId="24" fillId="0" borderId="3" xfId="0" applyNumberFormat="1" applyFont="1" applyFill="1" applyBorder="1" applyAlignment="1">
      <alignment horizontal="center"/>
    </xf>
    <xf numFmtId="2" fontId="24" fillId="0" borderId="2" xfId="0" applyNumberFormat="1" applyFont="1" applyFill="1" applyBorder="1" applyAlignment="1">
      <alignment horizontal="center"/>
    </xf>
    <xf numFmtId="43" fontId="24" fillId="0" borderId="0" xfId="0" applyNumberFormat="1" applyFont="1" applyFill="1" applyBorder="1" applyAlignment="1">
      <alignment horizontal="center" wrapText="1"/>
    </xf>
    <xf numFmtId="0" fontId="30" fillId="0" borderId="0" xfId="0" applyFont="1" applyAlignment="1">
      <alignment horizontal="center"/>
    </xf>
    <xf numFmtId="0" fontId="24" fillId="0" borderId="0" xfId="0" applyFont="1" applyFill="1" applyBorder="1" applyAlignment="1">
      <alignment wrapText="1"/>
    </xf>
    <xf numFmtId="0" fontId="24" fillId="0" borderId="3" xfId="0" applyFont="1" applyFill="1" applyBorder="1" applyAlignment="1">
      <alignment wrapText="1"/>
    </xf>
    <xf numFmtId="0" fontId="7" fillId="6" borderId="13" xfId="0" applyFont="1" applyFill="1" applyBorder="1"/>
    <xf numFmtId="0" fontId="23" fillId="0" borderId="0" xfId="0" applyFont="1" applyFill="1" applyBorder="1" applyAlignment="1">
      <alignment horizontal="left"/>
    </xf>
    <xf numFmtId="0" fontId="23" fillId="6" borderId="15" xfId="0" applyFont="1" applyFill="1" applyBorder="1" applyAlignment="1"/>
    <xf numFmtId="0" fontId="71" fillId="6" borderId="0" xfId="0" applyFont="1" applyFill="1" applyBorder="1"/>
    <xf numFmtId="0" fontId="71" fillId="6" borderId="3" xfId="0" applyFont="1" applyFill="1" applyBorder="1"/>
    <xf numFmtId="0" fontId="71" fillId="6" borderId="0" xfId="0" applyFont="1" applyFill="1" applyBorder="1" applyAlignment="1">
      <alignment horizontal="center"/>
    </xf>
    <xf numFmtId="3" fontId="71" fillId="6" borderId="0" xfId="0" applyNumberFormat="1" applyFont="1" applyFill="1" applyBorder="1" applyAlignment="1">
      <alignment horizontal="right"/>
    </xf>
    <xf numFmtId="37" fontId="71" fillId="6" borderId="0" xfId="0" applyNumberFormat="1" applyFont="1" applyFill="1" applyBorder="1" applyAlignment="1">
      <alignment horizontal="left"/>
    </xf>
    <xf numFmtId="37" fontId="71" fillId="6" borderId="0" xfId="0" applyNumberFormat="1" applyFont="1" applyFill="1" applyBorder="1" applyAlignment="1">
      <alignment horizontal="center"/>
    </xf>
    <xf numFmtId="0" fontId="71" fillId="6" borderId="0" xfId="12" applyFont="1" applyFill="1" applyBorder="1" applyAlignment="1">
      <alignment wrapText="1"/>
    </xf>
    <xf numFmtId="0" fontId="71" fillId="6" borderId="3" xfId="12" applyFont="1" applyFill="1" applyBorder="1" applyAlignment="1">
      <alignment wrapText="1"/>
    </xf>
    <xf numFmtId="3" fontId="24" fillId="0" borderId="0" xfId="0" applyNumberFormat="1" applyFont="1" applyFill="1" applyBorder="1" applyAlignment="1">
      <alignment horizontal="right"/>
    </xf>
    <xf numFmtId="164" fontId="27" fillId="0" borderId="0" xfId="2" applyNumberFormat="1" applyFont="1" applyFill="1" applyBorder="1" applyAlignment="1">
      <alignment horizontal="right"/>
    </xf>
    <xf numFmtId="164" fontId="27" fillId="0" borderId="0" xfId="2" applyNumberFormat="1" applyFont="1" applyFill="1" applyBorder="1" applyAlignment="1"/>
    <xf numFmtId="0" fontId="27" fillId="0" borderId="0" xfId="0" applyFont="1" applyFill="1"/>
    <xf numFmtId="164" fontId="24" fillId="0" borderId="2" xfId="1" applyNumberFormat="1" applyFont="1" applyFill="1" applyBorder="1" applyAlignment="1">
      <alignment horizontal="center"/>
    </xf>
    <xf numFmtId="0" fontId="23" fillId="6" borderId="13" xfId="0" applyFont="1" applyFill="1" applyBorder="1" applyAlignment="1">
      <alignment wrapText="1"/>
    </xf>
    <xf numFmtId="0" fontId="29" fillId="6" borderId="13" xfId="0" applyFont="1" applyFill="1" applyBorder="1" applyAlignment="1">
      <alignment wrapText="1"/>
    </xf>
    <xf numFmtId="0" fontId="29" fillId="6" borderId="14" xfId="0" applyFont="1" applyFill="1" applyBorder="1" applyAlignment="1">
      <alignment wrapText="1"/>
    </xf>
    <xf numFmtId="0" fontId="24" fillId="0" borderId="1" xfId="0" applyFont="1" applyFill="1" applyBorder="1" applyAlignment="1">
      <alignment wrapText="1"/>
    </xf>
    <xf numFmtId="0" fontId="24" fillId="0" borderId="5" xfId="0" applyFont="1" applyFill="1" applyBorder="1" applyAlignment="1">
      <alignment wrapText="1"/>
    </xf>
    <xf numFmtId="164" fontId="24" fillId="0" borderId="0" xfId="0" applyNumberFormat="1" applyFont="1" applyFill="1" applyBorder="1" applyAlignment="1">
      <alignment wrapText="1"/>
    </xf>
    <xf numFmtId="0" fontId="64" fillId="0" borderId="0" xfId="0" applyFont="1" applyAlignment="1">
      <alignment horizontal="center"/>
    </xf>
    <xf numFmtId="0" fontId="8" fillId="4" borderId="21" xfId="0" applyFont="1" applyFill="1" applyBorder="1" applyAlignment="1">
      <alignment horizontal="center" wrapText="1"/>
    </xf>
    <xf numFmtId="3" fontId="7" fillId="4" borderId="0" xfId="0" applyNumberFormat="1" applyFont="1" applyFill="1" applyBorder="1" applyAlignment="1"/>
    <xf numFmtId="10" fontId="59" fillId="4" borderId="0" xfId="0" applyNumberFormat="1" applyFont="1" applyFill="1"/>
    <xf numFmtId="3" fontId="7" fillId="4" borderId="0" xfId="0" applyNumberFormat="1" applyFont="1" applyFill="1"/>
    <xf numFmtId="164" fontId="24" fillId="0" borderId="1" xfId="0" applyNumberFormat="1" applyFont="1" applyFill="1" applyBorder="1" applyAlignment="1">
      <alignment wrapText="1"/>
    </xf>
    <xf numFmtId="3" fontId="8" fillId="0" borderId="0" xfId="0" applyNumberFormat="1" applyFont="1" applyFill="1" applyAlignment="1">
      <alignment horizontal="right"/>
    </xf>
    <xf numFmtId="37" fontId="8" fillId="0" borderId="0" xfId="0" applyNumberFormat="1" applyFont="1" applyFill="1" applyBorder="1" applyAlignment="1">
      <alignment horizontal="right"/>
    </xf>
    <xf numFmtId="172" fontId="7" fillId="0" borderId="0" xfId="18" applyNumberFormat="1" applyFont="1" applyFill="1" applyBorder="1"/>
    <xf numFmtId="172" fontId="7" fillId="0" borderId="0" xfId="0" applyNumberFormat="1" applyFont="1" applyFill="1" applyAlignment="1"/>
    <xf numFmtId="37" fontId="8" fillId="0" borderId="0" xfId="0" applyNumberFormat="1" applyFont="1" applyFill="1" applyBorder="1" applyAlignment="1">
      <alignment horizontal="center"/>
    </xf>
    <xf numFmtId="0" fontId="11" fillId="8" borderId="0" xfId="0" applyFont="1" applyFill="1"/>
    <xf numFmtId="0" fontId="7" fillId="0" borderId="0" xfId="0" applyFont="1" applyFill="1" applyAlignment="1">
      <alignment vertical="center" wrapText="1"/>
    </xf>
    <xf numFmtId="0" fontId="8" fillId="0" borderId="0" xfId="0" applyFont="1" applyAlignment="1">
      <alignment horizontal="right" wrapText="1"/>
    </xf>
    <xf numFmtId="0" fontId="8" fillId="0" borderId="20" xfId="0" applyFont="1" applyBorder="1" applyAlignment="1">
      <alignment horizontal="center" wrapText="1"/>
    </xf>
    <xf numFmtId="3" fontId="11" fillId="0" borderId="0" xfId="0" applyNumberFormat="1" applyFont="1" applyFill="1"/>
    <xf numFmtId="0" fontId="7" fillId="0" borderId="0" xfId="12" applyFill="1" applyAlignment="1">
      <alignment horizontal="center"/>
    </xf>
    <xf numFmtId="0" fontId="7" fillId="0" borderId="0" xfId="12" applyFill="1" applyAlignment="1">
      <alignment horizontal="left"/>
    </xf>
    <xf numFmtId="164" fontId="7" fillId="0" borderId="0" xfId="4" applyNumberFormat="1" applyFill="1"/>
    <xf numFmtId="0" fontId="8" fillId="0" borderId="0" xfId="12" applyFont="1" applyFill="1" applyAlignment="1">
      <alignment horizontal="left"/>
    </xf>
    <xf numFmtId="172" fontId="7" fillId="0" borderId="0" xfId="20" applyNumberFormat="1" applyFill="1"/>
    <xf numFmtId="0" fontId="7" fillId="0" borderId="0" xfId="12" applyFill="1" applyAlignment="1">
      <alignment horizontal="left" wrapText="1"/>
    </xf>
    <xf numFmtId="0" fontId="24" fillId="0" borderId="17" xfId="12" applyFont="1" applyFill="1" applyBorder="1"/>
    <xf numFmtId="0" fontId="17" fillId="7" borderId="4" xfId="0" applyFont="1" applyFill="1" applyBorder="1" applyAlignment="1">
      <alignment horizontal="left"/>
    </xf>
    <xf numFmtId="0" fontId="8" fillId="7" borderId="1" xfId="0" applyFont="1" applyFill="1" applyBorder="1" applyAlignment="1"/>
    <xf numFmtId="0" fontId="8" fillId="7" borderId="5" xfId="0" applyFont="1" applyFill="1" applyBorder="1" applyAlignment="1">
      <alignment horizontal="center" wrapText="1"/>
    </xf>
    <xf numFmtId="0" fontId="8" fillId="7" borderId="0" xfId="0" applyFont="1" applyFill="1" applyBorder="1" applyAlignment="1">
      <alignment horizontal="left"/>
    </xf>
    <xf numFmtId="0" fontId="8" fillId="7" borderId="0" xfId="0" applyFont="1" applyFill="1" applyBorder="1" applyAlignment="1"/>
    <xf numFmtId="0" fontId="7" fillId="7" borderId="0" xfId="0" applyFont="1" applyFill="1" applyBorder="1" applyAlignment="1"/>
    <xf numFmtId="0" fontId="56" fillId="7" borderId="0" xfId="0" applyNumberFormat="1" applyFont="1" applyFill="1" applyBorder="1" applyAlignment="1">
      <alignment horizontal="center"/>
    </xf>
    <xf numFmtId="0" fontId="7" fillId="7" borderId="0" xfId="0" applyFont="1" applyFill="1" applyBorder="1"/>
    <xf numFmtId="0" fontId="17" fillId="7" borderId="15" xfId="0" applyFont="1" applyFill="1" applyBorder="1" applyAlignment="1">
      <alignment horizontal="left"/>
    </xf>
    <xf numFmtId="0" fontId="8" fillId="7" borderId="13" xfId="0" applyFont="1" applyFill="1" applyBorder="1" applyAlignment="1"/>
    <xf numFmtId="0" fontId="56" fillId="7" borderId="13" xfId="0" applyNumberFormat="1" applyFont="1" applyFill="1" applyBorder="1" applyAlignment="1">
      <alignment horizontal="center"/>
    </xf>
    <xf numFmtId="0" fontId="56" fillId="0" borderId="0" xfId="0" applyFont="1" applyFill="1" applyAlignment="1"/>
    <xf numFmtId="0" fontId="23" fillId="6" borderId="16" xfId="0" applyFont="1" applyFill="1" applyBorder="1" applyAlignment="1">
      <alignment horizontal="center" wrapText="1"/>
    </xf>
    <xf numFmtId="164" fontId="24" fillId="0" borderId="18" xfId="1" applyNumberFormat="1" applyFont="1" applyFill="1" applyBorder="1" applyAlignment="1">
      <alignment horizontal="center"/>
    </xf>
    <xf numFmtId="164" fontId="24" fillId="0" borderId="5" xfId="1" applyNumberFormat="1" applyFont="1" applyFill="1" applyBorder="1" applyAlignment="1">
      <alignment horizontal="center"/>
    </xf>
    <xf numFmtId="0" fontId="44" fillId="0" borderId="0" xfId="0" applyFont="1" applyFill="1" applyAlignment="1">
      <alignment horizontal="center"/>
    </xf>
    <xf numFmtId="0" fontId="44" fillId="0" borderId="0" xfId="0" applyFont="1" applyFill="1" applyAlignment="1">
      <alignment horizontal="left"/>
    </xf>
    <xf numFmtId="0" fontId="44" fillId="0" borderId="15" xfId="12" applyFont="1" applyFill="1" applyBorder="1"/>
    <xf numFmtId="0" fontId="44" fillId="0" borderId="13" xfId="12" applyFont="1" applyFill="1" applyBorder="1"/>
    <xf numFmtId="0" fontId="44" fillId="0" borderId="13" xfId="0" applyFont="1" applyFill="1" applyBorder="1" applyAlignment="1">
      <alignment horizontal="center"/>
    </xf>
    <xf numFmtId="164" fontId="44" fillId="0" borderId="13" xfId="0" applyNumberFormat="1" applyFont="1" applyFill="1" applyBorder="1"/>
    <xf numFmtId="164" fontId="44" fillId="0" borderId="14" xfId="0" applyNumberFormat="1" applyFont="1" applyFill="1" applyBorder="1"/>
    <xf numFmtId="0" fontId="44" fillId="0" borderId="2" xfId="12" applyFont="1" applyFill="1" applyBorder="1"/>
    <xf numFmtId="0" fontId="44" fillId="0" borderId="0" xfId="12" applyFont="1" applyFill="1" applyBorder="1"/>
    <xf numFmtId="0" fontId="44" fillId="0" borderId="0" xfId="0" applyFont="1" applyFill="1" applyBorder="1" applyAlignment="1">
      <alignment horizontal="center"/>
    </xf>
    <xf numFmtId="164" fontId="44" fillId="0" borderId="0" xfId="0" applyNumberFormat="1" applyFont="1" applyFill="1" applyBorder="1"/>
    <xf numFmtId="164" fontId="44" fillId="0" borderId="3" xfId="0" applyNumberFormat="1" applyFont="1" applyFill="1" applyBorder="1"/>
    <xf numFmtId="0" fontId="44" fillId="0" borderId="4" xfId="12" applyFont="1" applyFill="1" applyBorder="1"/>
    <xf numFmtId="0" fontId="44" fillId="0" borderId="1" xfId="12" applyFont="1" applyFill="1" applyBorder="1"/>
    <xf numFmtId="0" fontId="44" fillId="0" borderId="1" xfId="0" applyFont="1" applyFill="1" applyBorder="1" applyAlignment="1">
      <alignment horizontal="center"/>
    </xf>
    <xf numFmtId="0" fontId="44" fillId="0" borderId="1" xfId="0" applyFont="1" applyFill="1" applyBorder="1"/>
    <xf numFmtId="0" fontId="44" fillId="0" borderId="5" xfId="0" applyFont="1" applyFill="1" applyBorder="1"/>
    <xf numFmtId="0" fontId="8" fillId="0" borderId="0" xfId="12" applyFont="1" applyFill="1"/>
    <xf numFmtId="0" fontId="7" fillId="0" borderId="0" xfId="12" applyFont="1" applyAlignment="1">
      <alignment horizontal="center"/>
    </xf>
    <xf numFmtId="0" fontId="7" fillId="0" borderId="0" xfId="12" applyFont="1"/>
    <xf numFmtId="0" fontId="8" fillId="0" borderId="0" xfId="12" applyFont="1" applyFill="1" applyAlignment="1"/>
    <xf numFmtId="0" fontId="7" fillId="0" borderId="0" xfId="12" applyFont="1" applyFill="1" applyAlignment="1"/>
    <xf numFmtId="0" fontId="7" fillId="0" borderId="0" xfId="12" applyFont="1" applyFill="1" applyAlignment="1">
      <alignment wrapText="1"/>
    </xf>
    <xf numFmtId="0" fontId="7" fillId="0" borderId="19" xfId="0" applyFont="1" applyFill="1" applyBorder="1" applyAlignment="1">
      <alignment wrapText="1"/>
    </xf>
    <xf numFmtId="3" fontId="24" fillId="0" borderId="20" xfId="0" applyNumberFormat="1" applyFont="1" applyFill="1" applyBorder="1" applyAlignment="1">
      <alignment horizontal="right"/>
    </xf>
    <xf numFmtId="172" fontId="44" fillId="0" borderId="0" xfId="18" applyNumberFormat="1" applyFont="1" applyFill="1"/>
    <xf numFmtId="3" fontId="24" fillId="0" borderId="2" xfId="0" applyNumberFormat="1" applyFont="1" applyFill="1" applyBorder="1" applyAlignment="1">
      <alignment horizontal="right"/>
    </xf>
    <xf numFmtId="0" fontId="46" fillId="0" borderId="0" xfId="0" applyNumberFormat="1" applyFont="1" applyFill="1" applyAlignment="1">
      <alignment horizontal="left"/>
    </xf>
    <xf numFmtId="0" fontId="8" fillId="7" borderId="1" xfId="0" applyNumberFormat="1" applyFont="1" applyFill="1" applyBorder="1" applyAlignment="1">
      <alignment horizontal="center"/>
    </xf>
    <xf numFmtId="0" fontId="8" fillId="7" borderId="0" xfId="0" applyNumberFormat="1" applyFont="1" applyFill="1" applyBorder="1" applyAlignment="1">
      <alignment horizontal="center"/>
    </xf>
    <xf numFmtId="0" fontId="8" fillId="0" borderId="0" xfId="0" applyFont="1" applyBorder="1" applyAlignment="1">
      <alignment horizontal="center"/>
    </xf>
    <xf numFmtId="37" fontId="7" fillId="0" borderId="0" xfId="0" applyNumberFormat="1" applyFont="1" applyBorder="1" applyAlignment="1">
      <alignment horizontal="left"/>
    </xf>
    <xf numFmtId="171" fontId="7" fillId="0" borderId="0" xfId="18" applyNumberFormat="1" applyFont="1" applyFill="1" applyAlignment="1">
      <alignment horizontal="right"/>
    </xf>
    <xf numFmtId="165" fontId="7" fillId="0" borderId="0" xfId="15" applyFont="1" applyFill="1" applyBorder="1" applyAlignment="1">
      <alignment vertical="center"/>
    </xf>
    <xf numFmtId="165" fontId="7" fillId="0" borderId="0" xfId="15" applyFont="1" applyBorder="1" applyAlignment="1">
      <alignment vertical="center"/>
    </xf>
    <xf numFmtId="0" fontId="8" fillId="0" borderId="9" xfId="0" applyNumberFormat="1" applyFont="1" applyFill="1" applyBorder="1" applyAlignment="1">
      <alignment horizontal="center"/>
    </xf>
    <xf numFmtId="2" fontId="8" fillId="0" borderId="9" xfId="0" applyNumberFormat="1" applyFont="1" applyFill="1" applyBorder="1" applyAlignment="1">
      <alignment horizontal="center"/>
    </xf>
    <xf numFmtId="164" fontId="24" fillId="0" borderId="0" xfId="0" applyNumberFormat="1" applyFont="1" applyFill="1" applyBorder="1" applyAlignment="1">
      <alignment horizontal="left" wrapText="1"/>
    </xf>
    <xf numFmtId="164" fontId="24" fillId="0" borderId="0" xfId="0" applyNumberFormat="1" applyFont="1" applyFill="1" applyBorder="1" applyAlignment="1">
      <alignment horizontal="center" wrapText="1"/>
    </xf>
    <xf numFmtId="0" fontId="69" fillId="0" borderId="0" xfId="0" applyFont="1"/>
    <xf numFmtId="0" fontId="69" fillId="0" borderId="0" xfId="0" applyFont="1" applyBorder="1"/>
    <xf numFmtId="0" fontId="72" fillId="0" borderId="0" xfId="0" applyFont="1"/>
    <xf numFmtId="0" fontId="69" fillId="0" borderId="0" xfId="0" applyFont="1" applyFill="1" applyBorder="1"/>
    <xf numFmtId="3" fontId="8" fillId="0" borderId="1" xfId="0" applyNumberFormat="1" applyFont="1" applyFill="1" applyBorder="1" applyAlignment="1"/>
    <xf numFmtId="0" fontId="7" fillId="0" borderId="1" xfId="0" applyFont="1" applyBorder="1" applyAlignment="1"/>
    <xf numFmtId="0" fontId="73" fillId="0" borderId="0" xfId="0" applyFont="1"/>
    <xf numFmtId="0" fontId="7" fillId="0" borderId="1" xfId="0" applyFont="1" applyFill="1" applyBorder="1"/>
    <xf numFmtId="3" fontId="24" fillId="0" borderId="2" xfId="0" applyNumberFormat="1" applyFont="1" applyFill="1" applyBorder="1" applyAlignment="1">
      <alignment horizontal="center"/>
    </xf>
    <xf numFmtId="3" fontId="24" fillId="0" borderId="3" xfId="0" applyNumberFormat="1" applyFont="1" applyBorder="1" applyAlignment="1">
      <alignment horizontal="left" wrapText="1"/>
    </xf>
    <xf numFmtId="0" fontId="23" fillId="6" borderId="0" xfId="0" applyFont="1" applyFill="1" applyBorder="1" applyAlignment="1">
      <alignment horizontal="center" wrapText="1"/>
    </xf>
    <xf numFmtId="0" fontId="23" fillId="0" borderId="0" xfId="0" applyFont="1" applyFill="1" applyBorder="1" applyAlignment="1">
      <alignment horizontal="center" wrapText="1"/>
    </xf>
    <xf numFmtId="0" fontId="24" fillId="0" borderId="0" xfId="0" applyFont="1" applyFill="1" applyBorder="1" applyAlignment="1">
      <alignment horizontal="left" wrapText="1"/>
    </xf>
    <xf numFmtId="0" fontId="24" fillId="0" borderId="3" xfId="0" applyFont="1" applyFill="1" applyBorder="1" applyAlignment="1">
      <alignment horizontal="left" wrapText="1"/>
    </xf>
    <xf numFmtId="17" fontId="23" fillId="6" borderId="2" xfId="0" quotePrefix="1" applyNumberFormat="1" applyFont="1" applyFill="1" applyBorder="1" applyAlignment="1">
      <alignment horizontal="center" wrapText="1"/>
    </xf>
    <xf numFmtId="0" fontId="75" fillId="0" borderId="0" xfId="0" applyFont="1"/>
    <xf numFmtId="0" fontId="24" fillId="0" borderId="4" xfId="0" applyFont="1" applyBorder="1" applyAlignment="1">
      <alignment horizontal="center"/>
    </xf>
    <xf numFmtId="3" fontId="24" fillId="0" borderId="3" xfId="0" applyNumberFormat="1" applyFont="1" applyBorder="1" applyAlignment="1">
      <alignment horizontal="left"/>
    </xf>
    <xf numFmtId="2" fontId="24" fillId="0" borderId="0" xfId="0" applyNumberFormat="1" applyFont="1" applyFill="1" applyBorder="1" applyAlignment="1">
      <alignment horizontal="left"/>
    </xf>
    <xf numFmtId="2" fontId="24" fillId="0" borderId="3" xfId="0" applyNumberFormat="1" applyFont="1" applyFill="1" applyBorder="1" applyAlignment="1">
      <alignment horizontal="left"/>
    </xf>
    <xf numFmtId="3" fontId="24" fillId="0" borderId="0" xfId="0" applyNumberFormat="1" applyFont="1" applyBorder="1" applyAlignment="1"/>
    <xf numFmtId="164" fontId="24" fillId="0" borderId="4" xfId="1" applyNumberFormat="1" applyFont="1" applyFill="1" applyBorder="1" applyAlignment="1">
      <alignment horizontal="center"/>
    </xf>
    <xf numFmtId="0" fontId="24" fillId="0" borderId="0" xfId="0" applyFont="1" applyAlignment="1">
      <alignment horizontal="right"/>
    </xf>
    <xf numFmtId="0" fontId="27" fillId="0" borderId="0" xfId="0" applyFont="1" applyBorder="1" applyAlignment="1">
      <alignment horizontal="right"/>
    </xf>
    <xf numFmtId="3" fontId="24" fillId="0" borderId="1" xfId="0" applyNumberFormat="1" applyFont="1" applyFill="1" applyBorder="1" applyAlignment="1">
      <alignment horizontal="right"/>
    </xf>
    <xf numFmtId="0" fontId="24" fillId="4" borderId="1" xfId="0" applyFont="1" applyFill="1" applyBorder="1" applyAlignment="1">
      <alignment horizontal="right"/>
    </xf>
    <xf numFmtId="0" fontId="17" fillId="0" borderId="0" xfId="12" applyFont="1" applyAlignment="1"/>
    <xf numFmtId="0" fontId="15" fillId="0" borderId="0" xfId="12" applyFont="1" applyAlignment="1">
      <alignment horizontal="center"/>
    </xf>
    <xf numFmtId="0" fontId="15" fillId="0" borderId="0" xfId="12" applyFont="1"/>
    <xf numFmtId="0" fontId="64" fillId="0" borderId="0" xfId="12" applyFont="1" applyAlignment="1"/>
    <xf numFmtId="0" fontId="75" fillId="0" borderId="0" xfId="12" applyFont="1" applyAlignment="1">
      <alignment horizontal="left"/>
    </xf>
    <xf numFmtId="0" fontId="8" fillId="0" borderId="20" xfId="12" applyFont="1" applyBorder="1" applyAlignment="1">
      <alignment horizontal="center" wrapText="1"/>
    </xf>
    <xf numFmtId="0" fontId="8" fillId="0" borderId="0" xfId="12" applyFont="1" applyBorder="1" applyAlignment="1">
      <alignment horizontal="center" wrapText="1"/>
    </xf>
    <xf numFmtId="0" fontId="8" fillId="0" borderId="0" xfId="12" applyFont="1" applyBorder="1" applyAlignment="1">
      <alignment horizontal="center"/>
    </xf>
    <xf numFmtId="3" fontId="8" fillId="0" borderId="0" xfId="12" applyNumberFormat="1" applyFont="1"/>
    <xf numFmtId="3" fontId="7" fillId="0" borderId="0" xfId="12" applyNumberFormat="1" applyFont="1"/>
    <xf numFmtId="3" fontId="7" fillId="0" borderId="0" xfId="12" applyNumberFormat="1" applyFont="1" applyFill="1" applyAlignment="1"/>
    <xf numFmtId="164" fontId="7" fillId="0" borderId="0" xfId="1" applyNumberFormat="1" applyFont="1" applyAlignment="1">
      <alignment horizontal="center"/>
    </xf>
    <xf numFmtId="0" fontId="8" fillId="0" borderId="0" xfId="12" applyFont="1"/>
    <xf numFmtId="0" fontId="7" fillId="0" borderId="0" xfId="12" applyFont="1" applyFill="1" applyBorder="1" applyAlignment="1"/>
    <xf numFmtId="3" fontId="7" fillId="0" borderId="0" xfId="12" applyNumberFormat="1" applyFont="1" applyFill="1" applyBorder="1" applyAlignment="1"/>
    <xf numFmtId="3" fontId="7" fillId="0" borderId="20" xfId="12" applyNumberFormat="1" applyFont="1" applyBorder="1"/>
    <xf numFmtId="0" fontId="7" fillId="0" borderId="20" xfId="12" applyFont="1" applyBorder="1"/>
    <xf numFmtId="3" fontId="7" fillId="0" borderId="20" xfId="12" applyNumberFormat="1" applyFont="1" applyFill="1" applyBorder="1" applyAlignment="1"/>
    <xf numFmtId="0" fontId="7" fillId="0" borderId="0" xfId="12" applyNumberFormat="1" applyFont="1" applyFill="1" applyAlignment="1"/>
    <xf numFmtId="3" fontId="7" fillId="0" borderId="0" xfId="12" applyNumberFormat="1" applyFont="1" applyBorder="1"/>
    <xf numFmtId="2" fontId="8" fillId="0" borderId="0" xfId="0" applyNumberFormat="1" applyFont="1" applyFill="1" applyBorder="1" applyAlignment="1">
      <alignment horizontal="right"/>
    </xf>
    <xf numFmtId="164" fontId="76" fillId="0" borderId="0" xfId="1" applyNumberFormat="1" applyFont="1" applyAlignment="1"/>
    <xf numFmtId="164" fontId="77" fillId="0" borderId="0" xfId="1" applyNumberFormat="1" applyFont="1"/>
    <xf numFmtId="164" fontId="77" fillId="0" borderId="0" xfId="1" applyNumberFormat="1" applyFont="1" applyAlignment="1">
      <alignment wrapText="1"/>
    </xf>
    <xf numFmtId="164" fontId="77" fillId="0" borderId="0" xfId="1" applyNumberFormat="1" applyFont="1" applyAlignment="1">
      <alignment horizontal="left" wrapText="1"/>
    </xf>
    <xf numFmtId="164" fontId="77" fillId="0" borderId="0" xfId="1" applyNumberFormat="1" applyFont="1" applyAlignment="1"/>
    <xf numFmtId="3" fontId="24" fillId="0" borderId="4" xfId="0" applyNumberFormat="1" applyFont="1" applyFill="1" applyBorder="1" applyAlignment="1">
      <alignment horizontal="right"/>
    </xf>
    <xf numFmtId="164" fontId="7" fillId="0" borderId="0" xfId="1" applyNumberFormat="1" applyFont="1" applyFill="1"/>
    <xf numFmtId="0" fontId="8" fillId="0" borderId="0" xfId="0" applyFont="1" applyBorder="1" applyAlignment="1">
      <alignment horizontal="center" wrapText="1"/>
    </xf>
    <xf numFmtId="164" fontId="78" fillId="0" borderId="0" xfId="1" applyNumberFormat="1" applyFont="1"/>
    <xf numFmtId="0" fontId="79" fillId="0" borderId="0" xfId="0" applyFont="1" applyBorder="1" applyAlignment="1">
      <alignment horizontal="center"/>
    </xf>
    <xf numFmtId="3" fontId="79" fillId="0" borderId="20" xfId="0" applyNumberFormat="1" applyFont="1" applyFill="1" applyBorder="1" applyAlignment="1">
      <alignment horizontal="center"/>
    </xf>
    <xf numFmtId="0" fontId="7" fillId="0" borderId="20" xfId="0" quotePrefix="1" applyFont="1" applyFill="1" applyBorder="1" applyAlignment="1">
      <alignment horizontal="center"/>
    </xf>
    <xf numFmtId="0" fontId="7" fillId="0" borderId="20" xfId="0" applyFont="1" applyBorder="1"/>
    <xf numFmtId="165" fontId="8" fillId="0" borderId="0" xfId="15" applyFont="1" applyFill="1" applyBorder="1" applyAlignment="1">
      <alignment vertical="center"/>
    </xf>
    <xf numFmtId="0" fontId="7" fillId="0" borderId="0" xfId="0" quotePrefix="1" applyFont="1" applyFill="1" applyAlignment="1">
      <alignment horizontal="center"/>
    </xf>
    <xf numFmtId="0" fontId="7" fillId="4" borderId="0" xfId="0" applyFont="1" applyFill="1" applyBorder="1"/>
    <xf numFmtId="0" fontId="7" fillId="4" borderId="0" xfId="0" applyFont="1" applyFill="1"/>
    <xf numFmtId="165" fontId="7" fillId="4" borderId="0" xfId="15" applyFont="1" applyFill="1" applyBorder="1" applyAlignment="1">
      <alignment vertical="center"/>
    </xf>
    <xf numFmtId="165" fontId="7" fillId="4" borderId="20" xfId="15" applyFont="1" applyFill="1" applyBorder="1" applyAlignment="1">
      <alignment vertical="center"/>
    </xf>
    <xf numFmtId="0" fontId="7" fillId="4" borderId="20" xfId="0" applyFont="1" applyFill="1" applyBorder="1"/>
    <xf numFmtId="164" fontId="0" fillId="0" borderId="0" xfId="1" applyNumberFormat="1" applyFont="1" applyBorder="1"/>
    <xf numFmtId="0" fontId="80" fillId="0" borderId="0" xfId="0" applyFont="1" applyFill="1"/>
    <xf numFmtId="0" fontId="80" fillId="0" borderId="0" xfId="0" applyFont="1"/>
    <xf numFmtId="37" fontId="18" fillId="0" borderId="0" xfId="0" applyNumberFormat="1" applyFont="1" applyFill="1" applyBorder="1" applyAlignment="1">
      <alignment horizontal="left"/>
    </xf>
    <xf numFmtId="3" fontId="18" fillId="0" borderId="0" xfId="0" applyNumberFormat="1" applyFont="1" applyAlignment="1">
      <alignment horizontal="center"/>
    </xf>
    <xf numFmtId="0" fontId="24" fillId="0" borderId="0" xfId="0" applyNumberFormat="1" applyFont="1" applyAlignment="1">
      <alignment horizontal="center"/>
    </xf>
    <xf numFmtId="0" fontId="24" fillId="0" borderId="0" xfId="0" applyNumberFormat="1" applyFont="1" applyFill="1" applyAlignment="1">
      <alignment horizontal="center"/>
    </xf>
    <xf numFmtId="3" fontId="24" fillId="0" borderId="0" xfId="0" applyNumberFormat="1" applyFont="1" applyFill="1" applyBorder="1" applyAlignment="1">
      <alignment horizontal="left" wrapText="1"/>
    </xf>
    <xf numFmtId="0" fontId="24" fillId="0" borderId="1" xfId="0" applyFont="1" applyFill="1" applyBorder="1" applyAlignment="1">
      <alignment horizontal="left" wrapText="1"/>
    </xf>
    <xf numFmtId="0" fontId="7" fillId="4" borderId="0" xfId="0" applyFont="1" applyFill="1" applyBorder="1" applyAlignment="1"/>
    <xf numFmtId="0" fontId="7" fillId="9" borderId="0" xfId="0" applyFont="1" applyFill="1"/>
    <xf numFmtId="0" fontId="8" fillId="4" borderId="20" xfId="12" applyFont="1" applyFill="1" applyBorder="1" applyAlignment="1">
      <alignment horizontal="center" wrapText="1"/>
    </xf>
    <xf numFmtId="0" fontId="80" fillId="0" borderId="0" xfId="12" applyFont="1"/>
    <xf numFmtId="164" fontId="81" fillId="0" borderId="0" xfId="1" applyNumberFormat="1" applyFont="1"/>
    <xf numFmtId="0" fontId="24" fillId="0" borderId="20" xfId="0" applyFont="1" applyFill="1" applyBorder="1" applyAlignment="1">
      <alignment horizontal="center" wrapText="1"/>
    </xf>
    <xf numFmtId="0" fontId="63" fillId="0" borderId="1" xfId="0" applyNumberFormat="1" applyFont="1" applyFill="1" applyBorder="1" applyAlignment="1">
      <alignment horizontal="left"/>
    </xf>
    <xf numFmtId="0" fontId="24" fillId="0" borderId="5" xfId="0" applyNumberFormat="1" applyFont="1" applyBorder="1" applyAlignment="1">
      <alignment horizontal="left"/>
    </xf>
    <xf numFmtId="3" fontId="24" fillId="0" borderId="1" xfId="0" applyNumberFormat="1" applyFont="1" applyFill="1" applyBorder="1" applyAlignment="1">
      <alignment horizontal="right" wrapText="1"/>
    </xf>
    <xf numFmtId="0" fontId="23" fillId="6" borderId="13" xfId="0" applyFont="1" applyFill="1" applyBorder="1" applyAlignment="1">
      <alignment horizontal="center" wrapText="1"/>
    </xf>
    <xf numFmtId="0" fontId="24" fillId="0" borderId="13" xfId="0" applyNumberFormat="1" applyFont="1" applyFill="1" applyBorder="1" applyAlignment="1">
      <alignment horizontal="right"/>
    </xf>
    <xf numFmtId="0" fontId="24" fillId="0" borderId="13" xfId="0" applyNumberFormat="1" applyFont="1" applyFill="1" applyBorder="1" applyAlignment="1">
      <alignment horizontal="left"/>
    </xf>
    <xf numFmtId="0" fontId="24" fillId="0" borderId="13" xfId="0" applyFont="1" applyFill="1" applyBorder="1" applyAlignment="1"/>
    <xf numFmtId="3" fontId="24" fillId="0" borderId="13" xfId="0" applyNumberFormat="1" applyFont="1" applyFill="1" applyBorder="1" applyAlignment="1">
      <alignment horizontal="center"/>
    </xf>
    <xf numFmtId="3" fontId="24" fillId="0" borderId="13" xfId="0" applyNumberFormat="1" applyFont="1" applyBorder="1" applyAlignment="1">
      <alignment horizontal="center"/>
    </xf>
    <xf numFmtId="0" fontId="24" fillId="0" borderId="13" xfId="0" applyFont="1" applyFill="1" applyBorder="1" applyAlignment="1">
      <alignment horizontal="left" wrapText="1"/>
    </xf>
    <xf numFmtId="0" fontId="24" fillId="4" borderId="3" xfId="0" applyNumberFormat="1" applyFont="1" applyFill="1" applyBorder="1" applyAlignment="1">
      <alignment horizontal="left"/>
    </xf>
    <xf numFmtId="0" fontId="82" fillId="0" borderId="0" xfId="0" applyFont="1"/>
    <xf numFmtId="0" fontId="80" fillId="0" borderId="0" xfId="0" applyFont="1" applyBorder="1"/>
    <xf numFmtId="0" fontId="73" fillId="0" borderId="0" xfId="0" applyFont="1" applyBorder="1"/>
    <xf numFmtId="0" fontId="72" fillId="0" borderId="0" xfId="0" applyFont="1" applyBorder="1"/>
    <xf numFmtId="0" fontId="74" fillId="0" borderId="0" xfId="0" applyFont="1" applyBorder="1"/>
    <xf numFmtId="0" fontId="82" fillId="0" borderId="0" xfId="0" applyFont="1" applyBorder="1"/>
    <xf numFmtId="0" fontId="72" fillId="0" borderId="0" xfId="0" applyFont="1" applyFill="1" applyBorder="1"/>
    <xf numFmtId="3" fontId="7" fillId="0" borderId="0" xfId="0" applyNumberFormat="1" applyFont="1" applyFill="1" applyAlignment="1"/>
    <xf numFmtId="3" fontId="7" fillId="0" borderId="0" xfId="1" applyNumberFormat="1" applyFont="1" applyFill="1"/>
    <xf numFmtId="3" fontId="7" fillId="0" borderId="20" xfId="12" applyNumberFormat="1" applyFont="1" applyFill="1" applyBorder="1"/>
    <xf numFmtId="3" fontId="7" fillId="0" borderId="0" xfId="12" applyNumberFormat="1" applyFont="1" applyFill="1"/>
    <xf numFmtId="3" fontId="0" fillId="0" borderId="20" xfId="0" applyNumberFormat="1" applyFill="1" applyBorder="1"/>
    <xf numFmtId="3" fontId="0" fillId="0" borderId="0" xfId="0" applyNumberFormat="1" applyFill="1"/>
    <xf numFmtId="3" fontId="79" fillId="0" borderId="0" xfId="0" applyNumberFormat="1" applyFont="1" applyBorder="1"/>
    <xf numFmtId="3" fontId="7" fillId="0" borderId="0" xfId="0" applyNumberFormat="1" applyFont="1"/>
    <xf numFmtId="3" fontId="79" fillId="0" borderId="0" xfId="0" applyNumberFormat="1" applyFont="1" applyBorder="1" applyAlignment="1">
      <alignment horizontal="center"/>
    </xf>
    <xf numFmtId="3" fontId="0" fillId="4" borderId="0" xfId="0" applyNumberFormat="1" applyFill="1"/>
    <xf numFmtId="3" fontId="7" fillId="4" borderId="0" xfId="0" applyNumberFormat="1" applyFont="1" applyFill="1" applyBorder="1"/>
    <xf numFmtId="3" fontId="7" fillId="4" borderId="20" xfId="0" applyNumberFormat="1" applyFont="1" applyFill="1" applyBorder="1"/>
    <xf numFmtId="3" fontId="11" fillId="0" borderId="0" xfId="0" applyNumberFormat="1" applyFont="1" applyAlignment="1">
      <alignment horizontal="right"/>
    </xf>
    <xf numFmtId="3" fontId="7" fillId="0" borderId="0" xfId="0" applyNumberFormat="1" applyFont="1" applyAlignment="1">
      <alignment horizontal="right"/>
    </xf>
    <xf numFmtId="3" fontId="20" fillId="0" borderId="0" xfId="0" applyNumberFormat="1" applyFont="1" applyFill="1" applyAlignment="1">
      <alignment horizontal="center"/>
    </xf>
    <xf numFmtId="3" fontId="25" fillId="0" borderId="0" xfId="0" applyNumberFormat="1" applyFont="1" applyFill="1" applyAlignment="1">
      <alignment horizontal="center"/>
    </xf>
    <xf numFmtId="3" fontId="20" fillId="0" borderId="0" xfId="0" applyNumberFormat="1" applyFont="1" applyFill="1" applyAlignment="1">
      <alignment horizontal="right"/>
    </xf>
    <xf numFmtId="3" fontId="7" fillId="0" borderId="0" xfId="0" applyNumberFormat="1" applyFont="1" applyFill="1" applyAlignment="1">
      <alignment horizontal="right" wrapText="1"/>
    </xf>
    <xf numFmtId="3" fontId="7" fillId="0" borderId="23" xfId="0" applyNumberFormat="1" applyFont="1" applyFill="1" applyBorder="1" applyAlignment="1">
      <alignment horizontal="right"/>
    </xf>
    <xf numFmtId="3" fontId="11" fillId="0" borderId="0" xfId="0" applyNumberFormat="1" applyFont="1"/>
    <xf numFmtId="3" fontId="7" fillId="0" borderId="0" xfId="0" applyNumberFormat="1" applyFont="1" applyFill="1" applyAlignment="1">
      <alignment horizontal="left" wrapText="1"/>
    </xf>
    <xf numFmtId="3" fontId="7" fillId="0" borderId="0" xfId="0" applyNumberFormat="1" applyFont="1" applyFill="1" applyAlignment="1">
      <alignment horizontal="left" vertical="center" wrapText="1"/>
    </xf>
    <xf numFmtId="3" fontId="10" fillId="0" borderId="0" xfId="0" applyNumberFormat="1" applyFont="1" applyFill="1"/>
    <xf numFmtId="3" fontId="7" fillId="4" borderId="0" xfId="1" applyNumberFormat="1" applyFont="1" applyFill="1" applyBorder="1" applyAlignment="1">
      <alignment wrapText="1"/>
    </xf>
    <xf numFmtId="3" fontId="7" fillId="0" borderId="0" xfId="1" applyNumberFormat="1" applyFont="1" applyFill="1" applyBorder="1" applyAlignment="1">
      <alignment wrapText="1"/>
    </xf>
    <xf numFmtId="3" fontId="7" fillId="4" borderId="20" xfId="1" applyNumberFormat="1" applyFont="1" applyFill="1" applyBorder="1" applyAlignment="1">
      <alignment wrapText="1"/>
    </xf>
    <xf numFmtId="3" fontId="7" fillId="0" borderId="20" xfId="1" applyNumberFormat="1" applyFont="1" applyFill="1" applyBorder="1" applyAlignment="1">
      <alignment wrapText="1"/>
    </xf>
    <xf numFmtId="3" fontId="7" fillId="0" borderId="0" xfId="1" applyNumberFormat="1" applyFont="1" applyFill="1" applyAlignment="1">
      <alignment wrapText="1"/>
    </xf>
    <xf numFmtId="3" fontId="7" fillId="0" borderId="0" xfId="1" applyNumberFormat="1" applyFont="1" applyFill="1" applyBorder="1" applyAlignment="1"/>
    <xf numFmtId="3" fontId="7" fillId="0" borderId="20" xfId="1" applyNumberFormat="1" applyFont="1" applyFill="1" applyBorder="1" applyAlignment="1"/>
    <xf numFmtId="3" fontId="24" fillId="0" borderId="0" xfId="0" applyNumberFormat="1" applyFont="1" applyFill="1" applyBorder="1"/>
    <xf numFmtId="3" fontId="24" fillId="0" borderId="0" xfId="0" applyNumberFormat="1" applyFont="1" applyBorder="1"/>
    <xf numFmtId="3" fontId="24" fillId="0" borderId="20" xfId="0" applyNumberFormat="1" applyFont="1" applyFill="1" applyBorder="1"/>
    <xf numFmtId="3" fontId="24" fillId="0" borderId="24" xfId="1" applyNumberFormat="1" applyFont="1" applyFill="1" applyBorder="1"/>
    <xf numFmtId="3" fontId="24" fillId="0" borderId="0" xfId="1" applyNumberFormat="1" applyFont="1" applyFill="1" applyBorder="1"/>
    <xf numFmtId="3" fontId="24" fillId="0" borderId="2" xfId="1" applyNumberFormat="1" applyFont="1" applyFill="1" applyBorder="1"/>
    <xf numFmtId="3" fontId="24" fillId="0" borderId="2" xfId="1" applyNumberFormat="1" applyFont="1" applyBorder="1"/>
    <xf numFmtId="3" fontId="24" fillId="0" borderId="2" xfId="0" applyNumberFormat="1" applyFont="1" applyBorder="1"/>
    <xf numFmtId="3" fontId="27" fillId="0" borderId="0" xfId="0" applyNumberFormat="1" applyFont="1" applyBorder="1" applyAlignment="1">
      <alignment horizontal="right"/>
    </xf>
    <xf numFmtId="3" fontId="27" fillId="0" borderId="2" xfId="0" applyNumberFormat="1" applyFont="1" applyBorder="1" applyAlignment="1">
      <alignment horizontal="right"/>
    </xf>
    <xf numFmtId="3" fontId="44" fillId="0" borderId="0" xfId="0" applyNumberFormat="1" applyFont="1" applyAlignment="1">
      <alignment horizontal="center"/>
    </xf>
    <xf numFmtId="3" fontId="44" fillId="0" borderId="0" xfId="0" applyNumberFormat="1" applyFont="1"/>
    <xf numFmtId="3" fontId="44" fillId="0" borderId="0" xfId="12" applyNumberFormat="1" applyFont="1" applyAlignment="1">
      <alignment horizontal="center"/>
    </xf>
    <xf numFmtId="3" fontId="44" fillId="0" borderId="0" xfId="1" applyNumberFormat="1" applyFont="1"/>
    <xf numFmtId="3" fontId="44" fillId="0" borderId="0" xfId="2" applyNumberFormat="1" applyFont="1" applyFill="1"/>
    <xf numFmtId="3" fontId="44" fillId="0" borderId="0" xfId="1" applyNumberFormat="1" applyFont="1" applyFill="1"/>
    <xf numFmtId="3" fontId="44" fillId="0" borderId="0" xfId="12" applyNumberFormat="1" applyFont="1"/>
    <xf numFmtId="3" fontId="44" fillId="4" borderId="0" xfId="7" applyNumberFormat="1" applyFont="1" applyFill="1"/>
    <xf numFmtId="175" fontId="44" fillId="0" borderId="0" xfId="0" applyNumberFormat="1" applyFont="1"/>
    <xf numFmtId="175" fontId="44" fillId="0" borderId="0" xfId="0" applyNumberFormat="1" applyFont="1" applyAlignment="1">
      <alignment horizontal="center"/>
    </xf>
    <xf numFmtId="175" fontId="44" fillId="0" borderId="0" xfId="0" applyNumberFormat="1" applyFont="1" applyBorder="1"/>
    <xf numFmtId="175" fontId="44" fillId="0" borderId="0" xfId="0" applyNumberFormat="1" applyFont="1" applyFill="1"/>
    <xf numFmtId="3" fontId="44" fillId="4" borderId="0" xfId="1" applyNumberFormat="1" applyFont="1" applyFill="1"/>
    <xf numFmtId="3" fontId="24" fillId="0" borderId="5" xfId="0" applyNumberFormat="1" applyFont="1" applyFill="1" applyBorder="1" applyAlignment="1">
      <alignment horizontal="left"/>
    </xf>
    <xf numFmtId="3" fontId="7" fillId="0" borderId="19" xfId="0" applyNumberFormat="1" applyFont="1" applyFill="1" applyBorder="1"/>
    <xf numFmtId="0" fontId="24" fillId="0" borderId="13" xfId="0" applyNumberFormat="1" applyFont="1" applyFill="1" applyBorder="1" applyAlignment="1">
      <alignment horizontal="center"/>
    </xf>
    <xf numFmtId="0" fontId="15" fillId="0" borderId="1" xfId="0" applyFont="1" applyFill="1" applyBorder="1" applyAlignment="1">
      <alignment horizontal="left"/>
    </xf>
    <xf numFmtId="3" fontId="7" fillId="0" borderId="0" xfId="1" applyNumberFormat="1" applyFont="1" applyAlignment="1"/>
    <xf numFmtId="3" fontId="7" fillId="0" borderId="20" xfId="1" applyNumberFormat="1" applyFont="1" applyFill="1" applyBorder="1"/>
    <xf numFmtId="3" fontId="7" fillId="0" borderId="23" xfId="1" applyNumberFormat="1" applyFont="1" applyFill="1" applyBorder="1" applyAlignment="1"/>
    <xf numFmtId="0" fontId="24" fillId="0" borderId="0" xfId="0" applyFont="1" applyFill="1" applyBorder="1" applyAlignment="1">
      <alignment horizontal="left"/>
    </xf>
    <xf numFmtId="3" fontId="24" fillId="0" borderId="2" xfId="12" applyNumberFormat="1" applyFont="1" applyBorder="1"/>
    <xf numFmtId="3" fontId="24" fillId="0" borderId="0" xfId="4" applyNumberFormat="1" applyFont="1" applyBorder="1"/>
    <xf numFmtId="3" fontId="24" fillId="0" borderId="0" xfId="12" applyNumberFormat="1" applyFont="1" applyBorder="1"/>
    <xf numFmtId="3" fontId="24" fillId="0" borderId="3" xfId="4" applyNumberFormat="1" applyFont="1" applyBorder="1"/>
    <xf numFmtId="3" fontId="24" fillId="0" borderId="17" xfId="9" applyNumberFormat="1" applyFont="1" applyBorder="1"/>
    <xf numFmtId="3" fontId="24" fillId="0" borderId="3" xfId="12" applyNumberFormat="1" applyFont="1" applyBorder="1"/>
    <xf numFmtId="3" fontId="27" fillId="0" borderId="2" xfId="12" applyNumberFormat="1" applyFont="1" applyBorder="1"/>
    <xf numFmtId="3" fontId="27" fillId="0" borderId="0" xfId="12" applyNumberFormat="1" applyFont="1" applyBorder="1"/>
    <xf numFmtId="3" fontId="27" fillId="0" borderId="3" xfId="4" applyNumberFormat="1" applyFont="1" applyBorder="1"/>
    <xf numFmtId="3" fontId="27" fillId="0" borderId="4" xfId="12" applyNumberFormat="1" applyFont="1" applyBorder="1"/>
    <xf numFmtId="3" fontId="27" fillId="0" borderId="1" xfId="12" applyNumberFormat="1" applyFont="1" applyBorder="1"/>
    <xf numFmtId="3" fontId="27" fillId="0" borderId="5" xfId="4" applyNumberFormat="1" applyFont="1" applyBorder="1"/>
    <xf numFmtId="3" fontId="24" fillId="0" borderId="18" xfId="9" applyNumberFormat="1" applyFont="1" applyBorder="1"/>
    <xf numFmtId="3" fontId="24" fillId="0" borderId="4" xfId="12" applyNumberFormat="1" applyFont="1" applyBorder="1"/>
    <xf numFmtId="3" fontId="24" fillId="0" borderId="5" xfId="12" applyNumberFormat="1" applyFont="1" applyBorder="1"/>
    <xf numFmtId="3" fontId="24" fillId="0" borderId="2" xfId="4" applyNumberFormat="1" applyFont="1" applyBorder="1"/>
    <xf numFmtId="17" fontId="23" fillId="6" borderId="2" xfId="0" applyNumberFormat="1" applyFont="1" applyFill="1" applyBorder="1" applyAlignment="1">
      <alignment horizontal="center" wrapText="1"/>
    </xf>
    <xf numFmtId="17" fontId="23" fillId="6" borderId="0" xfId="0" applyNumberFormat="1" applyFont="1" applyFill="1" applyBorder="1" applyAlignment="1">
      <alignment horizontal="center" wrapText="1"/>
    </xf>
    <xf numFmtId="3" fontId="7" fillId="0" borderId="0" xfId="1" applyNumberFormat="1" applyFont="1" applyAlignment="1">
      <alignment horizontal="right"/>
    </xf>
    <xf numFmtId="3" fontId="7" fillId="0" borderId="20" xfId="1" applyNumberFormat="1" applyFont="1" applyBorder="1" applyAlignment="1">
      <alignment horizontal="right"/>
    </xf>
    <xf numFmtId="3" fontId="24" fillId="0" borderId="1" xfId="0" applyNumberFormat="1" applyFont="1" applyBorder="1" applyAlignment="1">
      <alignment horizontal="center"/>
    </xf>
    <xf numFmtId="0" fontId="24" fillId="0" borderId="1" xfId="0" applyFont="1" applyFill="1" applyBorder="1" applyAlignment="1">
      <alignment horizontal="center"/>
    </xf>
    <xf numFmtId="0" fontId="27" fillId="6" borderId="0" xfId="0" applyFont="1" applyFill="1" applyBorder="1"/>
    <xf numFmtId="0" fontId="44" fillId="10" borderId="0" xfId="0" applyFont="1" applyFill="1" applyAlignment="1">
      <alignment horizontal="center"/>
    </xf>
    <xf numFmtId="0" fontId="44" fillId="0" borderId="0" xfId="0" applyFont="1" applyFill="1" applyAlignment="1">
      <alignment horizontal="right"/>
    </xf>
    <xf numFmtId="0" fontId="85" fillId="0" borderId="0" xfId="0" applyFont="1" applyFill="1"/>
    <xf numFmtId="0" fontId="44" fillId="0" borderId="0" xfId="0" quotePrefix="1" applyFont="1" applyAlignment="1">
      <alignment horizontal="center"/>
    </xf>
    <xf numFmtId="3" fontId="44" fillId="0" borderId="0" xfId="7" applyNumberFormat="1" applyFont="1" applyFill="1"/>
    <xf numFmtId="3" fontId="44" fillId="0" borderId="0" xfId="12" applyNumberFormat="1" applyFont="1" applyAlignment="1">
      <alignment horizontal="right"/>
    </xf>
    <xf numFmtId="0" fontId="39" fillId="0" borderId="0" xfId="0" applyFont="1"/>
    <xf numFmtId="0" fontId="86" fillId="0" borderId="0" xfId="0" applyFont="1"/>
    <xf numFmtId="0" fontId="44" fillId="0" borderId="0" xfId="0" applyFont="1" applyAlignment="1"/>
    <xf numFmtId="175" fontId="44" fillId="0" borderId="0" xfId="0" applyNumberFormat="1" applyFont="1" applyAlignment="1"/>
    <xf numFmtId="0" fontId="44" fillId="0" borderId="0" xfId="0" applyFont="1" applyFill="1" applyAlignment="1"/>
    <xf numFmtId="175" fontId="44" fillId="0" borderId="0" xfId="0" applyNumberFormat="1" applyFont="1" applyFill="1" applyAlignment="1"/>
    <xf numFmtId="0" fontId="44" fillId="0" borderId="0" xfId="0" applyFont="1" applyAlignment="1">
      <alignment wrapText="1"/>
    </xf>
    <xf numFmtId="175" fontId="44" fillId="0" borderId="0" xfId="0" applyNumberFormat="1" applyFont="1" applyAlignment="1">
      <alignment wrapText="1"/>
    </xf>
    <xf numFmtId="0" fontId="44" fillId="0" borderId="0" xfId="0" applyFont="1" applyFill="1" applyBorder="1"/>
    <xf numFmtId="175" fontId="44" fillId="0" borderId="0" xfId="0" applyNumberFormat="1" applyFont="1" applyFill="1" applyBorder="1"/>
    <xf numFmtId="167" fontId="44" fillId="0" borderId="0" xfId="7" applyNumberFormat="1" applyFont="1" applyFill="1" applyAlignment="1">
      <alignment horizontal="center"/>
    </xf>
    <xf numFmtId="0" fontId="10" fillId="0" borderId="0" xfId="0" applyFont="1"/>
    <xf numFmtId="3" fontId="44" fillId="0" borderId="0" xfId="7" applyNumberFormat="1" applyFont="1"/>
    <xf numFmtId="176" fontId="7" fillId="0" borderId="0" xfId="1" applyNumberFormat="1" applyFont="1" applyFill="1" applyBorder="1" applyAlignment="1">
      <alignment horizontal="right"/>
    </xf>
    <xf numFmtId="176" fontId="7" fillId="0" borderId="20" xfId="1" applyNumberFormat="1" applyFont="1" applyFill="1" applyBorder="1" applyAlignment="1">
      <alignment horizontal="right"/>
    </xf>
    <xf numFmtId="3" fontId="8" fillId="0" borderId="0" xfId="0" applyNumberFormat="1" applyFont="1" applyFill="1"/>
    <xf numFmtId="0" fontId="7" fillId="4" borderId="20" xfId="0" applyFont="1" applyFill="1" applyBorder="1" applyAlignment="1"/>
    <xf numFmtId="3" fontId="24" fillId="10" borderId="1" xfId="0" applyNumberFormat="1" applyFont="1" applyFill="1" applyBorder="1" applyAlignment="1">
      <alignment horizontal="center"/>
    </xf>
    <xf numFmtId="0" fontId="24" fillId="10" borderId="1" xfId="0" applyFont="1" applyFill="1" applyBorder="1"/>
    <xf numFmtId="0" fontId="24" fillId="10" borderId="5" xfId="0" applyFont="1" applyFill="1" applyBorder="1"/>
    <xf numFmtId="3" fontId="8" fillId="0" borderId="20" xfId="0" applyNumberFormat="1" applyFont="1" applyFill="1" applyBorder="1"/>
    <xf numFmtId="3" fontId="8" fillId="0" borderId="0" xfId="1" applyNumberFormat="1" applyFont="1" applyFill="1" applyAlignment="1"/>
    <xf numFmtId="177" fontId="11" fillId="0" borderId="0" xfId="0" applyNumberFormat="1" applyFont="1" applyBorder="1"/>
    <xf numFmtId="176" fontId="7" fillId="0" borderId="0" xfId="1" applyNumberFormat="1" applyFont="1" applyFill="1" applyBorder="1" applyAlignment="1"/>
    <xf numFmtId="176" fontId="7" fillId="0" borderId="0" xfId="0" applyNumberFormat="1" applyFont="1" applyFill="1" applyAlignment="1"/>
    <xf numFmtId="0" fontId="7" fillId="0" borderId="7" xfId="0" applyFont="1" applyBorder="1" applyAlignment="1">
      <alignment horizontal="left"/>
    </xf>
    <xf numFmtId="3" fontId="24" fillId="0" borderId="3" xfId="0" applyNumberFormat="1" applyFont="1" applyFill="1" applyBorder="1" applyAlignment="1">
      <alignment horizontal="center"/>
    </xf>
    <xf numFmtId="0" fontId="24" fillId="0" borderId="3" xfId="0" applyNumberFormat="1" applyFont="1" applyFill="1" applyBorder="1" applyAlignment="1"/>
    <xf numFmtId="3" fontId="24" fillId="0" borderId="5" xfId="0" applyNumberFormat="1" applyFont="1" applyFill="1" applyBorder="1" applyAlignment="1">
      <alignment horizontal="center"/>
    </xf>
    <xf numFmtId="164" fontId="44" fillId="0" borderId="0" xfId="12" applyNumberFormat="1" applyFont="1" applyFill="1"/>
    <xf numFmtId="0" fontId="24" fillId="10" borderId="17" xfId="12" applyFont="1" applyFill="1" applyBorder="1" applyAlignment="1">
      <alignment horizontal="center"/>
    </xf>
    <xf numFmtId="0" fontId="7" fillId="10" borderId="0" xfId="0" applyFont="1" applyFill="1" applyBorder="1" applyAlignment="1"/>
    <xf numFmtId="164" fontId="81" fillId="0" borderId="0" xfId="1" applyNumberFormat="1" applyFont="1" applyAlignment="1">
      <alignment wrapText="1"/>
    </xf>
    <xf numFmtId="0" fontId="44" fillId="0" borderId="0" xfId="12" applyFont="1" applyAlignment="1">
      <alignment horizontal="left"/>
    </xf>
    <xf numFmtId="0" fontId="8" fillId="0" borderId="7" xfId="0" applyFont="1" applyBorder="1" applyAlignment="1"/>
    <xf numFmtId="170" fontId="7" fillId="0" borderId="0" xfId="0" applyNumberFormat="1" applyFont="1" applyAlignment="1"/>
    <xf numFmtId="0" fontId="7" fillId="3" borderId="0" xfId="0" applyFont="1" applyFill="1" applyAlignment="1"/>
    <xf numFmtId="0" fontId="8" fillId="0" borderId="0" xfId="0" applyFont="1" applyBorder="1" applyAlignment="1"/>
    <xf numFmtId="0" fontId="7" fillId="0" borderId="0" xfId="0" applyFont="1" applyFill="1" applyAlignment="1"/>
    <xf numFmtId="0" fontId="47" fillId="0" borderId="0" xfId="0" applyFont="1" applyAlignment="1">
      <alignment horizontal="center"/>
    </xf>
    <xf numFmtId="0" fontId="8" fillId="0" borderId="0" xfId="0" applyFont="1" applyAlignment="1">
      <alignment horizontal="center"/>
    </xf>
    <xf numFmtId="0" fontId="7" fillId="0" borderId="0" xfId="0" applyFont="1" applyBorder="1" applyAlignment="1">
      <alignment horizontal="center"/>
    </xf>
    <xf numFmtId="0" fontId="8" fillId="0" borderId="20" xfId="0" applyNumberFormat="1" applyFont="1" applyBorder="1" applyAlignment="1"/>
    <xf numFmtId="166" fontId="7" fillId="0" borderId="20" xfId="0" applyNumberFormat="1" applyFont="1" applyFill="1" applyBorder="1" applyAlignment="1"/>
    <xf numFmtId="0" fontId="7" fillId="0" borderId="20" xfId="0" applyNumberFormat="1" applyFont="1" applyBorder="1" applyAlignment="1"/>
    <xf numFmtId="164" fontId="90" fillId="0" borderId="0" xfId="1" applyNumberFormat="1" applyFont="1" applyAlignment="1">
      <alignment horizontal="left"/>
    </xf>
    <xf numFmtId="0" fontId="7" fillId="10" borderId="20" xfId="0" applyFont="1" applyFill="1" applyBorder="1" applyAlignment="1"/>
    <xf numFmtId="0" fontId="24" fillId="0" borderId="0" xfId="0" applyFont="1" applyFill="1" applyBorder="1" applyAlignment="1">
      <alignment horizontal="center" wrapText="1"/>
    </xf>
    <xf numFmtId="0" fontId="29" fillId="0" borderId="0" xfId="0" applyFont="1" applyFill="1" applyBorder="1" applyAlignment="1">
      <alignment wrapText="1"/>
    </xf>
    <xf numFmtId="0" fontId="29" fillId="0" borderId="0" xfId="0" applyFont="1" applyFill="1" applyBorder="1" applyAlignment="1">
      <alignment horizontal="center"/>
    </xf>
    <xf numFmtId="0" fontId="71" fillId="0" borderId="0" xfId="0" applyFont="1" applyFill="1" applyBorder="1" applyAlignment="1"/>
    <xf numFmtId="0" fontId="71" fillId="0" borderId="0" xfId="12" applyFont="1" applyFill="1" applyBorder="1" applyAlignment="1">
      <alignment wrapText="1"/>
    </xf>
    <xf numFmtId="0" fontId="89" fillId="0" borderId="0" xfId="0" applyFont="1" applyAlignment="1">
      <alignment horizontal="left"/>
    </xf>
    <xf numFmtId="0" fontId="7" fillId="0" borderId="0" xfId="0" applyFont="1" applyFill="1" applyAlignment="1"/>
    <xf numFmtId="0" fontId="11" fillId="0" borderId="0" xfId="0" applyFont="1" applyAlignment="1">
      <alignment horizontal="center"/>
    </xf>
    <xf numFmtId="0" fontId="11" fillId="0" borderId="0" xfId="0" applyFont="1" applyAlignment="1"/>
    <xf numFmtId="0" fontId="91" fillId="0" borderId="0" xfId="0" applyFont="1"/>
    <xf numFmtId="0" fontId="20" fillId="0" borderId="0" xfId="0" applyFont="1" applyAlignment="1">
      <alignment horizontal="left"/>
    </xf>
    <xf numFmtId="3" fontId="57" fillId="0" borderId="0" xfId="0" applyNumberFormat="1" applyFont="1" applyFill="1" applyAlignment="1">
      <alignment horizontal="right"/>
    </xf>
    <xf numFmtId="3" fontId="57" fillId="0" borderId="6" xfId="0" applyNumberFormat="1" applyFont="1" applyFill="1" applyBorder="1" applyAlignment="1">
      <alignment horizontal="right"/>
    </xf>
    <xf numFmtId="10" fontId="8" fillId="0" borderId="0" xfId="0" applyNumberFormat="1" applyFont="1" applyFill="1" applyAlignment="1">
      <alignment horizontal="right"/>
    </xf>
    <xf numFmtId="0" fontId="20" fillId="0" borderId="0" xfId="0" applyFont="1" applyFill="1" applyAlignment="1">
      <alignment horizontal="left"/>
    </xf>
    <xf numFmtId="164" fontId="8" fillId="0" borderId="0" xfId="1" applyNumberFormat="1" applyFont="1" applyFill="1" applyAlignment="1"/>
    <xf numFmtId="0" fontId="27" fillId="0" borderId="0" xfId="0" applyFont="1" applyFill="1" applyBorder="1" applyAlignment="1">
      <alignment horizontal="center"/>
    </xf>
    <xf numFmtId="0" fontId="30" fillId="0" borderId="0" xfId="0" applyFont="1" applyFill="1" applyBorder="1" applyAlignment="1">
      <alignment horizontal="center"/>
    </xf>
    <xf numFmtId="0" fontId="9" fillId="7" borderId="0" xfId="0" applyNumberFormat="1" applyFont="1" applyFill="1" applyAlignment="1">
      <alignment horizontal="left"/>
    </xf>
    <xf numFmtId="3" fontId="11" fillId="7" borderId="0" xfId="0" applyNumberFormat="1" applyFont="1" applyFill="1" applyAlignment="1">
      <alignment horizontal="center"/>
    </xf>
    <xf numFmtId="3" fontId="7" fillId="0" borderId="0" xfId="0" applyNumberFormat="1" applyFont="1" applyFill="1" applyBorder="1" applyAlignment="1">
      <alignment horizontal="left"/>
    </xf>
    <xf numFmtId="3" fontId="8" fillId="0" borderId="0" xfId="0" applyNumberFormat="1" applyFont="1" applyBorder="1" applyAlignment="1">
      <alignment horizontal="left"/>
    </xf>
    <xf numFmtId="0" fontId="7" fillId="0" borderId="0" xfId="0" applyFont="1" applyFill="1" applyAlignment="1"/>
    <xf numFmtId="0" fontId="7" fillId="0" borderId="0" xfId="0" applyFont="1" applyFill="1" applyAlignment="1">
      <alignment wrapText="1"/>
    </xf>
    <xf numFmtId="172" fontId="7" fillId="0" borderId="0" xfId="18" applyNumberFormat="1" applyFont="1"/>
    <xf numFmtId="164" fontId="89" fillId="4" borderId="0" xfId="1" applyNumberFormat="1" applyFont="1" applyFill="1"/>
    <xf numFmtId="0" fontId="24" fillId="0" borderId="0" xfId="0" applyFont="1" applyFill="1" applyBorder="1" applyAlignment="1">
      <alignment horizontal="left"/>
    </xf>
    <xf numFmtId="0" fontId="71" fillId="0" borderId="2" xfId="0" applyNumberFormat="1" applyFont="1" applyFill="1" applyBorder="1" applyAlignment="1">
      <alignment horizontal="center"/>
    </xf>
    <xf numFmtId="0" fontId="71" fillId="0" borderId="0" xfId="0" applyNumberFormat="1" applyFont="1" applyFill="1" applyBorder="1" applyAlignment="1">
      <alignment horizontal="left"/>
    </xf>
    <xf numFmtId="0" fontId="71" fillId="0" borderId="0" xfId="0" applyFont="1" applyFill="1" applyBorder="1"/>
    <xf numFmtId="0" fontId="71" fillId="0" borderId="3" xfId="0" applyFont="1" applyFill="1" applyBorder="1"/>
    <xf numFmtId="3" fontId="71" fillId="0" borderId="0" xfId="0" applyNumberFormat="1" applyFont="1" applyFill="1" applyBorder="1" applyAlignment="1">
      <alignment horizontal="right"/>
    </xf>
    <xf numFmtId="37" fontId="71" fillId="0" borderId="0" xfId="0" applyNumberFormat="1" applyFont="1" applyFill="1" applyBorder="1" applyAlignment="1">
      <alignment horizontal="left"/>
    </xf>
    <xf numFmtId="37" fontId="71" fillId="0" borderId="0" xfId="0" applyNumberFormat="1" applyFont="1" applyFill="1" applyBorder="1" applyAlignment="1">
      <alignment horizontal="center"/>
    </xf>
    <xf numFmtId="0" fontId="71" fillId="0" borderId="0" xfId="0" applyFont="1" applyFill="1" applyBorder="1" applyAlignment="1">
      <alignment horizontal="center"/>
    </xf>
    <xf numFmtId="0" fontId="71" fillId="0" borderId="3" xfId="12" applyFont="1" applyFill="1" applyBorder="1" applyAlignment="1">
      <alignment wrapText="1"/>
    </xf>
    <xf numFmtId="0" fontId="20" fillId="0" borderId="0" xfId="0" applyFont="1" applyFill="1" applyAlignment="1">
      <alignment horizontal="center"/>
    </xf>
    <xf numFmtId="0" fontId="23" fillId="6" borderId="13" xfId="0" applyFont="1" applyFill="1" applyBorder="1" applyAlignment="1">
      <alignment horizontal="center" wrapText="1"/>
    </xf>
    <xf numFmtId="0" fontId="23" fillId="6" borderId="14" xfId="0" applyFont="1" applyFill="1" applyBorder="1" applyAlignment="1">
      <alignment horizontal="center" wrapText="1"/>
    </xf>
    <xf numFmtId="164" fontId="24" fillId="0" borderId="0" xfId="0" applyNumberFormat="1" applyFont="1" applyFill="1" applyBorder="1"/>
    <xf numFmtId="164" fontId="24" fillId="0" borderId="1" xfId="0" applyNumberFormat="1" applyFont="1" applyFill="1" applyBorder="1"/>
    <xf numFmtId="164" fontId="24" fillId="0" borderId="1" xfId="1" applyNumberFormat="1" applyFont="1" applyFill="1" applyBorder="1"/>
    <xf numFmtId="0" fontId="71" fillId="0" borderId="4" xfId="0" applyNumberFormat="1" applyFont="1" applyFill="1" applyBorder="1" applyAlignment="1">
      <alignment horizontal="center"/>
    </xf>
    <xf numFmtId="0" fontId="71" fillId="0" borderId="1" xfId="0" applyNumberFormat="1" applyFont="1" applyFill="1" applyBorder="1" applyAlignment="1">
      <alignment horizontal="left"/>
    </xf>
    <xf numFmtId="0" fontId="24" fillId="0" borderId="1" xfId="0" applyFont="1" applyFill="1" applyBorder="1" applyAlignment="1">
      <alignment horizontal="left"/>
    </xf>
    <xf numFmtId="0" fontId="71" fillId="0" borderId="1" xfId="0" applyFont="1" applyFill="1" applyBorder="1"/>
    <xf numFmtId="0" fontId="27" fillId="0" borderId="1" xfId="0" applyFont="1" applyFill="1" applyBorder="1"/>
    <xf numFmtId="0" fontId="71" fillId="0" borderId="5" xfId="0" applyFont="1" applyFill="1" applyBorder="1"/>
    <xf numFmtId="3" fontId="71" fillId="0" borderId="1" xfId="0" applyNumberFormat="1" applyFont="1" applyFill="1" applyBorder="1" applyAlignment="1">
      <alignment horizontal="right"/>
    </xf>
    <xf numFmtId="37" fontId="71" fillId="0" borderId="1" xfId="0" applyNumberFormat="1" applyFont="1" applyFill="1" applyBorder="1" applyAlignment="1">
      <alignment horizontal="left"/>
    </xf>
    <xf numFmtId="37" fontId="71" fillId="0" borderId="1" xfId="0" applyNumberFormat="1" applyFont="1" applyFill="1" applyBorder="1" applyAlignment="1">
      <alignment horizontal="center"/>
    </xf>
    <xf numFmtId="0" fontId="71" fillId="0" borderId="1" xfId="0" applyFont="1" applyFill="1" applyBorder="1" applyAlignment="1">
      <alignment horizontal="center"/>
    </xf>
    <xf numFmtId="0" fontId="71" fillId="0" borderId="1" xfId="12" applyFont="1" applyFill="1" applyBorder="1" applyAlignment="1">
      <alignment wrapText="1"/>
    </xf>
    <xf numFmtId="0" fontId="23" fillId="11" borderId="13" xfId="0" applyFont="1" applyFill="1" applyBorder="1" applyAlignment="1">
      <alignment horizontal="left"/>
    </xf>
    <xf numFmtId="0" fontId="71" fillId="6" borderId="13" xfId="0" applyFont="1" applyFill="1" applyBorder="1"/>
    <xf numFmtId="0" fontId="27" fillId="6" borderId="13" xfId="0" applyFont="1" applyFill="1" applyBorder="1"/>
    <xf numFmtId="0" fontId="71" fillId="6" borderId="14" xfId="0" applyFont="1" applyFill="1" applyBorder="1"/>
    <xf numFmtId="3" fontId="71" fillId="6" borderId="13" xfId="0" applyNumberFormat="1" applyFont="1" applyFill="1" applyBorder="1" applyAlignment="1">
      <alignment horizontal="right"/>
    </xf>
    <xf numFmtId="37" fontId="71" fillId="6" borderId="13" xfId="0" applyNumberFormat="1" applyFont="1" applyFill="1" applyBorder="1" applyAlignment="1">
      <alignment horizontal="left"/>
    </xf>
    <xf numFmtId="37" fontId="71" fillId="6" borderId="13" xfId="0" applyNumberFormat="1" applyFont="1" applyFill="1" applyBorder="1" applyAlignment="1">
      <alignment horizontal="center"/>
    </xf>
    <xf numFmtId="0" fontId="71" fillId="6" borderId="13" xfId="0" applyFont="1" applyFill="1" applyBorder="1" applyAlignment="1">
      <alignment horizontal="center"/>
    </xf>
    <xf numFmtId="0" fontId="71" fillId="6" borderId="13" xfId="12" applyFont="1" applyFill="1" applyBorder="1" applyAlignment="1">
      <alignment wrapText="1"/>
    </xf>
    <xf numFmtId="0" fontId="71" fillId="6" borderId="14" xfId="12" applyFont="1" applyFill="1" applyBorder="1" applyAlignment="1">
      <alignment wrapText="1"/>
    </xf>
    <xf numFmtId="0" fontId="24" fillId="0" borderId="5" xfId="0" applyFont="1" applyFill="1" applyBorder="1"/>
    <xf numFmtId="0" fontId="24" fillId="0" borderId="0" xfId="0" quotePrefix="1" applyNumberFormat="1" applyFont="1" applyFill="1" applyBorder="1" applyAlignment="1">
      <alignment horizontal="left"/>
    </xf>
    <xf numFmtId="0" fontId="24" fillId="0" borderId="0" xfId="0" quotePrefix="1" applyFont="1" applyFill="1" applyBorder="1" applyAlignment="1">
      <alignment horizontal="left"/>
    </xf>
    <xf numFmtId="0" fontId="23" fillId="11" borderId="0" xfId="0" applyFont="1" applyFill="1" applyBorder="1" applyAlignment="1">
      <alignment horizontal="left"/>
    </xf>
    <xf numFmtId="0" fontId="71" fillId="0" borderId="5" xfId="12" applyFont="1" applyFill="1" applyBorder="1" applyAlignment="1">
      <alignment wrapText="1"/>
    </xf>
    <xf numFmtId="0" fontId="71" fillId="0" borderId="0" xfId="0" applyFont="1" applyFill="1" applyBorder="1" applyAlignment="1">
      <alignment horizontal="center" wrapText="1"/>
    </xf>
    <xf numFmtId="0" fontId="24" fillId="0" borderId="4" xfId="0" applyFont="1" applyFill="1" applyBorder="1"/>
    <xf numFmtId="0" fontId="24" fillId="0" borderId="13" xfId="0" applyFont="1" applyFill="1" applyBorder="1"/>
    <xf numFmtId="0" fontId="24" fillId="0" borderId="0" xfId="0" applyFont="1" applyFill="1" applyAlignment="1">
      <alignment horizontal="left"/>
    </xf>
    <xf numFmtId="170" fontId="24" fillId="0" borderId="0" xfId="16" applyFont="1" applyFill="1" applyAlignment="1" applyProtection="1">
      <protection locked="0"/>
    </xf>
    <xf numFmtId="0" fontId="48" fillId="0" borderId="0" xfId="0" applyFont="1" applyFill="1" applyBorder="1"/>
    <xf numFmtId="0" fontId="23" fillId="10" borderId="2" xfId="0" quotePrefix="1" applyNumberFormat="1" applyFont="1" applyFill="1" applyBorder="1" applyAlignment="1">
      <alignment horizontal="center" wrapText="1"/>
    </xf>
    <xf numFmtId="0" fontId="23" fillId="10" borderId="0" xfId="0" quotePrefix="1" applyNumberFormat="1" applyFont="1" applyFill="1" applyBorder="1" applyAlignment="1">
      <alignment horizontal="center" wrapText="1"/>
    </xf>
    <xf numFmtId="172" fontId="7" fillId="0" borderId="0" xfId="0" applyNumberFormat="1" applyFont="1" applyFill="1" applyBorder="1" applyAlignment="1">
      <alignment horizontal="right"/>
    </xf>
    <xf numFmtId="0" fontId="11" fillId="0" borderId="0" xfId="0" applyFont="1" applyAlignment="1">
      <alignment horizontal="center"/>
    </xf>
    <xf numFmtId="0" fontId="11" fillId="0" borderId="0" xfId="0" applyFont="1" applyAlignment="1"/>
    <xf numFmtId="0" fontId="20" fillId="0" borderId="0" xfId="0" applyFont="1" applyFill="1" applyAlignment="1">
      <alignment horizontal="center"/>
    </xf>
    <xf numFmtId="0" fontId="8" fillId="0" borderId="19" xfId="0" applyFont="1" applyFill="1" applyBorder="1"/>
    <xf numFmtId="0" fontId="15" fillId="0" borderId="0" xfId="0" applyFont="1" applyFill="1" applyBorder="1"/>
    <xf numFmtId="37" fontId="7" fillId="0" borderId="0" xfId="0" applyNumberFormat="1" applyFont="1" applyBorder="1"/>
    <xf numFmtId="10" fontId="7" fillId="0" borderId="0" xfId="18" applyNumberFormat="1" applyFont="1" applyBorder="1"/>
    <xf numFmtId="9" fontId="7" fillId="0" borderId="0" xfId="18" applyFont="1" applyBorder="1"/>
    <xf numFmtId="3" fontId="7" fillId="4" borderId="0" xfId="0" applyNumberFormat="1" applyFont="1" applyFill="1" applyAlignment="1"/>
    <xf numFmtId="3" fontId="24" fillId="4" borderId="0" xfId="1" applyNumberFormat="1" applyFont="1" applyFill="1" applyBorder="1" applyAlignment="1">
      <alignment horizontal="right"/>
    </xf>
    <xf numFmtId="0" fontId="24" fillId="0" borderId="0" xfId="0" applyFont="1" applyFill="1" applyBorder="1" applyAlignment="1">
      <alignment horizontal="left"/>
    </xf>
    <xf numFmtId="0" fontId="23" fillId="6" borderId="13" xfId="0" applyNumberFormat="1" applyFont="1" applyFill="1" applyBorder="1" applyAlignment="1">
      <alignment horizontal="left"/>
    </xf>
    <xf numFmtId="0" fontId="23" fillId="6" borderId="13" xfId="0" applyFont="1" applyFill="1" applyBorder="1"/>
    <xf numFmtId="0" fontId="23" fillId="6" borderId="2" xfId="0" applyNumberFormat="1" applyFont="1" applyFill="1" applyBorder="1" applyAlignment="1">
      <alignment horizontal="center"/>
    </xf>
    <xf numFmtId="0" fontId="23" fillId="6" borderId="0" xfId="0" applyNumberFormat="1" applyFont="1" applyFill="1" applyBorder="1" applyAlignment="1">
      <alignment horizontal="left"/>
    </xf>
    <xf numFmtId="0" fontId="23" fillId="6" borderId="0" xfId="0" applyFont="1" applyFill="1" applyBorder="1"/>
    <xf numFmtId="0" fontId="23" fillId="0" borderId="2" xfId="0" applyNumberFormat="1" applyFont="1" applyFill="1" applyBorder="1" applyAlignment="1">
      <alignment horizontal="center"/>
    </xf>
    <xf numFmtId="0" fontId="23" fillId="0" borderId="0" xfId="0" applyNumberFormat="1" applyFont="1" applyFill="1" applyBorder="1" applyAlignment="1">
      <alignment horizontal="left"/>
    </xf>
    <xf numFmtId="0" fontId="23" fillId="0" borderId="0" xfId="0" applyFont="1" applyFill="1" applyBorder="1"/>
    <xf numFmtId="0" fontId="97" fillId="0" borderId="0" xfId="0" applyFont="1"/>
    <xf numFmtId="0" fontId="97" fillId="11" borderId="15" xfId="0" applyFont="1" applyFill="1" applyBorder="1"/>
    <xf numFmtId="0" fontId="97" fillId="11" borderId="13" xfId="0" applyFont="1" applyFill="1" applyBorder="1"/>
    <xf numFmtId="0" fontId="97" fillId="11" borderId="14" xfId="0" applyFont="1" applyFill="1" applyBorder="1"/>
    <xf numFmtId="43" fontId="97" fillId="11" borderId="13" xfId="1" applyFont="1" applyFill="1" applyBorder="1"/>
    <xf numFmtId="178" fontId="97" fillId="11" borderId="13" xfId="1" applyNumberFormat="1" applyFont="1" applyFill="1" applyBorder="1"/>
    <xf numFmtId="0" fontId="96" fillId="11" borderId="13" xfId="0" applyFont="1" applyFill="1" applyBorder="1"/>
    <xf numFmtId="0" fontId="96" fillId="11" borderId="14" xfId="0" applyFont="1" applyFill="1" applyBorder="1"/>
    <xf numFmtId="0" fontId="97" fillId="11" borderId="2" xfId="0" applyFont="1" applyFill="1" applyBorder="1"/>
    <xf numFmtId="0" fontId="97" fillId="11" borderId="0" xfId="0" applyFont="1" applyFill="1" applyBorder="1"/>
    <xf numFmtId="0" fontId="97" fillId="11" borderId="3" xfId="0" applyFont="1" applyFill="1" applyBorder="1"/>
    <xf numFmtId="0" fontId="97" fillId="11" borderId="0" xfId="0" applyFont="1" applyFill="1" applyBorder="1" applyAlignment="1">
      <alignment horizontal="center"/>
    </xf>
    <xf numFmtId="0" fontId="97" fillId="11" borderId="0" xfId="0" applyFont="1" applyFill="1" applyBorder="1" applyAlignment="1">
      <alignment horizontal="center" wrapText="1"/>
    </xf>
    <xf numFmtId="43" fontId="97" fillId="11" borderId="0" xfId="1" applyFont="1" applyFill="1" applyBorder="1" applyAlignment="1">
      <alignment horizontal="center" wrapText="1"/>
    </xf>
    <xf numFmtId="178" fontId="97" fillId="11" borderId="0" xfId="1" applyNumberFormat="1" applyFont="1" applyFill="1" applyBorder="1" applyAlignment="1">
      <alignment horizontal="center" wrapText="1"/>
    </xf>
    <xf numFmtId="0" fontId="96" fillId="11" borderId="0" xfId="0" applyFont="1" applyFill="1" applyBorder="1"/>
    <xf numFmtId="0" fontId="96" fillId="11" borderId="3" xfId="0" applyFont="1" applyFill="1" applyBorder="1"/>
    <xf numFmtId="0" fontId="98" fillId="0" borderId="0" xfId="0" applyFont="1" applyBorder="1"/>
    <xf numFmtId="0" fontId="0" fillId="0" borderId="0" xfId="0" applyBorder="1" applyAlignment="1">
      <alignment horizontal="center"/>
    </xf>
    <xf numFmtId="0" fontId="0" fillId="0" borderId="0" xfId="0" applyBorder="1" applyAlignment="1">
      <alignment horizontal="center" wrapText="1"/>
    </xf>
    <xf numFmtId="43" fontId="0" fillId="0" borderId="0" xfId="1" applyFont="1" applyBorder="1" applyAlignment="1">
      <alignment horizontal="center" wrapText="1"/>
    </xf>
    <xf numFmtId="178" fontId="0" fillId="0" borderId="0" xfId="1" applyNumberFormat="1" applyFont="1" applyBorder="1" applyAlignment="1">
      <alignment horizontal="center" wrapText="1"/>
    </xf>
    <xf numFmtId="0" fontId="0" fillId="0" borderId="0" xfId="0" applyBorder="1" applyAlignment="1">
      <alignment horizontal="left"/>
    </xf>
    <xf numFmtId="0" fontId="0" fillId="0" borderId="3" xfId="0" applyFill="1" applyBorder="1"/>
    <xf numFmtId="43" fontId="0" fillId="0" borderId="0" xfId="1" applyFont="1" applyBorder="1" applyAlignment="1">
      <alignment horizontal="center"/>
    </xf>
    <xf numFmtId="178" fontId="0" fillId="0" borderId="0" xfId="1" applyNumberFormat="1" applyFont="1" applyBorder="1" applyAlignment="1">
      <alignment horizontal="center"/>
    </xf>
    <xf numFmtId="0" fontId="0" fillId="0" borderId="0" xfId="0" quotePrefix="1" applyBorder="1"/>
    <xf numFmtId="43" fontId="0" fillId="0" borderId="0" xfId="1" applyFont="1" applyBorder="1"/>
    <xf numFmtId="178" fontId="0" fillId="0" borderId="0" xfId="1" applyNumberFormat="1" applyFont="1" applyBorder="1"/>
    <xf numFmtId="43" fontId="0" fillId="0" borderId="0" xfId="1" applyFont="1" applyFill="1" applyBorder="1" applyAlignment="1">
      <alignment horizontal="center"/>
    </xf>
    <xf numFmtId="178" fontId="0" fillId="0" borderId="0" xfId="1" applyNumberFormat="1" applyFont="1" applyFill="1" applyBorder="1" applyAlignment="1">
      <alignment horizontal="center"/>
    </xf>
    <xf numFmtId="0" fontId="0" fillId="0" borderId="0" xfId="0" applyFill="1" applyBorder="1" applyAlignment="1">
      <alignment horizontal="left"/>
    </xf>
    <xf numFmtId="43" fontId="0" fillId="0" borderId="0" xfId="1" applyNumberFormat="1" applyFont="1" applyBorder="1"/>
    <xf numFmtId="0" fontId="98" fillId="0" borderId="0" xfId="0" applyFont="1" applyBorder="1" applyAlignment="1">
      <alignment horizontal="left"/>
    </xf>
    <xf numFmtId="43" fontId="0" fillId="0" borderId="1" xfId="1" applyFont="1" applyBorder="1"/>
    <xf numFmtId="178" fontId="0" fillId="0" borderId="1" xfId="1" applyNumberFormat="1" applyFont="1" applyBorder="1"/>
    <xf numFmtId="164" fontId="7" fillId="4" borderId="0" xfId="0" applyNumberFormat="1" applyFont="1" applyFill="1" applyBorder="1"/>
    <xf numFmtId="43" fontId="97" fillId="0" borderId="0" xfId="1" applyFont="1"/>
    <xf numFmtId="178" fontId="97" fillId="0" borderId="0" xfId="1" applyNumberFormat="1" applyFont="1"/>
    <xf numFmtId="0" fontId="96" fillId="0" borderId="0" xfId="0" applyFont="1"/>
    <xf numFmtId="0" fontId="97" fillId="11" borderId="16" xfId="0" applyFont="1" applyFill="1" applyBorder="1"/>
    <xf numFmtId="0" fontId="97" fillId="11" borderId="13" xfId="0" applyFont="1" applyFill="1" applyBorder="1" applyAlignment="1">
      <alignment horizontal="center"/>
    </xf>
    <xf numFmtId="0" fontId="97" fillId="11" borderId="17" xfId="0" applyFont="1" applyFill="1" applyBorder="1"/>
    <xf numFmtId="43" fontId="97" fillId="11" borderId="0" xfId="1" applyFont="1" applyFill="1" applyBorder="1" applyAlignment="1">
      <alignment horizontal="center"/>
    </xf>
    <xf numFmtId="178" fontId="97" fillId="11" borderId="0" xfId="1" applyNumberFormat="1" applyFont="1" applyFill="1" applyBorder="1"/>
    <xf numFmtId="178" fontId="97" fillId="11" borderId="0" xfId="1" applyNumberFormat="1" applyFont="1" applyFill="1" applyBorder="1" applyAlignment="1">
      <alignment horizontal="center"/>
    </xf>
    <xf numFmtId="0" fontId="97" fillId="11" borderId="17" xfId="0" applyFont="1" applyFill="1" applyBorder="1" applyAlignment="1">
      <alignment horizontal="center"/>
    </xf>
    <xf numFmtId="0" fontId="0" fillId="0" borderId="17" xfId="0" applyFill="1" applyBorder="1"/>
    <xf numFmtId="0" fontId="0" fillId="0" borderId="17" xfId="0" applyBorder="1"/>
    <xf numFmtId="0" fontId="0" fillId="0" borderId="2" xfId="0" applyBorder="1" applyAlignment="1">
      <alignment horizontal="center"/>
    </xf>
    <xf numFmtId="0" fontId="0" fillId="0" borderId="18" xfId="0" applyBorder="1"/>
    <xf numFmtId="1" fontId="0" fillId="0" borderId="0" xfId="1" applyNumberFormat="1" applyFont="1" applyBorder="1"/>
    <xf numFmtId="3" fontId="0" fillId="0" borderId="0" xfId="1" applyNumberFormat="1" applyFont="1" applyBorder="1"/>
    <xf numFmtId="0" fontId="44" fillId="10" borderId="0" xfId="0" applyFont="1" applyFill="1"/>
    <xf numFmtId="0" fontId="85" fillId="0" borderId="0" xfId="0" applyFont="1" applyFill="1" applyAlignment="1">
      <alignment horizontal="left"/>
    </xf>
    <xf numFmtId="3" fontId="7" fillId="4" borderId="0" xfId="1" applyNumberFormat="1" applyFont="1" applyFill="1" applyAlignment="1">
      <alignment wrapText="1"/>
    </xf>
    <xf numFmtId="3" fontId="7" fillId="4" borderId="0" xfId="1" applyNumberFormat="1" applyFont="1" applyFill="1" applyAlignment="1"/>
    <xf numFmtId="3" fontId="8" fillId="10" borderId="0" xfId="0" applyNumberFormat="1" applyFont="1" applyFill="1" applyBorder="1" applyAlignment="1"/>
    <xf numFmtId="3" fontId="57" fillId="4" borderId="0" xfId="0" applyNumberFormat="1" applyFont="1" applyFill="1" applyAlignment="1">
      <alignment horizontal="right"/>
    </xf>
    <xf numFmtId="3" fontId="7" fillId="4" borderId="0" xfId="0" applyNumberFormat="1" applyFont="1" applyFill="1" applyAlignment="1">
      <alignment horizontal="right"/>
    </xf>
    <xf numFmtId="3" fontId="7" fillId="4" borderId="0" xfId="0" applyNumberFormat="1" applyFont="1" applyFill="1" applyBorder="1" applyAlignment="1">
      <alignment horizontal="right"/>
    </xf>
    <xf numFmtId="3" fontId="7" fillId="4" borderId="20" xfId="0" applyNumberFormat="1" applyFont="1" applyFill="1" applyBorder="1" applyAlignment="1">
      <alignment horizontal="right"/>
    </xf>
    <xf numFmtId="3" fontId="8" fillId="4" borderId="0" xfId="0" applyNumberFormat="1" applyFont="1" applyFill="1" applyAlignment="1">
      <alignment horizontal="right"/>
    </xf>
    <xf numFmtId="3" fontId="7" fillId="4" borderId="0" xfId="0" applyNumberFormat="1" applyFont="1" applyFill="1" applyAlignment="1">
      <alignment horizontal="right" wrapText="1"/>
    </xf>
    <xf numFmtId="3" fontId="7" fillId="4" borderId="0" xfId="1" applyNumberFormat="1" applyFont="1" applyFill="1" applyAlignment="1">
      <alignment horizontal="right"/>
    </xf>
    <xf numFmtId="10" fontId="24" fillId="4" borderId="0" xfId="18" applyNumberFormat="1" applyFont="1" applyFill="1" applyBorder="1" applyAlignment="1">
      <alignment horizontal="right" wrapText="1"/>
    </xf>
    <xf numFmtId="3" fontId="24" fillId="4" borderId="2" xfId="1" applyNumberFormat="1" applyFont="1" applyFill="1" applyBorder="1"/>
    <xf numFmtId="3" fontId="24" fillId="4" borderId="22" xfId="1" applyNumberFormat="1" applyFont="1" applyFill="1" applyBorder="1"/>
    <xf numFmtId="3" fontId="24" fillId="4" borderId="2" xfId="0" applyNumberFormat="1" applyFont="1" applyFill="1" applyBorder="1" applyAlignment="1">
      <alignment horizontal="right"/>
    </xf>
    <xf numFmtId="3" fontId="24" fillId="4" borderId="0" xfId="0" applyNumberFormat="1" applyFont="1" applyFill="1" applyBorder="1" applyAlignment="1">
      <alignment horizontal="right"/>
    </xf>
    <xf numFmtId="37" fontId="24" fillId="10" borderId="0" xfId="0" applyNumberFormat="1" applyFont="1" applyFill="1" applyBorder="1" applyAlignment="1">
      <alignment horizontal="right"/>
    </xf>
    <xf numFmtId="37" fontId="24" fillId="10" borderId="20" xfId="0" applyNumberFormat="1" applyFont="1" applyFill="1" applyBorder="1" applyAlignment="1">
      <alignment horizontal="right"/>
    </xf>
    <xf numFmtId="37" fontId="24" fillId="4" borderId="1" xfId="0" applyNumberFormat="1" applyFont="1" applyFill="1" applyBorder="1" applyAlignment="1">
      <alignment horizontal="right"/>
    </xf>
    <xf numFmtId="3" fontId="24" fillId="4" borderId="22" xfId="1" applyNumberFormat="1" applyFont="1" applyFill="1" applyBorder="1" applyAlignment="1">
      <alignment horizontal="right"/>
    </xf>
    <xf numFmtId="3" fontId="24" fillId="4" borderId="1" xfId="1" applyNumberFormat="1" applyFont="1" applyFill="1" applyBorder="1" applyAlignment="1">
      <alignment horizontal="right"/>
    </xf>
    <xf numFmtId="3" fontId="24" fillId="10" borderId="1" xfId="0" applyNumberFormat="1" applyFont="1" applyFill="1" applyBorder="1" applyAlignment="1">
      <alignment horizontal="right"/>
    </xf>
    <xf numFmtId="164" fontId="24" fillId="4" borderId="17" xfId="1" applyNumberFormat="1" applyFont="1" applyFill="1" applyBorder="1" applyAlignment="1">
      <alignment horizontal="center"/>
    </xf>
    <xf numFmtId="3" fontId="24" fillId="4" borderId="17" xfId="0" applyNumberFormat="1" applyFont="1" applyFill="1" applyBorder="1" applyAlignment="1">
      <alignment horizontal="right"/>
    </xf>
    <xf numFmtId="164" fontId="24" fillId="4" borderId="2" xfId="1" applyNumberFormat="1" applyFont="1" applyFill="1" applyBorder="1" applyAlignment="1">
      <alignment horizontal="center"/>
    </xf>
    <xf numFmtId="164" fontId="24" fillId="4" borderId="0" xfId="1" applyNumberFormat="1" applyFont="1" applyFill="1" applyBorder="1" applyAlignment="1">
      <alignment horizontal="center"/>
    </xf>
    <xf numFmtId="3" fontId="7" fillId="10" borderId="17" xfId="1" applyNumberFormat="1" applyFont="1" applyFill="1" applyBorder="1"/>
    <xf numFmtId="3" fontId="7" fillId="10" borderId="0" xfId="1" applyNumberFormat="1" applyFont="1" applyFill="1" applyBorder="1"/>
    <xf numFmtId="172" fontId="7" fillId="10" borderId="0" xfId="18" applyNumberFormat="1" applyFont="1" applyFill="1" applyBorder="1"/>
    <xf numFmtId="167" fontId="44" fillId="4" borderId="20" xfId="7" applyNumberFormat="1" applyFont="1" applyFill="1" applyBorder="1"/>
    <xf numFmtId="3" fontId="7" fillId="4" borderId="0" xfId="1" applyNumberFormat="1" applyFont="1" applyFill="1"/>
    <xf numFmtId="3" fontId="7" fillId="4" borderId="0" xfId="1" applyNumberFormat="1" applyFont="1" applyFill="1" applyBorder="1"/>
    <xf numFmtId="3" fontId="7" fillId="4" borderId="20" xfId="1" applyNumberFormat="1" applyFont="1" applyFill="1" applyBorder="1"/>
    <xf numFmtId="3" fontId="7" fillId="10" borderId="20" xfId="0" applyNumberFormat="1" applyFont="1" applyFill="1" applyBorder="1" applyAlignment="1"/>
    <xf numFmtId="172" fontId="44" fillId="4" borderId="0" xfId="18" applyNumberFormat="1" applyFont="1" applyFill="1"/>
    <xf numFmtId="164" fontId="24" fillId="4" borderId="0" xfId="0" applyNumberFormat="1" applyFont="1" applyFill="1" applyBorder="1" applyAlignment="1">
      <alignment horizontal="right"/>
    </xf>
    <xf numFmtId="164" fontId="24" fillId="4" borderId="20" xfId="0" applyNumberFormat="1" applyFont="1" applyFill="1" applyBorder="1" applyAlignment="1">
      <alignment horizontal="right"/>
    </xf>
    <xf numFmtId="3" fontId="24" fillId="4" borderId="4" xfId="0" applyNumberFormat="1" applyFont="1" applyFill="1" applyBorder="1" applyAlignment="1">
      <alignment horizontal="right"/>
    </xf>
    <xf numFmtId="0" fontId="7" fillId="10" borderId="19" xfId="0" applyFont="1" applyFill="1" applyBorder="1"/>
    <xf numFmtId="0" fontId="7" fillId="4" borderId="19" xfId="0" applyFont="1" applyFill="1" applyBorder="1"/>
    <xf numFmtId="0" fontId="7" fillId="4" borderId="19" xfId="0" applyNumberFormat="1" applyFont="1" applyFill="1" applyBorder="1" applyAlignment="1">
      <alignment wrapText="1"/>
    </xf>
    <xf numFmtId="0" fontId="7" fillId="10" borderId="19" xfId="82" applyNumberFormat="1" applyFont="1" applyFill="1" applyBorder="1" applyAlignment="1">
      <alignment wrapText="1"/>
    </xf>
    <xf numFmtId="0" fontId="7" fillId="4" borderId="19" xfId="0" applyNumberFormat="1" applyFont="1" applyFill="1" applyBorder="1" applyAlignment="1">
      <alignment horizontal="left" wrapText="1"/>
    </xf>
    <xf numFmtId="0" fontId="7" fillId="10" borderId="19" xfId="82" applyNumberFormat="1" applyFont="1" applyFill="1" applyBorder="1" applyAlignment="1">
      <alignment horizontal="left" wrapText="1"/>
    </xf>
    <xf numFmtId="164" fontId="7" fillId="4" borderId="19" xfId="0" applyNumberFormat="1" applyFont="1" applyFill="1" applyBorder="1"/>
    <xf numFmtId="0" fontId="7" fillId="10" borderId="19" xfId="0" applyNumberFormat="1" applyFont="1" applyFill="1" applyBorder="1" applyAlignment="1">
      <alignment wrapText="1"/>
    </xf>
    <xf numFmtId="3" fontId="7" fillId="4" borderId="19" xfId="0" applyNumberFormat="1" applyFont="1" applyFill="1" applyBorder="1"/>
    <xf numFmtId="3" fontId="7" fillId="10" borderId="19" xfId="0" applyNumberFormat="1" applyFont="1" applyFill="1" applyBorder="1"/>
    <xf numFmtId="164" fontId="7" fillId="10" borderId="19" xfId="0" applyNumberFormat="1" applyFont="1" applyFill="1" applyBorder="1"/>
    <xf numFmtId="41" fontId="7" fillId="4" borderId="19" xfId="0" applyNumberFormat="1" applyFont="1" applyFill="1" applyBorder="1"/>
    <xf numFmtId="41" fontId="7" fillId="10" borderId="19" xfId="0" applyNumberFormat="1" applyFont="1" applyFill="1" applyBorder="1"/>
    <xf numFmtId="0" fontId="8" fillId="4" borderId="19" xfId="0" applyFont="1" applyFill="1" applyBorder="1"/>
    <xf numFmtId="42" fontId="44" fillId="4" borderId="0" xfId="1" applyNumberFormat="1" applyFont="1" applyFill="1"/>
    <xf numFmtId="3" fontId="7" fillId="4" borderId="20" xfId="0" applyNumberFormat="1" applyFont="1" applyFill="1" applyBorder="1" applyAlignment="1"/>
    <xf numFmtId="3" fontId="44" fillId="10" borderId="0" xfId="7" applyNumberFormat="1" applyFont="1" applyFill="1"/>
    <xf numFmtId="0" fontId="95" fillId="0" borderId="0" xfId="0" applyFont="1" applyAlignment="1">
      <alignment horizontal="center"/>
    </xf>
    <xf numFmtId="0" fontId="64" fillId="0" borderId="0" xfId="0" applyFont="1" applyAlignment="1">
      <alignment horizontal="center"/>
    </xf>
    <xf numFmtId="0" fontId="9" fillId="0" borderId="0" xfId="0" applyFont="1" applyFill="1" applyAlignment="1">
      <alignment horizontal="center"/>
    </xf>
    <xf numFmtId="0" fontId="11" fillId="0" borderId="0" xfId="0" applyFont="1" applyFill="1" applyAlignment="1"/>
    <xf numFmtId="0" fontId="22" fillId="0" borderId="0" xfId="0" applyFont="1" applyFill="1" applyAlignment="1">
      <alignment horizontal="center"/>
    </xf>
    <xf numFmtId="0" fontId="20" fillId="0" borderId="0" xfId="0" applyFont="1" applyFill="1" applyAlignment="1">
      <alignment horizontal="center"/>
    </xf>
    <xf numFmtId="0" fontId="8" fillId="0" borderId="0" xfId="0" applyFont="1" applyFill="1" applyBorder="1" applyAlignment="1">
      <alignment horizontal="left" wrapText="1"/>
    </xf>
    <xf numFmtId="0" fontId="7" fillId="0" borderId="0" xfId="0" applyFont="1" applyFill="1" applyAlignment="1"/>
    <xf numFmtId="0" fontId="27" fillId="0" borderId="0" xfId="0" applyFont="1" applyFill="1" applyBorder="1" applyAlignment="1">
      <alignment horizontal="left" wrapText="1"/>
    </xf>
    <xf numFmtId="0" fontId="8" fillId="0" borderId="20" xfId="0" applyFont="1" applyFill="1" applyBorder="1" applyAlignment="1">
      <alignment horizontal="center"/>
    </xf>
    <xf numFmtId="0" fontId="8" fillId="0" borderId="0" xfId="0" applyFont="1" applyFill="1" applyAlignment="1">
      <alignment wrapText="1"/>
    </xf>
    <xf numFmtId="0" fontId="7" fillId="0" borderId="0" xfId="0" applyFont="1" applyFill="1" applyAlignment="1">
      <alignment wrapText="1"/>
    </xf>
    <xf numFmtId="0" fontId="22" fillId="0" borderId="0" xfId="0" applyFont="1" applyAlignment="1">
      <alignment horizontal="center"/>
    </xf>
    <xf numFmtId="0" fontId="11" fillId="0" borderId="0" xfId="0" applyFont="1" applyAlignment="1">
      <alignment horizontal="center"/>
    </xf>
    <xf numFmtId="0" fontId="11" fillId="0" borderId="0" xfId="0" applyFont="1" applyAlignment="1"/>
    <xf numFmtId="0" fontId="9" fillId="0" borderId="0" xfId="0" applyFont="1" applyAlignment="1">
      <alignment horizontal="center"/>
    </xf>
    <xf numFmtId="0" fontId="17" fillId="0" borderId="0" xfId="0" applyFont="1" applyAlignment="1">
      <alignment horizontal="center"/>
    </xf>
    <xf numFmtId="0" fontId="47" fillId="0" borderId="0" xfId="0" applyFont="1" applyAlignment="1">
      <alignment horizontal="center"/>
    </xf>
    <xf numFmtId="0" fontId="8" fillId="0" borderId="0" xfId="0" applyFont="1" applyAlignment="1">
      <alignment horizontal="center"/>
    </xf>
    <xf numFmtId="0" fontId="27" fillId="0" borderId="1" xfId="0" applyFont="1" applyFill="1" applyBorder="1" applyAlignment="1">
      <alignment horizontal="center" wrapText="1"/>
    </xf>
    <xf numFmtId="0" fontId="24" fillId="0" borderId="1" xfId="0" applyFont="1" applyFill="1" applyBorder="1" applyAlignment="1">
      <alignment horizontal="center" wrapText="1"/>
    </xf>
    <xf numFmtId="0" fontId="40" fillId="6" borderId="15" xfId="0" applyFont="1" applyFill="1" applyBorder="1" applyAlignment="1">
      <alignment horizontal="center"/>
    </xf>
    <xf numFmtId="0" fontId="40" fillId="6" borderId="13" xfId="0" applyFont="1" applyFill="1" applyBorder="1" applyAlignment="1">
      <alignment horizontal="center"/>
    </xf>
    <xf numFmtId="0" fontId="40" fillId="6" borderId="14" xfId="0" applyFont="1" applyFill="1" applyBorder="1" applyAlignment="1">
      <alignment horizontal="center"/>
    </xf>
    <xf numFmtId="0" fontId="23" fillId="6" borderId="13" xfId="0" applyFont="1" applyFill="1" applyBorder="1" applyAlignment="1">
      <alignment horizontal="center" wrapText="1"/>
    </xf>
    <xf numFmtId="0" fontId="29" fillId="6" borderId="13" xfId="0" applyFont="1" applyFill="1" applyBorder="1" applyAlignment="1">
      <alignment horizontal="center" wrapText="1"/>
    </xf>
    <xf numFmtId="0" fontId="27" fillId="0" borderId="0" xfId="0" applyFont="1" applyFill="1" applyBorder="1" applyAlignment="1">
      <alignment horizontal="center" wrapText="1"/>
    </xf>
    <xf numFmtId="0" fontId="24" fillId="0" borderId="0" xfId="0" applyFont="1" applyFill="1" applyBorder="1" applyAlignment="1">
      <alignment horizontal="center" wrapText="1"/>
    </xf>
    <xf numFmtId="0" fontId="24" fillId="0" borderId="1" xfId="0" applyFont="1" applyBorder="1" applyAlignment="1">
      <alignment horizontal="center" wrapText="1"/>
    </xf>
    <xf numFmtId="0" fontId="24" fillId="0" borderId="13" xfId="0" applyFont="1" applyBorder="1" applyAlignment="1">
      <alignment horizontal="center" wrapText="1"/>
    </xf>
    <xf numFmtId="0" fontId="40" fillId="0" borderId="0" xfId="0" applyFont="1" applyFill="1" applyBorder="1" applyAlignment="1">
      <alignment horizontal="center"/>
    </xf>
    <xf numFmtId="0" fontId="40" fillId="6" borderId="15" xfId="0" applyFont="1" applyFill="1" applyBorder="1" applyAlignment="1">
      <alignment horizontal="center" wrapText="1"/>
    </xf>
    <xf numFmtId="0" fontId="40" fillId="6" borderId="13" xfId="0" applyFont="1" applyFill="1" applyBorder="1" applyAlignment="1">
      <alignment horizontal="center" wrapText="1"/>
    </xf>
    <xf numFmtId="0" fontId="40" fillId="6" borderId="14" xfId="0" applyFont="1" applyFill="1" applyBorder="1" applyAlignment="1">
      <alignment horizontal="center" wrapText="1"/>
    </xf>
    <xf numFmtId="0" fontId="41" fillId="6" borderId="15" xfId="0" applyFont="1" applyFill="1" applyBorder="1" applyAlignment="1">
      <alignment horizontal="center"/>
    </xf>
    <xf numFmtId="0" fontId="41" fillId="6" borderId="13" xfId="0" applyFont="1" applyFill="1" applyBorder="1" applyAlignment="1">
      <alignment horizontal="center"/>
    </xf>
    <xf numFmtId="0" fontId="23" fillId="0" borderId="0" xfId="0" applyFont="1" applyFill="1" applyBorder="1" applyAlignment="1">
      <alignment horizontal="center" wrapText="1"/>
    </xf>
    <xf numFmtId="0" fontId="24" fillId="0" borderId="0" xfId="0" applyFont="1" applyAlignment="1">
      <alignment horizontal="center" wrapText="1"/>
    </xf>
    <xf numFmtId="0" fontId="15" fillId="6" borderId="15" xfId="0" applyFont="1" applyFill="1" applyBorder="1" applyAlignment="1">
      <alignment horizontal="center"/>
    </xf>
    <xf numFmtId="0" fontId="15" fillId="6" borderId="13" xfId="0" applyFont="1" applyFill="1" applyBorder="1" applyAlignment="1">
      <alignment horizontal="center"/>
    </xf>
    <xf numFmtId="0" fontId="15" fillId="6" borderId="14" xfId="0" applyFont="1" applyFill="1" applyBorder="1" applyAlignment="1">
      <alignment horizontal="center"/>
    </xf>
    <xf numFmtId="164" fontId="0" fillId="10" borderId="0" xfId="1" applyNumberFormat="1" applyFont="1" applyFill="1" applyBorder="1" applyAlignment="1">
      <alignment horizontal="left"/>
    </xf>
    <xf numFmtId="164" fontId="0" fillId="10" borderId="3" xfId="1" applyNumberFormat="1" applyFont="1" applyFill="1" applyBorder="1" applyAlignment="1">
      <alignment horizontal="left"/>
    </xf>
    <xf numFmtId="0" fontId="24" fillId="10" borderId="0" xfId="0" applyFont="1" applyFill="1" applyBorder="1" applyAlignment="1">
      <alignment horizontal="center" wrapText="1"/>
    </xf>
    <xf numFmtId="0" fontId="24" fillId="10" borderId="3" xfId="0" applyFont="1" applyFill="1" applyBorder="1" applyAlignment="1">
      <alignment horizontal="center" wrapText="1"/>
    </xf>
    <xf numFmtId="3" fontId="24" fillId="10" borderId="0" xfId="0" applyNumberFormat="1" applyFont="1" applyFill="1" applyBorder="1" applyAlignment="1">
      <alignment horizontal="center"/>
    </xf>
    <xf numFmtId="3" fontId="24" fillId="10" borderId="3" xfId="0" applyNumberFormat="1" applyFont="1" applyFill="1" applyBorder="1" applyAlignment="1">
      <alignment horizontal="center"/>
    </xf>
    <xf numFmtId="0" fontId="24" fillId="0" borderId="14" xfId="0" applyFont="1" applyBorder="1" applyAlignment="1">
      <alignment horizontal="center" wrapText="1"/>
    </xf>
    <xf numFmtId="0" fontId="29" fillId="6" borderId="14" xfId="0" applyFont="1" applyFill="1" applyBorder="1" applyAlignment="1">
      <alignment horizontal="center" wrapText="1"/>
    </xf>
    <xf numFmtId="0" fontId="24" fillId="4" borderId="0" xfId="0" applyFont="1" applyFill="1" applyBorder="1" applyAlignment="1">
      <alignment horizontal="left" wrapText="1"/>
    </xf>
    <xf numFmtId="0" fontId="24" fillId="4" borderId="3" xfId="0" applyFont="1" applyFill="1" applyBorder="1" applyAlignment="1">
      <alignment horizontal="left" wrapText="1"/>
    </xf>
    <xf numFmtId="0" fontId="24" fillId="10" borderId="0" xfId="0" applyFont="1" applyFill="1" applyBorder="1" applyAlignment="1">
      <alignment horizontal="left" wrapText="1"/>
    </xf>
    <xf numFmtId="0" fontId="7" fillId="10" borderId="0" xfId="0" applyFont="1" applyFill="1" applyBorder="1" applyAlignment="1">
      <alignment horizontal="left"/>
    </xf>
    <xf numFmtId="0" fontId="7" fillId="10" borderId="3" xfId="0" applyFont="1" applyFill="1" applyBorder="1" applyAlignment="1">
      <alignment horizontal="left"/>
    </xf>
    <xf numFmtId="0" fontId="24" fillId="10" borderId="1" xfId="0" applyFont="1" applyFill="1" applyBorder="1" applyAlignment="1">
      <alignment horizontal="left" wrapText="1"/>
    </xf>
    <xf numFmtId="0" fontId="24" fillId="10" borderId="5" xfId="0" applyFont="1" applyFill="1" applyBorder="1" applyAlignment="1">
      <alignment horizontal="left" wrapText="1"/>
    </xf>
    <xf numFmtId="0" fontId="24" fillId="0" borderId="3" xfId="0" applyFont="1" applyFill="1" applyBorder="1" applyAlignment="1">
      <alignment horizontal="center" wrapText="1"/>
    </xf>
    <xf numFmtId="0" fontId="24" fillId="0" borderId="1" xfId="0" applyFont="1" applyFill="1" applyBorder="1" applyAlignment="1">
      <alignment horizontal="left" wrapText="1"/>
    </xf>
    <xf numFmtId="0" fontId="23" fillId="6" borderId="0" xfId="0" applyFont="1" applyFill="1" applyBorder="1" applyAlignment="1">
      <alignment horizontal="center" wrapText="1"/>
    </xf>
    <xf numFmtId="0" fontId="24" fillId="0" borderId="0" xfId="0" applyFont="1" applyBorder="1" applyAlignment="1">
      <alignment horizontal="center" wrapText="1"/>
    </xf>
    <xf numFmtId="0" fontId="24" fillId="0" borderId="3" xfId="0" applyFont="1" applyBorder="1" applyAlignment="1">
      <alignment horizontal="center" wrapText="1"/>
    </xf>
    <xf numFmtId="0" fontId="36" fillId="0" borderId="0" xfId="0" applyFont="1" applyAlignment="1">
      <alignment horizontal="center"/>
    </xf>
    <xf numFmtId="0" fontId="65" fillId="0" borderId="0" xfId="0" applyFont="1" applyAlignment="1"/>
    <xf numFmtId="0" fontId="66" fillId="0" borderId="0" xfId="0" applyFont="1" applyAlignment="1"/>
    <xf numFmtId="0" fontId="24" fillId="0" borderId="0" xfId="0" applyFont="1" applyFill="1" applyBorder="1" applyAlignment="1">
      <alignment horizontal="left" wrapText="1"/>
    </xf>
    <xf numFmtId="0" fontId="24" fillId="0" borderId="3" xfId="0" applyFont="1" applyFill="1" applyBorder="1" applyAlignment="1">
      <alignment horizontal="left" wrapText="1"/>
    </xf>
    <xf numFmtId="0" fontId="24" fillId="0" borderId="0" xfId="0" applyFont="1" applyFill="1" applyBorder="1" applyAlignment="1">
      <alignment horizontal="left"/>
    </xf>
    <xf numFmtId="0" fontId="24" fillId="0" borderId="3" xfId="0" applyFont="1" applyFill="1" applyBorder="1" applyAlignment="1">
      <alignment horizontal="left"/>
    </xf>
    <xf numFmtId="164" fontId="44" fillId="4" borderId="1" xfId="1" applyNumberFormat="1" applyFont="1" applyFill="1" applyBorder="1" applyAlignment="1">
      <alignment horizontal="left" wrapText="1"/>
    </xf>
    <xf numFmtId="164" fontId="44" fillId="4" borderId="5" xfId="1" applyNumberFormat="1" applyFont="1" applyFill="1" applyBorder="1" applyAlignment="1">
      <alignment horizontal="left" wrapText="1"/>
    </xf>
    <xf numFmtId="0" fontId="97" fillId="11" borderId="13" xfId="0" applyFont="1" applyFill="1" applyBorder="1" applyAlignment="1">
      <alignment horizontal="center"/>
    </xf>
    <xf numFmtId="0" fontId="97" fillId="11" borderId="14" xfId="0" applyFont="1" applyFill="1" applyBorder="1" applyAlignment="1">
      <alignment horizontal="center"/>
    </xf>
    <xf numFmtId="0" fontId="97" fillId="11" borderId="0" xfId="0" applyFont="1" applyFill="1" applyBorder="1" applyAlignment="1">
      <alignment horizontal="center"/>
    </xf>
    <xf numFmtId="0" fontId="97" fillId="11" borderId="3" xfId="0" applyFont="1" applyFill="1" applyBorder="1" applyAlignment="1">
      <alignment horizontal="center"/>
    </xf>
    <xf numFmtId="0" fontId="97" fillId="11" borderId="2" xfId="0" applyFont="1" applyFill="1" applyBorder="1" applyAlignment="1">
      <alignment horizontal="center"/>
    </xf>
    <xf numFmtId="0" fontId="97" fillId="0" borderId="0" xfId="0" applyFont="1" applyBorder="1" applyAlignment="1">
      <alignment horizontal="center"/>
    </xf>
    <xf numFmtId="164" fontId="24" fillId="4" borderId="1" xfId="0" applyNumberFormat="1" applyFont="1" applyFill="1" applyBorder="1" applyAlignment="1">
      <alignment horizontal="left" wrapText="1"/>
    </xf>
    <xf numFmtId="0" fontId="24" fillId="4" borderId="1" xfId="0" applyFont="1" applyFill="1" applyBorder="1" applyAlignment="1">
      <alignment horizontal="left" wrapText="1"/>
    </xf>
    <xf numFmtId="0" fontId="24" fillId="4" borderId="5" xfId="0" applyFont="1" applyFill="1" applyBorder="1" applyAlignment="1">
      <alignment horizontal="left" wrapText="1"/>
    </xf>
    <xf numFmtId="0" fontId="45" fillId="0" borderId="0" xfId="0" applyFont="1" applyAlignment="1">
      <alignment horizontal="center"/>
    </xf>
    <xf numFmtId="0" fontId="87" fillId="0" borderId="0" xfId="0" applyFont="1" applyAlignment="1">
      <alignment horizontal="center"/>
    </xf>
    <xf numFmtId="3" fontId="44" fillId="0" borderId="0" xfId="2" applyNumberFormat="1" applyFont="1" applyFill="1" applyAlignment="1">
      <alignment horizontal="right"/>
    </xf>
    <xf numFmtId="0" fontId="44" fillId="0" borderId="0" xfId="0" applyFont="1" applyFill="1" applyAlignment="1">
      <alignment horizontal="right"/>
    </xf>
    <xf numFmtId="0" fontId="17" fillId="0" borderId="0" xfId="12" applyFont="1" applyFill="1" applyAlignment="1">
      <alignment horizontal="center"/>
    </xf>
    <xf numFmtId="0" fontId="17" fillId="0" borderId="0" xfId="12" applyFont="1" applyFill="1" applyAlignment="1"/>
    <xf numFmtId="0" fontId="7" fillId="0" borderId="0" xfId="12" applyFill="1" applyAlignment="1"/>
    <xf numFmtId="0" fontId="27" fillId="0" borderId="8" xfId="12" applyFont="1" applyBorder="1" applyAlignment="1">
      <alignment horizontal="center"/>
    </xf>
    <xf numFmtId="0" fontId="27" fillId="0" borderId="9" xfId="12" applyFont="1" applyBorder="1" applyAlignment="1">
      <alignment horizontal="center"/>
    </xf>
    <xf numFmtId="0" fontId="7" fillId="0" borderId="9" xfId="12" applyBorder="1" applyAlignment="1">
      <alignment horizontal="center"/>
    </xf>
    <xf numFmtId="0" fontId="7" fillId="0" borderId="12" xfId="12" applyBorder="1" applyAlignment="1">
      <alignment horizontal="center"/>
    </xf>
    <xf numFmtId="0" fontId="17" fillId="0" borderId="0" xfId="12" applyFont="1" applyAlignment="1">
      <alignment horizontal="center"/>
    </xf>
    <xf numFmtId="0" fontId="64" fillId="0" borderId="0" xfId="12" applyFont="1" applyAlignment="1">
      <alignment horizontal="center"/>
    </xf>
  </cellXfs>
  <cellStyles count="88">
    <cellStyle name="Comma" xfId="1" builtinId="3"/>
    <cellStyle name="Comma 2" xfId="2"/>
    <cellStyle name="Comma 2 2" xfId="35"/>
    <cellStyle name="Comma 3" xfId="3"/>
    <cellStyle name="Comma 3 2" xfId="4"/>
    <cellStyle name="Comma 3 2 2" xfId="66"/>
    <cellStyle name="Comma 3 2 2 2" xfId="81"/>
    <cellStyle name="Comma 3 3" xfId="57"/>
    <cellStyle name="Comma 3 3 2" xfId="73"/>
    <cellStyle name="Comma 4" xfId="5"/>
    <cellStyle name="Comma 5" xfId="6"/>
    <cellStyle name="Comma 5 2" xfId="29"/>
    <cellStyle name="Comma 6" xfId="54"/>
    <cellStyle name="Comma 6 2" xfId="71"/>
    <cellStyle name="Comma 7" xfId="85"/>
    <cellStyle name="Currency" xfId="7" builtinId="4"/>
    <cellStyle name="Currency 2" xfId="8"/>
    <cellStyle name="Currency 2 2" xfId="9"/>
    <cellStyle name="Currency 2 3" xfId="58"/>
    <cellStyle name="Currency 2 3 2" xfId="74"/>
    <cellStyle name="Currency 3" xfId="10"/>
    <cellStyle name="Currency 3 2" xfId="59"/>
    <cellStyle name="Currency 3 2 2" xfId="75"/>
    <cellStyle name="Currency 4" xfId="11"/>
    <cellStyle name="Currency 4 2" xfId="60"/>
    <cellStyle name="Currency 4 2 2" xfId="76"/>
    <cellStyle name="Currency 5" xfId="53"/>
    <cellStyle name="Currency 5 2" xfId="70"/>
    <cellStyle name="Currency 6" xfId="87"/>
    <cellStyle name="Normal" xfId="0" builtinId="0"/>
    <cellStyle name="Normal 10" xfId="36"/>
    <cellStyle name="Normal 10 2" xfId="44"/>
    <cellStyle name="Normal 11" xfId="52"/>
    <cellStyle name="Normal 11 2" xfId="56"/>
    <cellStyle name="Normal 12" xfId="55"/>
    <cellStyle name="Normal 12 2" xfId="65"/>
    <cellStyle name="Normal 12 2 2" xfId="80"/>
    <cellStyle name="Normal 12 3" xfId="72"/>
    <cellStyle name="Normal 13" xfId="61"/>
    <cellStyle name="Normal 13 2" xfId="77"/>
    <cellStyle name="Normal 14" xfId="62"/>
    <cellStyle name="Normal 14 2" xfId="63"/>
    <cellStyle name="Normal 14 2 2" xfId="79"/>
    <cellStyle name="Normal 14 3" xfId="78"/>
    <cellStyle name="Normal 15" xfId="32"/>
    <cellStyle name="Normal 15 2" xfId="69"/>
    <cellStyle name="Normal 16" xfId="82"/>
    <cellStyle name="Normal 17" xfId="84"/>
    <cellStyle name="Normal 2" xfId="12"/>
    <cellStyle name="Normal 2 2" xfId="31"/>
    <cellStyle name="Normal 2 2 2" xfId="34"/>
    <cellStyle name="Normal 2 2 3" xfId="83"/>
    <cellStyle name="Normal 2 3" xfId="64"/>
    <cellStyle name="Normal 2 4" xfId="33"/>
    <cellStyle name="Normal 3" xfId="13"/>
    <cellStyle name="Normal 3 2" xfId="45"/>
    <cellStyle name="Normal 3 3" xfId="37"/>
    <cellStyle name="Normal 4" xfId="14"/>
    <cellStyle name="Normal 4 2" xfId="30"/>
    <cellStyle name="Normal 4 2 2" xfId="46"/>
    <cellStyle name="Normal 4 2 3" xfId="68"/>
    <cellStyle name="Normal 4 3" xfId="38"/>
    <cellStyle name="Normal 4 4" xfId="67"/>
    <cellStyle name="Normal 5" xfId="39"/>
    <cellStyle name="Normal 5 2" xfId="47"/>
    <cellStyle name="Normal 6" xfId="40"/>
    <cellStyle name="Normal 6 2" xfId="48"/>
    <cellStyle name="Normal 7" xfId="41"/>
    <cellStyle name="Normal 7 2" xfId="49"/>
    <cellStyle name="Normal 8" xfId="42"/>
    <cellStyle name="Normal 8 2" xfId="50"/>
    <cellStyle name="Normal 9" xfId="43"/>
    <cellStyle name="Normal 9 2" xfId="51"/>
    <cellStyle name="Normal_1995 FCWS" xfId="15"/>
    <cellStyle name="Normal_FN1 Ratebase Draft SPP template (6-11-04) v2" xfId="16"/>
    <cellStyle name="Normal_TrAILCo attach 6 &amp; 7 and Appendix A" xfId="17"/>
    <cellStyle name="Percent" xfId="18" builtinId="5"/>
    <cellStyle name="Percent 2" xfId="19"/>
    <cellStyle name="Percent 2 2" xfId="20"/>
    <cellStyle name="Percent 3" xfId="21"/>
    <cellStyle name="Percent 4" xfId="22"/>
    <cellStyle name="Percent 5" xfId="86"/>
    <cellStyle name="PSChar" xfId="23"/>
    <cellStyle name="PSDate" xfId="24"/>
    <cellStyle name="PSDec" xfId="25"/>
    <cellStyle name="PSHeading" xfId="26"/>
    <cellStyle name="PSInt" xfId="27"/>
    <cellStyle name="PSSpacer" xfId="28"/>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b19696/AppData/Local/Microsoft/Windows/Temporary%20Internet%20Files/Content.Outlook/7RS3IE0Z/SCEG_Formula_Rate_for%20June%202010%20First%20Posit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ppendix A"/>
      <sheetName val="1 - ADIT"/>
      <sheetName val="2 - Other Tax"/>
      <sheetName val="3 - Revenue Credits"/>
      <sheetName val="4 - 100 Basis Pt ROE"/>
      <sheetName val="Exh E - Cap Add Worksheet"/>
      <sheetName val="Exh F - AA-BL Items"/>
      <sheetName val="5 - Cost Support"/>
      <sheetName val="6- Est &amp; True-up WS"/>
      <sheetName val="7 - Cap Add WS "/>
      <sheetName val="8 - Capital Structure"/>
    </sheetNames>
    <sheetDataSet>
      <sheetData sheetId="0">
        <row r="4">
          <cell r="A4" t="str">
            <v>South Carolina Electric &amp; Gas Company (SCEG)</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4"/>
  <dimension ref="A1:AJ344"/>
  <sheetViews>
    <sheetView zoomScale="80" zoomScaleNormal="80" zoomScaleSheetLayoutView="100" zoomScalePageLayoutView="70" workbookViewId="0">
      <selection activeCell="B2" sqref="B2"/>
    </sheetView>
  </sheetViews>
  <sheetFormatPr defaultColWidth="9.140625" defaultRowHeight="15"/>
  <cols>
    <col min="1" max="1" width="7.42578125" style="9" customWidth="1"/>
    <col min="2" max="2" width="5.7109375" style="1067" customWidth="1"/>
    <col min="3" max="3" width="55" style="1067" customWidth="1"/>
    <col min="4" max="4" width="28.140625" style="1067" customWidth="1"/>
    <col min="5" max="5" width="25.85546875" style="1066" customWidth="1"/>
    <col min="6" max="6" width="38.7109375" style="5" customWidth="1"/>
    <col min="7" max="7" width="2.7109375" style="5" customWidth="1"/>
    <col min="8" max="8" width="25" style="7" customWidth="1"/>
    <col min="9" max="9" width="15.7109375" style="312" customWidth="1"/>
    <col min="10" max="10" width="14.85546875" style="5" bestFit="1" customWidth="1"/>
    <col min="11" max="11" width="9.140625" style="5"/>
    <col min="12" max="12" width="16.140625" style="5" bestFit="1" customWidth="1"/>
    <col min="13" max="13" width="18.28515625" style="5" customWidth="1"/>
    <col min="14" max="16384" width="9.140625" style="5"/>
  </cols>
  <sheetData>
    <row r="1" spans="1:17" ht="26.25">
      <c r="A1" s="1264" t="s">
        <v>991</v>
      </c>
      <c r="B1" s="1264"/>
      <c r="C1" s="1264"/>
      <c r="D1" s="1264"/>
      <c r="E1" s="1264"/>
      <c r="F1" s="1264"/>
      <c r="G1" s="1264"/>
      <c r="H1" s="1264"/>
    </row>
    <row r="2" spans="1:17" ht="15.75">
      <c r="A2" s="1068"/>
      <c r="B2" s="1068"/>
      <c r="C2" s="1137"/>
      <c r="D2" s="1137"/>
      <c r="E2" s="1136"/>
      <c r="H2" s="11"/>
    </row>
    <row r="3" spans="1:17" ht="18.75">
      <c r="A3" s="301"/>
      <c r="D3" s="745"/>
      <c r="H3" s="11"/>
    </row>
    <row r="4" spans="1:17" ht="18.75">
      <c r="A4" s="301"/>
      <c r="B4" s="1137"/>
      <c r="C4" s="1137"/>
      <c r="D4" s="1265" t="s">
        <v>889</v>
      </c>
      <c r="E4" s="1265"/>
      <c r="H4" s="11"/>
    </row>
    <row r="5" spans="1:17" ht="25.5" customHeight="1" thickBot="1"/>
    <row r="6" spans="1:17" ht="27.75" customHeight="1" thickBot="1">
      <c r="A6" s="776" t="s">
        <v>761</v>
      </c>
      <c r="B6" s="777"/>
      <c r="C6" s="777"/>
      <c r="D6" s="777"/>
      <c r="E6" s="778"/>
      <c r="F6" s="746" t="s">
        <v>992</v>
      </c>
      <c r="G6" s="312"/>
      <c r="H6" s="315"/>
    </row>
    <row r="7" spans="1:17" s="1" customFormat="1" ht="42" customHeight="1" thickBot="1">
      <c r="A7" s="768" t="s">
        <v>762</v>
      </c>
      <c r="B7" s="769"/>
      <c r="C7" s="769"/>
      <c r="D7" s="769"/>
      <c r="E7" s="811" t="s">
        <v>325</v>
      </c>
      <c r="F7" s="770" t="s">
        <v>562</v>
      </c>
      <c r="G7" s="444"/>
      <c r="H7" s="746">
        <v>2016</v>
      </c>
      <c r="I7" s="301"/>
    </row>
    <row r="8" spans="1:17" s="19" customFormat="1" ht="23.25" customHeight="1">
      <c r="A8" s="445" t="s">
        <v>46</v>
      </c>
      <c r="B8" s="446"/>
      <c r="C8" s="447"/>
      <c r="D8" s="447"/>
      <c r="E8" s="592"/>
      <c r="F8" s="448"/>
      <c r="G8" s="449"/>
      <c r="H8" s="448"/>
      <c r="I8" s="354"/>
    </row>
    <row r="9" spans="1:17" s="7" customFormat="1">
      <c r="A9" s="771" t="s">
        <v>247</v>
      </c>
      <c r="B9" s="772"/>
      <c r="C9" s="773"/>
      <c r="D9" s="773"/>
      <c r="E9" s="812"/>
      <c r="F9" s="775"/>
      <c r="G9" s="775"/>
      <c r="H9" s="775"/>
      <c r="I9" s="315"/>
    </row>
    <row r="10" spans="1:17" s="7" customFormat="1">
      <c r="A10" s="450"/>
      <c r="B10" s="347"/>
      <c r="C10" s="347"/>
      <c r="D10" s="347"/>
      <c r="E10" s="592"/>
      <c r="F10" s="343"/>
      <c r="G10" s="343"/>
      <c r="H10" s="451"/>
      <c r="I10" s="315"/>
    </row>
    <row r="11" spans="1:17">
      <c r="A11" s="452"/>
      <c r="B11" s="453" t="s">
        <v>253</v>
      </c>
      <c r="C11" s="1065"/>
      <c r="D11" s="1065"/>
      <c r="E11" s="454"/>
      <c r="F11" s="922"/>
      <c r="G11" s="922"/>
      <c r="H11" s="922"/>
      <c r="I11" s="315"/>
      <c r="J11" s="7"/>
      <c r="K11" s="7"/>
      <c r="L11" s="7"/>
      <c r="M11" s="7"/>
      <c r="N11" s="7"/>
      <c r="O11" s="7"/>
      <c r="P11" s="7"/>
      <c r="Q11" s="7"/>
    </row>
    <row r="12" spans="1:17">
      <c r="A12" s="456">
        <v>1</v>
      </c>
      <c r="B12" s="457"/>
      <c r="C12" s="343" t="s">
        <v>209</v>
      </c>
      <c r="D12" s="508"/>
      <c r="E12" s="316"/>
      <c r="F12" s="922" t="s">
        <v>131</v>
      </c>
      <c r="G12" s="1065"/>
      <c r="H12" s="1144">
        <v>7039341</v>
      </c>
      <c r="I12" s="315"/>
      <c r="J12" s="7"/>
      <c r="K12" s="7"/>
      <c r="L12" s="7"/>
      <c r="M12" s="7"/>
      <c r="N12" s="7"/>
      <c r="O12" s="7"/>
      <c r="P12" s="7"/>
      <c r="Q12" s="7"/>
    </row>
    <row r="13" spans="1:17" s="10" customFormat="1">
      <c r="A13" s="458">
        <f>+A12+1</f>
        <v>2</v>
      </c>
      <c r="B13" s="459"/>
      <c r="C13" s="343" t="s">
        <v>210</v>
      </c>
      <c r="D13" s="343"/>
      <c r="E13" s="349"/>
      <c r="F13" s="343" t="s">
        <v>673</v>
      </c>
      <c r="G13" s="347"/>
      <c r="H13" s="747">
        <v>151377182</v>
      </c>
      <c r="I13" s="343"/>
      <c r="J13" s="12"/>
      <c r="K13" s="12"/>
      <c r="L13" s="12"/>
      <c r="M13" s="12"/>
      <c r="N13" s="12"/>
      <c r="O13" s="12"/>
      <c r="P13" s="12"/>
      <c r="Q13" s="12"/>
    </row>
    <row r="14" spans="1:17">
      <c r="A14" s="456">
        <f>+A13+1</f>
        <v>3</v>
      </c>
      <c r="B14" s="457"/>
      <c r="C14" s="343" t="s">
        <v>74</v>
      </c>
      <c r="D14" s="343"/>
      <c r="E14" s="316"/>
      <c r="F14" s="343" t="s">
        <v>563</v>
      </c>
      <c r="G14" s="1065"/>
      <c r="H14" s="1144">
        <v>32444822</v>
      </c>
      <c r="I14" s="315"/>
      <c r="J14" s="7"/>
      <c r="K14" s="7"/>
      <c r="L14" s="7"/>
      <c r="M14" s="7"/>
      <c r="N14" s="7"/>
      <c r="O14" s="7"/>
      <c r="P14" s="7"/>
      <c r="Q14" s="7"/>
    </row>
    <row r="15" spans="1:17">
      <c r="A15" s="456">
        <f>+A14+1</f>
        <v>4</v>
      </c>
      <c r="B15" s="457"/>
      <c r="C15" s="460" t="s">
        <v>306</v>
      </c>
      <c r="D15" s="461"/>
      <c r="E15" s="462"/>
      <c r="F15" s="461" t="str">
        <f>"(Line "&amp;A13&amp;" - "&amp;A14&amp;")"</f>
        <v>(Line 2 - 3)</v>
      </c>
      <c r="G15" s="463"/>
      <c r="H15" s="461">
        <f>+H13-H14</f>
        <v>118932360</v>
      </c>
      <c r="I15" s="315"/>
      <c r="J15" s="7"/>
      <c r="K15" s="7"/>
      <c r="L15" s="7"/>
      <c r="M15" s="7"/>
      <c r="N15" s="7"/>
      <c r="O15" s="7"/>
      <c r="P15" s="7"/>
      <c r="Q15" s="7"/>
    </row>
    <row r="16" spans="1:17">
      <c r="A16" s="456"/>
      <c r="B16" s="457"/>
      <c r="C16" s="464"/>
      <c r="D16" s="1065"/>
      <c r="E16" s="454"/>
      <c r="F16" s="1065"/>
      <c r="G16" s="1065"/>
      <c r="H16" s="922"/>
      <c r="I16" s="315"/>
      <c r="J16" s="7"/>
      <c r="K16" s="7"/>
      <c r="L16" s="7"/>
      <c r="M16" s="7"/>
      <c r="N16" s="7"/>
      <c r="O16" s="7"/>
      <c r="P16" s="7"/>
      <c r="Q16" s="7"/>
    </row>
    <row r="17" spans="1:17" ht="15.75" thickBot="1">
      <c r="A17" s="456">
        <v>5</v>
      </c>
      <c r="B17" s="465" t="s">
        <v>283</v>
      </c>
      <c r="C17" s="465"/>
      <c r="D17" s="466"/>
      <c r="E17" s="467"/>
      <c r="F17" s="468" t="str">
        <f>"(Line "&amp;A12&amp;" / "&amp;A15&amp;")"</f>
        <v>(Line 1 / 4)</v>
      </c>
      <c r="G17" s="466"/>
      <c r="H17" s="469">
        <f>IF(H14=0,0,H12/H15)</f>
        <v>5.9187768577029835E-2</v>
      </c>
      <c r="I17" s="315"/>
      <c r="J17" s="7"/>
      <c r="K17" s="7"/>
      <c r="L17" s="7"/>
      <c r="M17" s="7"/>
      <c r="N17" s="7"/>
      <c r="O17" s="7"/>
      <c r="P17" s="7"/>
      <c r="Q17" s="7"/>
    </row>
    <row r="18" spans="1:17" ht="15.75" thickTop="1">
      <c r="A18" s="456"/>
      <c r="B18" s="457"/>
      <c r="C18" s="453"/>
      <c r="D18" s="1065"/>
      <c r="E18" s="454"/>
      <c r="F18" s="1065"/>
      <c r="G18" s="1065"/>
      <c r="H18" s="470"/>
      <c r="I18" s="315"/>
      <c r="J18" s="7"/>
      <c r="K18" s="7"/>
      <c r="L18" s="7"/>
      <c r="M18" s="7"/>
      <c r="N18" s="7"/>
      <c r="O18" s="7"/>
      <c r="P18" s="7"/>
      <c r="Q18" s="7"/>
    </row>
    <row r="19" spans="1:17">
      <c r="A19" s="319"/>
      <c r="B19" s="453" t="s">
        <v>300</v>
      </c>
      <c r="C19" s="1065"/>
      <c r="D19" s="315"/>
      <c r="E19" s="316"/>
      <c r="F19" s="315"/>
      <c r="G19" s="315"/>
      <c r="H19" s="315"/>
      <c r="I19" s="315"/>
      <c r="J19" s="7"/>
      <c r="K19" s="7"/>
      <c r="L19" s="7"/>
      <c r="M19" s="7"/>
      <c r="N19" s="7"/>
      <c r="O19" s="7"/>
      <c r="P19" s="7"/>
      <c r="Q19" s="7"/>
    </row>
    <row r="20" spans="1:17">
      <c r="A20" s="457">
        <f>+A17+1</f>
        <v>6</v>
      </c>
      <c r="B20" s="315"/>
      <c r="C20" s="343" t="s">
        <v>316</v>
      </c>
      <c r="D20" s="1065"/>
      <c r="E20" s="349" t="str">
        <f>"(Note "&amp;B$303&amp;")"</f>
        <v>(Note B)</v>
      </c>
      <c r="F20" s="343" t="s">
        <v>552</v>
      </c>
      <c r="G20" s="315"/>
      <c r="H20" s="922">
        <f>'5 - Cost Support'!H18</f>
        <v>9276892470</v>
      </c>
      <c r="I20" s="315"/>
      <c r="J20" s="7"/>
      <c r="K20" s="7"/>
      <c r="L20" s="7"/>
      <c r="M20" s="7"/>
      <c r="N20" s="7"/>
      <c r="O20" s="7"/>
      <c r="P20" s="7"/>
      <c r="Q20" s="7"/>
    </row>
    <row r="21" spans="1:17">
      <c r="A21" s="457">
        <f>+A20+1</f>
        <v>7</v>
      </c>
      <c r="B21" s="315"/>
      <c r="C21" s="343" t="s">
        <v>248</v>
      </c>
      <c r="D21" s="1065"/>
      <c r="E21" s="349"/>
      <c r="F21" s="471" t="str">
        <f>"(Line "&amp;A$47&amp;")"</f>
        <v>(Line 24)</v>
      </c>
      <c r="G21" s="315"/>
      <c r="H21" s="922">
        <f>+H47</f>
        <v>345052021.64039999</v>
      </c>
      <c r="I21" s="315"/>
      <c r="J21" s="7"/>
      <c r="K21" s="7"/>
      <c r="L21" s="7"/>
      <c r="M21" s="7"/>
      <c r="N21" s="7"/>
      <c r="O21" s="7"/>
      <c r="P21" s="7"/>
      <c r="Q21" s="7"/>
    </row>
    <row r="22" spans="1:17">
      <c r="A22" s="457">
        <f>+A21+1</f>
        <v>8</v>
      </c>
      <c r="B22" s="315"/>
      <c r="C22" s="472" t="s">
        <v>252</v>
      </c>
      <c r="D22" s="463"/>
      <c r="E22" s="473"/>
      <c r="F22" s="461" t="str">
        <f>"(Sum Lines "&amp;A20&amp;" &amp; "&amp;A21&amp;")"</f>
        <v>(Sum Lines 6 &amp; 7)</v>
      </c>
      <c r="G22" s="472"/>
      <c r="H22" s="461">
        <f>SUM(H20:H21)</f>
        <v>9621944491.6403999</v>
      </c>
      <c r="I22" s="315"/>
      <c r="J22" s="7"/>
      <c r="K22" s="7"/>
      <c r="L22" s="7"/>
      <c r="M22" s="7"/>
      <c r="N22" s="7"/>
      <c r="O22" s="7"/>
      <c r="P22" s="7"/>
      <c r="Q22" s="7"/>
    </row>
    <row r="23" spans="1:17">
      <c r="A23" s="316"/>
      <c r="B23" s="315"/>
      <c r="C23" s="343"/>
      <c r="D23" s="1065"/>
      <c r="E23" s="349"/>
      <c r="F23" s="343"/>
      <c r="G23" s="315"/>
      <c r="H23" s="922"/>
      <c r="I23" s="315"/>
      <c r="J23" s="7"/>
      <c r="K23" s="7"/>
      <c r="L23" s="7"/>
      <c r="M23" s="7"/>
      <c r="N23" s="7"/>
      <c r="O23" s="7"/>
      <c r="P23" s="7"/>
      <c r="Q23" s="7"/>
    </row>
    <row r="24" spans="1:17">
      <c r="A24" s="457">
        <f>+A22+1</f>
        <v>9</v>
      </c>
      <c r="B24" s="315"/>
      <c r="C24" s="343" t="s">
        <v>640</v>
      </c>
      <c r="D24" s="1065"/>
      <c r="E24" s="349" t="str">
        <f>"(Note "&amp;B$302&amp;")"</f>
        <v>(Note A)</v>
      </c>
      <c r="F24" s="343" t="s">
        <v>552</v>
      </c>
      <c r="G24" s="315"/>
      <c r="H24" s="922">
        <f>'5 - Cost Support'!H21</f>
        <v>3592591410</v>
      </c>
      <c r="I24" s="315"/>
      <c r="J24" s="7"/>
      <c r="K24" s="7"/>
      <c r="L24" s="7"/>
      <c r="M24" s="7"/>
      <c r="N24" s="7"/>
      <c r="O24" s="7"/>
      <c r="P24" s="7"/>
      <c r="Q24" s="7"/>
    </row>
    <row r="25" spans="1:17">
      <c r="A25" s="457">
        <f>+A24+1</f>
        <v>10</v>
      </c>
      <c r="B25" s="315"/>
      <c r="C25" s="343" t="s">
        <v>650</v>
      </c>
      <c r="D25" s="1065"/>
      <c r="E25" s="349" t="str">
        <f>"(Note "&amp;B$302&amp;")"</f>
        <v>(Note A)</v>
      </c>
      <c r="F25" s="343" t="s">
        <v>552</v>
      </c>
      <c r="G25" s="315"/>
      <c r="H25" s="922">
        <f>'5 - Cost Support'!H22</f>
        <v>72609983</v>
      </c>
      <c r="I25" s="315"/>
      <c r="J25" s="7"/>
      <c r="K25" s="7"/>
      <c r="L25" s="7"/>
      <c r="M25" s="7"/>
      <c r="N25" s="7"/>
      <c r="O25" s="7"/>
      <c r="P25" s="7"/>
      <c r="Q25" s="7"/>
    </row>
    <row r="26" spans="1:17">
      <c r="A26" s="457">
        <f>+A25+1</f>
        <v>11</v>
      </c>
      <c r="B26" s="315"/>
      <c r="C26" s="343" t="s">
        <v>670</v>
      </c>
      <c r="D26" s="1065"/>
      <c r="E26" s="349" t="str">
        <f>"(Note "&amp;B$302&amp;")"</f>
        <v>(Note A)</v>
      </c>
      <c r="F26" s="343" t="s">
        <v>552</v>
      </c>
      <c r="G26" s="315"/>
      <c r="H26" s="922">
        <f>'5 - Cost Support'!H23</f>
        <v>57087239.683499999</v>
      </c>
      <c r="I26" s="315"/>
      <c r="J26" s="7"/>
      <c r="K26" s="7"/>
      <c r="L26" s="7"/>
      <c r="M26" s="7"/>
      <c r="N26" s="7"/>
      <c r="O26" s="7"/>
      <c r="P26" s="7"/>
      <c r="Q26" s="7"/>
    </row>
    <row r="27" spans="1:17">
      <c r="A27" s="457">
        <f>+A26+1</f>
        <v>12</v>
      </c>
      <c r="B27" s="1065"/>
      <c r="C27" s="347" t="s">
        <v>671</v>
      </c>
      <c r="D27" s="1065"/>
      <c r="E27" s="349" t="str">
        <f>"(Note "&amp;B$302&amp;")"</f>
        <v>(Note A)</v>
      </c>
      <c r="F27" s="343" t="s">
        <v>552</v>
      </c>
      <c r="G27" s="315"/>
      <c r="H27" s="922">
        <f>'5 - Cost Support'!H24</f>
        <v>109413043.1523</v>
      </c>
      <c r="I27" s="315"/>
      <c r="J27" s="7"/>
      <c r="K27" s="7"/>
      <c r="L27" s="7"/>
      <c r="M27" s="7"/>
      <c r="N27" s="7"/>
      <c r="O27" s="7"/>
      <c r="P27" s="7"/>
      <c r="Q27" s="7"/>
    </row>
    <row r="28" spans="1:17">
      <c r="A28" s="457">
        <f>+A27+1</f>
        <v>13</v>
      </c>
      <c r="B28" s="1065"/>
      <c r="C28" s="472" t="s">
        <v>251</v>
      </c>
      <c r="D28" s="463"/>
      <c r="E28" s="473"/>
      <c r="F28" s="461" t="str">
        <f>"(Sum Lines "&amp;A24&amp;" to "&amp;A27&amp;")"</f>
        <v>(Sum Lines 9 to 12)</v>
      </c>
      <c r="G28" s="472"/>
      <c r="H28" s="461">
        <f>SUM(H24:H27)</f>
        <v>3831701675.8357997</v>
      </c>
      <c r="I28" s="315"/>
      <c r="J28" s="7"/>
      <c r="K28" s="7"/>
      <c r="L28" s="7"/>
      <c r="M28" s="7"/>
      <c r="N28" s="7"/>
      <c r="O28" s="7"/>
      <c r="P28" s="7"/>
      <c r="Q28" s="7"/>
    </row>
    <row r="29" spans="1:17" ht="17.25" customHeight="1">
      <c r="A29" s="319"/>
      <c r="B29" s="1065"/>
      <c r="C29" s="347"/>
      <c r="D29" s="1065"/>
      <c r="E29" s="316"/>
      <c r="F29" s="922"/>
      <c r="G29" s="315"/>
      <c r="H29" s="474"/>
      <c r="I29" s="315"/>
      <c r="J29" s="7"/>
      <c r="K29" s="7"/>
      <c r="L29" s="7"/>
      <c r="M29" s="7"/>
      <c r="N29" s="7"/>
      <c r="O29" s="7"/>
      <c r="P29" s="7"/>
      <c r="Q29" s="7"/>
    </row>
    <row r="30" spans="1:17">
      <c r="A30" s="456">
        <f>+A28+1</f>
        <v>14</v>
      </c>
      <c r="B30" s="315"/>
      <c r="C30" s="472" t="s">
        <v>293</v>
      </c>
      <c r="D30" s="472"/>
      <c r="E30" s="473"/>
      <c r="F30" s="461" t="str">
        <f>"(Line "&amp;A22&amp;" - "&amp;A28&amp;")"</f>
        <v>(Line 8 - 13)</v>
      </c>
      <c r="G30" s="472"/>
      <c r="H30" s="461">
        <f>+H22-H28</f>
        <v>5790242815.8045998</v>
      </c>
      <c r="I30" s="315"/>
      <c r="J30" s="7"/>
      <c r="K30" s="7"/>
      <c r="L30" s="7"/>
      <c r="M30" s="7"/>
      <c r="N30" s="7"/>
      <c r="O30" s="7"/>
      <c r="P30" s="7"/>
      <c r="Q30" s="7"/>
    </row>
    <row r="31" spans="1:17">
      <c r="A31" s="319"/>
      <c r="B31" s="315"/>
      <c r="C31" s="315"/>
      <c r="D31" s="315"/>
      <c r="E31" s="316"/>
      <c r="F31" s="315"/>
      <c r="G31" s="315"/>
      <c r="H31" s="315"/>
      <c r="I31" s="315"/>
      <c r="J31" s="7"/>
      <c r="K31" s="7"/>
      <c r="L31" s="7"/>
      <c r="M31" s="7"/>
      <c r="N31" s="7"/>
      <c r="O31" s="7"/>
      <c r="P31" s="7"/>
      <c r="Q31" s="7"/>
    </row>
    <row r="32" spans="1:17">
      <c r="A32" s="457">
        <f>+A30+1</f>
        <v>15</v>
      </c>
      <c r="B32" s="315"/>
      <c r="C32" s="315" t="s">
        <v>249</v>
      </c>
      <c r="D32" s="315"/>
      <c r="E32" s="316"/>
      <c r="F32" s="471" t="str">
        <f>"(Line "&amp;A52&amp;")"</f>
        <v>(Line 28)</v>
      </c>
      <c r="G32" s="315"/>
      <c r="H32" s="474">
        <f>+H52</f>
        <v>1265623124.7719517</v>
      </c>
      <c r="I32" s="315"/>
      <c r="J32" s="7"/>
      <c r="K32" s="7"/>
      <c r="L32" s="7"/>
      <c r="M32" s="7"/>
      <c r="N32" s="7"/>
      <c r="O32" s="7"/>
      <c r="P32" s="7"/>
      <c r="Q32" s="7"/>
    </row>
    <row r="33" spans="1:17" ht="15.75" thickBot="1">
      <c r="A33" s="456">
        <f>+A32+1</f>
        <v>16</v>
      </c>
      <c r="B33" s="475" t="s">
        <v>196</v>
      </c>
      <c r="C33" s="475"/>
      <c r="D33" s="476"/>
      <c r="E33" s="477"/>
      <c r="F33" s="468" t="str">
        <f>"(Line "&amp;A32&amp;" / "&amp;A22&amp;")"</f>
        <v>(Line 15 / 8)</v>
      </c>
      <c r="G33" s="476"/>
      <c r="H33" s="469">
        <f>IF(H22=0,0,H32/(H22))</f>
        <v>0.13153506818414223</v>
      </c>
      <c r="I33" s="315"/>
      <c r="J33" s="7"/>
      <c r="K33" s="7"/>
      <c r="L33" s="7"/>
      <c r="M33" s="7"/>
      <c r="N33" s="7"/>
      <c r="O33" s="7"/>
      <c r="P33" s="7"/>
      <c r="Q33" s="7"/>
    </row>
    <row r="34" spans="1:17" ht="15.75" thickTop="1">
      <c r="A34" s="319"/>
      <c r="B34" s="1065"/>
      <c r="C34" s="1065"/>
      <c r="D34" s="1065"/>
      <c r="E34" s="316"/>
      <c r="F34" s="315"/>
      <c r="G34" s="315"/>
      <c r="H34" s="315"/>
      <c r="I34" s="315"/>
      <c r="J34" s="7"/>
      <c r="K34" s="7"/>
      <c r="L34" s="7"/>
      <c r="M34" s="7"/>
      <c r="N34" s="7"/>
      <c r="O34" s="7"/>
      <c r="P34" s="7"/>
      <c r="Q34" s="7"/>
    </row>
    <row r="35" spans="1:17">
      <c r="A35" s="457">
        <f>+A33+1</f>
        <v>17</v>
      </c>
      <c r="B35" s="457"/>
      <c r="C35" s="464" t="s">
        <v>250</v>
      </c>
      <c r="D35" s="1065"/>
      <c r="E35" s="454"/>
      <c r="F35" s="471" t="str">
        <f>"(Line "&amp;A67&amp;")"</f>
        <v>(Line 38)</v>
      </c>
      <c r="G35" s="315"/>
      <c r="H35" s="474">
        <f>+H67</f>
        <v>898172209.86079931</v>
      </c>
      <c r="I35" s="315"/>
      <c r="J35" s="7"/>
      <c r="K35" s="7"/>
      <c r="L35" s="7"/>
      <c r="M35" s="7"/>
      <c r="N35" s="7"/>
      <c r="O35" s="7"/>
      <c r="P35" s="7"/>
      <c r="Q35" s="7"/>
    </row>
    <row r="36" spans="1:17" ht="15.75" thickBot="1">
      <c r="A36" s="456">
        <f>+A35+1</f>
        <v>18</v>
      </c>
      <c r="B36" s="475" t="s">
        <v>294</v>
      </c>
      <c r="C36" s="475"/>
      <c r="D36" s="476"/>
      <c r="E36" s="477"/>
      <c r="F36" s="468" t="str">
        <f>"(Line "&amp;A35&amp;" / "&amp;A30&amp;")"</f>
        <v>(Line 17 / 14)</v>
      </c>
      <c r="G36" s="476"/>
      <c r="H36" s="469">
        <f>IF(H30=0,0,H35/H30)</f>
        <v>0.15511822879158327</v>
      </c>
      <c r="I36" s="315"/>
      <c r="J36" s="7"/>
      <c r="K36" s="7"/>
      <c r="L36" s="7"/>
      <c r="M36" s="7"/>
      <c r="N36" s="7"/>
      <c r="O36" s="7"/>
      <c r="P36" s="7"/>
      <c r="Q36" s="7"/>
    </row>
    <row r="37" spans="1:17" ht="15.75" thickTop="1">
      <c r="A37" s="478"/>
      <c r="B37" s="457"/>
      <c r="C37" s="453"/>
      <c r="D37" s="1065"/>
      <c r="E37" s="454"/>
      <c r="F37" s="1065"/>
      <c r="G37" s="1065"/>
      <c r="H37" s="470"/>
      <c r="I37" s="315"/>
      <c r="J37" s="7"/>
      <c r="K37" s="7"/>
      <c r="L37" s="7"/>
      <c r="M37" s="7"/>
      <c r="N37" s="7"/>
      <c r="O37" s="7"/>
      <c r="P37" s="7"/>
      <c r="Q37" s="7"/>
    </row>
    <row r="38" spans="1:17" s="7" customFormat="1">
      <c r="A38" s="771" t="s">
        <v>292</v>
      </c>
      <c r="B38" s="772"/>
      <c r="C38" s="773"/>
      <c r="D38" s="773"/>
      <c r="E38" s="812"/>
      <c r="F38" s="775"/>
      <c r="G38" s="775"/>
      <c r="H38" s="775"/>
      <c r="I38" s="315"/>
    </row>
    <row r="39" spans="1:17" s="7" customFormat="1">
      <c r="A39" s="349"/>
      <c r="B39" s="447"/>
      <c r="C39" s="347"/>
      <c r="D39" s="347"/>
      <c r="E39" s="592"/>
      <c r="F39" s="343"/>
      <c r="G39" s="343"/>
      <c r="H39" s="451"/>
      <c r="I39" s="315"/>
    </row>
    <row r="40" spans="1:17">
      <c r="A40" s="319"/>
      <c r="B40" s="453" t="s">
        <v>258</v>
      </c>
      <c r="C40" s="1065"/>
      <c r="D40" s="1065"/>
      <c r="E40" s="454"/>
      <c r="F40" s="922"/>
      <c r="G40" s="452"/>
      <c r="H40" s="922"/>
      <c r="I40" s="315"/>
      <c r="J40" s="7"/>
      <c r="K40" s="7"/>
      <c r="L40" s="7"/>
      <c r="M40" s="7"/>
      <c r="N40" s="7"/>
      <c r="O40" s="7"/>
      <c r="P40" s="7"/>
      <c r="Q40" s="7"/>
    </row>
    <row r="41" spans="1:17">
      <c r="A41" s="457">
        <f>+A36+1</f>
        <v>19</v>
      </c>
      <c r="B41" s="457"/>
      <c r="C41" s="464" t="s">
        <v>287</v>
      </c>
      <c r="D41" s="1065"/>
      <c r="E41" s="349" t="str">
        <f>"(Note "&amp;B$303&amp;")"</f>
        <v>(Note B)</v>
      </c>
      <c r="F41" s="343" t="s">
        <v>115</v>
      </c>
      <c r="G41" s="1065"/>
      <c r="H41" s="1144">
        <f>1247529235-0</f>
        <v>1247529235</v>
      </c>
      <c r="I41" s="315"/>
      <c r="J41" s="7"/>
      <c r="K41" s="7"/>
      <c r="L41" s="7"/>
      <c r="M41" s="7"/>
      <c r="N41" s="7"/>
      <c r="O41" s="7"/>
      <c r="P41" s="7"/>
      <c r="Q41" s="7"/>
    </row>
    <row r="42" spans="1:17">
      <c r="A42" s="457">
        <f>+A41+1</f>
        <v>20</v>
      </c>
      <c r="B42" s="457"/>
      <c r="C42" s="464" t="s">
        <v>789</v>
      </c>
      <c r="D42" s="1065"/>
      <c r="E42" s="349" t="str">
        <f>"(Note "&amp;B$303&amp;")"</f>
        <v>(Note B)</v>
      </c>
      <c r="F42" s="450" t="s">
        <v>672</v>
      </c>
      <c r="G42" s="1065"/>
      <c r="H42" s="1144">
        <f>'6- Est &amp; True-up WS'!L101</f>
        <v>51284415.039999999</v>
      </c>
      <c r="I42" s="315"/>
      <c r="J42" s="7"/>
      <c r="K42" s="7"/>
      <c r="L42" s="7"/>
      <c r="M42" s="7"/>
      <c r="N42" s="7"/>
      <c r="O42" s="7"/>
      <c r="P42" s="7"/>
      <c r="Q42" s="7"/>
    </row>
    <row r="43" spans="1:17">
      <c r="A43" s="457">
        <f>+A42+1</f>
        <v>21</v>
      </c>
      <c r="B43" s="457"/>
      <c r="C43" s="479" t="s">
        <v>781</v>
      </c>
      <c r="D43" s="480"/>
      <c r="E43" s="331" t="s">
        <v>364</v>
      </c>
      <c r="F43" s="481" t="s">
        <v>550</v>
      </c>
      <c r="G43" s="480"/>
      <c r="H43" s="1262">
        <f>'6- Est &amp; True-up WS'!L102</f>
        <v>29796293.361666668</v>
      </c>
      <c r="I43" s="343"/>
      <c r="J43" s="7"/>
      <c r="K43" s="7"/>
      <c r="L43" s="7"/>
      <c r="M43" s="7"/>
      <c r="N43" s="7"/>
      <c r="O43" s="7"/>
      <c r="P43" s="7"/>
      <c r="Q43" s="7"/>
    </row>
    <row r="44" spans="1:17">
      <c r="A44" s="457">
        <f>A43+1</f>
        <v>22</v>
      </c>
      <c r="B44" s="457"/>
      <c r="C44" s="453" t="s">
        <v>515</v>
      </c>
      <c r="D44" s="1065"/>
      <c r="E44" s="349"/>
      <c r="F44" s="482" t="str">
        <f>"(Line "&amp;A41&amp;" - "&amp;A42&amp;" + "&amp;A43&amp;")"</f>
        <v>(Line 19 - 20 + 21)</v>
      </c>
      <c r="G44" s="1065"/>
      <c r="H44" s="483">
        <f>+H41-H42+H43</f>
        <v>1226041113.3216667</v>
      </c>
      <c r="I44" s="315"/>
      <c r="J44" s="7"/>
      <c r="K44" s="7"/>
      <c r="L44" s="7"/>
      <c r="M44" s="7"/>
      <c r="N44" s="7"/>
      <c r="O44" s="7"/>
      <c r="P44" s="7"/>
      <c r="Q44" s="7"/>
    </row>
    <row r="45" spans="1:17" s="7" customFormat="1">
      <c r="A45" s="457"/>
      <c r="B45" s="457"/>
      <c r="C45" s="464"/>
      <c r="D45" s="1065"/>
      <c r="E45" s="316"/>
      <c r="F45" s="922"/>
      <c r="G45" s="1065"/>
      <c r="H45" s="922"/>
      <c r="I45" s="315"/>
    </row>
    <row r="46" spans="1:17">
      <c r="A46" s="457">
        <f>+A44+1</f>
        <v>23</v>
      </c>
      <c r="B46" s="457"/>
      <c r="C46" s="464" t="s">
        <v>647</v>
      </c>
      <c r="D46" s="1065"/>
      <c r="E46" s="349" t="str">
        <f>"(Notes "&amp;B$302&amp;" &amp; "&amp;B$303&amp;")"</f>
        <v>(Notes A &amp; B)</v>
      </c>
      <c r="F46" s="922" t="s">
        <v>173</v>
      </c>
      <c r="G46" s="1065"/>
      <c r="H46" s="1144">
        <f>92645575+231055634-0</f>
        <v>323701209</v>
      </c>
      <c r="I46" s="875"/>
      <c r="J46" s="7"/>
      <c r="K46" s="7"/>
      <c r="L46" s="7"/>
      <c r="M46" s="7"/>
      <c r="N46" s="7"/>
      <c r="O46" s="7"/>
      <c r="P46" s="7"/>
      <c r="Q46" s="7"/>
    </row>
    <row r="47" spans="1:17">
      <c r="A47" s="457">
        <f>+A46+1</f>
        <v>24</v>
      </c>
      <c r="B47" s="457"/>
      <c r="C47" s="464" t="s">
        <v>648</v>
      </c>
      <c r="D47" s="1065"/>
      <c r="E47" s="349" t="str">
        <f>"(Notes "&amp;B$302&amp;" &amp; "&amp;B$303&amp;")"</f>
        <v>(Notes A &amp; B)</v>
      </c>
      <c r="F47" s="471" t="s">
        <v>552</v>
      </c>
      <c r="G47" s="1065"/>
      <c r="H47" s="482">
        <f>'5 - Cost Support'!H25</f>
        <v>345052021.64039999</v>
      </c>
      <c r="I47" s="315"/>
      <c r="J47" s="7"/>
      <c r="K47" s="7"/>
      <c r="L47" s="7"/>
      <c r="M47" s="7"/>
      <c r="N47" s="7"/>
      <c r="O47" s="7"/>
      <c r="P47" s="7"/>
      <c r="Q47" s="7"/>
    </row>
    <row r="48" spans="1:17">
      <c r="A48" s="457">
        <f>+A47+1</f>
        <v>25</v>
      </c>
      <c r="B48" s="457"/>
      <c r="C48" s="460" t="s">
        <v>288</v>
      </c>
      <c r="D48" s="463"/>
      <c r="E48" s="473"/>
      <c r="F48" s="482" t="str">
        <f>"(Line "&amp;A46&amp;" + "&amp;A47&amp;")"</f>
        <v>(Line 23 + 24)</v>
      </c>
      <c r="G48" s="463"/>
      <c r="H48" s="461">
        <f>SUM(H46:H47)</f>
        <v>668753230.64039993</v>
      </c>
      <c r="I48" s="315"/>
      <c r="J48" s="7"/>
      <c r="K48" s="7"/>
      <c r="L48" s="7"/>
      <c r="M48" s="7"/>
      <c r="N48" s="7"/>
      <c r="O48" s="7"/>
      <c r="P48" s="7"/>
      <c r="Q48" s="7"/>
    </row>
    <row r="49" spans="1:17">
      <c r="A49" s="457">
        <f>+A48+1</f>
        <v>26</v>
      </c>
      <c r="B49" s="457"/>
      <c r="C49" s="497" t="s">
        <v>301</v>
      </c>
      <c r="D49" s="464"/>
      <c r="E49" s="454"/>
      <c r="F49" s="471" t="str">
        <f>"(Line "&amp;A$17&amp;")"</f>
        <v>(Line 5)</v>
      </c>
      <c r="G49" s="484"/>
      <c r="H49" s="485">
        <f>+H17</f>
        <v>5.9187768577029835E-2</v>
      </c>
      <c r="I49" s="315"/>
      <c r="J49" s="7"/>
      <c r="K49" s="7"/>
      <c r="L49" s="7"/>
      <c r="M49" s="7"/>
      <c r="N49" s="7"/>
      <c r="O49" s="7"/>
      <c r="P49" s="7"/>
      <c r="Q49" s="7"/>
    </row>
    <row r="50" spans="1:17">
      <c r="A50" s="457">
        <f>+A49+1</f>
        <v>27</v>
      </c>
      <c r="B50" s="315"/>
      <c r="C50" s="486" t="s">
        <v>257</v>
      </c>
      <c r="D50" s="472"/>
      <c r="E50" s="462"/>
      <c r="F50" s="482" t="str">
        <f>"(Line "&amp;A48&amp;" * "&amp;A49&amp;")"</f>
        <v>(Line 25 * 26)</v>
      </c>
      <c r="G50" s="472"/>
      <c r="H50" s="487">
        <f>+H49*H48</f>
        <v>39582011.450285047</v>
      </c>
      <c r="I50" s="315"/>
      <c r="J50" s="7"/>
      <c r="K50" s="7"/>
      <c r="L50" s="7"/>
      <c r="M50" s="7"/>
      <c r="N50" s="7"/>
      <c r="O50" s="7"/>
      <c r="P50" s="7"/>
      <c r="Q50" s="7"/>
    </row>
    <row r="51" spans="1:17">
      <c r="A51" s="316"/>
      <c r="B51" s="315"/>
      <c r="C51" s="453"/>
      <c r="D51" s="315"/>
      <c r="E51" s="316"/>
      <c r="F51" s="315"/>
      <c r="G51" s="315"/>
      <c r="H51" s="482"/>
      <c r="I51" s="315"/>
      <c r="J51" s="7"/>
      <c r="K51" s="7"/>
      <c r="L51" s="7"/>
      <c r="M51" s="7"/>
      <c r="N51" s="7"/>
      <c r="O51" s="7"/>
      <c r="P51" s="7"/>
      <c r="Q51" s="7"/>
    </row>
    <row r="52" spans="1:17" s="1" customFormat="1" ht="16.5" thickBot="1">
      <c r="A52" s="457">
        <f>+A50+1</f>
        <v>28</v>
      </c>
      <c r="B52" s="475" t="s">
        <v>254</v>
      </c>
      <c r="C52" s="475"/>
      <c r="D52" s="475"/>
      <c r="E52" s="488"/>
      <c r="F52" s="489" t="str">
        <f>"(Line "&amp;A44&amp;" + "&amp;A50&amp;")"</f>
        <v>(Line 22 + 27)</v>
      </c>
      <c r="G52" s="475"/>
      <c r="H52" s="490">
        <f>SUM(H44,H50)</f>
        <v>1265623124.7719517</v>
      </c>
      <c r="I52" s="354"/>
      <c r="J52" s="19"/>
      <c r="K52" s="19"/>
      <c r="L52" s="19"/>
      <c r="M52" s="19"/>
      <c r="N52" s="19"/>
      <c r="O52" s="19"/>
      <c r="P52" s="19"/>
      <c r="Q52" s="19"/>
    </row>
    <row r="53" spans="1:17" ht="15.75" thickTop="1">
      <c r="A53" s="316"/>
      <c r="B53" s="315"/>
      <c r="C53" s="315"/>
      <c r="D53" s="315"/>
      <c r="E53" s="316"/>
      <c r="F53" s="315"/>
      <c r="G53" s="315"/>
      <c r="H53" s="315"/>
      <c r="I53" s="315"/>
      <c r="J53" s="7"/>
      <c r="K53" s="7"/>
      <c r="L53" s="7"/>
      <c r="M53" s="7"/>
      <c r="N53" s="7"/>
      <c r="O53" s="7"/>
      <c r="P53" s="7"/>
      <c r="Q53" s="7"/>
    </row>
    <row r="54" spans="1:17">
      <c r="A54" s="457"/>
      <c r="B54" s="453" t="s">
        <v>244</v>
      </c>
      <c r="C54" s="453"/>
      <c r="D54" s="922"/>
      <c r="E54" s="454"/>
      <c r="F54" s="922"/>
      <c r="G54" s="491"/>
      <c r="H54" s="922"/>
      <c r="I54" s="315"/>
      <c r="J54" s="7"/>
      <c r="K54" s="7"/>
      <c r="L54" s="7"/>
      <c r="M54" s="7"/>
      <c r="N54" s="7"/>
      <c r="O54" s="7"/>
      <c r="P54" s="7"/>
      <c r="Q54" s="7"/>
    </row>
    <row r="55" spans="1:17">
      <c r="A55" s="457">
        <f>+A52+1</f>
        <v>29</v>
      </c>
      <c r="B55" s="457"/>
      <c r="C55" s="464" t="s">
        <v>315</v>
      </c>
      <c r="D55" s="1065"/>
      <c r="E55" s="349" t="str">
        <f>"(Note "&amp;B$303&amp;")"</f>
        <v>(Note B)</v>
      </c>
      <c r="F55" s="529" t="s">
        <v>132</v>
      </c>
      <c r="G55" s="10"/>
      <c r="H55" s="1144">
        <v>347879446</v>
      </c>
      <c r="I55" s="315"/>
      <c r="J55" s="7"/>
      <c r="K55" s="7"/>
      <c r="L55" s="7"/>
      <c r="M55" s="7"/>
      <c r="N55" s="7"/>
      <c r="O55" s="7"/>
      <c r="P55" s="7"/>
      <c r="Q55" s="7"/>
    </row>
    <row r="56" spans="1:17" s="7" customFormat="1">
      <c r="A56" s="457"/>
      <c r="B56" s="457"/>
      <c r="C56" s="1065"/>
      <c r="D56" s="464"/>
      <c r="E56" s="316"/>
      <c r="F56" s="922"/>
      <c r="G56" s="1065"/>
      <c r="H56" s="922"/>
      <c r="I56" s="315"/>
    </row>
    <row r="57" spans="1:17">
      <c r="A57" s="457">
        <f>+A55+1</f>
        <v>30</v>
      </c>
      <c r="B57" s="457"/>
      <c r="C57" s="464" t="s">
        <v>649</v>
      </c>
      <c r="D57" s="1065"/>
      <c r="E57" s="316"/>
      <c r="F57" s="529" t="s">
        <v>133</v>
      </c>
      <c r="G57" s="1065"/>
      <c r="H57" s="1144">
        <v>91557191</v>
      </c>
      <c r="I57" s="315"/>
      <c r="J57" s="7"/>
      <c r="K57" s="7"/>
      <c r="L57" s="7"/>
      <c r="M57" s="7"/>
      <c r="N57" s="7"/>
      <c r="O57" s="7"/>
      <c r="P57" s="7"/>
      <c r="Q57" s="7"/>
    </row>
    <row r="58" spans="1:17">
      <c r="A58" s="457">
        <f t="shared" ref="A58:A63" si="0">+A57+1</f>
        <v>31</v>
      </c>
      <c r="B58" s="457"/>
      <c r="C58" s="464" t="str">
        <f>+C25</f>
        <v>Accumulated Other Utility Plant Amortization - Electric Only</v>
      </c>
      <c r="D58" s="1065"/>
      <c r="E58" s="316"/>
      <c r="F58" s="482" t="str">
        <f>"(Line "&amp;A$25&amp;")"</f>
        <v>(Line 10)</v>
      </c>
      <c r="G58" s="1065"/>
      <c r="H58" s="922">
        <f>+H25</f>
        <v>72609983</v>
      </c>
      <c r="I58" s="315"/>
      <c r="J58" s="7"/>
      <c r="K58" s="7"/>
      <c r="L58" s="7"/>
      <c r="M58" s="7"/>
      <c r="N58" s="7"/>
      <c r="O58" s="7"/>
      <c r="P58" s="7"/>
      <c r="Q58" s="7"/>
    </row>
    <row r="59" spans="1:17">
      <c r="A59" s="457">
        <f t="shared" si="0"/>
        <v>32</v>
      </c>
      <c r="B59" s="457"/>
      <c r="C59" s="464" t="str">
        <f>+C26</f>
        <v>Accumulated Common Depreciation - Electric Only</v>
      </c>
      <c r="D59" s="1065"/>
      <c r="E59" s="349"/>
      <c r="F59" s="482" t="str">
        <f>"(Line "&amp;A$26&amp;")"</f>
        <v>(Line 11)</v>
      </c>
      <c r="G59" s="1065"/>
      <c r="H59" s="922">
        <f>+H26</f>
        <v>57087239.683499999</v>
      </c>
      <c r="I59" s="315"/>
      <c r="J59" s="7"/>
      <c r="K59" s="7"/>
      <c r="L59" s="7"/>
      <c r="M59" s="7"/>
      <c r="N59" s="7"/>
      <c r="O59" s="7"/>
      <c r="P59" s="7"/>
      <c r="Q59" s="7"/>
    </row>
    <row r="60" spans="1:17">
      <c r="A60" s="457">
        <f t="shared" si="0"/>
        <v>33</v>
      </c>
      <c r="B60" s="457"/>
      <c r="C60" s="479" t="str">
        <f>+C27</f>
        <v xml:space="preserve">Accumulated Common Other Utility Plant Amort. - Electric Only </v>
      </c>
      <c r="D60" s="480"/>
      <c r="E60" s="331"/>
      <c r="F60" s="471" t="str">
        <f>"(Line "&amp;A$27&amp;")"</f>
        <v>(Line 12)</v>
      </c>
      <c r="G60" s="1065"/>
      <c r="H60" s="471">
        <f>+H27</f>
        <v>109413043.1523</v>
      </c>
      <c r="I60" s="315"/>
      <c r="J60" s="7"/>
      <c r="K60" s="7"/>
      <c r="L60" s="7"/>
      <c r="M60" s="7"/>
      <c r="N60" s="7"/>
      <c r="O60" s="7"/>
      <c r="P60" s="7"/>
      <c r="Q60" s="7"/>
    </row>
    <row r="61" spans="1:17">
      <c r="A61" s="457">
        <f t="shared" si="0"/>
        <v>34</v>
      </c>
      <c r="B61" s="457"/>
      <c r="C61" s="353" t="s">
        <v>251</v>
      </c>
      <c r="D61" s="347"/>
      <c r="E61" s="348"/>
      <c r="F61" s="482" t="str">
        <f>"(Sum Lines "&amp;A57&amp;" to "&amp;A60&amp;")"</f>
        <v>(Sum Lines 30 to 33)</v>
      </c>
      <c r="G61" s="482"/>
      <c r="H61" s="482">
        <f>SUM(H57:H60)</f>
        <v>330667456.83579999</v>
      </c>
      <c r="I61" s="315"/>
      <c r="J61" s="7"/>
      <c r="K61" s="7"/>
      <c r="L61" s="7"/>
      <c r="M61" s="7"/>
      <c r="N61" s="7"/>
      <c r="O61" s="7"/>
      <c r="P61" s="7"/>
      <c r="Q61" s="7"/>
    </row>
    <row r="62" spans="1:17">
      <c r="A62" s="457">
        <f t="shared" si="0"/>
        <v>35</v>
      </c>
      <c r="B62" s="457"/>
      <c r="C62" s="353" t="str">
        <f>+C49</f>
        <v>Wage &amp; Salary Allocation Factor</v>
      </c>
      <c r="D62" s="347"/>
      <c r="E62" s="348"/>
      <c r="F62" s="471" t="str">
        <f>"(Line "&amp;A$17&amp;")"</f>
        <v>(Line 5)</v>
      </c>
      <c r="G62" s="482"/>
      <c r="H62" s="492">
        <f>+H17</f>
        <v>5.9187768577029835E-2</v>
      </c>
      <c r="I62" s="315"/>
      <c r="J62" s="7"/>
      <c r="K62" s="7"/>
      <c r="L62" s="7"/>
      <c r="M62" s="7"/>
      <c r="N62" s="7"/>
      <c r="O62" s="7"/>
      <c r="P62" s="7"/>
      <c r="Q62" s="7"/>
    </row>
    <row r="63" spans="1:17">
      <c r="A63" s="457">
        <f t="shared" si="0"/>
        <v>36</v>
      </c>
      <c r="B63" s="315"/>
      <c r="C63" s="486" t="s">
        <v>276</v>
      </c>
      <c r="D63" s="472"/>
      <c r="E63" s="473"/>
      <c r="F63" s="482" t="str">
        <f>"(Line "&amp;A61&amp;" * "&amp;A62&amp;")"</f>
        <v>(Line 34 * 35)</v>
      </c>
      <c r="G63" s="472"/>
      <c r="H63" s="487">
        <f>+H62*H61</f>
        <v>19571468.911152333</v>
      </c>
      <c r="I63" s="315"/>
      <c r="J63" s="7"/>
      <c r="K63" s="7"/>
      <c r="L63" s="7"/>
      <c r="M63" s="7"/>
      <c r="N63" s="7"/>
      <c r="O63" s="7"/>
      <c r="P63" s="7"/>
      <c r="Q63" s="7"/>
    </row>
    <row r="64" spans="1:17">
      <c r="A64" s="316"/>
      <c r="B64" s="315"/>
      <c r="C64" s="315"/>
      <c r="D64" s="315"/>
      <c r="E64" s="316"/>
      <c r="F64" s="315"/>
      <c r="G64" s="315"/>
      <c r="H64" s="315"/>
      <c r="I64" s="315"/>
      <c r="J64" s="7"/>
      <c r="K64" s="7"/>
      <c r="L64" s="7"/>
      <c r="M64" s="7"/>
      <c r="N64" s="7"/>
      <c r="O64" s="7"/>
      <c r="P64" s="7"/>
      <c r="Q64" s="7"/>
    </row>
    <row r="65" spans="1:17" ht="15.75" thickBot="1">
      <c r="A65" s="457">
        <f>+A63+1</f>
        <v>37</v>
      </c>
      <c r="B65" s="475" t="s">
        <v>289</v>
      </c>
      <c r="C65" s="475"/>
      <c r="D65" s="475"/>
      <c r="E65" s="488"/>
      <c r="F65" s="489" t="str">
        <f>"(Line "&amp;A55&amp;" + "&amp;A63&amp;")"</f>
        <v>(Line 29 + 36)</v>
      </c>
      <c r="G65" s="475"/>
      <c r="H65" s="490">
        <f>+H63+H55</f>
        <v>367450914.91115236</v>
      </c>
      <c r="I65" s="315"/>
      <c r="J65" s="7"/>
      <c r="K65" s="7"/>
      <c r="L65" s="7"/>
      <c r="M65" s="7"/>
      <c r="N65" s="7"/>
      <c r="O65" s="7"/>
      <c r="P65" s="7"/>
      <c r="Q65" s="7"/>
    </row>
    <row r="66" spans="1:17" ht="15.75" thickTop="1">
      <c r="A66" s="316"/>
      <c r="B66" s="315"/>
      <c r="C66" s="315"/>
      <c r="D66" s="315"/>
      <c r="E66" s="316"/>
      <c r="F66" s="315"/>
      <c r="G66" s="315"/>
      <c r="H66" s="315"/>
      <c r="I66" s="315"/>
      <c r="J66" s="7"/>
      <c r="K66" s="7"/>
      <c r="L66" s="7"/>
      <c r="M66" s="7"/>
      <c r="N66" s="7"/>
      <c r="O66" s="7"/>
      <c r="P66" s="7"/>
      <c r="Q66" s="7"/>
    </row>
    <row r="67" spans="1:17" ht="15.75" thickBot="1">
      <c r="A67" s="457">
        <f>+A65+1</f>
        <v>38</v>
      </c>
      <c r="B67" s="475" t="s">
        <v>290</v>
      </c>
      <c r="C67" s="475"/>
      <c r="D67" s="475"/>
      <c r="E67" s="488"/>
      <c r="F67" s="489" t="str">
        <f>"(Line "&amp;A52&amp;" - "&amp;A65&amp;")"</f>
        <v>(Line 28 - 37)</v>
      </c>
      <c r="G67" s="475"/>
      <c r="H67" s="490">
        <f>+H52-H65</f>
        <v>898172209.86079931</v>
      </c>
      <c r="I67" s="315"/>
      <c r="J67" s="7"/>
      <c r="K67" s="7"/>
      <c r="L67" s="7"/>
      <c r="M67" s="7"/>
      <c r="N67" s="7"/>
      <c r="O67" s="7"/>
      <c r="P67" s="7"/>
      <c r="Q67" s="7"/>
    </row>
    <row r="68" spans="1:17" ht="15.75" thickTop="1">
      <c r="A68" s="319"/>
      <c r="B68" s="315"/>
      <c r="C68" s="315"/>
      <c r="D68" s="315"/>
      <c r="E68" s="316"/>
      <c r="F68" s="315"/>
      <c r="G68" s="315"/>
      <c r="H68" s="315"/>
      <c r="I68" s="315"/>
      <c r="J68" s="7"/>
      <c r="K68" s="7"/>
      <c r="L68" s="7"/>
      <c r="M68" s="7"/>
      <c r="N68" s="7"/>
      <c r="O68" s="7"/>
      <c r="P68" s="7"/>
      <c r="Q68" s="7"/>
    </row>
    <row r="69" spans="1:17">
      <c r="A69" s="319"/>
      <c r="B69" s="315"/>
      <c r="C69" s="315"/>
      <c r="D69" s="315"/>
      <c r="E69" s="316"/>
      <c r="F69" s="315"/>
      <c r="G69" s="315"/>
      <c r="H69" s="315"/>
      <c r="I69" s="315"/>
      <c r="J69" s="7"/>
      <c r="K69" s="7"/>
      <c r="L69" s="7"/>
      <c r="M69" s="7"/>
      <c r="N69" s="7"/>
      <c r="O69" s="7"/>
      <c r="P69" s="7"/>
      <c r="Q69" s="7"/>
    </row>
    <row r="70" spans="1:17">
      <c r="A70" s="771" t="s">
        <v>27</v>
      </c>
      <c r="B70" s="772"/>
      <c r="C70" s="773"/>
      <c r="D70" s="773"/>
      <c r="E70" s="812"/>
      <c r="F70" s="775"/>
      <c r="G70" s="775"/>
      <c r="H70" s="775"/>
      <c r="I70" s="315"/>
      <c r="J70" s="7"/>
      <c r="K70" s="7"/>
      <c r="L70" s="7"/>
      <c r="M70" s="7"/>
      <c r="N70" s="7"/>
      <c r="O70" s="7"/>
      <c r="P70" s="7"/>
      <c r="Q70" s="7"/>
    </row>
    <row r="71" spans="1:17">
      <c r="A71" s="1069"/>
      <c r="B71" s="297"/>
      <c r="C71" s="297"/>
      <c r="D71" s="297"/>
      <c r="E71" s="316"/>
      <c r="F71" s="315"/>
      <c r="G71" s="315"/>
      <c r="H71" s="315"/>
      <c r="I71" s="315"/>
      <c r="J71" s="7"/>
      <c r="K71" s="7"/>
      <c r="L71" s="7"/>
      <c r="M71" s="7"/>
      <c r="N71" s="7"/>
      <c r="O71" s="7"/>
      <c r="P71" s="7"/>
      <c r="Q71" s="7"/>
    </row>
    <row r="72" spans="1:17">
      <c r="A72" s="316"/>
      <c r="B72" s="512" t="s">
        <v>689</v>
      </c>
      <c r="C72" s="1065"/>
      <c r="D72" s="315"/>
      <c r="E72" s="493"/>
      <c r="F72" s="315"/>
      <c r="G72" s="315"/>
      <c r="H72" s="922"/>
      <c r="I72" s="315"/>
      <c r="J72" s="7"/>
      <c r="K72" s="7"/>
      <c r="L72" s="7"/>
      <c r="M72" s="7"/>
      <c r="N72" s="7"/>
      <c r="O72" s="7"/>
      <c r="P72" s="7"/>
      <c r="Q72" s="7"/>
    </row>
    <row r="73" spans="1:17">
      <c r="A73" s="316">
        <f>A67+1</f>
        <v>39</v>
      </c>
      <c r="B73" s="512"/>
      <c r="C73" s="479" t="s">
        <v>653</v>
      </c>
      <c r="D73" s="480"/>
      <c r="E73" s="331" t="s">
        <v>692</v>
      </c>
      <c r="F73" s="481" t="s">
        <v>550</v>
      </c>
      <c r="G73" s="480"/>
      <c r="H73" s="471">
        <f>'6- Est &amp; True-up WS'!M75</f>
        <v>0</v>
      </c>
      <c r="I73" s="315"/>
      <c r="J73" s="7"/>
      <c r="K73" s="7"/>
      <c r="L73" s="7"/>
      <c r="M73" s="7"/>
      <c r="N73" s="7"/>
      <c r="O73" s="7"/>
      <c r="P73" s="7"/>
      <c r="Q73" s="7"/>
    </row>
    <row r="74" spans="1:17">
      <c r="A74" s="457">
        <f>A73+1</f>
        <v>40</v>
      </c>
      <c r="B74" s="315"/>
      <c r="C74" s="509" t="s">
        <v>690</v>
      </c>
      <c r="D74" s="472"/>
      <c r="E74" s="473"/>
      <c r="F74" s="482" t="str">
        <f>"(Line "&amp;A$73&amp;")"</f>
        <v>(Line 39)</v>
      </c>
      <c r="G74" s="472"/>
      <c r="H74" s="494">
        <f>H73</f>
        <v>0</v>
      </c>
      <c r="I74" s="315"/>
      <c r="J74" s="7"/>
      <c r="K74" s="7"/>
      <c r="L74" s="7"/>
      <c r="M74" s="7"/>
      <c r="N74" s="7"/>
      <c r="O74" s="7"/>
      <c r="P74" s="7"/>
      <c r="Q74" s="7"/>
    </row>
    <row r="75" spans="1:17">
      <c r="A75" s="457"/>
      <c r="B75" s="315"/>
      <c r="C75" s="512"/>
      <c r="D75" s="343"/>
      <c r="E75" s="349"/>
      <c r="F75" s="482"/>
      <c r="G75" s="343"/>
      <c r="H75" s="495"/>
      <c r="I75" s="315"/>
      <c r="J75" s="7"/>
      <c r="K75" s="7"/>
      <c r="L75" s="7"/>
      <c r="M75" s="7"/>
      <c r="N75" s="7"/>
      <c r="O75" s="7"/>
      <c r="P75" s="7"/>
      <c r="Q75" s="7"/>
    </row>
    <row r="76" spans="1:17">
      <c r="A76" s="316"/>
      <c r="B76" s="512" t="s">
        <v>362</v>
      </c>
      <c r="C76" s="1065"/>
      <c r="D76" s="315"/>
      <c r="E76" s="493"/>
      <c r="F76" s="315"/>
      <c r="G76" s="315"/>
      <c r="H76" s="922"/>
      <c r="I76" s="315"/>
      <c r="J76" s="7"/>
      <c r="K76" s="7"/>
      <c r="L76" s="7"/>
      <c r="M76" s="7"/>
      <c r="N76" s="7"/>
      <c r="O76" s="7"/>
      <c r="P76" s="7"/>
      <c r="Q76" s="7"/>
    </row>
    <row r="77" spans="1:17">
      <c r="A77" s="316">
        <f>A74+1</f>
        <v>41</v>
      </c>
      <c r="B77" s="512"/>
      <c r="C77" s="1065" t="s">
        <v>385</v>
      </c>
      <c r="D77" s="315"/>
      <c r="E77" s="316"/>
      <c r="F77" s="481" t="s">
        <v>551</v>
      </c>
      <c r="G77" s="359"/>
      <c r="H77" s="471">
        <f>+'1 - ADIT'!F18</f>
        <v>-194627028.07902652</v>
      </c>
      <c r="I77" s="315"/>
      <c r="J77" s="7"/>
      <c r="K77" s="7"/>
      <c r="L77" s="7"/>
      <c r="M77" s="7"/>
      <c r="N77" s="7"/>
      <c r="O77" s="7"/>
      <c r="P77" s="7"/>
      <c r="Q77" s="7"/>
    </row>
    <row r="78" spans="1:17" s="7" customFormat="1">
      <c r="A78" s="457">
        <f>A77+1</f>
        <v>42</v>
      </c>
      <c r="B78" s="315"/>
      <c r="C78" s="509" t="s">
        <v>277</v>
      </c>
      <c r="D78" s="472"/>
      <c r="E78" s="473"/>
      <c r="F78" s="482" t="str">
        <f>"(Line "&amp;A$77&amp;")"</f>
        <v>(Line 41)</v>
      </c>
      <c r="G78" s="343"/>
      <c r="H78" s="495">
        <f>H77</f>
        <v>-194627028.07902652</v>
      </c>
      <c r="I78" s="315"/>
    </row>
    <row r="79" spans="1:17" s="7" customFormat="1">
      <c r="A79" s="457"/>
      <c r="B79" s="315"/>
      <c r="C79" s="512"/>
      <c r="D79" s="343"/>
      <c r="E79" s="349"/>
      <c r="F79" s="482"/>
      <c r="G79" s="343"/>
      <c r="H79" s="495"/>
      <c r="I79" s="315"/>
    </row>
    <row r="80" spans="1:17">
      <c r="A80" s="457">
        <f>+A78+1</f>
        <v>43</v>
      </c>
      <c r="B80" s="346" t="s">
        <v>387</v>
      </c>
      <c r="C80" s="320"/>
      <c r="D80" s="347"/>
      <c r="E80" s="349" t="str">
        <f>"(Notes "&amp;B$306&amp;" &amp; "&amp;B$340&amp;")"</f>
        <v>(Notes C &amp; U)</v>
      </c>
      <c r="F80" s="497" t="s">
        <v>329</v>
      </c>
      <c r="G80" s="347"/>
      <c r="H80" s="1212">
        <v>0</v>
      </c>
      <c r="I80" s="315"/>
      <c r="J80" s="7"/>
      <c r="K80" s="7"/>
      <c r="L80" s="7"/>
      <c r="M80" s="7"/>
      <c r="N80" s="7"/>
      <c r="O80" s="7"/>
      <c r="P80" s="7"/>
      <c r="Q80" s="7"/>
    </row>
    <row r="81" spans="1:17">
      <c r="A81" s="316"/>
      <c r="B81" s="315"/>
      <c r="C81" s="512"/>
      <c r="D81" s="343"/>
      <c r="E81" s="349"/>
      <c r="F81" s="343"/>
      <c r="G81" s="343"/>
      <c r="H81" s="351"/>
      <c r="I81" s="315"/>
      <c r="J81" s="7"/>
      <c r="K81" s="7"/>
      <c r="L81" s="7"/>
      <c r="M81" s="7"/>
      <c r="N81" s="7"/>
      <c r="O81" s="7"/>
      <c r="P81" s="7"/>
      <c r="Q81" s="7"/>
    </row>
    <row r="82" spans="1:17">
      <c r="A82" s="457"/>
      <c r="B82" s="516" t="s">
        <v>245</v>
      </c>
      <c r="C82" s="497"/>
      <c r="D82" s="1065"/>
      <c r="E82" s="316"/>
      <c r="F82" s="1070"/>
      <c r="G82" s="343"/>
      <c r="H82" s="315"/>
      <c r="I82" s="315"/>
      <c r="J82" s="7"/>
      <c r="K82" s="7"/>
      <c r="L82" s="7"/>
      <c r="M82" s="7"/>
      <c r="N82" s="7"/>
      <c r="O82" s="7"/>
      <c r="P82" s="7"/>
      <c r="Q82" s="7"/>
    </row>
    <row r="83" spans="1:17">
      <c r="A83" s="457">
        <f>+A80+1</f>
        <v>44</v>
      </c>
      <c r="B83" s="810"/>
      <c r="C83" s="497" t="s">
        <v>641</v>
      </c>
      <c r="D83" s="316"/>
      <c r="E83" s="349" t="str">
        <f>"(Note "&amp;B$302&amp;")"</f>
        <v>(Note A)</v>
      </c>
      <c r="F83" s="350" t="s">
        <v>552</v>
      </c>
      <c r="G83" s="343"/>
      <c r="H83" s="551">
        <f>'5 - Cost Support'!J38</f>
        <v>9002951.2100000009</v>
      </c>
      <c r="I83" s="315"/>
      <c r="J83" s="7"/>
      <c r="K83" s="7"/>
      <c r="L83" s="7"/>
      <c r="M83" s="7"/>
      <c r="N83" s="7"/>
      <c r="O83" s="7"/>
      <c r="P83" s="7"/>
      <c r="Q83" s="7"/>
    </row>
    <row r="84" spans="1:17">
      <c r="A84" s="457">
        <f>A83+1</f>
        <v>45</v>
      </c>
      <c r="B84" s="810"/>
      <c r="C84" s="497" t="s">
        <v>642</v>
      </c>
      <c r="D84" s="316"/>
      <c r="E84" s="349" t="str">
        <f>"(Note "&amp;B$302&amp;")"</f>
        <v>(Note A)</v>
      </c>
      <c r="F84" s="350" t="s">
        <v>552</v>
      </c>
      <c r="G84" s="343"/>
      <c r="H84" s="551">
        <f>'5 - Cost Support'!J39</f>
        <v>9640319.7699999996</v>
      </c>
      <c r="I84" s="315"/>
      <c r="J84" s="7"/>
      <c r="K84" s="7"/>
      <c r="L84" s="7"/>
      <c r="M84" s="7"/>
      <c r="N84" s="7"/>
      <c r="O84" s="7"/>
      <c r="P84" s="7"/>
      <c r="Q84" s="7"/>
    </row>
    <row r="85" spans="1:17">
      <c r="A85" s="457">
        <f>A84+1</f>
        <v>46</v>
      </c>
      <c r="B85" s="810"/>
      <c r="C85" s="497" t="s">
        <v>301</v>
      </c>
      <c r="D85" s="316"/>
      <c r="E85" s="349"/>
      <c r="F85" s="482" t="str">
        <f>"(Line "&amp;A$17&amp;")"</f>
        <v>(Line 5)</v>
      </c>
      <c r="G85" s="343"/>
      <c r="H85" s="498">
        <f>H17</f>
        <v>5.9187768577029835E-2</v>
      </c>
      <c r="I85" s="315"/>
      <c r="J85" s="7"/>
      <c r="K85" s="7"/>
      <c r="L85" s="7"/>
      <c r="M85" s="7"/>
      <c r="N85" s="7"/>
      <c r="O85" s="7"/>
      <c r="P85" s="7"/>
      <c r="Q85" s="7"/>
    </row>
    <row r="86" spans="1:17">
      <c r="A86" s="457">
        <f>A85+1</f>
        <v>47</v>
      </c>
      <c r="B86" s="810"/>
      <c r="C86" s="503" t="s">
        <v>259</v>
      </c>
      <c r="D86" s="450"/>
      <c r="E86" s="459"/>
      <c r="F86" s="471" t="str">
        <f>"(Line "&amp;A$36&amp;")"</f>
        <v>(Line 18)</v>
      </c>
      <c r="G86" s="343"/>
      <c r="H86" s="498">
        <f>H36</f>
        <v>0.15511822879158327</v>
      </c>
      <c r="I86" s="315"/>
      <c r="J86" s="7"/>
      <c r="K86" s="7"/>
      <c r="L86" s="7"/>
      <c r="M86" s="7"/>
      <c r="N86" s="7"/>
      <c r="O86" s="7"/>
      <c r="P86" s="7"/>
      <c r="Q86" s="7"/>
    </row>
    <row r="87" spans="1:17">
      <c r="A87" s="457">
        <f>A86+1</f>
        <v>48</v>
      </c>
      <c r="B87" s="499"/>
      <c r="C87" s="354" t="s">
        <v>228</v>
      </c>
      <c r="D87" s="463"/>
      <c r="E87" s="500"/>
      <c r="F87" s="482" t="str">
        <f>"(Line "&amp;A83&amp;" * "&amp;A85&amp;") + (Line "&amp;A84&amp;" * "&amp;A86&amp;")"</f>
        <v>(Line 44 * 46) + (Line 45 * 47)</v>
      </c>
      <c r="G87" s="1071"/>
      <c r="H87" s="494">
        <f>(H83*H85)+(H84*H86)</f>
        <v>2028253.9204346542</v>
      </c>
      <c r="I87" s="315"/>
      <c r="J87" s="7"/>
      <c r="K87" s="7"/>
      <c r="L87" s="7"/>
      <c r="M87" s="7"/>
      <c r="N87" s="7"/>
      <c r="O87" s="7"/>
      <c r="P87" s="7"/>
      <c r="Q87" s="7"/>
    </row>
    <row r="88" spans="1:17">
      <c r="A88" s="456"/>
      <c r="B88" s="499"/>
      <c r="C88" s="497"/>
      <c r="D88" s="1065"/>
      <c r="E88" s="457"/>
      <c r="F88" s="551"/>
      <c r="G88" s="1070"/>
      <c r="H88" s="498"/>
      <c r="I88" s="315"/>
      <c r="J88" s="7"/>
      <c r="K88" s="7"/>
      <c r="L88" s="7"/>
      <c r="M88" s="7"/>
      <c r="N88" s="7"/>
      <c r="O88" s="7"/>
      <c r="P88" s="7"/>
      <c r="Q88" s="7"/>
    </row>
    <row r="89" spans="1:17">
      <c r="A89" s="457"/>
      <c r="B89" s="516" t="s">
        <v>241</v>
      </c>
      <c r="C89" s="315"/>
      <c r="D89" s="315"/>
      <c r="E89" s="316"/>
      <c r="F89" s="551"/>
      <c r="G89" s="551"/>
      <c r="H89" s="498"/>
      <c r="I89" s="315"/>
      <c r="J89" s="7"/>
      <c r="K89" s="7"/>
      <c r="L89" s="7"/>
      <c r="M89" s="7"/>
      <c r="N89" s="7"/>
      <c r="O89" s="7"/>
      <c r="P89" s="7"/>
      <c r="Q89" s="7"/>
    </row>
    <row r="90" spans="1:17">
      <c r="A90" s="316">
        <f>+A87+1</f>
        <v>49</v>
      </c>
      <c r="B90" s="315"/>
      <c r="C90" s="315" t="s">
        <v>260</v>
      </c>
      <c r="D90" s="1065"/>
      <c r="E90" s="349" t="str">
        <f>"(Note "&amp;B$302&amp;")"</f>
        <v>(Note A)</v>
      </c>
      <c r="F90" s="497" t="s">
        <v>586</v>
      </c>
      <c r="G90" s="315"/>
      <c r="H90" s="1213">
        <v>0</v>
      </c>
      <c r="I90" s="315"/>
      <c r="J90" s="7"/>
      <c r="K90" s="7"/>
      <c r="L90" s="7"/>
      <c r="M90" s="7"/>
      <c r="N90" s="7"/>
      <c r="O90" s="7"/>
      <c r="P90" s="7"/>
      <c r="Q90" s="7"/>
    </row>
    <row r="91" spans="1:17" s="7" customFormat="1">
      <c r="A91" s="457">
        <f>+A90+1</f>
        <v>50</v>
      </c>
      <c r="B91" s="499"/>
      <c r="C91" s="503" t="s">
        <v>301</v>
      </c>
      <c r="D91" s="481"/>
      <c r="E91" s="501"/>
      <c r="F91" s="471" t="str">
        <f>"(Line "&amp;A$17&amp;")"</f>
        <v>(Line 5)</v>
      </c>
      <c r="G91" s="527"/>
      <c r="H91" s="498">
        <f>+H17</f>
        <v>5.9187768577029835E-2</v>
      </c>
      <c r="I91" s="315"/>
    </row>
    <row r="92" spans="1:17">
      <c r="A92" s="457">
        <f>+A91+1</f>
        <v>51</v>
      </c>
      <c r="B92" s="499"/>
      <c r="C92" s="497" t="s">
        <v>314</v>
      </c>
      <c r="D92" s="1065"/>
      <c r="E92" s="316"/>
      <c r="F92" s="482" t="str">
        <f>"(Line "&amp;A90&amp;" * "&amp;A91&amp;")"</f>
        <v>(Line 49 * 50)</v>
      </c>
      <c r="G92" s="551"/>
      <c r="H92" s="502">
        <f>+H90*H91</f>
        <v>0</v>
      </c>
      <c r="I92" s="315"/>
      <c r="J92" s="7"/>
      <c r="K92" s="7"/>
      <c r="L92" s="7"/>
      <c r="M92" s="7"/>
      <c r="N92" s="7"/>
      <c r="O92" s="7"/>
      <c r="P92" s="7"/>
      <c r="Q92" s="7"/>
    </row>
    <row r="93" spans="1:17">
      <c r="A93" s="457">
        <f>+A92+1</f>
        <v>52</v>
      </c>
      <c r="B93" s="499"/>
      <c r="C93" s="497" t="s">
        <v>230</v>
      </c>
      <c r="D93" s="1065"/>
      <c r="E93" s="457"/>
      <c r="F93" s="503" t="s">
        <v>302</v>
      </c>
      <c r="G93" s="551"/>
      <c r="H93" s="1214">
        <v>8440866</v>
      </c>
      <c r="I93" s="315"/>
      <c r="J93" s="7"/>
      <c r="K93" s="7"/>
      <c r="L93" s="7"/>
      <c r="M93" s="7"/>
      <c r="N93" s="7"/>
      <c r="O93" s="7"/>
      <c r="P93" s="7"/>
      <c r="Q93" s="7"/>
    </row>
    <row r="94" spans="1:17" ht="18" customHeight="1">
      <c r="A94" s="457">
        <f>+A93+1</f>
        <v>53</v>
      </c>
      <c r="B94" s="499"/>
      <c r="C94" s="504" t="s">
        <v>240</v>
      </c>
      <c r="D94" s="505"/>
      <c r="E94" s="506"/>
      <c r="F94" s="482" t="str">
        <f>"(Line "&amp;A92&amp;" + "&amp;A93&amp;")"</f>
        <v>(Line 51 + 52)</v>
      </c>
      <c r="G94" s="494"/>
      <c r="H94" s="507">
        <f>SUM(H92:H93)</f>
        <v>8440866</v>
      </c>
      <c r="I94" s="315"/>
      <c r="J94" s="7"/>
      <c r="K94" s="7"/>
      <c r="L94" s="7"/>
      <c r="M94" s="7"/>
      <c r="N94" s="7"/>
      <c r="O94" s="7"/>
      <c r="P94" s="7"/>
      <c r="Q94" s="7"/>
    </row>
    <row r="95" spans="1:17">
      <c r="A95" s="457"/>
      <c r="B95" s="499"/>
      <c r="C95" s="497"/>
      <c r="D95" s="1065"/>
      <c r="E95" s="457"/>
      <c r="F95" s="551"/>
      <c r="G95" s="551"/>
      <c r="H95" s="315"/>
      <c r="I95" s="315"/>
      <c r="J95" s="7"/>
      <c r="K95" s="7"/>
      <c r="L95" s="7"/>
      <c r="M95" s="7"/>
      <c r="N95" s="7"/>
      <c r="O95" s="7"/>
      <c r="P95" s="7"/>
      <c r="Q95" s="7"/>
    </row>
    <row r="96" spans="1:17">
      <c r="A96" s="457"/>
      <c r="B96" s="516" t="s">
        <v>246</v>
      </c>
      <c r="C96" s="315"/>
      <c r="D96" s="1065"/>
      <c r="E96" s="316"/>
      <c r="F96" s="551"/>
      <c r="G96" s="551"/>
      <c r="H96" s="315"/>
      <c r="I96" s="315"/>
      <c r="J96" s="7"/>
      <c r="K96" s="7"/>
      <c r="L96" s="7"/>
      <c r="M96" s="7"/>
      <c r="N96" s="7"/>
      <c r="O96" s="7"/>
      <c r="P96" s="7"/>
      <c r="Q96" s="7"/>
    </row>
    <row r="97" spans="1:17">
      <c r="A97" s="457">
        <f>+A94+1</f>
        <v>54</v>
      </c>
      <c r="B97" s="499"/>
      <c r="C97" s="497" t="s">
        <v>85</v>
      </c>
      <c r="D97" s="508"/>
      <c r="E97" s="316"/>
      <c r="F97" s="482" t="str">
        <f>"(Line "&amp;A$144&amp;" - Line "&amp;A$117&amp;")"</f>
        <v>(Line 86 - Line 65)</v>
      </c>
      <c r="G97" s="551"/>
      <c r="H97" s="551">
        <f>+H144 - H117</f>
        <v>24411600.047883481</v>
      </c>
      <c r="I97" s="315"/>
      <c r="J97" s="7"/>
      <c r="K97" s="7"/>
      <c r="L97" s="7"/>
      <c r="M97" s="7"/>
      <c r="N97" s="7"/>
      <c r="O97" s="7"/>
      <c r="P97" s="7"/>
      <c r="Q97" s="7"/>
    </row>
    <row r="98" spans="1:17">
      <c r="A98" s="457">
        <f>+A97+1</f>
        <v>55</v>
      </c>
      <c r="B98" s="499"/>
      <c r="C98" s="508" t="s">
        <v>303</v>
      </c>
      <c r="D98" s="508"/>
      <c r="E98" s="316"/>
      <c r="F98" s="503" t="s">
        <v>331</v>
      </c>
      <c r="G98" s="315"/>
      <c r="H98" s="815">
        <v>0.125</v>
      </c>
      <c r="I98" s="315"/>
      <c r="J98" s="7"/>
      <c r="K98" s="7"/>
      <c r="L98" s="7"/>
      <c r="M98" s="7"/>
      <c r="N98" s="7"/>
      <c r="O98" s="7"/>
      <c r="P98" s="7"/>
      <c r="Q98" s="7"/>
    </row>
    <row r="99" spans="1:17" s="1" customFormat="1" ht="15.75">
      <c r="A99" s="457">
        <f>+A98+1</f>
        <v>56</v>
      </c>
      <c r="B99" s="484"/>
      <c r="C99" s="509" t="s">
        <v>229</v>
      </c>
      <c r="D99" s="510"/>
      <c r="E99" s="511"/>
      <c r="F99" s="482" t="str">
        <f>"(Line "&amp;A97&amp;" * "&amp;A98&amp;")"</f>
        <v>(Line 54 * 55)</v>
      </c>
      <c r="G99" s="504"/>
      <c r="H99" s="494">
        <f>+H97*H98</f>
        <v>3051450.0059854351</v>
      </c>
      <c r="I99" s="354"/>
      <c r="J99" s="19"/>
      <c r="K99" s="19"/>
      <c r="L99" s="19"/>
      <c r="M99" s="19"/>
      <c r="N99" s="19"/>
      <c r="O99" s="19"/>
      <c r="P99" s="19"/>
      <c r="Q99" s="19"/>
    </row>
    <row r="100" spans="1:17" s="1" customFormat="1" ht="15.75">
      <c r="A100" s="457"/>
      <c r="B100" s="484"/>
      <c r="C100" s="512"/>
      <c r="D100" s="445"/>
      <c r="E100" s="513"/>
      <c r="F100" s="482"/>
      <c r="G100" s="449"/>
      <c r="H100" s="495"/>
      <c r="I100" s="315"/>
      <c r="J100" s="19"/>
      <c r="K100" s="19"/>
      <c r="L100" s="19"/>
      <c r="M100" s="19"/>
      <c r="N100" s="19"/>
      <c r="O100" s="19"/>
      <c r="P100" s="19"/>
      <c r="Q100" s="19"/>
    </row>
    <row r="101" spans="1:17" s="1" customFormat="1" ht="15.75">
      <c r="A101" s="301"/>
      <c r="B101" s="516" t="s">
        <v>428</v>
      </c>
      <c r="C101" s="354"/>
      <c r="D101" s="445"/>
      <c r="E101" s="354"/>
      <c r="F101" s="482"/>
      <c r="G101" s="449"/>
      <c r="H101" s="495"/>
      <c r="I101" s="354"/>
      <c r="J101" s="19"/>
      <c r="K101" s="19"/>
      <c r="L101" s="19"/>
      <c r="M101" s="19"/>
      <c r="N101" s="19"/>
      <c r="O101" s="19"/>
      <c r="P101" s="19"/>
      <c r="Q101" s="19"/>
    </row>
    <row r="102" spans="1:17">
      <c r="A102" s="457">
        <f>A99+1</f>
        <v>57</v>
      </c>
      <c r="B102" s="315"/>
      <c r="C102" s="315" t="s">
        <v>625</v>
      </c>
      <c r="D102" s="315"/>
      <c r="E102" s="349" t="str">
        <f>"(Note "&amp;B$322&amp;")"</f>
        <v>(Note M)</v>
      </c>
      <c r="F102" s="315" t="s">
        <v>552</v>
      </c>
      <c r="G102" s="315"/>
      <c r="H102" s="551">
        <f>'5 - Cost Support'!G94</f>
        <v>0</v>
      </c>
      <c r="I102" s="315"/>
      <c r="J102" s="7"/>
      <c r="K102" s="7"/>
      <c r="L102" s="7"/>
      <c r="M102" s="7"/>
      <c r="N102" s="7"/>
      <c r="O102" s="7"/>
      <c r="P102" s="7"/>
      <c r="Q102" s="7"/>
    </row>
    <row r="103" spans="1:17">
      <c r="A103" s="319">
        <f>+A102+1</f>
        <v>58</v>
      </c>
      <c r="B103" s="315"/>
      <c r="C103" s="359" t="s">
        <v>75</v>
      </c>
      <c r="D103" s="359"/>
      <c r="E103" s="331" t="str">
        <f>+E102</f>
        <v>(Note M)</v>
      </c>
      <c r="F103" s="359" t="s">
        <v>552</v>
      </c>
      <c r="G103" s="359"/>
      <c r="H103" s="551">
        <f>'5 - Cost Support'!G96</f>
        <v>0</v>
      </c>
      <c r="I103" s="315"/>
      <c r="J103" s="7"/>
      <c r="K103" s="7"/>
      <c r="L103" s="7"/>
      <c r="M103" s="7"/>
      <c r="N103" s="7"/>
      <c r="O103" s="7"/>
      <c r="P103" s="7"/>
      <c r="Q103" s="7"/>
    </row>
    <row r="104" spans="1:17">
      <c r="A104" s="319">
        <f>+A103+1</f>
        <v>59</v>
      </c>
      <c r="B104" s="315"/>
      <c r="C104" s="354" t="s">
        <v>429</v>
      </c>
      <c r="D104" s="315"/>
      <c r="E104" s="316"/>
      <c r="F104" s="482" t="str">
        <f>"(Line "&amp;A102&amp;" - "&amp;A103&amp;")"</f>
        <v>(Line 57 - 58)</v>
      </c>
      <c r="G104" s="315"/>
      <c r="H104" s="494">
        <f>+H102-H103</f>
        <v>0</v>
      </c>
      <c r="I104" s="315"/>
      <c r="J104" s="7"/>
      <c r="K104" s="7"/>
      <c r="L104" s="7"/>
      <c r="M104" s="7"/>
      <c r="N104" s="7"/>
      <c r="O104" s="7"/>
      <c r="P104" s="7"/>
      <c r="Q104" s="7"/>
    </row>
    <row r="105" spans="1:17">
      <c r="A105" s="319"/>
      <c r="B105" s="315"/>
      <c r="C105" s="315"/>
      <c r="D105" s="315"/>
      <c r="E105" s="316"/>
      <c r="F105" s="482"/>
      <c r="G105" s="315"/>
      <c r="H105" s="354"/>
      <c r="I105" s="315"/>
      <c r="J105" s="7"/>
      <c r="K105" s="7"/>
      <c r="L105" s="7"/>
      <c r="M105" s="7"/>
      <c r="N105" s="7"/>
      <c r="O105" s="7"/>
      <c r="P105" s="7"/>
      <c r="Q105" s="7"/>
    </row>
    <row r="106" spans="1:17" ht="15.75" thickBot="1">
      <c r="A106" s="319">
        <f>A104+1</f>
        <v>60</v>
      </c>
      <c r="B106" s="475" t="s">
        <v>304</v>
      </c>
      <c r="C106" s="475"/>
      <c r="D106" s="475"/>
      <c r="E106" s="488"/>
      <c r="F106" s="468" t="str">
        <f>"(Line "&amp;A74&amp;" + "&amp;A78&amp;" + "&amp;A80&amp;" + "&amp;A87&amp;" + "&amp;A94&amp;" + "&amp;A99&amp;" + "&amp;A104&amp;")"</f>
        <v>(Line 40 + 42 + 43 + 48 + 53 + 56 + 59)</v>
      </c>
      <c r="G106" s="475"/>
      <c r="H106" s="490">
        <f>SUM(H74,H78,H80, H87,H94,H99,H104)</f>
        <v>-181106458.15260643</v>
      </c>
      <c r="I106" s="315"/>
      <c r="J106" s="7"/>
      <c r="K106" s="7"/>
      <c r="L106" s="7"/>
      <c r="M106" s="7"/>
      <c r="N106" s="7"/>
      <c r="O106" s="7"/>
      <c r="P106" s="7"/>
      <c r="Q106" s="7"/>
    </row>
    <row r="107" spans="1:17" ht="15.75" thickTop="1">
      <c r="A107" s="319"/>
      <c r="B107" s="315"/>
      <c r="C107" s="315"/>
      <c r="D107" s="315"/>
      <c r="E107" s="316"/>
      <c r="F107" s="315"/>
      <c r="G107" s="315"/>
      <c r="H107" s="315"/>
      <c r="I107" s="315"/>
      <c r="J107" s="7"/>
      <c r="K107" s="7"/>
      <c r="L107" s="7"/>
      <c r="M107" s="7"/>
      <c r="N107" s="7"/>
      <c r="O107" s="7"/>
      <c r="P107" s="7"/>
      <c r="Q107" s="7"/>
    </row>
    <row r="108" spans="1:17" ht="15.75" thickBot="1">
      <c r="A108" s="456">
        <f>+A106+1</f>
        <v>61</v>
      </c>
      <c r="B108" s="475" t="s">
        <v>295</v>
      </c>
      <c r="C108" s="475"/>
      <c r="D108" s="475"/>
      <c r="E108" s="488"/>
      <c r="F108" s="468" t="str">
        <f>"(Line "&amp;A67&amp;" + "&amp;A106&amp;")"</f>
        <v>(Line 38 + 60)</v>
      </c>
      <c r="G108" s="475"/>
      <c r="H108" s="490">
        <f>+H67+H106</f>
        <v>717065751.70819283</v>
      </c>
      <c r="I108" s="315"/>
      <c r="J108" s="7"/>
      <c r="K108" s="7"/>
      <c r="L108" s="7"/>
      <c r="M108" s="7"/>
      <c r="N108" s="7"/>
      <c r="O108" s="7"/>
      <c r="P108" s="7"/>
      <c r="Q108" s="7"/>
    </row>
    <row r="109" spans="1:17" ht="15.75" thickTop="1">
      <c r="A109" s="317"/>
      <c r="B109" s="315"/>
      <c r="C109" s="315"/>
      <c r="D109" s="315"/>
      <c r="E109" s="316"/>
      <c r="F109" s="315"/>
      <c r="G109" s="315"/>
      <c r="H109" s="315"/>
      <c r="I109" s="315"/>
      <c r="J109" s="7"/>
      <c r="K109" s="7"/>
      <c r="L109" s="7"/>
      <c r="M109" s="7"/>
      <c r="N109" s="7"/>
      <c r="O109" s="7"/>
      <c r="P109" s="7"/>
      <c r="Q109" s="7"/>
    </row>
    <row r="110" spans="1:17">
      <c r="A110" s="317"/>
      <c r="B110" s="315"/>
      <c r="C110" s="315"/>
      <c r="D110" s="315"/>
      <c r="E110" s="316"/>
      <c r="F110" s="315"/>
      <c r="G110" s="315"/>
      <c r="H110" s="315"/>
      <c r="I110" s="315"/>
      <c r="J110" s="7"/>
      <c r="K110" s="7"/>
      <c r="L110" s="7"/>
      <c r="M110" s="7"/>
      <c r="N110" s="7"/>
      <c r="O110" s="7"/>
      <c r="P110" s="7"/>
      <c r="Q110" s="7"/>
    </row>
    <row r="111" spans="1:17" s="7" customFormat="1">
      <c r="A111" s="771" t="s">
        <v>5</v>
      </c>
      <c r="B111" s="772"/>
      <c r="C111" s="773"/>
      <c r="D111" s="773"/>
      <c r="E111" s="812"/>
      <c r="F111" s="775"/>
      <c r="G111" s="775"/>
      <c r="H111" s="775"/>
      <c r="I111" s="315"/>
    </row>
    <row r="112" spans="1:17" s="7" customFormat="1">
      <c r="A112" s="1065"/>
      <c r="B112" s="1065"/>
      <c r="C112" s="1065"/>
      <c r="D112" s="1065"/>
      <c r="E112" s="452"/>
      <c r="F112" s="474"/>
      <c r="G112" s="315"/>
      <c r="H112" s="451"/>
      <c r="I112" s="315"/>
    </row>
    <row r="113" spans="1:36">
      <c r="A113" s="456"/>
      <c r="B113" s="453" t="s">
        <v>282</v>
      </c>
      <c r="C113" s="1065"/>
      <c r="D113" s="922"/>
      <c r="E113" s="454"/>
      <c r="F113" s="315"/>
      <c r="G113" s="922"/>
      <c r="H113" s="922"/>
      <c r="I113" s="315"/>
      <c r="J113" s="7"/>
      <c r="K113" s="7"/>
      <c r="L113" s="7"/>
      <c r="M113" s="7"/>
      <c r="N113" s="7"/>
      <c r="O113" s="7"/>
      <c r="P113" s="7"/>
      <c r="Q113" s="7"/>
    </row>
    <row r="114" spans="1:36">
      <c r="A114" s="456">
        <f>+A108+1</f>
        <v>62</v>
      </c>
      <c r="B114" s="457"/>
      <c r="C114" s="464" t="s">
        <v>282</v>
      </c>
      <c r="D114" s="1065"/>
      <c r="E114" s="316"/>
      <c r="F114" s="922" t="s">
        <v>128</v>
      </c>
      <c r="G114" s="452"/>
      <c r="H114" s="1144">
        <v>17972117</v>
      </c>
      <c r="I114" s="315"/>
      <c r="J114" s="7"/>
      <c r="K114" s="7"/>
      <c r="L114" s="7"/>
      <c r="M114" s="7"/>
      <c r="N114" s="7"/>
      <c r="O114" s="7"/>
      <c r="P114" s="7"/>
      <c r="Q114" s="7"/>
    </row>
    <row r="115" spans="1:36">
      <c r="A115" s="456">
        <f t="shared" ref="A115:A120" si="1">+A114+1</f>
        <v>63</v>
      </c>
      <c r="B115" s="457"/>
      <c r="C115" s="464" t="s">
        <v>76</v>
      </c>
      <c r="D115" s="1065"/>
      <c r="E115" s="316"/>
      <c r="F115" s="482" t="s">
        <v>129</v>
      </c>
      <c r="G115" s="347"/>
      <c r="H115" s="747">
        <v>2535425</v>
      </c>
      <c r="I115" s="315"/>
      <c r="J115" s="7"/>
      <c r="K115" s="7"/>
      <c r="L115" s="7"/>
      <c r="M115" s="7"/>
      <c r="N115" s="7"/>
      <c r="O115" s="7"/>
      <c r="P115" s="7"/>
      <c r="Q115" s="7"/>
    </row>
    <row r="116" spans="1:36">
      <c r="A116" s="456">
        <f t="shared" si="1"/>
        <v>64</v>
      </c>
      <c r="B116" s="457"/>
      <c r="C116" s="464" t="s">
        <v>89</v>
      </c>
      <c r="D116" s="1065"/>
      <c r="E116" s="316"/>
      <c r="F116" s="482" t="s">
        <v>552</v>
      </c>
      <c r="G116" s="347"/>
      <c r="H116" s="482">
        <f>'5 - Cost Support'!G52</f>
        <v>2018647</v>
      </c>
      <c r="I116" s="315"/>
      <c r="J116" s="7"/>
      <c r="K116" s="7"/>
      <c r="L116" s="7"/>
      <c r="M116" s="7"/>
      <c r="N116" s="7"/>
      <c r="O116" s="7"/>
      <c r="P116" s="7"/>
      <c r="Q116" s="7"/>
    </row>
    <row r="117" spans="1:36">
      <c r="A117" s="456">
        <f t="shared" si="1"/>
        <v>65</v>
      </c>
      <c r="B117" s="457"/>
      <c r="C117" s="464" t="s">
        <v>141</v>
      </c>
      <c r="D117" s="1065"/>
      <c r="E117" s="349" t="str">
        <f>"(Note "&amp;B$328&amp;")"</f>
        <v>(Note P)</v>
      </c>
      <c r="F117" s="482" t="s">
        <v>170</v>
      </c>
      <c r="G117" s="1065"/>
      <c r="H117" s="1144">
        <v>0</v>
      </c>
      <c r="I117" s="315"/>
      <c r="J117" s="7"/>
      <c r="K117" s="7"/>
      <c r="L117" s="7"/>
      <c r="M117" s="7"/>
      <c r="N117" s="7"/>
      <c r="O117" s="7"/>
      <c r="P117" s="7"/>
      <c r="Q117" s="7"/>
    </row>
    <row r="118" spans="1:36">
      <c r="A118" s="456">
        <f t="shared" si="1"/>
        <v>66</v>
      </c>
      <c r="B118" s="457"/>
      <c r="C118" s="464" t="s">
        <v>142</v>
      </c>
      <c r="D118" s="1065"/>
      <c r="E118" s="349"/>
      <c r="F118" s="482" t="s">
        <v>552</v>
      </c>
      <c r="G118" s="1065"/>
      <c r="H118" s="922">
        <f>'5 - Cost Support'!H109</f>
        <v>0</v>
      </c>
      <c r="I118" s="315"/>
      <c r="J118" s="7"/>
      <c r="K118" s="7"/>
      <c r="L118" s="7"/>
      <c r="M118" s="7"/>
      <c r="N118" s="7"/>
      <c r="O118" s="7"/>
      <c r="P118" s="7"/>
      <c r="Q118" s="7"/>
    </row>
    <row r="119" spans="1:36">
      <c r="A119" s="456">
        <f t="shared" si="1"/>
        <v>67</v>
      </c>
      <c r="B119" s="457"/>
      <c r="C119" s="464" t="s">
        <v>102</v>
      </c>
      <c r="D119" s="1065"/>
      <c r="E119" s="349"/>
      <c r="F119" s="471" t="s">
        <v>552</v>
      </c>
      <c r="G119" s="1065"/>
      <c r="H119" s="922">
        <f>'5 - Cost Support'!G54</f>
        <v>631026</v>
      </c>
      <c r="I119" s="315"/>
      <c r="J119" s="7"/>
      <c r="K119" s="7"/>
      <c r="L119" s="7"/>
      <c r="M119" s="7"/>
      <c r="N119" s="7"/>
      <c r="O119" s="7"/>
      <c r="P119" s="7"/>
      <c r="Q119" s="7"/>
    </row>
    <row r="120" spans="1:36">
      <c r="A120" s="456">
        <f t="shared" si="1"/>
        <v>68</v>
      </c>
      <c r="B120" s="1065"/>
      <c r="C120" s="486" t="s">
        <v>282</v>
      </c>
      <c r="D120" s="463"/>
      <c r="E120" s="473"/>
      <c r="F120" s="482" t="str">
        <f>"(Lines "&amp;A114&amp;" - "&amp;A115&amp;" - "&amp;A116&amp;" + "&amp;A117&amp;" - "&amp;A118&amp;" - "&amp;A119&amp;")"</f>
        <v>(Lines 62 - 63 - 64 + 65 - 66 - 67)</v>
      </c>
      <c r="G120" s="472"/>
      <c r="H120" s="487">
        <f>+H114-H115-H116+H117-H118-H119</f>
        <v>12787019</v>
      </c>
      <c r="I120" s="315"/>
      <c r="J120" s="7"/>
      <c r="K120" s="7"/>
      <c r="L120" s="7"/>
      <c r="M120" s="7"/>
      <c r="N120" s="7"/>
      <c r="O120" s="7"/>
      <c r="P120" s="7"/>
      <c r="Q120" s="7"/>
    </row>
    <row r="121" spans="1:36">
      <c r="A121" s="457"/>
      <c r="B121" s="457"/>
      <c r="C121" s="453"/>
      <c r="D121" s="1065"/>
      <c r="E121" s="454"/>
      <c r="F121" s="1065"/>
      <c r="G121" s="1065"/>
      <c r="H121" s="470"/>
      <c r="I121" s="315"/>
      <c r="J121" s="7"/>
      <c r="K121" s="7"/>
      <c r="L121" s="7"/>
      <c r="M121" s="7"/>
      <c r="N121" s="7"/>
      <c r="O121" s="7"/>
      <c r="P121" s="7"/>
      <c r="Q121" s="7"/>
    </row>
    <row r="122" spans="1:36">
      <c r="A122" s="457"/>
      <c r="B122" s="453" t="s">
        <v>705</v>
      </c>
      <c r="C122" s="1065"/>
      <c r="D122" s="1065"/>
      <c r="E122" s="454"/>
      <c r="F122" s="1065"/>
      <c r="G122" s="1065"/>
      <c r="H122" s="470"/>
      <c r="I122" s="315"/>
      <c r="J122" s="7"/>
      <c r="K122" s="7"/>
      <c r="L122" s="7"/>
      <c r="M122" s="7"/>
      <c r="N122" s="7"/>
      <c r="O122" s="7"/>
      <c r="P122" s="7"/>
      <c r="Q122" s="7"/>
    </row>
    <row r="123" spans="1:36">
      <c r="A123" s="457">
        <f>A120+1</f>
        <v>69</v>
      </c>
      <c r="B123" s="457"/>
      <c r="C123" s="464" t="s">
        <v>286</v>
      </c>
      <c r="D123" s="1065"/>
      <c r="E123" s="316"/>
      <c r="F123" s="922" t="s">
        <v>130</v>
      </c>
      <c r="G123" s="1065"/>
      <c r="H123" s="1144">
        <v>191727095</v>
      </c>
      <c r="I123" s="315"/>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row>
    <row r="124" spans="1:36">
      <c r="A124" s="457">
        <f>A123+1</f>
        <v>70</v>
      </c>
      <c r="B124" s="457"/>
      <c r="C124" s="464" t="s">
        <v>839</v>
      </c>
      <c r="D124" s="922"/>
      <c r="E124" s="349" t="str">
        <f>"(Note "&amp;B$326&amp;")"</f>
        <v>(Note O)</v>
      </c>
      <c r="F124" s="464" t="s">
        <v>552</v>
      </c>
      <c r="G124" s="1065"/>
      <c r="H124" s="922">
        <f>'5 - Cost Support'!G221</f>
        <v>0</v>
      </c>
      <c r="I124" s="315"/>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row>
    <row r="125" spans="1:36">
      <c r="A125" s="457">
        <f>A124+1</f>
        <v>71</v>
      </c>
      <c r="B125" s="457"/>
      <c r="C125" s="464" t="s">
        <v>148</v>
      </c>
      <c r="D125" s="922"/>
      <c r="E125" s="349" t="str">
        <f>"(Note "&amp;B$326&amp;")"</f>
        <v>(Note O)</v>
      </c>
      <c r="F125" s="464" t="s">
        <v>552</v>
      </c>
      <c r="G125" s="1065"/>
      <c r="H125" s="922">
        <f>'5 - Cost Support'!G222</f>
        <v>6437782</v>
      </c>
      <c r="I125" s="315"/>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row>
    <row r="126" spans="1:36">
      <c r="A126" s="457">
        <f t="shared" ref="A126:A131" si="2">A125+1</f>
        <v>72</v>
      </c>
      <c r="B126" s="457"/>
      <c r="C126" s="464" t="s">
        <v>77</v>
      </c>
      <c r="D126" s="922"/>
      <c r="E126" s="316"/>
      <c r="F126" s="464" t="s">
        <v>573</v>
      </c>
      <c r="G126" s="1065"/>
      <c r="H126" s="1144">
        <v>7022817</v>
      </c>
      <c r="I126" s="315"/>
      <c r="J126" s="756"/>
      <c r="K126" s="756"/>
      <c r="L126" s="756"/>
      <c r="M126" s="756"/>
      <c r="N126" s="756"/>
      <c r="O126" s="756"/>
      <c r="P126" s="756"/>
      <c r="Q126" s="756"/>
      <c r="R126" s="756"/>
      <c r="S126" s="756"/>
      <c r="T126" s="756"/>
      <c r="U126" s="756"/>
      <c r="V126" s="756"/>
      <c r="W126" s="756"/>
      <c r="X126" s="756"/>
      <c r="Y126" s="756"/>
      <c r="Z126" s="756"/>
      <c r="AA126" s="756"/>
      <c r="AB126" s="756"/>
      <c r="AC126" s="756"/>
      <c r="AD126" s="756"/>
      <c r="AE126" s="756"/>
      <c r="AF126" s="756"/>
      <c r="AG126" s="756"/>
      <c r="AH126" s="756"/>
    </row>
    <row r="127" spans="1:36">
      <c r="A127" s="457">
        <f t="shared" si="2"/>
        <v>73</v>
      </c>
      <c r="B127" s="457"/>
      <c r="C127" s="464" t="s">
        <v>78</v>
      </c>
      <c r="D127" s="922"/>
      <c r="E127" s="349" t="str">
        <f>"(Note "&amp;B$308&amp;")"</f>
        <v>(Note E)</v>
      </c>
      <c r="F127" s="464" t="s">
        <v>575</v>
      </c>
      <c r="G127" s="1065"/>
      <c r="H127" s="1144">
        <v>5244577</v>
      </c>
      <c r="I127" s="315"/>
      <c r="J127" s="756"/>
      <c r="K127" s="756"/>
      <c r="L127" s="756"/>
      <c r="M127" s="756"/>
      <c r="N127" s="756"/>
      <c r="O127" s="756"/>
      <c r="P127" s="756"/>
      <c r="Q127" s="756"/>
      <c r="R127" s="756"/>
      <c r="S127" s="756"/>
      <c r="T127" s="756"/>
      <c r="U127" s="756"/>
      <c r="V127" s="756"/>
      <c r="W127" s="756"/>
      <c r="X127" s="756"/>
      <c r="Y127" s="756"/>
      <c r="Z127" s="756"/>
      <c r="AA127" s="756"/>
      <c r="AB127" s="756"/>
      <c r="AC127" s="756"/>
      <c r="AD127" s="756"/>
      <c r="AE127" s="756"/>
      <c r="AF127" s="756"/>
      <c r="AG127" s="756"/>
      <c r="AH127" s="756"/>
    </row>
    <row r="128" spans="1:36">
      <c r="A128" s="457">
        <f t="shared" si="2"/>
        <v>74</v>
      </c>
      <c r="B128" s="457"/>
      <c r="C128" s="464" t="s">
        <v>79</v>
      </c>
      <c r="D128" s="922"/>
      <c r="E128" s="316"/>
      <c r="F128" s="479" t="s">
        <v>574</v>
      </c>
      <c r="G128" s="1065"/>
      <c r="H128" s="1144">
        <v>20700</v>
      </c>
      <c r="I128" s="315"/>
      <c r="J128" s="7"/>
      <c r="K128" s="7"/>
      <c r="L128" s="7"/>
      <c r="M128" s="7"/>
      <c r="N128" s="7"/>
      <c r="O128" s="7"/>
      <c r="P128" s="7"/>
      <c r="Q128" s="7"/>
    </row>
    <row r="129" spans="1:17">
      <c r="A129" s="457">
        <f t="shared" si="2"/>
        <v>75</v>
      </c>
      <c r="B129" s="457"/>
      <c r="C129" s="486" t="s">
        <v>706</v>
      </c>
      <c r="D129" s="463"/>
      <c r="E129" s="462"/>
      <c r="F129" s="482" t="str">
        <f>"Line "&amp;A123&amp;" + "&amp;A124&amp;" - Sum (Lines "&amp;A125&amp;" to "&amp;A128&amp;")"</f>
        <v>Line 69 + 70 - Sum (Lines 71 to 74)</v>
      </c>
      <c r="G129" s="463"/>
      <c r="H129" s="461">
        <f>H123+H124-SUM(H125:H128)</f>
        <v>173001219</v>
      </c>
      <c r="I129" s="315"/>
      <c r="J129" s="7"/>
      <c r="K129" s="7"/>
      <c r="L129" s="7"/>
      <c r="M129" s="7"/>
      <c r="N129" s="7"/>
      <c r="O129" s="7"/>
      <c r="P129" s="7"/>
      <c r="Q129" s="7"/>
    </row>
    <row r="130" spans="1:17">
      <c r="A130" s="457">
        <f t="shared" si="2"/>
        <v>76</v>
      </c>
      <c r="B130" s="457"/>
      <c r="C130" s="497" t="s">
        <v>301</v>
      </c>
      <c r="D130" s="508"/>
      <c r="E130" s="316"/>
      <c r="F130" s="480" t="str">
        <f>"(Line "&amp;A$17&amp;")"</f>
        <v>(Line 5)</v>
      </c>
      <c r="G130" s="1070"/>
      <c r="H130" s="498">
        <f>+H17</f>
        <v>5.9187768577029835E-2</v>
      </c>
      <c r="I130" s="315"/>
      <c r="J130" s="7"/>
      <c r="K130" s="7"/>
      <c r="L130" s="7"/>
      <c r="M130" s="7"/>
      <c r="N130" s="7"/>
      <c r="O130" s="7"/>
      <c r="P130" s="7"/>
      <c r="Q130" s="7"/>
    </row>
    <row r="131" spans="1:17">
      <c r="A131" s="457">
        <f t="shared" si="2"/>
        <v>77</v>
      </c>
      <c r="B131" s="457"/>
      <c r="C131" s="486" t="s">
        <v>4</v>
      </c>
      <c r="D131" s="463"/>
      <c r="E131" s="462"/>
      <c r="F131" s="482" t="str">
        <f>"(Line "&amp;A129&amp;" * "&amp;A130&amp;")"</f>
        <v>(Line 75 * 76)</v>
      </c>
      <c r="G131" s="463"/>
      <c r="H131" s="487">
        <f>+H130*H129</f>
        <v>10239556.113716057</v>
      </c>
      <c r="I131" s="315"/>
      <c r="J131" s="7"/>
      <c r="K131" s="7"/>
      <c r="L131" s="7"/>
      <c r="M131" s="7"/>
      <c r="N131" s="7"/>
      <c r="O131" s="7"/>
      <c r="P131" s="7"/>
      <c r="Q131" s="7"/>
    </row>
    <row r="132" spans="1:17">
      <c r="A132" s="457"/>
      <c r="B132" s="457"/>
      <c r="C132" s="346"/>
      <c r="D132" s="347"/>
      <c r="E132" s="348"/>
      <c r="F132" s="347"/>
      <c r="G132" s="347"/>
      <c r="H132" s="482"/>
      <c r="I132" s="315"/>
      <c r="J132" s="7"/>
      <c r="K132" s="7"/>
      <c r="L132" s="7"/>
      <c r="M132" s="7"/>
      <c r="N132" s="7"/>
      <c r="O132" s="7"/>
      <c r="P132" s="7"/>
      <c r="Q132" s="7"/>
    </row>
    <row r="133" spans="1:17">
      <c r="A133" s="457"/>
      <c r="B133" s="453" t="s">
        <v>231</v>
      </c>
      <c r="C133" s="315"/>
      <c r="D133" s="347"/>
      <c r="E133" s="348"/>
      <c r="F133" s="347"/>
      <c r="G133" s="347"/>
      <c r="H133" s="482"/>
      <c r="I133" s="315"/>
      <c r="J133" s="7"/>
      <c r="K133" s="7"/>
      <c r="L133" s="7"/>
      <c r="M133" s="7"/>
      <c r="N133" s="7"/>
      <c r="O133" s="7"/>
      <c r="P133" s="7"/>
      <c r="Q133" s="7"/>
    </row>
    <row r="134" spans="1:17">
      <c r="A134" s="457">
        <f>+A131+1</f>
        <v>78</v>
      </c>
      <c r="B134" s="499"/>
      <c r="C134" s="350" t="s">
        <v>587</v>
      </c>
      <c r="D134" s="349"/>
      <c r="E134" s="349" t="str">
        <f>"(Note "&amp;B$310&amp;")"</f>
        <v>(Note G)</v>
      </c>
      <c r="F134" s="350" t="s">
        <v>552</v>
      </c>
      <c r="G134" s="343"/>
      <c r="H134" s="351">
        <f>+'5 - Cost Support'!H62</f>
        <v>295658</v>
      </c>
      <c r="I134" s="315"/>
      <c r="J134" s="7"/>
      <c r="K134" s="7"/>
      <c r="L134" s="7"/>
      <c r="M134" s="7"/>
      <c r="N134" s="7"/>
      <c r="O134" s="7"/>
      <c r="P134" s="7"/>
      <c r="Q134" s="7"/>
    </row>
    <row r="135" spans="1:17">
      <c r="A135" s="457">
        <f>A134+1</f>
        <v>79</v>
      </c>
      <c r="B135" s="499"/>
      <c r="C135" s="503" t="s">
        <v>665</v>
      </c>
      <c r="D135" s="331"/>
      <c r="E135" s="331" t="str">
        <f>"(Note "&amp;B$318&amp;")"</f>
        <v>(Note J)</v>
      </c>
      <c r="F135" s="503" t="s">
        <v>552</v>
      </c>
      <c r="G135" s="359"/>
      <c r="H135" s="527">
        <f>'5 - Cost Support'!H81</f>
        <v>0</v>
      </c>
      <c r="I135" s="315"/>
      <c r="J135" s="7"/>
      <c r="K135" s="7"/>
      <c r="L135" s="7"/>
      <c r="M135" s="7"/>
      <c r="N135" s="7"/>
      <c r="O135" s="7"/>
      <c r="P135" s="7"/>
      <c r="Q135" s="7"/>
    </row>
    <row r="136" spans="1:17">
      <c r="A136" s="456">
        <f>A135+1</f>
        <v>80</v>
      </c>
      <c r="B136" s="499"/>
      <c r="C136" s="516" t="s">
        <v>321</v>
      </c>
      <c r="D136" s="1065"/>
      <c r="E136" s="316"/>
      <c r="F136" s="482" t="str">
        <f>"(Line "&amp;A134&amp;" + "&amp;A135&amp;")"</f>
        <v>(Line 78 + 79)</v>
      </c>
      <c r="G136" s="315"/>
      <c r="H136" s="751">
        <f>H134+H135</f>
        <v>295658</v>
      </c>
      <c r="I136" s="315"/>
      <c r="J136" s="7"/>
      <c r="K136" s="7"/>
      <c r="L136" s="7"/>
      <c r="M136" s="7"/>
      <c r="N136" s="7"/>
      <c r="O136" s="7"/>
      <c r="P136" s="7"/>
      <c r="Q136" s="7"/>
    </row>
    <row r="137" spans="1:17">
      <c r="A137" s="457"/>
      <c r="B137" s="499"/>
      <c r="C137" s="497"/>
      <c r="D137" s="1065"/>
      <c r="E137" s="316"/>
      <c r="F137" s="497"/>
      <c r="G137" s="315"/>
      <c r="H137" s="551"/>
      <c r="I137" s="315"/>
      <c r="J137" s="7"/>
      <c r="K137" s="7"/>
      <c r="L137" s="7"/>
      <c r="M137" s="7"/>
      <c r="N137" s="7"/>
      <c r="O137" s="7"/>
      <c r="P137" s="7"/>
      <c r="Q137" s="7"/>
    </row>
    <row r="138" spans="1:17">
      <c r="A138" s="456">
        <f>+A136+1</f>
        <v>81</v>
      </c>
      <c r="B138" s="499"/>
      <c r="C138" s="497" t="s">
        <v>347</v>
      </c>
      <c r="D138" s="1065"/>
      <c r="E138" s="316"/>
      <c r="F138" s="482" t="str">
        <f>"(Line "&amp;A126&amp;")"</f>
        <v>(Line 72)</v>
      </c>
      <c r="G138" s="315"/>
      <c r="H138" s="551">
        <f>H126</f>
        <v>7022817</v>
      </c>
      <c r="I138" s="315"/>
      <c r="J138" s="7"/>
      <c r="K138" s="7"/>
      <c r="L138" s="7"/>
      <c r="M138" s="7"/>
      <c r="N138" s="7"/>
      <c r="O138" s="7"/>
      <c r="P138" s="7"/>
      <c r="Q138" s="7"/>
    </row>
    <row r="139" spans="1:17">
      <c r="A139" s="456">
        <f>+A138+1</f>
        <v>82</v>
      </c>
      <c r="B139" s="499"/>
      <c r="C139" s="497" t="s">
        <v>666</v>
      </c>
      <c r="D139" s="331"/>
      <c r="E139" s="349" t="str">
        <f>"(Note "&amp;B$309&amp;")"</f>
        <v>(Note F)</v>
      </c>
      <c r="F139" s="503" t="s">
        <v>552</v>
      </c>
      <c r="G139" s="315"/>
      <c r="H139" s="527">
        <f>'5 - Cost Support'!H68</f>
        <v>0</v>
      </c>
      <c r="I139" s="315"/>
      <c r="J139" s="7"/>
      <c r="K139" s="7"/>
      <c r="L139" s="7"/>
      <c r="M139" s="7"/>
      <c r="N139" s="7"/>
      <c r="O139" s="7"/>
      <c r="P139" s="7"/>
      <c r="Q139" s="7"/>
    </row>
    <row r="140" spans="1:17">
      <c r="A140" s="457">
        <f>+A139+1</f>
        <v>83</v>
      </c>
      <c r="B140" s="499"/>
      <c r="C140" s="517" t="s">
        <v>306</v>
      </c>
      <c r="D140" s="463"/>
      <c r="E140" s="473"/>
      <c r="F140" s="482" t="str">
        <f>"(Line "&amp;A138&amp;" + "&amp;A139&amp;")"</f>
        <v>(Line 81 + 82)</v>
      </c>
      <c r="G140" s="472"/>
      <c r="H140" s="351">
        <f>+H138+H139</f>
        <v>7022817</v>
      </c>
      <c r="I140" s="315"/>
      <c r="J140" s="7"/>
      <c r="K140" s="7"/>
      <c r="L140" s="7"/>
      <c r="M140" s="7"/>
      <c r="N140" s="7"/>
      <c r="O140" s="7"/>
      <c r="P140" s="7"/>
      <c r="Q140" s="7"/>
    </row>
    <row r="141" spans="1:17">
      <c r="A141" s="456">
        <f>+A140+1</f>
        <v>84</v>
      </c>
      <c r="B141" s="457"/>
      <c r="C141" s="350" t="s">
        <v>259</v>
      </c>
      <c r="D141" s="508"/>
      <c r="E141" s="457"/>
      <c r="F141" s="471" t="str">
        <f>"(Line "&amp;A$36&amp;")"</f>
        <v>(Line 18)</v>
      </c>
      <c r="G141" s="1070"/>
      <c r="H141" s="498">
        <f>+H36</f>
        <v>0.15511822879158327</v>
      </c>
      <c r="I141" s="315"/>
      <c r="J141" s="7"/>
      <c r="K141" s="7"/>
      <c r="L141" s="7"/>
      <c r="M141" s="7"/>
      <c r="N141" s="7"/>
      <c r="O141" s="7"/>
      <c r="P141" s="7"/>
      <c r="Q141" s="7"/>
    </row>
    <row r="142" spans="1:17">
      <c r="A142" s="457">
        <f>+A141+1</f>
        <v>85</v>
      </c>
      <c r="B142" s="457"/>
      <c r="C142" s="486" t="s">
        <v>611</v>
      </c>
      <c r="D142" s="463"/>
      <c r="E142" s="462"/>
      <c r="F142" s="482" t="str">
        <f>"(Line "&amp;A140&amp;" * "&amp;A141&amp;")"</f>
        <v>(Line 83 * 84)</v>
      </c>
      <c r="G142" s="463"/>
      <c r="H142" s="494">
        <f>+H141*H140</f>
        <v>1089366.9341674205</v>
      </c>
      <c r="I142" s="315"/>
      <c r="J142" s="7"/>
      <c r="K142" s="7"/>
      <c r="L142" s="7"/>
      <c r="M142" s="7"/>
      <c r="N142" s="7"/>
      <c r="O142" s="7"/>
      <c r="P142" s="7"/>
      <c r="Q142" s="7"/>
    </row>
    <row r="143" spans="1:17">
      <c r="A143" s="456"/>
      <c r="B143" s="457"/>
      <c r="C143" s="453"/>
      <c r="D143" s="1065"/>
      <c r="E143" s="454"/>
      <c r="F143" s="1065"/>
      <c r="G143" s="1065"/>
      <c r="H143" s="482"/>
      <c r="I143" s="315"/>
      <c r="J143" s="7"/>
      <c r="K143" s="7"/>
      <c r="L143" s="7"/>
      <c r="M143" s="7"/>
      <c r="N143" s="7"/>
      <c r="O143" s="7"/>
      <c r="P143" s="7"/>
      <c r="Q143" s="7"/>
    </row>
    <row r="144" spans="1:17" ht="15.75" thickBot="1">
      <c r="A144" s="456">
        <f>+A142+1</f>
        <v>86</v>
      </c>
      <c r="B144" s="457"/>
      <c r="C144" s="465" t="s">
        <v>285</v>
      </c>
      <c r="D144" s="466"/>
      <c r="E144" s="467"/>
      <c r="F144" s="489" t="str">
        <f>"(Line "&amp;A120&amp;" + "&amp;A131&amp;" + "&amp;A136&amp;" + "&amp;A142&amp;")"</f>
        <v>(Line 68 + 77 + 80 + 85)</v>
      </c>
      <c r="G144" s="466"/>
      <c r="H144" s="489">
        <f>+H120+H131+H136+H142</f>
        <v>24411600.047883481</v>
      </c>
      <c r="I144" s="315"/>
      <c r="J144" s="7"/>
      <c r="K144" s="7"/>
      <c r="L144" s="7"/>
      <c r="M144" s="7"/>
      <c r="N144" s="7"/>
      <c r="O144" s="7"/>
      <c r="P144" s="7"/>
      <c r="Q144" s="7"/>
    </row>
    <row r="145" spans="1:17" ht="15.75" thickTop="1">
      <c r="A145" s="478"/>
      <c r="B145" s="457"/>
      <c r="C145" s="453"/>
      <c r="D145" s="1065"/>
      <c r="E145" s="454"/>
      <c r="F145" s="1065"/>
      <c r="G145" s="1065"/>
      <c r="H145" s="470"/>
      <c r="I145" s="315"/>
      <c r="J145" s="7"/>
      <c r="K145" s="7"/>
      <c r="L145" s="7"/>
      <c r="M145" s="7"/>
      <c r="N145" s="7"/>
      <c r="O145" s="7"/>
      <c r="P145" s="7"/>
      <c r="Q145" s="7"/>
    </row>
    <row r="146" spans="1:17">
      <c r="A146" s="478"/>
      <c r="B146" s="457"/>
      <c r="C146" s="453"/>
      <c r="D146" s="1065"/>
      <c r="E146" s="454"/>
      <c r="F146" s="1065"/>
      <c r="G146" s="1065"/>
      <c r="H146" s="470"/>
      <c r="I146" s="315"/>
      <c r="J146" s="7"/>
      <c r="K146" s="7"/>
      <c r="L146" s="7"/>
      <c r="M146" s="7"/>
      <c r="N146" s="7"/>
      <c r="O146" s="7"/>
      <c r="P146" s="7"/>
      <c r="Q146" s="7"/>
    </row>
    <row r="147" spans="1:17">
      <c r="A147" s="771" t="s">
        <v>278</v>
      </c>
      <c r="B147" s="772"/>
      <c r="C147" s="773"/>
      <c r="D147" s="773"/>
      <c r="E147" s="774"/>
      <c r="F147" s="775"/>
      <c r="G147" s="775"/>
      <c r="H147" s="775"/>
      <c r="I147" s="315"/>
      <c r="J147" s="7"/>
      <c r="K147" s="7"/>
      <c r="L147" s="7"/>
      <c r="M147" s="7"/>
      <c r="N147" s="7"/>
      <c r="O147" s="7"/>
      <c r="P147" s="7"/>
      <c r="Q147" s="7"/>
    </row>
    <row r="148" spans="1:17">
      <c r="A148" s="453"/>
      <c r="B148" s="457"/>
      <c r="C148" s="453"/>
      <c r="D148" s="1065"/>
      <c r="E148" s="454"/>
      <c r="F148" s="1065"/>
      <c r="G148" s="1065"/>
      <c r="H148" s="470"/>
      <c r="I148" s="315"/>
      <c r="J148" s="7"/>
      <c r="K148" s="7"/>
      <c r="L148" s="7"/>
      <c r="M148" s="7"/>
      <c r="N148" s="7"/>
      <c r="O148" s="7"/>
      <c r="P148" s="7"/>
      <c r="Q148" s="7"/>
    </row>
    <row r="149" spans="1:17">
      <c r="A149" s="319"/>
      <c r="B149" s="516" t="s">
        <v>207</v>
      </c>
      <c r="C149" s="315"/>
      <c r="D149" s="1065"/>
      <c r="E149" s="316"/>
      <c r="F149" s="493"/>
      <c r="G149" s="493"/>
      <c r="H149" s="498"/>
      <c r="I149" s="315"/>
      <c r="J149" s="7"/>
      <c r="K149" s="7"/>
      <c r="L149" s="7"/>
      <c r="M149" s="7"/>
      <c r="N149" s="7"/>
      <c r="O149" s="7"/>
      <c r="P149" s="7"/>
      <c r="Q149" s="7"/>
    </row>
    <row r="150" spans="1:17">
      <c r="A150" s="456">
        <f>+A144+1</f>
        <v>87</v>
      </c>
      <c r="B150" s="499"/>
      <c r="C150" s="516" t="s">
        <v>208</v>
      </c>
      <c r="D150" s="1065"/>
      <c r="E150" s="349" t="str">
        <f>"(Note "&amp;B325&amp;")"</f>
        <v>(Note N)</v>
      </c>
      <c r="F150" s="497" t="s">
        <v>588</v>
      </c>
      <c r="G150" s="315"/>
      <c r="H150" s="1217">
        <v>28750010</v>
      </c>
      <c r="I150" s="315"/>
      <c r="J150" s="7"/>
      <c r="K150" s="7"/>
      <c r="L150" s="7"/>
      <c r="M150" s="7"/>
      <c r="N150" s="7"/>
      <c r="O150" s="7"/>
      <c r="P150" s="7"/>
      <c r="Q150" s="7"/>
    </row>
    <row r="151" spans="1:17">
      <c r="A151" s="456"/>
      <c r="B151" s="499"/>
      <c r="C151" s="516"/>
      <c r="D151" s="1065"/>
      <c r="E151" s="349"/>
      <c r="F151" s="497"/>
      <c r="G151" s="315"/>
      <c r="H151" s="751"/>
      <c r="I151" s="315"/>
      <c r="J151" s="7"/>
      <c r="K151" s="7"/>
      <c r="L151" s="7"/>
      <c r="M151" s="7"/>
      <c r="N151" s="7"/>
      <c r="O151" s="7"/>
      <c r="P151" s="7"/>
      <c r="Q151" s="7"/>
    </row>
    <row r="152" spans="1:17">
      <c r="A152" s="456"/>
      <c r="B152" s="499"/>
      <c r="C152" s="497"/>
      <c r="D152" s="1065"/>
      <c r="E152" s="457"/>
      <c r="F152" s="497"/>
      <c r="G152" s="1070"/>
      <c r="H152" s="498"/>
      <c r="I152" s="315"/>
      <c r="J152" s="7"/>
      <c r="K152" s="7"/>
      <c r="L152" s="7"/>
      <c r="M152" s="7"/>
      <c r="N152" s="7"/>
      <c r="O152" s="7"/>
      <c r="P152" s="7"/>
      <c r="Q152" s="7"/>
    </row>
    <row r="153" spans="1:17">
      <c r="A153" s="456">
        <f>+A150+1</f>
        <v>88</v>
      </c>
      <c r="B153" s="499"/>
      <c r="C153" s="350" t="s">
        <v>643</v>
      </c>
      <c r="D153" s="347"/>
      <c r="E153" s="349" t="str">
        <f>"(Notes "&amp;B$302&amp;" and "&amp;$B$325&amp;")"</f>
        <v>(Notes A and N)</v>
      </c>
      <c r="F153" s="315" t="s">
        <v>552</v>
      </c>
      <c r="G153" s="315"/>
      <c r="H153" s="551">
        <f>'5 - Cost Support'!H28</f>
        <v>5300199</v>
      </c>
      <c r="I153" s="315"/>
      <c r="J153" s="7"/>
      <c r="K153" s="7"/>
      <c r="L153" s="7"/>
      <c r="M153" s="7"/>
      <c r="N153" s="7"/>
      <c r="O153" s="7"/>
      <c r="P153" s="7"/>
      <c r="Q153" s="7"/>
    </row>
    <row r="154" spans="1:17">
      <c r="A154" s="456">
        <f>+A153+1</f>
        <v>89</v>
      </c>
      <c r="B154" s="499"/>
      <c r="C154" s="503" t="s">
        <v>644</v>
      </c>
      <c r="D154" s="480"/>
      <c r="E154" s="331" t="str">
        <f>"(Notes "&amp;B$302&amp;" and "&amp;$B$325&amp;")"</f>
        <v>(Notes A and N)</v>
      </c>
      <c r="F154" s="359" t="s">
        <v>552</v>
      </c>
      <c r="G154" s="515"/>
      <c r="H154" s="527">
        <f>'5 - Cost Support'!H29</f>
        <v>5412654</v>
      </c>
      <c r="I154" s="315"/>
      <c r="J154" s="7"/>
      <c r="K154" s="7"/>
      <c r="L154" s="7"/>
      <c r="M154" s="7"/>
      <c r="N154" s="7"/>
      <c r="O154" s="7"/>
      <c r="P154" s="7"/>
      <c r="Q154" s="7"/>
    </row>
    <row r="155" spans="1:17">
      <c r="A155" s="456">
        <f>+A154+1</f>
        <v>90</v>
      </c>
      <c r="B155" s="499"/>
      <c r="C155" s="350" t="s">
        <v>306</v>
      </c>
      <c r="D155" s="347"/>
      <c r="E155" s="459"/>
      <c r="F155" s="482" t="str">
        <f>"(Line "&amp;A153&amp;" + "&amp;A154&amp;")"</f>
        <v>(Line 88 + 89)</v>
      </c>
      <c r="G155" s="315"/>
      <c r="H155" s="551">
        <f>SUM(H153:H154)</f>
        <v>10712853</v>
      </c>
      <c r="I155" s="315"/>
      <c r="J155" s="7"/>
      <c r="K155" s="7"/>
      <c r="L155" s="7"/>
      <c r="M155" s="7"/>
      <c r="N155" s="7"/>
      <c r="O155" s="7"/>
      <c r="P155" s="7"/>
      <c r="Q155" s="7"/>
    </row>
    <row r="156" spans="1:17">
      <c r="A156" s="456">
        <f>+A155+1</f>
        <v>91</v>
      </c>
      <c r="B156" s="499"/>
      <c r="C156" s="503" t="s">
        <v>301</v>
      </c>
      <c r="D156" s="481"/>
      <c r="E156" s="331"/>
      <c r="F156" s="480" t="str">
        <f>"(Line "&amp;A$17&amp;")"</f>
        <v>(Line 5)</v>
      </c>
      <c r="G156" s="515"/>
      <c r="H156" s="518">
        <f>+H17</f>
        <v>5.9187768577029835E-2</v>
      </c>
      <c r="I156" s="315"/>
      <c r="J156" s="7"/>
      <c r="K156" s="7"/>
      <c r="L156" s="7"/>
      <c r="M156" s="7"/>
      <c r="N156" s="7"/>
      <c r="O156" s="7"/>
      <c r="P156" s="7"/>
      <c r="Q156" s="7"/>
    </row>
    <row r="157" spans="1:17">
      <c r="A157" s="456">
        <f>+A156+1</f>
        <v>92</v>
      </c>
      <c r="B157" s="499"/>
      <c r="C157" s="516" t="s">
        <v>261</v>
      </c>
      <c r="D157" s="1065"/>
      <c r="E157" s="457"/>
      <c r="F157" s="482" t="str">
        <f>"(Line "&amp;A155&amp;" * "&amp;A156&amp;")"</f>
        <v>(Line 90 * 91)</v>
      </c>
      <c r="G157" s="1070"/>
      <c r="H157" s="495">
        <f>+H155*H156</f>
        <v>634069.86416373984</v>
      </c>
      <c r="I157" s="315"/>
      <c r="J157" s="7"/>
      <c r="K157" s="7"/>
      <c r="L157" s="7"/>
      <c r="M157" s="7"/>
      <c r="N157" s="7"/>
      <c r="O157" s="7"/>
      <c r="P157" s="7"/>
      <c r="Q157" s="7"/>
    </row>
    <row r="158" spans="1:17">
      <c r="A158" s="457"/>
      <c r="B158" s="499"/>
      <c r="C158" s="497"/>
      <c r="D158" s="1065"/>
      <c r="E158" s="457"/>
      <c r="F158" s="497"/>
      <c r="G158" s="1070"/>
      <c r="H158" s="551"/>
      <c r="I158" s="315"/>
      <c r="J158" s="7"/>
      <c r="K158" s="7"/>
      <c r="L158" s="7"/>
      <c r="M158" s="7"/>
      <c r="N158" s="7"/>
      <c r="O158" s="7"/>
      <c r="P158" s="7"/>
      <c r="Q158" s="7"/>
    </row>
    <row r="159" spans="1:17">
      <c r="A159" s="456">
        <f>+A157+1</f>
        <v>93</v>
      </c>
      <c r="B159" s="499"/>
      <c r="C159" s="497" t="s">
        <v>645</v>
      </c>
      <c r="D159" s="1065"/>
      <c r="E159" s="349" t="str">
        <f>"(Notes "&amp;B$302&amp;" and "&amp;$B$325&amp;")"</f>
        <v>(Notes A and N)</v>
      </c>
      <c r="F159" s="315" t="s">
        <v>552</v>
      </c>
      <c r="G159" s="315"/>
      <c r="H159" s="551">
        <f>'5 - Cost Support'!H30</f>
        <v>5865540</v>
      </c>
      <c r="I159" s="315"/>
      <c r="J159" s="7"/>
      <c r="K159" s="7"/>
      <c r="L159" s="7"/>
      <c r="M159" s="7"/>
      <c r="N159" s="7"/>
      <c r="O159" s="7"/>
      <c r="P159" s="7"/>
      <c r="Q159" s="7"/>
    </row>
    <row r="160" spans="1:17">
      <c r="A160" s="457">
        <f>+A159+1</f>
        <v>94</v>
      </c>
      <c r="B160" s="499"/>
      <c r="C160" s="503" t="s">
        <v>646</v>
      </c>
      <c r="D160" s="480"/>
      <c r="E160" s="331" t="str">
        <f>"(Notes "&amp;B$302&amp;" and "&amp;$B$325&amp;")"</f>
        <v>(Notes A and N)</v>
      </c>
      <c r="F160" s="359" t="s">
        <v>552</v>
      </c>
      <c r="G160" s="359"/>
      <c r="H160" s="527">
        <f>'5 - Cost Support'!H31</f>
        <v>2624476</v>
      </c>
      <c r="I160" s="315"/>
      <c r="J160" s="7"/>
      <c r="K160" s="7"/>
      <c r="L160" s="7"/>
      <c r="M160" s="7"/>
      <c r="N160" s="7"/>
      <c r="O160" s="7"/>
      <c r="P160" s="7"/>
      <c r="Q160" s="7"/>
    </row>
    <row r="161" spans="1:17">
      <c r="A161" s="457">
        <f>+A160+1</f>
        <v>95</v>
      </c>
      <c r="B161" s="499"/>
      <c r="C161" s="497" t="s">
        <v>306</v>
      </c>
      <c r="D161" s="1065"/>
      <c r="E161" s="457"/>
      <c r="F161" s="482" t="str">
        <f>"(Line "&amp;A159&amp;" + "&amp;A160&amp;")"</f>
        <v>(Line 93 + 94)</v>
      </c>
      <c r="G161" s="315"/>
      <c r="H161" s="551">
        <f>+H160+H159</f>
        <v>8490016</v>
      </c>
      <c r="I161" s="315"/>
      <c r="J161" s="7"/>
      <c r="K161" s="7"/>
      <c r="L161" s="7"/>
      <c r="M161" s="7"/>
      <c r="N161" s="7"/>
      <c r="O161" s="7"/>
      <c r="P161" s="7"/>
      <c r="Q161" s="7"/>
    </row>
    <row r="162" spans="1:17">
      <c r="A162" s="456">
        <f>+A161+1</f>
        <v>96</v>
      </c>
      <c r="B162" s="499"/>
      <c r="C162" s="503" t="s">
        <v>301</v>
      </c>
      <c r="D162" s="481"/>
      <c r="E162" s="331"/>
      <c r="F162" s="480" t="str">
        <f>"(Line "&amp;A$17&amp;")"</f>
        <v>(Line 5)</v>
      </c>
      <c r="G162" s="527"/>
      <c r="H162" s="518">
        <f>+H17</f>
        <v>5.9187768577029835E-2</v>
      </c>
      <c r="I162" s="315"/>
      <c r="J162" s="7"/>
      <c r="K162" s="7"/>
      <c r="L162" s="7"/>
      <c r="M162" s="7"/>
      <c r="N162" s="7"/>
      <c r="O162" s="7"/>
      <c r="P162" s="7"/>
      <c r="Q162" s="7"/>
    </row>
    <row r="163" spans="1:17">
      <c r="A163" s="456">
        <f>+A162+1</f>
        <v>97</v>
      </c>
      <c r="B163" s="499"/>
      <c r="C163" s="516" t="s">
        <v>262</v>
      </c>
      <c r="D163" s="1065"/>
      <c r="E163" s="457"/>
      <c r="F163" s="482" t="str">
        <f>"(Line "&amp;A161&amp;" * "&amp;A162&amp;")"</f>
        <v>(Line 95 * 96)</v>
      </c>
      <c r="G163" s="551"/>
      <c r="H163" s="495">
        <f>+H162*H161</f>
        <v>502505.10222328053</v>
      </c>
      <c r="I163" s="315"/>
      <c r="J163" s="7"/>
      <c r="K163" s="7"/>
      <c r="L163" s="7"/>
      <c r="M163" s="7"/>
      <c r="N163" s="7"/>
      <c r="O163" s="7"/>
      <c r="P163" s="7"/>
      <c r="Q163" s="7"/>
    </row>
    <row r="164" spans="1:17">
      <c r="A164" s="457"/>
      <c r="B164" s="464"/>
      <c r="C164" s="497"/>
      <c r="D164" s="1065"/>
      <c r="E164" s="457"/>
      <c r="F164" s="497"/>
      <c r="G164" s="551"/>
      <c r="H164" s="498"/>
      <c r="I164" s="315"/>
      <c r="J164" s="7"/>
      <c r="K164" s="7"/>
      <c r="L164" s="7"/>
      <c r="M164" s="7"/>
      <c r="N164" s="7"/>
      <c r="O164" s="7"/>
      <c r="P164" s="7"/>
      <c r="Q164" s="7"/>
    </row>
    <row r="165" spans="1:17" s="1" customFormat="1" ht="16.5" thickBot="1">
      <c r="A165" s="456">
        <f>A163+1</f>
        <v>98</v>
      </c>
      <c r="B165" s="519" t="s">
        <v>279</v>
      </c>
      <c r="C165" s="519"/>
      <c r="D165" s="520"/>
      <c r="E165" s="521"/>
      <c r="F165" s="489" t="str">
        <f>"(Line "&amp;A150&amp;" + "&amp;A157&amp;" + "&amp;A163&amp;")"</f>
        <v>(Line 87 + 92 + 97)</v>
      </c>
      <c r="G165" s="522"/>
      <c r="H165" s="523">
        <f>+H150+H157+H163</f>
        <v>29886584.966387022</v>
      </c>
      <c r="I165" s="354"/>
      <c r="J165" s="19"/>
      <c r="K165" s="19"/>
      <c r="L165" s="19"/>
      <c r="M165" s="19"/>
      <c r="N165" s="19"/>
      <c r="O165" s="19"/>
      <c r="P165" s="19"/>
      <c r="Q165" s="19"/>
    </row>
    <row r="166" spans="1:17" ht="15.75" thickTop="1">
      <c r="A166" s="317"/>
      <c r="B166" s="1065"/>
      <c r="C166" s="1065"/>
      <c r="D166" s="1065"/>
      <c r="E166" s="316"/>
      <c r="F166" s="315"/>
      <c r="G166" s="315"/>
      <c r="H166" s="315"/>
      <c r="I166" s="315"/>
      <c r="J166" s="7"/>
      <c r="K166" s="7"/>
      <c r="L166" s="7"/>
      <c r="M166" s="7"/>
      <c r="N166" s="7"/>
      <c r="O166" s="7"/>
      <c r="P166" s="7"/>
      <c r="Q166" s="7"/>
    </row>
    <row r="167" spans="1:17">
      <c r="A167" s="771" t="s">
        <v>28</v>
      </c>
      <c r="B167" s="772"/>
      <c r="C167" s="773"/>
      <c r="D167" s="773"/>
      <c r="E167" s="774"/>
      <c r="F167" s="775"/>
      <c r="G167" s="775"/>
      <c r="H167" s="775"/>
      <c r="I167" s="315"/>
      <c r="J167" s="7"/>
      <c r="K167" s="7"/>
      <c r="L167" s="7"/>
      <c r="M167" s="7"/>
      <c r="N167" s="7"/>
      <c r="O167" s="7"/>
      <c r="P167" s="7"/>
      <c r="Q167" s="7"/>
    </row>
    <row r="168" spans="1:17">
      <c r="A168" s="1069"/>
      <c r="B168" s="457"/>
      <c r="C168" s="453"/>
      <c r="D168" s="1065"/>
      <c r="E168" s="454"/>
      <c r="F168" s="1065"/>
      <c r="G168" s="1065"/>
      <c r="H168" s="470"/>
      <c r="I168" s="315"/>
      <c r="J168" s="7"/>
      <c r="K168" s="7"/>
      <c r="L168" s="7"/>
      <c r="M168" s="7"/>
      <c r="N168" s="7"/>
      <c r="O168" s="7"/>
      <c r="P168" s="7"/>
      <c r="Q168" s="7"/>
    </row>
    <row r="169" spans="1:17">
      <c r="A169" s="457">
        <f>+A165+1</f>
        <v>99</v>
      </c>
      <c r="B169" s="516" t="s">
        <v>29</v>
      </c>
      <c r="C169" s="810"/>
      <c r="D169" s="1065"/>
      <c r="E169" s="349"/>
      <c r="F169" s="315" t="s">
        <v>676</v>
      </c>
      <c r="G169" s="315"/>
      <c r="H169" s="524">
        <f>+'2 - Other Tax'!G44</f>
        <v>24475637.997515067</v>
      </c>
      <c r="I169" s="875"/>
      <c r="J169" s="7"/>
      <c r="K169" s="7"/>
      <c r="L169" s="7"/>
      <c r="M169" s="7"/>
      <c r="N169" s="7"/>
      <c r="O169" s="7"/>
      <c r="P169" s="7"/>
      <c r="Q169" s="7"/>
    </row>
    <row r="170" spans="1:17">
      <c r="A170" s="316"/>
      <c r="B170" s="1065"/>
      <c r="C170" s="1065"/>
      <c r="D170" s="1065"/>
      <c r="E170" s="457"/>
      <c r="F170" s="497"/>
      <c r="G170" s="315"/>
      <c r="H170" s="315"/>
      <c r="I170" s="315"/>
      <c r="J170" s="7"/>
      <c r="K170" s="7"/>
      <c r="L170" s="7"/>
      <c r="M170" s="7"/>
      <c r="N170" s="7"/>
      <c r="O170" s="7"/>
      <c r="P170" s="7"/>
      <c r="Q170" s="7"/>
    </row>
    <row r="171" spans="1:17" ht="15.75" thickBot="1">
      <c r="A171" s="457">
        <f>+A169+1</f>
        <v>100</v>
      </c>
      <c r="B171" s="465" t="s">
        <v>202</v>
      </c>
      <c r="C171" s="465"/>
      <c r="D171" s="520"/>
      <c r="E171" s="488"/>
      <c r="F171" s="489" t="str">
        <f>"(Line "&amp;A169&amp;")"</f>
        <v>(Line 99)</v>
      </c>
      <c r="G171" s="475"/>
      <c r="H171" s="490">
        <f>+H169</f>
        <v>24475637.997515067</v>
      </c>
      <c r="I171" s="315"/>
      <c r="J171" s="7"/>
      <c r="K171" s="7"/>
      <c r="L171" s="7"/>
      <c r="M171" s="7"/>
      <c r="N171" s="7"/>
      <c r="O171" s="7"/>
      <c r="P171" s="7"/>
      <c r="Q171" s="7"/>
    </row>
    <row r="172" spans="1:17" ht="15.75" thickTop="1">
      <c r="A172" s="319"/>
      <c r="B172" s="1065"/>
      <c r="C172" s="1065"/>
      <c r="D172" s="1065"/>
      <c r="E172" s="316"/>
      <c r="F172" s="315"/>
      <c r="G172" s="315"/>
      <c r="H172" s="315"/>
      <c r="I172" s="315"/>
      <c r="J172" s="7"/>
      <c r="K172" s="7"/>
      <c r="L172" s="7"/>
      <c r="M172" s="7"/>
      <c r="N172" s="7"/>
      <c r="O172" s="7"/>
      <c r="P172" s="7"/>
      <c r="Q172" s="7"/>
    </row>
    <row r="173" spans="1:17">
      <c r="A173" s="771" t="s">
        <v>263</v>
      </c>
      <c r="B173" s="772"/>
      <c r="C173" s="773"/>
      <c r="D173" s="773"/>
      <c r="E173" s="812"/>
      <c r="F173" s="775"/>
      <c r="G173" s="775"/>
      <c r="H173" s="775"/>
      <c r="I173" s="315"/>
      <c r="J173" s="7"/>
      <c r="K173" s="7"/>
      <c r="L173" s="7"/>
      <c r="M173" s="7"/>
      <c r="N173" s="7"/>
      <c r="O173" s="7"/>
      <c r="P173" s="7"/>
      <c r="Q173" s="7"/>
    </row>
    <row r="174" spans="1:17">
      <c r="A174" s="478"/>
      <c r="B174" s="457"/>
      <c r="C174" s="453"/>
      <c r="D174" s="1065"/>
      <c r="E174" s="454"/>
      <c r="F174" s="1065"/>
      <c r="G174" s="1065"/>
      <c r="H174" s="470"/>
      <c r="I174" s="315"/>
      <c r="J174" s="7"/>
      <c r="K174" s="7"/>
      <c r="L174" s="7"/>
      <c r="M174" s="7"/>
      <c r="N174" s="7"/>
      <c r="O174" s="7"/>
      <c r="P174" s="7"/>
      <c r="Q174" s="7"/>
    </row>
    <row r="175" spans="1:17">
      <c r="A175" s="457"/>
      <c r="B175" s="496" t="s">
        <v>204</v>
      </c>
      <c r="C175" s="1065"/>
      <c r="D175" s="347"/>
      <c r="E175" s="348"/>
      <c r="F175" s="315"/>
      <c r="G175" s="482"/>
      <c r="H175" s="315"/>
      <c r="I175" s="315"/>
      <c r="J175" s="7"/>
      <c r="K175" s="7"/>
      <c r="L175" s="7"/>
      <c r="M175" s="7"/>
      <c r="N175" s="7"/>
      <c r="O175" s="7"/>
      <c r="P175" s="7"/>
      <c r="Q175" s="7"/>
    </row>
    <row r="176" spans="1:17" ht="15" customHeight="1">
      <c r="A176" s="457">
        <f>+A171+1</f>
        <v>101</v>
      </c>
      <c r="B176" s="496"/>
      <c r="C176" s="1065" t="s">
        <v>59</v>
      </c>
      <c r="D176" s="347"/>
      <c r="E176" s="348"/>
      <c r="F176" s="482" t="s">
        <v>183</v>
      </c>
      <c r="G176" s="482"/>
      <c r="H176" s="747">
        <v>253679997</v>
      </c>
      <c r="I176" s="474"/>
      <c r="J176" s="7"/>
      <c r="K176" s="7"/>
      <c r="L176" s="7"/>
      <c r="M176" s="7"/>
      <c r="N176" s="7"/>
      <c r="O176" s="7"/>
      <c r="P176" s="7"/>
      <c r="Q176" s="7"/>
    </row>
    <row r="177" spans="1:17" s="10" customFormat="1">
      <c r="A177" s="459">
        <f t="shared" ref="A177:A182" si="3">+A176+1</f>
        <v>102</v>
      </c>
      <c r="B177" s="459"/>
      <c r="C177" s="816" t="str">
        <f>'8 - Capital Structure'!C43</f>
        <v xml:space="preserve">    Total Excluded Hedge (Gain)/Loss Amounts</v>
      </c>
      <c r="D177" s="347"/>
      <c r="E177" s="348"/>
      <c r="F177" s="482" t="s">
        <v>144</v>
      </c>
      <c r="G177" s="482"/>
      <c r="H177" s="351">
        <f>'8 - Capital Structure'!L43</f>
        <v>0</v>
      </c>
      <c r="I177" s="474"/>
      <c r="J177" s="12"/>
      <c r="K177" s="12"/>
      <c r="L177" s="12"/>
      <c r="M177" s="12"/>
      <c r="N177" s="12"/>
      <c r="O177" s="12"/>
      <c r="P177" s="12"/>
      <c r="Q177" s="12"/>
    </row>
    <row r="178" spans="1:17">
      <c r="A178" s="459">
        <f t="shared" si="3"/>
        <v>103</v>
      </c>
      <c r="B178" s="457"/>
      <c r="C178" s="816" t="s">
        <v>67</v>
      </c>
      <c r="D178" s="347"/>
      <c r="E178" s="348"/>
      <c r="F178" s="482" t="s">
        <v>61</v>
      </c>
      <c r="G178" s="482"/>
      <c r="H178" s="1215">
        <v>2940265</v>
      </c>
      <c r="I178" s="474"/>
      <c r="J178" s="7"/>
      <c r="K178" s="7"/>
      <c r="L178" s="7"/>
      <c r="M178" s="7"/>
      <c r="N178" s="7"/>
      <c r="O178" s="7"/>
      <c r="P178" s="7"/>
      <c r="Q178" s="7"/>
    </row>
    <row r="179" spans="1:17">
      <c r="A179" s="459">
        <f t="shared" si="3"/>
        <v>104</v>
      </c>
      <c r="B179" s="457"/>
      <c r="C179" s="816" t="s">
        <v>823</v>
      </c>
      <c r="D179" s="347"/>
      <c r="E179" s="348"/>
      <c r="F179" s="482" t="s">
        <v>62</v>
      </c>
      <c r="G179" s="482"/>
      <c r="H179" s="1215">
        <v>1142386</v>
      </c>
      <c r="I179" s="474"/>
      <c r="J179" s="7"/>
      <c r="K179" s="7"/>
      <c r="L179" s="7"/>
      <c r="M179" s="7"/>
      <c r="N179" s="7"/>
      <c r="O179" s="7"/>
      <c r="P179" s="7"/>
      <c r="Q179" s="7"/>
    </row>
    <row r="180" spans="1:17">
      <c r="A180" s="459">
        <f t="shared" si="3"/>
        <v>105</v>
      </c>
      <c r="B180" s="457"/>
      <c r="C180" s="816" t="s">
        <v>68</v>
      </c>
      <c r="D180" s="347"/>
      <c r="E180" s="348"/>
      <c r="F180" s="482" t="s">
        <v>63</v>
      </c>
      <c r="G180" s="482"/>
      <c r="H180" s="1215">
        <v>662287</v>
      </c>
      <c r="I180" s="474"/>
      <c r="J180" s="7"/>
      <c r="K180" s="7"/>
      <c r="L180" s="7"/>
      <c r="M180" s="7"/>
      <c r="N180" s="7"/>
      <c r="O180" s="7"/>
      <c r="P180" s="7"/>
      <c r="Q180" s="7"/>
    </row>
    <row r="181" spans="1:17">
      <c r="A181" s="459">
        <f t="shared" si="3"/>
        <v>106</v>
      </c>
      <c r="B181" s="457"/>
      <c r="C181" s="525" t="s">
        <v>824</v>
      </c>
      <c r="D181" s="480"/>
      <c r="E181" s="526"/>
      <c r="F181" s="471" t="s">
        <v>64</v>
      </c>
      <c r="G181" s="471"/>
      <c r="H181" s="1216">
        <v>0</v>
      </c>
      <c r="I181" s="474"/>
      <c r="J181" s="7"/>
      <c r="K181" s="7"/>
      <c r="L181" s="7"/>
      <c r="M181" s="7"/>
      <c r="N181" s="7"/>
      <c r="O181" s="7"/>
      <c r="P181" s="7"/>
      <c r="Q181" s="7"/>
    </row>
    <row r="182" spans="1:17">
      <c r="A182" s="459">
        <f t="shared" si="3"/>
        <v>107</v>
      </c>
      <c r="B182" s="457"/>
      <c r="C182" s="496" t="s">
        <v>204</v>
      </c>
      <c r="D182" s="347"/>
      <c r="E182" s="349"/>
      <c r="F182" s="482" t="str">
        <f>"(Line "&amp;A176&amp;" - "&amp;A177&amp;" + "&amp;A178&amp;" + "&amp;A179&amp;" - "&amp;A180&amp;" - "&amp;A181&amp;")"</f>
        <v>(Line 101 - 102 + 103 + 104 - 105 - 106)</v>
      </c>
      <c r="G182" s="482"/>
      <c r="H182" s="482">
        <f>H176-H177+H178+H179-H180-H181</f>
        <v>257100361</v>
      </c>
      <c r="I182" s="315"/>
      <c r="J182" s="7"/>
      <c r="K182" s="7"/>
      <c r="L182" s="7"/>
      <c r="M182" s="7"/>
      <c r="N182" s="7"/>
      <c r="O182" s="7"/>
      <c r="P182" s="7"/>
      <c r="Q182" s="7"/>
    </row>
    <row r="183" spans="1:17">
      <c r="A183" s="456"/>
      <c r="B183" s="457"/>
      <c r="C183" s="922"/>
      <c r="D183" s="1065"/>
      <c r="E183" s="316"/>
      <c r="F183" s="1065"/>
      <c r="G183" s="922"/>
      <c r="H183" s="922"/>
      <c r="J183" s="7"/>
      <c r="K183" s="7"/>
      <c r="L183" s="7"/>
      <c r="M183" s="7"/>
      <c r="N183" s="7"/>
      <c r="O183" s="7"/>
      <c r="P183" s="7"/>
      <c r="Q183" s="7"/>
    </row>
    <row r="184" spans="1:17">
      <c r="A184" s="456">
        <f>+A182+1</f>
        <v>108</v>
      </c>
      <c r="B184" s="483" t="s">
        <v>271</v>
      </c>
      <c r="C184" s="1065"/>
      <c r="D184" s="1065"/>
      <c r="E184" s="349" t="str">
        <f>"(Note "&amp;B$337&amp;")"</f>
        <v>(Note S)</v>
      </c>
      <c r="F184" s="858" t="s">
        <v>101</v>
      </c>
      <c r="G184" s="922"/>
      <c r="H184" s="747">
        <v>0</v>
      </c>
      <c r="I184" s="315"/>
      <c r="J184" s="7"/>
      <c r="K184" s="7"/>
      <c r="L184" s="7"/>
      <c r="M184" s="7"/>
      <c r="N184" s="7"/>
      <c r="O184" s="7"/>
      <c r="P184" s="7"/>
      <c r="Q184" s="7"/>
    </row>
    <row r="185" spans="1:17">
      <c r="A185" s="456"/>
      <c r="B185" s="457"/>
      <c r="C185" s="464"/>
      <c r="D185" s="1065"/>
      <c r="E185" s="454"/>
      <c r="F185" s="922"/>
      <c r="G185" s="922"/>
      <c r="H185" s="922"/>
      <c r="I185" s="315"/>
      <c r="J185" s="7"/>
      <c r="K185" s="7"/>
      <c r="L185" s="7"/>
      <c r="M185" s="7"/>
      <c r="N185" s="7"/>
      <c r="O185" s="7"/>
      <c r="P185" s="7"/>
      <c r="Q185" s="7"/>
    </row>
    <row r="186" spans="1:17">
      <c r="A186" s="456"/>
      <c r="B186" s="453" t="s">
        <v>192</v>
      </c>
      <c r="C186" s="1065"/>
      <c r="D186" s="1065"/>
      <c r="E186" s="454"/>
      <c r="F186" s="922"/>
      <c r="G186" s="922"/>
      <c r="H186" s="922"/>
      <c r="I186" s="315"/>
      <c r="J186" s="7"/>
      <c r="K186" s="7"/>
      <c r="L186" s="7"/>
      <c r="M186" s="7"/>
      <c r="N186" s="7"/>
      <c r="O186" s="7"/>
      <c r="P186" s="7"/>
      <c r="Q186" s="7"/>
    </row>
    <row r="187" spans="1:17">
      <c r="A187" s="456">
        <f>+A184+1</f>
        <v>109</v>
      </c>
      <c r="B187" s="457"/>
      <c r="C187" s="922" t="s">
        <v>308</v>
      </c>
      <c r="D187" s="922"/>
      <c r="E187" s="454"/>
      <c r="F187" s="482" t="s">
        <v>144</v>
      </c>
      <c r="G187" s="922"/>
      <c r="H187" s="922">
        <f>'8 - Capital Structure'!L11</f>
        <v>5180807020.5</v>
      </c>
      <c r="I187" s="315"/>
      <c r="J187" s="922"/>
      <c r="K187" s="7"/>
      <c r="L187" s="760"/>
      <c r="M187" s="7"/>
      <c r="N187" s="7"/>
      <c r="O187" s="7"/>
      <c r="P187" s="7"/>
      <c r="Q187" s="7"/>
    </row>
    <row r="188" spans="1:17">
      <c r="A188" s="457">
        <f>+A187+1</f>
        <v>110</v>
      </c>
      <c r="B188" s="457"/>
      <c r="C188" s="922" t="s">
        <v>70</v>
      </c>
      <c r="D188" s="922"/>
      <c r="E188" s="349" t="str">
        <f>"(Note "&amp;B$337&amp;")"</f>
        <v>(Note S)</v>
      </c>
      <c r="F188" s="347" t="str">
        <f>"(Line "&amp;A198&amp;")"</f>
        <v>(Line 118)</v>
      </c>
      <c r="G188" s="922"/>
      <c r="H188" s="922">
        <f>H198</f>
        <v>100000</v>
      </c>
      <c r="I188" s="315"/>
      <c r="J188" s="482"/>
      <c r="K188" s="7"/>
      <c r="L188" s="7"/>
      <c r="M188" s="7"/>
      <c r="N188" s="7"/>
      <c r="O188" s="7"/>
      <c r="P188" s="7"/>
      <c r="Q188" s="7"/>
    </row>
    <row r="189" spans="1:17" s="7" customFormat="1">
      <c r="A189" s="457">
        <f>+A188+1</f>
        <v>111</v>
      </c>
      <c r="B189" s="457"/>
      <c r="C189" s="922" t="s">
        <v>69</v>
      </c>
      <c r="D189" s="454"/>
      <c r="E189" s="454"/>
      <c r="F189" s="482" t="s">
        <v>144</v>
      </c>
      <c r="G189" s="922"/>
      <c r="H189" s="482">
        <f>'8 - Capital Structure'!L13</f>
        <v>-2871634</v>
      </c>
      <c r="I189" s="315"/>
      <c r="J189" s="482"/>
    </row>
    <row r="190" spans="1:17">
      <c r="A190" s="456">
        <f>A189+1</f>
        <v>112</v>
      </c>
      <c r="B190" s="457"/>
      <c r="C190" s="471" t="s">
        <v>71</v>
      </c>
      <c r="D190" s="471"/>
      <c r="E190" s="526"/>
      <c r="F190" s="471" t="s">
        <v>144</v>
      </c>
      <c r="G190" s="471"/>
      <c r="H190" s="471">
        <f>'8 - Capital Structure'!L14</f>
        <v>0</v>
      </c>
      <c r="I190" s="315"/>
      <c r="J190" s="482"/>
      <c r="K190" s="7"/>
      <c r="L190" s="7"/>
      <c r="M190" s="7"/>
      <c r="N190" s="7"/>
      <c r="O190" s="7"/>
      <c r="P190" s="7"/>
      <c r="Q190" s="7"/>
    </row>
    <row r="191" spans="1:17">
      <c r="A191" s="456">
        <f>+A190+1</f>
        <v>113</v>
      </c>
      <c r="B191" s="457"/>
      <c r="C191" s="496" t="s">
        <v>192</v>
      </c>
      <c r="D191" s="482"/>
      <c r="E191" s="349"/>
      <c r="F191" s="482" t="str">
        <f>"(Lines "&amp;A187&amp;" - "&amp;A188&amp;" - "&amp;A189&amp;" - "&amp;A190&amp;")"</f>
        <v>(Lines 109 - 110 - 111 - 112)</v>
      </c>
      <c r="G191" s="528"/>
      <c r="H191" s="922">
        <f>H187-H188-H189-H190</f>
        <v>5183578654.5</v>
      </c>
      <c r="I191" s="315"/>
      <c r="J191" s="482"/>
      <c r="K191" s="7"/>
      <c r="L191" s="7"/>
      <c r="M191" s="7"/>
      <c r="N191" s="7"/>
      <c r="O191" s="7"/>
      <c r="P191" s="7"/>
      <c r="Q191" s="7"/>
    </row>
    <row r="192" spans="1:17">
      <c r="A192" s="456"/>
      <c r="B192" s="457"/>
      <c r="C192" s="464"/>
      <c r="D192" s="1065"/>
      <c r="E192" s="454"/>
      <c r="F192" s="922"/>
      <c r="G192" s="1065"/>
      <c r="H192" s="922"/>
      <c r="I192" s="315"/>
      <c r="J192" s="482"/>
      <c r="K192" s="7"/>
      <c r="L192" s="7"/>
      <c r="M192" s="7"/>
      <c r="N192" s="7"/>
      <c r="O192" s="7"/>
      <c r="P192" s="7"/>
      <c r="Q192" s="7"/>
    </row>
    <row r="193" spans="1:17">
      <c r="A193" s="456"/>
      <c r="B193" s="453" t="s">
        <v>264</v>
      </c>
      <c r="C193" s="1065"/>
      <c r="D193" s="1065"/>
      <c r="E193" s="464"/>
      <c r="F193" s="922"/>
      <c r="G193" s="1065"/>
      <c r="H193" s="922"/>
      <c r="I193" s="315"/>
      <c r="J193" s="482"/>
      <c r="K193" s="7"/>
      <c r="L193" s="7"/>
      <c r="M193" s="7"/>
      <c r="N193" s="7"/>
      <c r="O193" s="7"/>
      <c r="P193" s="7"/>
      <c r="Q193" s="7"/>
    </row>
    <row r="194" spans="1:17">
      <c r="A194" s="456">
        <f>+A191+1</f>
        <v>114</v>
      </c>
      <c r="B194" s="457"/>
      <c r="C194" s="464" t="s">
        <v>843</v>
      </c>
      <c r="D194" s="1065"/>
      <c r="E194" s="353"/>
      <c r="F194" s="482" t="s">
        <v>144</v>
      </c>
      <c r="G194" s="1065"/>
      <c r="H194" s="922">
        <f>'8 - Capital Structure'!L18</f>
        <v>4730251291</v>
      </c>
      <c r="I194" s="315"/>
      <c r="J194" s="482"/>
      <c r="K194" s="7"/>
      <c r="L194" s="7"/>
      <c r="M194" s="7"/>
      <c r="N194" s="7"/>
      <c r="O194" s="7"/>
      <c r="P194" s="7"/>
      <c r="Q194" s="7"/>
    </row>
    <row r="195" spans="1:17">
      <c r="A195" s="457">
        <f>A194+1</f>
        <v>115</v>
      </c>
      <c r="B195" s="457"/>
      <c r="C195" s="353" t="s">
        <v>72</v>
      </c>
      <c r="D195" s="347"/>
      <c r="E195" s="349"/>
      <c r="F195" s="482" t="s">
        <v>144</v>
      </c>
      <c r="G195" s="1065"/>
      <c r="H195" s="482">
        <f>'8 - Capital Structure'!L19</f>
        <v>24650672.5</v>
      </c>
      <c r="I195" s="315"/>
      <c r="J195" s="482"/>
      <c r="K195" s="7"/>
      <c r="L195" s="7"/>
      <c r="M195" s="7"/>
      <c r="N195" s="7"/>
      <c r="O195" s="7"/>
      <c r="P195" s="7"/>
      <c r="Q195" s="7"/>
    </row>
    <row r="196" spans="1:17">
      <c r="A196" s="457">
        <f t="shared" ref="A196:A200" si="4">+A195+1</f>
        <v>116</v>
      </c>
      <c r="B196" s="457"/>
      <c r="C196" s="479" t="s">
        <v>87</v>
      </c>
      <c r="D196" s="480"/>
      <c r="E196" s="331"/>
      <c r="F196" s="471" t="s">
        <v>144</v>
      </c>
      <c r="G196" s="480"/>
      <c r="H196" s="471">
        <f>'8 - Capital Structure'!L20</f>
        <v>23395154.5</v>
      </c>
      <c r="I196" s="315"/>
      <c r="J196" s="482"/>
      <c r="K196" s="7"/>
      <c r="L196" s="7"/>
      <c r="M196" s="7"/>
      <c r="N196" s="7"/>
      <c r="O196" s="7"/>
      <c r="P196" s="7"/>
      <c r="Q196" s="7"/>
    </row>
    <row r="197" spans="1:17">
      <c r="A197" s="457">
        <f t="shared" si="4"/>
        <v>117</v>
      </c>
      <c r="B197" s="457"/>
      <c r="C197" s="353" t="s">
        <v>60</v>
      </c>
      <c r="D197" s="347"/>
      <c r="E197" s="349"/>
      <c r="F197" s="482" t="str">
        <f>"(Lines "&amp;A194&amp;" - "&amp;A195&amp;" + "&amp;A196&amp;")"</f>
        <v>(Lines 114 - 115 + 116)</v>
      </c>
      <c r="G197" s="1065"/>
      <c r="H197" s="482">
        <f>H194-H195+H196</f>
        <v>4728995773</v>
      </c>
      <c r="I197" s="315"/>
      <c r="J197" s="482"/>
      <c r="K197" s="7"/>
      <c r="L197" s="7"/>
      <c r="M197" s="7"/>
      <c r="N197" s="7"/>
      <c r="O197" s="7"/>
      <c r="P197" s="7"/>
      <c r="Q197" s="7"/>
    </row>
    <row r="198" spans="1:17">
      <c r="A198" s="457">
        <f t="shared" si="4"/>
        <v>118</v>
      </c>
      <c r="B198" s="457"/>
      <c r="C198" s="464" t="s">
        <v>217</v>
      </c>
      <c r="D198" s="1065"/>
      <c r="E198" s="349" t="str">
        <f>"(Note "&amp;B$337&amp;")"</f>
        <v>(Note S)</v>
      </c>
      <c r="F198" s="922" t="s">
        <v>144</v>
      </c>
      <c r="G198" s="1065"/>
      <c r="H198" s="482">
        <f>'8 - Capital Structure'!L22</f>
        <v>100000</v>
      </c>
      <c r="I198" s="315"/>
      <c r="J198" s="482"/>
      <c r="K198" s="7"/>
      <c r="L198" s="7"/>
      <c r="M198" s="7"/>
      <c r="N198" s="7"/>
      <c r="O198" s="7"/>
      <c r="P198" s="7"/>
      <c r="Q198" s="7"/>
    </row>
    <row r="199" spans="1:17">
      <c r="A199" s="457">
        <f t="shared" si="4"/>
        <v>119</v>
      </c>
      <c r="B199" s="457"/>
      <c r="C199" s="464" t="s">
        <v>192</v>
      </c>
      <c r="D199" s="1065"/>
      <c r="E199" s="316"/>
      <c r="F199" s="480" t="str">
        <f>"(Line "&amp;A191&amp;")"</f>
        <v>(Line 113)</v>
      </c>
      <c r="G199" s="1065"/>
      <c r="H199" s="482">
        <f>H191</f>
        <v>5183578654.5</v>
      </c>
      <c r="I199" s="315"/>
      <c r="J199" s="482"/>
      <c r="K199" s="7"/>
      <c r="L199" s="7"/>
      <c r="M199" s="7"/>
      <c r="N199" s="7"/>
      <c r="O199" s="7"/>
      <c r="P199" s="7"/>
      <c r="Q199" s="7"/>
    </row>
    <row r="200" spans="1:17">
      <c r="A200" s="457">
        <f t="shared" si="4"/>
        <v>120</v>
      </c>
      <c r="B200" s="457"/>
      <c r="C200" s="486" t="s">
        <v>197</v>
      </c>
      <c r="D200" s="463"/>
      <c r="E200" s="473"/>
      <c r="F200" s="482" t="str">
        <f>"(Sum Lines "&amp;A197&amp;" to "&amp;A199&amp;")"</f>
        <v>(Sum Lines 117 to 119)</v>
      </c>
      <c r="G200" s="461"/>
      <c r="H200" s="461">
        <f>SUM(H197:H199)</f>
        <v>9912674427.5</v>
      </c>
      <c r="I200" s="315"/>
      <c r="J200" s="482"/>
      <c r="K200" s="7"/>
      <c r="L200" s="7"/>
      <c r="M200" s="7"/>
      <c r="N200" s="7"/>
      <c r="O200" s="7"/>
      <c r="P200" s="7"/>
      <c r="Q200" s="7"/>
    </row>
    <row r="201" spans="1:17">
      <c r="A201" s="456"/>
      <c r="B201" s="457"/>
      <c r="C201" s="464"/>
      <c r="D201" s="1065"/>
      <c r="E201" s="316"/>
      <c r="F201" s="315"/>
      <c r="G201" s="922"/>
      <c r="H201" s="454"/>
      <c r="I201" s="315"/>
      <c r="J201" s="348"/>
      <c r="K201" s="7"/>
      <c r="L201" s="7"/>
      <c r="M201" s="7"/>
      <c r="N201" s="7"/>
      <c r="O201" s="7"/>
      <c r="P201" s="7"/>
      <c r="Q201" s="7"/>
    </row>
    <row r="202" spans="1:17">
      <c r="A202" s="457">
        <f>+A200+1</f>
        <v>121</v>
      </c>
      <c r="B202" s="457"/>
      <c r="C202" s="350" t="s">
        <v>349</v>
      </c>
      <c r="D202" s="353" t="s">
        <v>198</v>
      </c>
      <c r="E202" s="349" t="str">
        <f>"(Note "&amp;B$334&amp;")"</f>
        <v>(Note R)</v>
      </c>
      <c r="F202" s="482" t="str">
        <f>"(Line "&amp;A197&amp;" / "&amp;A200&amp;")"</f>
        <v>(Line 117 / 120)</v>
      </c>
      <c r="G202" s="922"/>
      <c r="H202" s="498">
        <f>IF(H200&gt;0,H197/H200,0)</f>
        <v>0.47706557978749875</v>
      </c>
      <c r="I202" s="315"/>
      <c r="J202" s="1135"/>
      <c r="K202" s="7"/>
      <c r="L202" s="7"/>
      <c r="M202" s="7"/>
      <c r="N202" s="7"/>
      <c r="O202" s="7"/>
      <c r="P202" s="7"/>
      <c r="Q202" s="7"/>
    </row>
    <row r="203" spans="1:17">
      <c r="A203" s="457">
        <f>+A202+1</f>
        <v>122</v>
      </c>
      <c r="B203" s="457"/>
      <c r="C203" s="350" t="s">
        <v>355</v>
      </c>
      <c r="D203" s="464" t="s">
        <v>217</v>
      </c>
      <c r="E203" s="349" t="str">
        <f>"(Note "&amp;B$334&amp;")"</f>
        <v>(Note R)</v>
      </c>
      <c r="F203" s="482" t="str">
        <f>"(Line "&amp;A198&amp;" / "&amp;A200&amp;")"</f>
        <v>(Line 118 / 120)</v>
      </c>
      <c r="G203" s="922"/>
      <c r="H203" s="498">
        <f>IF(H200&gt;0,H198/H200,0)</f>
        <v>1.008809486596043E-5</v>
      </c>
      <c r="I203" s="315"/>
      <c r="J203" s="1135"/>
      <c r="K203" s="7"/>
      <c r="L203" s="7"/>
      <c r="M203" s="7"/>
      <c r="N203" s="7"/>
      <c r="O203" s="7"/>
      <c r="P203" s="7"/>
      <c r="Q203" s="7"/>
    </row>
    <row r="204" spans="1:17">
      <c r="A204" s="457">
        <f>+A203+1</f>
        <v>123</v>
      </c>
      <c r="B204" s="457"/>
      <c r="C204" s="350" t="s">
        <v>350</v>
      </c>
      <c r="D204" s="464" t="s">
        <v>192</v>
      </c>
      <c r="E204" s="349" t="str">
        <f>"(Notes "&amp;B$330&amp;" and "&amp;B$334&amp;")"</f>
        <v>(Notes Q and R)</v>
      </c>
      <c r="F204" s="482" t="str">
        <f>"(Line "&amp;A199&amp;" / "&amp;A200&amp;")"</f>
        <v>(Line 119 / 120)</v>
      </c>
      <c r="G204" s="922"/>
      <c r="H204" s="498">
        <f>IF(H200&gt;0,H199/H200,0)</f>
        <v>0.52292433211763523</v>
      </c>
      <c r="I204" s="315"/>
      <c r="J204" s="498"/>
      <c r="K204" s="7"/>
      <c r="L204" s="7"/>
      <c r="M204" s="7"/>
      <c r="N204" s="7"/>
      <c r="O204" s="7"/>
      <c r="P204" s="7"/>
      <c r="Q204" s="7"/>
    </row>
    <row r="205" spans="1:17">
      <c r="A205" s="457"/>
      <c r="B205" s="457"/>
      <c r="C205" s="529"/>
      <c r="D205" s="1065"/>
      <c r="E205" s="316"/>
      <c r="F205" s="922"/>
      <c r="G205" s="922"/>
      <c r="H205" s="454"/>
      <c r="I205" s="315"/>
      <c r="J205" s="7"/>
      <c r="K205" s="7"/>
      <c r="L205" s="7"/>
      <c r="M205" s="7"/>
      <c r="N205" s="7"/>
      <c r="O205" s="7"/>
      <c r="P205" s="7"/>
      <c r="Q205" s="7"/>
    </row>
    <row r="206" spans="1:17">
      <c r="A206" s="457">
        <f>+A204+1</f>
        <v>124</v>
      </c>
      <c r="B206" s="457"/>
      <c r="C206" s="529" t="s">
        <v>351</v>
      </c>
      <c r="D206" s="353" t="s">
        <v>198</v>
      </c>
      <c r="E206" s="316"/>
      <c r="F206" s="482" t="str">
        <f>"(Line "&amp;A182&amp;" / "&amp;A194&amp;")"</f>
        <v>(Line 107 / 114)</v>
      </c>
      <c r="G206" s="922"/>
      <c r="H206" s="1025">
        <f>IF(H194&gt;0,H182/H194,0)</f>
        <v>5.4352368443759284E-2</v>
      </c>
      <c r="I206" s="315"/>
      <c r="J206" s="7"/>
      <c r="K206" s="7"/>
      <c r="L206" s="7"/>
      <c r="M206" s="7"/>
      <c r="N206" s="7"/>
      <c r="O206" s="7"/>
      <c r="P206" s="7"/>
      <c r="Q206" s="7"/>
    </row>
    <row r="207" spans="1:17">
      <c r="A207" s="457">
        <f>+A206+1</f>
        <v>125</v>
      </c>
      <c r="B207" s="457"/>
      <c r="C207" s="529" t="s">
        <v>356</v>
      </c>
      <c r="D207" s="464" t="s">
        <v>217</v>
      </c>
      <c r="E207" s="349" t="str">
        <f>"(Note "&amp;B$337&amp;")"</f>
        <v>(Note S)</v>
      </c>
      <c r="F207" s="482" t="str">
        <f>"(Line -"&amp;A184&amp;" / "&amp;A198&amp;")"</f>
        <v>(Line -108 / 118)</v>
      </c>
      <c r="G207" s="922"/>
      <c r="H207" s="1025">
        <f>IF(H198&gt;0,-H184/H198,0)</f>
        <v>0</v>
      </c>
      <c r="I207" s="315"/>
      <c r="J207" s="7"/>
      <c r="K207" s="7"/>
      <c r="L207" s="7"/>
      <c r="M207" s="7"/>
      <c r="N207" s="7"/>
      <c r="O207" s="7"/>
      <c r="P207" s="7"/>
      <c r="Q207" s="7"/>
    </row>
    <row r="208" spans="1:17">
      <c r="A208" s="457">
        <f>+A207+1</f>
        <v>126</v>
      </c>
      <c r="B208" s="457"/>
      <c r="C208" s="529" t="s">
        <v>352</v>
      </c>
      <c r="D208" s="464" t="s">
        <v>192</v>
      </c>
      <c r="E208" s="349" t="str">
        <f>"(Note "&amp;B$317&amp;")"</f>
        <v>(Note I)</v>
      </c>
      <c r="F208" s="922" t="s">
        <v>332</v>
      </c>
      <c r="G208" s="922"/>
      <c r="H208" s="1025">
        <v>0.1055</v>
      </c>
      <c r="I208" s="315"/>
      <c r="J208" s="7"/>
      <c r="K208" s="7"/>
      <c r="L208" s="7"/>
      <c r="M208" s="7"/>
      <c r="N208" s="7"/>
      <c r="O208" s="7"/>
      <c r="P208" s="7"/>
      <c r="Q208" s="7"/>
    </row>
    <row r="209" spans="1:17">
      <c r="A209" s="457"/>
      <c r="B209" s="457"/>
      <c r="C209" s="529"/>
      <c r="D209" s="1065"/>
      <c r="E209" s="316"/>
      <c r="F209" s="922"/>
      <c r="G209" s="922"/>
      <c r="H209" s="1035"/>
      <c r="I209" s="315"/>
      <c r="J209" s="7"/>
      <c r="K209" s="7"/>
      <c r="L209" s="7"/>
      <c r="M209" s="7"/>
      <c r="N209" s="7"/>
      <c r="O209" s="7"/>
      <c r="P209" s="7"/>
      <c r="Q209" s="7"/>
    </row>
    <row r="210" spans="1:17">
      <c r="A210" s="457">
        <f>+A208+1</f>
        <v>127</v>
      </c>
      <c r="B210" s="457"/>
      <c r="C210" s="350" t="s">
        <v>353</v>
      </c>
      <c r="D210" s="353" t="s">
        <v>199</v>
      </c>
      <c r="E210" s="316"/>
      <c r="F210" s="482" t="str">
        <f>"(Line "&amp;A202&amp;" * "&amp;A206&amp;")"</f>
        <v>(Line 121 * 124)</v>
      </c>
      <c r="G210" s="530"/>
      <c r="H210" s="1025">
        <f>H206*H202</f>
        <v>2.5929644164445775E-2</v>
      </c>
      <c r="I210" s="315"/>
      <c r="J210" s="7"/>
      <c r="K210" s="7"/>
      <c r="L210" s="7"/>
      <c r="M210" s="7"/>
      <c r="N210" s="7"/>
      <c r="O210" s="7"/>
      <c r="P210" s="7"/>
      <c r="Q210" s="7"/>
    </row>
    <row r="211" spans="1:17">
      <c r="A211" s="457">
        <f>+A210+1</f>
        <v>128</v>
      </c>
      <c r="B211" s="457"/>
      <c r="C211" s="350" t="s">
        <v>357</v>
      </c>
      <c r="D211" s="464" t="s">
        <v>217</v>
      </c>
      <c r="E211" s="316"/>
      <c r="F211" s="482" t="str">
        <f>"(Line "&amp;A203&amp;" * "&amp;A207&amp;")"</f>
        <v>(Line 122 * 125)</v>
      </c>
      <c r="G211" s="493"/>
      <c r="H211" s="1025">
        <f>H207*H203</f>
        <v>0</v>
      </c>
      <c r="I211" s="315"/>
      <c r="J211" s="7"/>
      <c r="K211" s="7"/>
      <c r="L211" s="7"/>
      <c r="M211" s="7"/>
      <c r="N211" s="7"/>
      <c r="O211" s="7"/>
      <c r="P211" s="7"/>
      <c r="Q211" s="7"/>
    </row>
    <row r="212" spans="1:17">
      <c r="A212" s="457">
        <f>+A211+1</f>
        <v>129</v>
      </c>
      <c r="B212" s="501"/>
      <c r="C212" s="503" t="s">
        <v>354</v>
      </c>
      <c r="D212" s="479" t="s">
        <v>192</v>
      </c>
      <c r="E212" s="331"/>
      <c r="F212" s="471" t="str">
        <f>"(Line "&amp;A204&amp;" * "&amp;A208&amp;")"</f>
        <v>(Line 123 * 126)</v>
      </c>
      <c r="G212" s="527"/>
      <c r="H212" s="1026">
        <f>H208*H204</f>
        <v>5.5168517038410518E-2</v>
      </c>
      <c r="I212" s="315"/>
      <c r="J212" s="7"/>
      <c r="K212" s="7"/>
      <c r="L212" s="7"/>
      <c r="M212" s="7"/>
      <c r="N212" s="7"/>
      <c r="O212" s="7"/>
      <c r="P212" s="7"/>
      <c r="Q212" s="7"/>
    </row>
    <row r="213" spans="1:17" s="1" customFormat="1" ht="15.75">
      <c r="A213" s="456">
        <f>+A212+1</f>
        <v>130</v>
      </c>
      <c r="B213" s="346" t="s">
        <v>35</v>
      </c>
      <c r="C213" s="346"/>
      <c r="D213" s="447"/>
      <c r="E213" s="513"/>
      <c r="F213" s="482" t="str">
        <f>"(Sum Lines "&amp;A210&amp;" to "&amp;A212&amp;")"</f>
        <v>(Sum Lines 127 to 129)</v>
      </c>
      <c r="G213" s="531"/>
      <c r="H213" s="532">
        <f>SUM(H210:H212)</f>
        <v>8.1098161202856289E-2</v>
      </c>
      <c r="I213" s="315"/>
      <c r="J213" s="19"/>
      <c r="K213" s="19"/>
      <c r="L213" s="19"/>
      <c r="M213" s="19"/>
      <c r="N213" s="19"/>
      <c r="O213" s="19"/>
      <c r="P213" s="19"/>
      <c r="Q213" s="19"/>
    </row>
    <row r="214" spans="1:17" s="1" customFormat="1" ht="15.75">
      <c r="A214" s="533"/>
      <c r="B214" s="452"/>
      <c r="C214" s="346"/>
      <c r="D214" s="447"/>
      <c r="E214" s="513"/>
      <c r="F214" s="496"/>
      <c r="G214" s="531"/>
      <c r="H214" s="532"/>
      <c r="I214" s="354"/>
      <c r="J214" s="19"/>
      <c r="K214" s="19"/>
      <c r="L214" s="19"/>
      <c r="M214" s="19"/>
      <c r="N214" s="19"/>
      <c r="O214" s="19"/>
      <c r="P214" s="19"/>
      <c r="Q214" s="19"/>
    </row>
    <row r="215" spans="1:17" ht="15.75" thickBot="1">
      <c r="A215" s="456">
        <f>+A213+1</f>
        <v>131</v>
      </c>
      <c r="B215" s="534" t="s">
        <v>269</v>
      </c>
      <c r="C215" s="476"/>
      <c r="D215" s="520"/>
      <c r="E215" s="535"/>
      <c r="F215" s="489" t="str">
        <f>"(Line "&amp;A108&amp;" * "&amp;A213&amp;")"</f>
        <v>(Line 61 * 130)</v>
      </c>
      <c r="G215" s="536"/>
      <c r="H215" s="489">
        <f>+H108*H213</f>
        <v>58152713.925078347</v>
      </c>
      <c r="I215" s="315"/>
      <c r="J215" s="760"/>
      <c r="K215" s="7"/>
      <c r="L215" s="7"/>
      <c r="M215" s="7"/>
      <c r="N215" s="7"/>
      <c r="O215" s="7"/>
      <c r="P215" s="7"/>
      <c r="Q215" s="7"/>
    </row>
    <row r="216" spans="1:17" ht="15.75" thickTop="1">
      <c r="A216" s="456"/>
      <c r="B216" s="457"/>
      <c r="C216" s="464"/>
      <c r="D216" s="1065"/>
      <c r="E216" s="316"/>
      <c r="F216" s="922"/>
      <c r="G216" s="922"/>
      <c r="H216" s="537"/>
      <c r="I216" s="315"/>
      <c r="J216" s="7"/>
      <c r="K216" s="7"/>
      <c r="L216" s="7"/>
      <c r="M216" s="7"/>
      <c r="N216" s="7"/>
      <c r="O216" s="7"/>
      <c r="P216" s="7"/>
      <c r="Q216" s="7"/>
    </row>
    <row r="217" spans="1:17">
      <c r="A217" s="456"/>
      <c r="B217" s="457"/>
      <c r="C217" s="516"/>
      <c r="D217" s="1065"/>
      <c r="E217" s="316"/>
      <c r="F217" s="922"/>
      <c r="G217" s="922"/>
      <c r="H217" s="537"/>
      <c r="I217" s="315"/>
      <c r="J217" s="7"/>
      <c r="K217" s="7"/>
      <c r="L217" s="7"/>
      <c r="M217" s="7"/>
      <c r="N217" s="7"/>
      <c r="O217" s="7"/>
      <c r="P217" s="7"/>
      <c r="Q217" s="7"/>
    </row>
    <row r="218" spans="1:17">
      <c r="A218" s="771" t="s">
        <v>486</v>
      </c>
      <c r="B218" s="772"/>
      <c r="C218" s="773"/>
      <c r="D218" s="773"/>
      <c r="E218" s="812"/>
      <c r="F218" s="775"/>
      <c r="G218" s="775"/>
      <c r="H218" s="775"/>
      <c r="I218" s="315"/>
      <c r="J218" s="7"/>
      <c r="K218" s="7"/>
      <c r="L218" s="7"/>
      <c r="M218" s="7"/>
      <c r="N218" s="7"/>
      <c r="O218" s="7"/>
      <c r="P218" s="7"/>
      <c r="Q218" s="7"/>
    </row>
    <row r="219" spans="1:17">
      <c r="A219" s="497"/>
      <c r="B219" s="457"/>
      <c r="C219" s="453"/>
      <c r="D219" s="1065"/>
      <c r="E219" s="454"/>
      <c r="F219" s="1065"/>
      <c r="G219" s="1065"/>
      <c r="H219" s="470"/>
      <c r="I219" s="315"/>
      <c r="J219" s="7"/>
      <c r="K219" s="7"/>
      <c r="L219" s="7"/>
      <c r="M219" s="7"/>
      <c r="N219" s="7"/>
      <c r="O219" s="7"/>
      <c r="P219" s="7"/>
      <c r="Q219" s="7"/>
    </row>
    <row r="220" spans="1:17">
      <c r="A220" s="456" t="s">
        <v>212</v>
      </c>
      <c r="B220" s="538" t="s">
        <v>270</v>
      </c>
      <c r="C220" s="1065"/>
      <c r="D220" s="1065"/>
      <c r="E220" s="454"/>
      <c r="F220" s="922"/>
      <c r="G220" s="539"/>
      <c r="H220" s="1065"/>
      <c r="I220" s="315"/>
      <c r="J220" s="7"/>
      <c r="K220" s="7"/>
      <c r="L220" s="7"/>
      <c r="M220" s="7"/>
      <c r="N220" s="7"/>
      <c r="O220" s="7"/>
      <c r="P220" s="7"/>
      <c r="Q220" s="7"/>
    </row>
    <row r="221" spans="1:17">
      <c r="A221" s="456">
        <f>+A215+1</f>
        <v>132</v>
      </c>
      <c r="B221" s="457"/>
      <c r="C221" s="1065" t="s">
        <v>268</v>
      </c>
      <c r="D221" s="1065"/>
      <c r="E221" s="316"/>
      <c r="F221" s="1065"/>
      <c r="G221" s="540"/>
      <c r="H221" s="748">
        <v>0.35</v>
      </c>
      <c r="I221" s="315"/>
      <c r="J221" s="7"/>
      <c r="K221" s="7"/>
      <c r="L221" s="7"/>
      <c r="M221" s="7"/>
      <c r="N221" s="7"/>
      <c r="O221" s="7"/>
      <c r="P221" s="7"/>
      <c r="Q221" s="7"/>
    </row>
    <row r="222" spans="1:17">
      <c r="A222" s="456">
        <f>+A221+1</f>
        <v>133</v>
      </c>
      <c r="B222" s="457"/>
      <c r="C222" s="540" t="s">
        <v>267</v>
      </c>
      <c r="D222" s="541"/>
      <c r="E222" s="349" t="str">
        <f>"(Note "&amp;B$311&amp;")"</f>
        <v>(Note H)</v>
      </c>
      <c r="F222" s="1065"/>
      <c r="G222" s="540"/>
      <c r="H222" s="748">
        <v>0.05</v>
      </c>
      <c r="I222" s="315"/>
      <c r="J222" s="7"/>
      <c r="K222" s="7"/>
      <c r="L222" s="7"/>
      <c r="M222" s="7"/>
      <c r="N222" s="7"/>
      <c r="O222" s="7"/>
      <c r="P222" s="7"/>
      <c r="Q222" s="7"/>
    </row>
    <row r="223" spans="1:17">
      <c r="A223" s="456">
        <f>+A222+1</f>
        <v>134</v>
      </c>
      <c r="B223" s="457"/>
      <c r="C223" s="540" t="s">
        <v>323</v>
      </c>
      <c r="D223" s="540" t="s">
        <v>324</v>
      </c>
      <c r="E223" s="316"/>
      <c r="F223" s="1065" t="s">
        <v>427</v>
      </c>
      <c r="G223" s="540"/>
      <c r="H223" s="748">
        <v>0</v>
      </c>
      <c r="I223" s="315"/>
      <c r="J223" s="7"/>
      <c r="K223" s="7"/>
      <c r="L223" s="7"/>
      <c r="M223" s="7"/>
      <c r="N223" s="7"/>
      <c r="O223" s="7"/>
      <c r="P223" s="7"/>
      <c r="Q223" s="7"/>
    </row>
    <row r="224" spans="1:17">
      <c r="A224" s="456">
        <f>+A223+1</f>
        <v>135</v>
      </c>
      <c r="B224" s="457"/>
      <c r="C224" s="540" t="s">
        <v>334</v>
      </c>
      <c r="D224" s="542" t="s">
        <v>816</v>
      </c>
      <c r="E224" s="316"/>
      <c r="F224" s="1065"/>
      <c r="G224" s="540"/>
      <c r="H224" s="543">
        <f>IF(H221&gt;0,1-(((1-H222)*(1-H221))/(1-H222*H221*H223)),0)</f>
        <v>0.38250000000000006</v>
      </c>
      <c r="I224" s="315"/>
      <c r="J224" s="7"/>
      <c r="K224" s="7"/>
      <c r="L224" s="7"/>
      <c r="M224" s="7"/>
      <c r="N224" s="7"/>
      <c r="O224" s="7"/>
      <c r="P224" s="7"/>
      <c r="Q224" s="7"/>
    </row>
    <row r="225" spans="1:17">
      <c r="A225" s="456">
        <f>+A224+1</f>
        <v>136</v>
      </c>
      <c r="B225" s="457"/>
      <c r="C225" s="540" t="s">
        <v>322</v>
      </c>
      <c r="D225" s="541"/>
      <c r="E225" s="316"/>
      <c r="F225" s="1065"/>
      <c r="G225" s="540"/>
      <c r="H225" s="544">
        <f>+H224/(1-H224)</f>
        <v>0.61943319838056699</v>
      </c>
      <c r="I225" s="315"/>
      <c r="J225" s="7"/>
      <c r="K225" s="7"/>
      <c r="L225" s="7"/>
      <c r="M225" s="7"/>
      <c r="N225" s="7"/>
      <c r="O225" s="7"/>
      <c r="P225" s="7"/>
      <c r="Q225" s="7"/>
    </row>
    <row r="226" spans="1:17">
      <c r="A226" s="456"/>
      <c r="B226" s="457"/>
      <c r="C226" s="540"/>
      <c r="D226" s="541"/>
      <c r="E226" s="316"/>
      <c r="F226" s="1065"/>
      <c r="G226" s="540"/>
      <c r="H226" s="544"/>
      <c r="I226" s="315"/>
      <c r="J226" s="7"/>
      <c r="K226" s="7"/>
      <c r="L226" s="7"/>
      <c r="M226" s="7"/>
      <c r="N226" s="7"/>
      <c r="O226" s="7"/>
      <c r="P226" s="7"/>
      <c r="Q226" s="7"/>
    </row>
    <row r="227" spans="1:17">
      <c r="A227" s="456"/>
      <c r="B227" s="538" t="s">
        <v>265</v>
      </c>
      <c r="C227" s="1065"/>
      <c r="D227" s="1065"/>
      <c r="E227" s="349" t="str">
        <f>"(Note "&amp;B$311&amp;")"</f>
        <v>(Note H)</v>
      </c>
      <c r="F227" s="922"/>
      <c r="G227" s="539"/>
      <c r="H227" s="545"/>
      <c r="I227" s="315"/>
      <c r="J227" s="7"/>
      <c r="K227" s="7"/>
      <c r="L227" s="7"/>
      <c r="M227" s="7"/>
      <c r="N227" s="7"/>
      <c r="O227" s="7"/>
      <c r="P227" s="7"/>
      <c r="Q227" s="7"/>
    </row>
    <row r="228" spans="1:17">
      <c r="A228" s="456">
        <f>+A225+1</f>
        <v>137</v>
      </c>
      <c r="B228" s="457"/>
      <c r="C228" s="1065" t="s">
        <v>312</v>
      </c>
      <c r="D228" s="1065"/>
      <c r="E228" s="316"/>
      <c r="F228" s="1065" t="s">
        <v>296</v>
      </c>
      <c r="G228" s="539"/>
      <c r="H228" s="749">
        <v>1279600</v>
      </c>
      <c r="I228" s="315"/>
      <c r="J228" s="7"/>
      <c r="K228" s="7"/>
      <c r="L228" s="7"/>
      <c r="M228" s="7"/>
      <c r="N228" s="7"/>
      <c r="O228" s="7"/>
      <c r="P228" s="7"/>
      <c r="Q228" s="7"/>
    </row>
    <row r="229" spans="1:17">
      <c r="A229" s="456">
        <f>+A228+1</f>
        <v>138</v>
      </c>
      <c r="B229" s="457"/>
      <c r="C229" s="540" t="s">
        <v>2</v>
      </c>
      <c r="D229" s="541"/>
      <c r="E229" s="349"/>
      <c r="F229" s="1081" t="s">
        <v>851</v>
      </c>
      <c r="G229" s="539"/>
      <c r="H229" s="545">
        <f>1/(1-H224)</f>
        <v>1.619433198380567</v>
      </c>
      <c r="I229" s="315"/>
      <c r="J229" s="7"/>
      <c r="K229" s="7"/>
      <c r="L229" s="7"/>
      <c r="M229" s="7"/>
      <c r="N229" s="7"/>
      <c r="O229" s="7"/>
      <c r="P229" s="7"/>
      <c r="Q229" s="7"/>
    </row>
    <row r="230" spans="1:17" s="10" customFormat="1">
      <c r="A230" s="456">
        <f>+A229+1</f>
        <v>139</v>
      </c>
      <c r="B230" s="457"/>
      <c r="C230" s="546" t="s">
        <v>259</v>
      </c>
      <c r="D230" s="546"/>
      <c r="E230" s="331"/>
      <c r="F230" s="480" t="str">
        <f>"(Line "&amp;A$36&amp;")"</f>
        <v>(Line 18)</v>
      </c>
      <c r="G230" s="514"/>
      <c r="H230" s="518">
        <f>+H36</f>
        <v>0.15511822879158327</v>
      </c>
      <c r="I230" s="315"/>
      <c r="J230" s="12"/>
      <c r="K230" s="12"/>
      <c r="L230" s="12"/>
      <c r="M230" s="12"/>
      <c r="N230" s="12"/>
      <c r="O230" s="12"/>
      <c r="P230" s="12"/>
      <c r="Q230" s="12"/>
    </row>
    <row r="231" spans="1:17">
      <c r="A231" s="456">
        <f>+A230+1</f>
        <v>140</v>
      </c>
      <c r="B231" s="457"/>
      <c r="C231" s="540" t="s">
        <v>266</v>
      </c>
      <c r="D231" s="542"/>
      <c r="E231" s="316"/>
      <c r="F231" s="1065" t="str">
        <f>"(Line -"&amp;A228&amp;" * "&amp;A229&amp;" * "&amp;A230&amp;")"</f>
        <v>(Line -137 * 138 * 139)</v>
      </c>
      <c r="G231" s="502"/>
      <c r="H231" s="496">
        <f>-H228*H229*H230</f>
        <v>-321440.13856147364</v>
      </c>
      <c r="I231" s="315"/>
      <c r="J231" s="7"/>
      <c r="K231" s="7"/>
      <c r="L231" s="7"/>
      <c r="M231" s="7"/>
      <c r="N231" s="7"/>
      <c r="O231" s="7"/>
      <c r="P231" s="7"/>
      <c r="Q231" s="7"/>
    </row>
    <row r="232" spans="1:17">
      <c r="A232" s="456"/>
      <c r="B232" s="457"/>
      <c r="C232" s="540"/>
      <c r="D232" s="541"/>
      <c r="E232" s="316"/>
      <c r="F232" s="1065"/>
      <c r="G232" s="539"/>
      <c r="H232" s="1072"/>
      <c r="I232" s="315"/>
      <c r="J232" s="7"/>
      <c r="K232" s="7"/>
      <c r="L232" s="7"/>
      <c r="M232" s="7"/>
      <c r="N232" s="7"/>
      <c r="O232" s="7"/>
      <c r="P232" s="7"/>
      <c r="Q232" s="7"/>
    </row>
    <row r="233" spans="1:17">
      <c r="A233" s="456">
        <f>A231+1</f>
        <v>141</v>
      </c>
      <c r="B233" s="354" t="s">
        <v>297</v>
      </c>
      <c r="C233" s="315"/>
      <c r="D233" s="1065" t="s">
        <v>817</v>
      </c>
      <c r="E233" s="454"/>
      <c r="F233" s="482" t="str">
        <f>"[Line "&amp;A225&amp;" * "&amp;A215&amp;" * (1-("&amp;A210&amp;" / "&amp;A213&amp;"))]"</f>
        <v>[Line 136 * 131 * (1-(127 / 130))]</v>
      </c>
      <c r="G233" s="1065"/>
      <c r="H233" s="548">
        <f>IF(H213=0,0,H225*H215*(1-H210/H213))</f>
        <v>24504439.204609055</v>
      </c>
      <c r="I233" s="315"/>
      <c r="J233" s="7"/>
      <c r="K233" s="7"/>
      <c r="L233" s="7"/>
      <c r="M233" s="7"/>
      <c r="N233" s="7"/>
      <c r="O233" s="7"/>
      <c r="P233" s="7"/>
      <c r="Q233" s="7"/>
    </row>
    <row r="234" spans="1:17">
      <c r="A234" s="456"/>
      <c r="B234" s="457"/>
      <c r="C234" s="350"/>
      <c r="D234" s="347"/>
      <c r="E234" s="459"/>
      <c r="F234" s="514"/>
      <c r="G234" s="351"/>
      <c r="H234" s="514"/>
      <c r="I234" s="315"/>
      <c r="J234" s="7"/>
      <c r="K234" s="7"/>
      <c r="L234" s="7"/>
      <c r="M234" s="7"/>
      <c r="N234" s="7"/>
      <c r="O234" s="7"/>
      <c r="P234" s="7"/>
      <c r="Q234" s="7"/>
    </row>
    <row r="235" spans="1:17" ht="15.75" thickBot="1">
      <c r="A235" s="456">
        <f>+A233+1</f>
        <v>142</v>
      </c>
      <c r="B235" s="534" t="s">
        <v>189</v>
      </c>
      <c r="C235" s="534"/>
      <c r="D235" s="520"/>
      <c r="E235" s="488"/>
      <c r="F235" s="489" t="str">
        <f>"(Line "&amp;A231&amp;" + Line "&amp;A233&amp;")"</f>
        <v>(Line 140 + Line 141)</v>
      </c>
      <c r="G235" s="549"/>
      <c r="H235" s="550">
        <f>+H233+H231</f>
        <v>24182999.066047583</v>
      </c>
      <c r="I235" s="315"/>
      <c r="J235" s="7"/>
      <c r="K235" s="7"/>
      <c r="L235" s="7"/>
      <c r="M235" s="7"/>
      <c r="N235" s="7"/>
      <c r="O235" s="7"/>
      <c r="P235" s="7"/>
      <c r="Q235" s="7"/>
    </row>
    <row r="236" spans="1:17" ht="15.75" thickTop="1">
      <c r="A236" s="456"/>
      <c r="B236" s="457"/>
      <c r="C236" s="542"/>
      <c r="D236" s="1065"/>
      <c r="E236" s="316"/>
      <c r="F236" s="551"/>
      <c r="G236" s="552"/>
      <c r="H236" s="551"/>
      <c r="I236" s="315"/>
      <c r="J236" s="7"/>
      <c r="K236" s="7"/>
      <c r="L236" s="7"/>
      <c r="M236" s="7"/>
      <c r="N236" s="7"/>
      <c r="O236" s="7"/>
      <c r="P236" s="7"/>
      <c r="Q236" s="7"/>
    </row>
    <row r="237" spans="1:17">
      <c r="A237" s="771" t="s">
        <v>200</v>
      </c>
      <c r="B237" s="772"/>
      <c r="C237" s="773"/>
      <c r="D237" s="773"/>
      <c r="E237" s="812"/>
      <c r="F237" s="775"/>
      <c r="G237" s="775"/>
      <c r="H237" s="775"/>
      <c r="I237" s="315"/>
      <c r="J237" s="7"/>
      <c r="K237" s="7"/>
      <c r="L237" s="7"/>
      <c r="M237" s="7"/>
      <c r="N237" s="7"/>
      <c r="O237" s="7"/>
      <c r="P237" s="7"/>
      <c r="Q237" s="7"/>
    </row>
    <row r="238" spans="1:17" ht="15.75" thickBot="1">
      <c r="A238" s="456"/>
      <c r="B238" s="456"/>
      <c r="C238" s="554"/>
      <c r="D238" s="347"/>
      <c r="E238" s="555"/>
      <c r="F238" s="827"/>
      <c r="G238" s="320"/>
      <c r="H238" s="474"/>
    </row>
    <row r="239" spans="1:17" ht="15.75" thickBot="1">
      <c r="A239" s="556">
        <f>A235+1</f>
        <v>143</v>
      </c>
      <c r="B239" s="557"/>
      <c r="C239" s="558" t="s">
        <v>319</v>
      </c>
      <c r="D239" s="559"/>
      <c r="E239" s="560"/>
      <c r="F239" s="826" t="str">
        <f>"(Line "&amp;A144&amp;" + "&amp;A165&amp;" + "&amp;A171&amp;" + "&amp;A215&amp;" + "&amp;A235&amp;")"</f>
        <v>(Line 86 + 98 + 100 + 131 + 142)</v>
      </c>
      <c r="G239" s="561"/>
      <c r="H239" s="562">
        <f>H144+H165+H171+H215+H235</f>
        <v>161109536.00291148</v>
      </c>
    </row>
    <row r="240" spans="1:17">
      <c r="A240" s="563"/>
      <c r="B240" s="458"/>
      <c r="C240" s="346"/>
      <c r="D240" s="447"/>
      <c r="E240" s="564"/>
      <c r="F240" s="565"/>
      <c r="G240" s="330"/>
      <c r="H240" s="566"/>
    </row>
    <row r="241" spans="1:9">
      <c r="A241" s="563"/>
      <c r="B241" s="567" t="s">
        <v>145</v>
      </c>
      <c r="C241" s="346"/>
      <c r="D241" s="447"/>
      <c r="E241" s="564"/>
      <c r="F241" s="565"/>
      <c r="G241" s="330"/>
      <c r="H241" s="566"/>
    </row>
    <row r="242" spans="1:9">
      <c r="A242" s="459">
        <f>+A239+1</f>
        <v>144</v>
      </c>
      <c r="B242" s="459"/>
      <c r="C242" s="353" t="s">
        <v>36</v>
      </c>
      <c r="D242" s="447"/>
      <c r="E242" s="564"/>
      <c r="F242" s="482" t="str">
        <f>"(Line "&amp;A44&amp;" + "&amp;A74&amp;" + "&amp;A80&amp;")"</f>
        <v>(Line 22 + 40 + 43)</v>
      </c>
      <c r="G242" s="330"/>
      <c r="H242" s="352">
        <f>+H44+H74+H80</f>
        <v>1226041113.3216667</v>
      </c>
    </row>
    <row r="243" spans="1:9" s="7" customFormat="1">
      <c r="A243" s="459">
        <f>+A242+1</f>
        <v>145</v>
      </c>
      <c r="B243" s="459"/>
      <c r="C243" s="479" t="s">
        <v>73</v>
      </c>
      <c r="D243" s="569"/>
      <c r="E243" s="331" t="str">
        <f>"(Note "&amp;B$320&amp;")"</f>
        <v>(Note L)</v>
      </c>
      <c r="F243" s="471" t="s">
        <v>552</v>
      </c>
      <c r="G243" s="569"/>
      <c r="H243" s="570">
        <f>'5 - Cost Support'!G87</f>
        <v>75834086.469999999</v>
      </c>
      <c r="I243" s="315"/>
    </row>
    <row r="244" spans="1:9">
      <c r="A244" s="459">
        <f>+A243+1</f>
        <v>146</v>
      </c>
      <c r="B244" s="459"/>
      <c r="C244" s="353" t="s">
        <v>235</v>
      </c>
      <c r="D244" s="447"/>
      <c r="E244" s="571"/>
      <c r="F244" s="482" t="str">
        <f>"(Line "&amp;A242&amp;" - "&amp;A243&amp;")"</f>
        <v>(Line 144 - 145)</v>
      </c>
      <c r="G244" s="330"/>
      <c r="H244" s="352">
        <f>+H242-H243</f>
        <v>1150207026.8516667</v>
      </c>
    </row>
    <row r="245" spans="1:9">
      <c r="A245" s="459">
        <f>+A244+1</f>
        <v>147</v>
      </c>
      <c r="B245" s="459"/>
      <c r="C245" s="353" t="s">
        <v>236</v>
      </c>
      <c r="D245" s="447"/>
      <c r="E245" s="564"/>
      <c r="F245" s="482" t="str">
        <f>"(Line "&amp;A244&amp;" / "&amp;A242&amp;")"</f>
        <v>(Line 146 / 144)</v>
      </c>
      <c r="G245" s="330"/>
      <c r="H245" s="753">
        <f>IF(H242=0,0,H244/H242)</f>
        <v>0.93814719127603674</v>
      </c>
    </row>
    <row r="246" spans="1:9">
      <c r="A246" s="459"/>
      <c r="B246" s="459"/>
      <c r="C246" s="346"/>
      <c r="D246" s="447"/>
      <c r="E246" s="564"/>
      <c r="F246" s="482"/>
      <c r="G246" s="330"/>
      <c r="H246" s="566"/>
    </row>
    <row r="247" spans="1:9">
      <c r="A247" s="316"/>
      <c r="B247" s="354" t="s">
        <v>678</v>
      </c>
      <c r="C247" s="343"/>
      <c r="D247" s="343"/>
      <c r="E247" s="316"/>
      <c r="F247" s="315"/>
      <c r="G247" s="315"/>
      <c r="H247" s="315"/>
    </row>
    <row r="248" spans="1:9">
      <c r="A248" s="316">
        <f>A245+1</f>
        <v>148</v>
      </c>
      <c r="B248" s="315"/>
      <c r="C248" s="343" t="s">
        <v>190</v>
      </c>
      <c r="D248" s="343"/>
      <c r="E248" s="316"/>
      <c r="F248" s="482" t="str">
        <f>"(Line "&amp;A67&amp;" * "&amp;A245&amp;")"</f>
        <v>(Line 38 * 147)</v>
      </c>
      <c r="G248" s="315"/>
      <c r="H248" s="474">
        <f>+H67*H245</f>
        <v>842617735.96309996</v>
      </c>
    </row>
    <row r="249" spans="1:9">
      <c r="A249" s="457">
        <f>+A248+1</f>
        <v>149</v>
      </c>
      <c r="B249" s="315"/>
      <c r="C249" s="343" t="s">
        <v>291</v>
      </c>
      <c r="D249" s="343"/>
      <c r="E249" s="316"/>
      <c r="F249" s="471" t="str">
        <f>"(Line "&amp;A106&amp;" * "&amp;A245&amp;")"</f>
        <v>(Line 60 * 147)</v>
      </c>
      <c r="G249" s="315"/>
      <c r="H249" s="474">
        <f>+H106*H245</f>
        <v>-169904515.03781882</v>
      </c>
    </row>
    <row r="250" spans="1:9">
      <c r="A250" s="457">
        <f>+A249+1</f>
        <v>150</v>
      </c>
      <c r="B250" s="457"/>
      <c r="C250" s="472" t="s">
        <v>295</v>
      </c>
      <c r="D250" s="505"/>
      <c r="E250" s="572"/>
      <c r="F250" s="482" t="str">
        <f>"(Line "&amp;A108&amp;" * "&amp;A245&amp;")"</f>
        <v>(Line 61 * 147)</v>
      </c>
      <c r="G250" s="505"/>
      <c r="H250" s="573">
        <f>+H108*H245</f>
        <v>672713220.92528105</v>
      </c>
    </row>
    <row r="251" spans="1:9">
      <c r="A251" s="457"/>
      <c r="B251" s="457"/>
      <c r="C251" s="353"/>
      <c r="D251" s="347"/>
      <c r="E251" s="454"/>
      <c r="F251" s="1065"/>
      <c r="G251" s="1065"/>
      <c r="H251" s="474"/>
    </row>
    <row r="252" spans="1:9">
      <c r="A252" s="457">
        <f>+A250+1</f>
        <v>151</v>
      </c>
      <c r="B252" s="1065"/>
      <c r="C252" s="353" t="s">
        <v>336</v>
      </c>
      <c r="D252" s="347"/>
      <c r="E252" s="316"/>
      <c r="F252" s="482" t="str">
        <f>"(Line "&amp;A144&amp;" * "&amp;A245&amp;")"</f>
        <v>(Line 86 * 147)</v>
      </c>
      <c r="G252" s="315"/>
      <c r="H252" s="474">
        <f>+H144*H245</f>
        <v>22901674.019475851</v>
      </c>
    </row>
    <row r="253" spans="1:9">
      <c r="A253" s="457">
        <f>+A252+1</f>
        <v>152</v>
      </c>
      <c r="B253" s="1065"/>
      <c r="C253" s="350" t="s">
        <v>273</v>
      </c>
      <c r="D253" s="347"/>
      <c r="E253" s="316"/>
      <c r="F253" s="482" t="str">
        <f>"(Line "&amp;A165&amp;" * "&amp;A245&amp;")"</f>
        <v>(Line 98 * 147)</v>
      </c>
      <c r="G253" s="315"/>
      <c r="H253" s="474">
        <f>+H165*H245</f>
        <v>28038015.743048608</v>
      </c>
    </row>
    <row r="254" spans="1:9">
      <c r="A254" s="457">
        <f>+A253+1</f>
        <v>153</v>
      </c>
      <c r="B254" s="457"/>
      <c r="C254" s="353" t="s">
        <v>191</v>
      </c>
      <c r="D254" s="347"/>
      <c r="E254" s="454"/>
      <c r="F254" s="482" t="str">
        <f>"(Line "&amp;A171&amp;" * "&amp;A245&amp;")"</f>
        <v>(Line 100 * 147)</v>
      </c>
      <c r="G254" s="1065"/>
      <c r="H254" s="474">
        <f>+H171*H245</f>
        <v>22961751.042057801</v>
      </c>
    </row>
    <row r="255" spans="1:9">
      <c r="A255" s="457">
        <f>+A254+1</f>
        <v>154</v>
      </c>
      <c r="B255" s="457"/>
      <c r="C255" s="574" t="s">
        <v>317</v>
      </c>
      <c r="D255" s="347"/>
      <c r="E255" s="454"/>
      <c r="F255" s="482" t="str">
        <f>"(Line "&amp;A215&amp;" * "&amp;A245&amp;")"</f>
        <v>(Line 131 * 147)</v>
      </c>
      <c r="G255" s="1065"/>
      <c r="H255" s="474">
        <f>+H215*H245</f>
        <v>54555805.233891122</v>
      </c>
      <c r="I255" s="929"/>
    </row>
    <row r="256" spans="1:9">
      <c r="A256" s="457">
        <f>+A255+1</f>
        <v>155</v>
      </c>
      <c r="B256" s="457"/>
      <c r="C256" s="575" t="s">
        <v>318</v>
      </c>
      <c r="D256" s="480"/>
      <c r="E256" s="526"/>
      <c r="F256" s="471" t="str">
        <f>"(Line "&amp;A235&amp;" * "&amp;A245&amp;")"</f>
        <v>(Line 142 * 147)</v>
      </c>
      <c r="G256" s="480"/>
      <c r="H256" s="570">
        <f>+H235*H245</f>
        <v>22687212.650443558</v>
      </c>
    </row>
    <row r="257" spans="1:9">
      <c r="A257" s="459">
        <f>A256+1</f>
        <v>156</v>
      </c>
      <c r="B257" s="459"/>
      <c r="C257" s="346" t="s">
        <v>237</v>
      </c>
      <c r="D257" s="447"/>
      <c r="E257" s="447"/>
      <c r="F257" s="482" t="str">
        <f>"(Sum Lines "&amp;A252&amp;" to "&amp;A256&amp;")"</f>
        <v>(Sum Lines 151 to 155)</v>
      </c>
      <c r="G257" s="447"/>
      <c r="H257" s="352">
        <f>SUM(H252:H256)</f>
        <v>151144458.68891692</v>
      </c>
    </row>
    <row r="258" spans="1:9">
      <c r="A258" s="1073"/>
      <c r="B258" s="457"/>
      <c r="C258" s="353"/>
      <c r="D258" s="347"/>
      <c r="E258" s="454"/>
      <c r="F258" s="1065"/>
      <c r="G258" s="1065"/>
      <c r="H258" s="470"/>
    </row>
    <row r="259" spans="1:9">
      <c r="A259" s="1073"/>
      <c r="B259" s="516" t="s">
        <v>430</v>
      </c>
      <c r="C259" s="353"/>
      <c r="D259" s="347"/>
      <c r="E259" s="454"/>
      <c r="F259" s="1065"/>
      <c r="G259" s="1065"/>
      <c r="H259" s="470"/>
    </row>
    <row r="260" spans="1:9">
      <c r="A260" s="457">
        <f>A257+1</f>
        <v>157</v>
      </c>
      <c r="B260" s="315"/>
      <c r="C260" s="497" t="s">
        <v>194</v>
      </c>
      <c r="D260" s="347"/>
      <c r="E260" s="454"/>
      <c r="F260" s="1065" t="s">
        <v>553</v>
      </c>
      <c r="G260" s="1065"/>
      <c r="H260" s="474">
        <f>'3 - Revenue Credits'!E38</f>
        <v>2435131.4111457495</v>
      </c>
    </row>
    <row r="261" spans="1:9">
      <c r="A261" s="457">
        <f>+A260+1</f>
        <v>158</v>
      </c>
      <c r="B261" s="315"/>
      <c r="C261" s="479" t="s">
        <v>80</v>
      </c>
      <c r="D261" s="569"/>
      <c r="E261" s="331" t="str">
        <f>"(Note "&amp;B$322&amp;")"</f>
        <v>(Note M)</v>
      </c>
      <c r="F261" s="471" t="s">
        <v>552</v>
      </c>
      <c r="G261" s="569"/>
      <c r="H261" s="570">
        <f>'5 - Cost Support'!G102</f>
        <v>0</v>
      </c>
    </row>
    <row r="262" spans="1:9">
      <c r="A262" s="457"/>
      <c r="B262" s="315"/>
      <c r="C262" s="353"/>
      <c r="D262" s="447"/>
      <c r="E262" s="349"/>
      <c r="F262" s="482"/>
      <c r="G262" s="447"/>
      <c r="H262" s="352"/>
    </row>
    <row r="263" spans="1:9">
      <c r="A263" s="457">
        <f>A261+1</f>
        <v>159</v>
      </c>
      <c r="B263" s="315"/>
      <c r="C263" s="516" t="s">
        <v>34</v>
      </c>
      <c r="D263" s="447"/>
      <c r="E263" s="513"/>
      <c r="F263" s="482" t="str">
        <f>"(Line "&amp;A260&amp;" - "&amp;A261&amp;")"</f>
        <v>(Line 157 - 158)</v>
      </c>
      <c r="G263" s="576"/>
      <c r="H263" s="1027">
        <f>H260-H261</f>
        <v>2435131.4111457495</v>
      </c>
    </row>
    <row r="264" spans="1:9" ht="15.75" thickBot="1">
      <c r="A264" s="457"/>
      <c r="B264" s="457"/>
      <c r="C264" s="343"/>
      <c r="D264" s="343"/>
      <c r="E264" s="316"/>
      <c r="F264" s="1065"/>
      <c r="G264" s="1065"/>
      <c r="H264" s="470"/>
    </row>
    <row r="265" spans="1:9" s="1" customFormat="1" ht="16.5" thickBot="1">
      <c r="A265" s="577">
        <f>A263+1</f>
        <v>160</v>
      </c>
      <c r="B265" s="578"/>
      <c r="C265" s="579" t="s">
        <v>335</v>
      </c>
      <c r="D265" s="578"/>
      <c r="E265" s="580"/>
      <c r="F265" s="581" t="str">
        <f>"(Line "&amp;A257&amp;" - "&amp;A263&amp;")"</f>
        <v>(Line 156 - 159)</v>
      </c>
      <c r="G265" s="559"/>
      <c r="H265" s="562">
        <f>+H257-H263</f>
        <v>148709327.27777117</v>
      </c>
      <c r="I265" s="312"/>
    </row>
    <row r="266" spans="1:9">
      <c r="A266" s="1073"/>
      <c r="B266" s="457"/>
      <c r="C266" s="343"/>
      <c r="D266" s="343"/>
      <c r="E266" s="316"/>
      <c r="F266" s="1065"/>
      <c r="G266" s="1065"/>
      <c r="H266" s="470"/>
    </row>
    <row r="267" spans="1:9">
      <c r="A267" s="457"/>
      <c r="B267" s="449" t="s">
        <v>434</v>
      </c>
      <c r="C267" s="315"/>
      <c r="D267" s="343"/>
      <c r="E267" s="316"/>
      <c r="F267" s="1065"/>
      <c r="G267" s="1065"/>
      <c r="H267" s="470"/>
    </row>
    <row r="268" spans="1:9">
      <c r="A268" s="457">
        <f>+A265+1</f>
        <v>161</v>
      </c>
      <c r="B268" s="457"/>
      <c r="C268" s="343" t="str">
        <f>+C265</f>
        <v>Net Revenue Requirement</v>
      </c>
      <c r="D268" s="343"/>
      <c r="E268" s="316"/>
      <c r="F268" s="1065" t="str">
        <f>"(Line "&amp;A265&amp;")"</f>
        <v>(Line 160)</v>
      </c>
      <c r="G268" s="1065"/>
      <c r="H268" s="1027">
        <f>+H265</f>
        <v>148709327.27777117</v>
      </c>
    </row>
    <row r="269" spans="1:9">
      <c r="A269" s="457">
        <f>+A268+1</f>
        <v>162</v>
      </c>
      <c r="B269" s="457"/>
      <c r="C269" s="343" t="s">
        <v>677</v>
      </c>
      <c r="D269" s="343"/>
      <c r="E269" s="316"/>
      <c r="F269" s="1065" t="str">
        <f>"(Line "&amp;$A$41&amp;" - "&amp;$A$55&amp;")  *  Line "&amp;$A$245</f>
        <v>(Line 19 - 29)  *  Line 147</v>
      </c>
      <c r="G269" s="1065"/>
      <c r="H269" s="1027">
        <f>(+H41-H55)*H245</f>
        <v>844003922.68242908</v>
      </c>
    </row>
    <row r="270" spans="1:9">
      <c r="A270" s="457">
        <f>+A269+1</f>
        <v>163</v>
      </c>
      <c r="B270" s="457"/>
      <c r="C270" s="343" t="s">
        <v>432</v>
      </c>
      <c r="D270" s="343"/>
      <c r="E270" s="470"/>
      <c r="F270" s="1065" t="str">
        <f>"(Line "&amp;A268&amp;" / "&amp;A269&amp;")"</f>
        <v>(Line 161 / 162)</v>
      </c>
      <c r="G270" s="1065"/>
      <c r="H270" s="470">
        <f>IF(H269=0,0,H268/H269)</f>
        <v>0.17619506649345942</v>
      </c>
    </row>
    <row r="271" spans="1:9">
      <c r="A271" s="457">
        <f>+A270+1</f>
        <v>164</v>
      </c>
      <c r="B271" s="457"/>
      <c r="C271" s="343" t="s">
        <v>433</v>
      </c>
      <c r="D271" s="343"/>
      <c r="E271" s="470"/>
      <c r="F271" s="1065" t="str">
        <f>"(Line "&amp;A268&amp;" - "&amp;A253&amp;") / "&amp;A269</f>
        <v>(Line 161 - 152) / 162</v>
      </c>
      <c r="G271" s="1065"/>
      <c r="H271" s="470">
        <f>IF(H269=0,0,(H268-H253)/H269)</f>
        <v>0.14297482309229409</v>
      </c>
    </row>
    <row r="272" spans="1:9">
      <c r="A272" s="457">
        <f>+A271+1</f>
        <v>165</v>
      </c>
      <c r="B272" s="457"/>
      <c r="C272" s="343" t="s">
        <v>679</v>
      </c>
      <c r="D272" s="343"/>
      <c r="E272" s="470"/>
      <c r="F272" s="1065" t="str">
        <f>"(Line "&amp;A268&amp;" - "&amp;A253&amp;" - "&amp;A255&amp;" - "&amp;A256&amp;") / "&amp;A269</f>
        <v>(Line 161 - 152 - 154 - 155) / 162</v>
      </c>
      <c r="G272" s="1065"/>
      <c r="H272" s="470">
        <f>IF(H269=0,0,(H268-H253-H255-H256)/H269)</f>
        <v>5.1455085081077899E-2</v>
      </c>
    </row>
    <row r="273" spans="1:10">
      <c r="A273" s="457"/>
      <c r="B273" s="457"/>
      <c r="C273" s="343"/>
      <c r="D273" s="343"/>
      <c r="E273" s="316"/>
      <c r="F273" s="1065"/>
      <c r="G273" s="1065"/>
      <c r="H273" s="470"/>
    </row>
    <row r="274" spans="1:10">
      <c r="A274" s="457"/>
      <c r="B274" s="457"/>
      <c r="C274" s="343"/>
      <c r="D274" s="343"/>
      <c r="E274" s="316"/>
      <c r="F274" s="1065"/>
      <c r="G274" s="1065"/>
      <c r="H274" s="470"/>
      <c r="I274" s="1074"/>
    </row>
    <row r="275" spans="1:10">
      <c r="A275" s="457"/>
      <c r="B275" s="449" t="s">
        <v>435</v>
      </c>
      <c r="C275" s="343"/>
      <c r="D275" s="343"/>
      <c r="E275" s="316"/>
      <c r="F275" s="1065"/>
      <c r="G275" s="1065"/>
      <c r="H275" s="470"/>
    </row>
    <row r="276" spans="1:10">
      <c r="A276" s="457">
        <f>+A272+1</f>
        <v>166</v>
      </c>
      <c r="B276" s="457"/>
      <c r="C276" s="343" t="s">
        <v>487</v>
      </c>
      <c r="D276" s="343"/>
      <c r="E276" s="316"/>
      <c r="F276" s="1065" t="str">
        <f>"(Line "&amp;A265&amp;" - "&amp;A255&amp;" - "&amp;A256&amp;")"</f>
        <v>(Line 160 - 154 - 155)</v>
      </c>
      <c r="G276" s="1065"/>
      <c r="H276" s="1027">
        <f>+H265-H255-H256</f>
        <v>71466309.393436491</v>
      </c>
    </row>
    <row r="277" spans="1:10">
      <c r="A277" s="457">
        <f>+A276+1</f>
        <v>167</v>
      </c>
      <c r="B277" s="457"/>
      <c r="C277" s="343" t="s">
        <v>389</v>
      </c>
      <c r="D277" s="343"/>
      <c r="E277" s="316" t="s">
        <v>554</v>
      </c>
      <c r="F277" s="1065" t="str">
        <f>"(Line "&amp;A215&amp;" + "&amp;A235&amp;")"</f>
        <v>(Line 131 + 142)</v>
      </c>
      <c r="G277" s="1065"/>
      <c r="H277" s="548">
        <f>'4 - 100 Basis Pt ROE'!I56+'4 - 100 Basis Pt ROE'!I77</f>
        <v>82919947.435390458</v>
      </c>
    </row>
    <row r="278" spans="1:10">
      <c r="A278" s="457">
        <f>+A277+1</f>
        <v>168</v>
      </c>
      <c r="B278" s="457"/>
      <c r="C278" s="343" t="s">
        <v>488</v>
      </c>
      <c r="D278" s="343"/>
      <c r="E278" s="316"/>
      <c r="F278" s="1065" t="str">
        <f>"(Line "&amp;A276&amp;" + "&amp;A277&amp;")"</f>
        <v>(Line 166 + 167)</v>
      </c>
      <c r="G278" s="1065"/>
      <c r="H278" s="1027">
        <f>+H277+H276</f>
        <v>154386256.82882696</v>
      </c>
    </row>
    <row r="279" spans="1:10">
      <c r="A279" s="457">
        <f>+A278+1</f>
        <v>169</v>
      </c>
      <c r="B279" s="457"/>
      <c r="C279" s="343" t="str">
        <f>+C269</f>
        <v>Net Transmission Plant times Inclusion Ratio</v>
      </c>
      <c r="D279" s="343"/>
      <c r="E279" s="316"/>
      <c r="F279" s="1065" t="str">
        <f>"(Line "&amp;A269&amp;")"</f>
        <v>(Line 162)</v>
      </c>
      <c r="G279" s="1065"/>
      <c r="H279" s="1027">
        <f>+H269</f>
        <v>844003922.68242908</v>
      </c>
    </row>
    <row r="280" spans="1:10">
      <c r="A280" s="457">
        <f>+A279+1</f>
        <v>170</v>
      </c>
      <c r="B280" s="457"/>
      <c r="C280" s="343" t="s">
        <v>435</v>
      </c>
      <c r="D280" s="343"/>
      <c r="E280" s="316"/>
      <c r="F280" s="1065" t="str">
        <f>"(Line "&amp;A278&amp;" / "&amp;A279&amp;")"</f>
        <v>(Line 168 / 169)</v>
      </c>
      <c r="G280" s="1065"/>
      <c r="H280" s="470">
        <f>IF(H279=0,0,H278/H279)</f>
        <v>0.18292125507918691</v>
      </c>
    </row>
    <row r="281" spans="1:10">
      <c r="A281" s="457">
        <f>+A280+1</f>
        <v>171</v>
      </c>
      <c r="B281" s="457"/>
      <c r="C281" s="343" t="s">
        <v>436</v>
      </c>
      <c r="D281" s="343"/>
      <c r="E281" s="316"/>
      <c r="F281" s="1065" t="str">
        <f>"(Line "&amp;A278&amp;" - "&amp;A253&amp;") / "&amp;A279&amp;""</f>
        <v>(Line 168 - 152) / 169</v>
      </c>
      <c r="G281" s="1065"/>
      <c r="H281" s="470">
        <f>IF(H279=0,0,(H278-H253)/H279)</f>
        <v>0.14970101167802161</v>
      </c>
    </row>
    <row r="282" spans="1:10">
      <c r="A282" s="457"/>
      <c r="B282" s="456"/>
      <c r="C282" s="343"/>
      <c r="D282" s="343"/>
      <c r="E282" s="319"/>
      <c r="F282" s="320"/>
      <c r="G282" s="320"/>
      <c r="H282" s="470"/>
    </row>
    <row r="283" spans="1:10">
      <c r="A283" s="457">
        <f>+A281+1</f>
        <v>172</v>
      </c>
      <c r="B283" s="456"/>
      <c r="C283" s="449" t="s">
        <v>335</v>
      </c>
      <c r="D283" s="343"/>
      <c r="E283" s="316"/>
      <c r="F283" s="320" t="str">
        <f>"(Line "&amp;A265&amp;")"</f>
        <v>(Line 160)</v>
      </c>
      <c r="G283" s="320"/>
      <c r="H283" s="1027">
        <f>H265</f>
        <v>148709327.27777117</v>
      </c>
    </row>
    <row r="284" spans="1:10">
      <c r="A284" s="457">
        <f>+A283+1</f>
        <v>173</v>
      </c>
      <c r="B284" s="456"/>
      <c r="C284" s="343" t="s">
        <v>541</v>
      </c>
      <c r="D284" s="343"/>
      <c r="E284" s="555"/>
      <c r="F284" s="508" t="s">
        <v>550</v>
      </c>
      <c r="G284" s="320"/>
      <c r="H284" s="1027">
        <v>0</v>
      </c>
    </row>
    <row r="285" spans="1:10">
      <c r="A285" s="457">
        <f>+A284+1</f>
        <v>174</v>
      </c>
      <c r="B285" s="457"/>
      <c r="C285" s="480" t="s">
        <v>728</v>
      </c>
      <c r="D285" s="359"/>
      <c r="E285" s="331" t="str">
        <f>"(Note "&amp;B$339&amp;")"</f>
        <v>(Note T)</v>
      </c>
      <c r="F285" s="480" t="s">
        <v>693</v>
      </c>
      <c r="G285" s="480"/>
      <c r="H285" s="1032">
        <v>0</v>
      </c>
    </row>
    <row r="286" spans="1:10">
      <c r="A286" s="457">
        <f>+A285+1</f>
        <v>175</v>
      </c>
      <c r="B286" s="456"/>
      <c r="C286" s="449" t="s">
        <v>819</v>
      </c>
      <c r="D286" s="343"/>
      <c r="E286" s="316"/>
      <c r="F286" s="1065" t="str">
        <f>"(Line "&amp;A283&amp;" + "&amp;A284&amp;" + "&amp;A285&amp;")"</f>
        <v>(Line 172 + 173 + 174)</v>
      </c>
      <c r="G286" s="1065"/>
      <c r="H286" s="1033">
        <f>H283+H284+H285</f>
        <v>148709327.27777117</v>
      </c>
      <c r="J286" s="360"/>
    </row>
    <row r="287" spans="1:10">
      <c r="A287" s="457"/>
      <c r="B287" s="456"/>
      <c r="C287" s="343"/>
      <c r="D287" s="343"/>
      <c r="E287" s="319"/>
      <c r="F287" s="320"/>
      <c r="G287" s="320"/>
      <c r="H287" s="470"/>
    </row>
    <row r="288" spans="1:10">
      <c r="A288" s="457"/>
      <c r="B288" s="582" t="s">
        <v>33</v>
      </c>
      <c r="C288" s="343"/>
      <c r="D288" s="343"/>
      <c r="E288" s="319"/>
      <c r="F288" s="320"/>
      <c r="G288" s="320"/>
      <c r="H288" s="470"/>
    </row>
    <row r="289" spans="1:10">
      <c r="A289" s="457">
        <f>+A286+1</f>
        <v>176</v>
      </c>
      <c r="B289" s="456"/>
      <c r="C289" s="320" t="s">
        <v>31</v>
      </c>
      <c r="D289" s="583"/>
      <c r="E289" s="349" t="str">
        <f>"(Note "&amp;B$319&amp;")"</f>
        <v>(Note K)</v>
      </c>
      <c r="F289" s="584" t="str">
        <f>'5 - Cost Support'!F116</f>
        <v>p.400</v>
      </c>
      <c r="G289" s="343"/>
      <c r="H289" s="1027">
        <f>'5 - Cost Support'!K116</f>
        <v>4189.166666666667</v>
      </c>
    </row>
    <row r="290" spans="1:10">
      <c r="A290" s="457">
        <f>+A289+1</f>
        <v>177</v>
      </c>
      <c r="B290" s="456"/>
      <c r="C290" s="320" t="s">
        <v>274</v>
      </c>
      <c r="D290" s="779"/>
      <c r="E290" s="513"/>
      <c r="F290" s="568" t="str">
        <f>"(Line "&amp;A286&amp;" / "&amp;A289&amp;")"</f>
        <v>(Line 175 / 176)</v>
      </c>
      <c r="G290" s="586"/>
      <c r="H290" s="1027">
        <v>0</v>
      </c>
      <c r="I290" s="929"/>
    </row>
    <row r="291" spans="1:10" ht="15.75" thickBot="1">
      <c r="A291" s="456"/>
      <c r="B291" s="456"/>
      <c r="C291" s="320"/>
      <c r="D291" s="583"/>
      <c r="E291" s="813"/>
      <c r="F291" s="586"/>
      <c r="G291" s="586"/>
      <c r="H291" s="585"/>
    </row>
    <row r="292" spans="1:10" s="10" customFormat="1" ht="15.75" thickBot="1">
      <c r="A292" s="556">
        <f>+A290+1</f>
        <v>178</v>
      </c>
      <c r="B292" s="587"/>
      <c r="C292" s="588" t="s">
        <v>32</v>
      </c>
      <c r="D292" s="587"/>
      <c r="E292" s="587"/>
      <c r="F292" s="587" t="str">
        <f>"(Line "&amp;A290&amp;")"</f>
        <v>(Line 177)</v>
      </c>
      <c r="G292" s="587"/>
      <c r="H292" s="589">
        <f>+H290</f>
        <v>0</v>
      </c>
      <c r="I292" s="1141"/>
      <c r="J292" s="1034"/>
    </row>
    <row r="293" spans="1:10" s="10" customFormat="1">
      <c r="A293" s="563"/>
      <c r="B293" s="563"/>
      <c r="C293" s="567"/>
      <c r="D293" s="563"/>
      <c r="E293" s="563"/>
      <c r="F293" s="563"/>
      <c r="G293" s="563"/>
      <c r="H293" s="755"/>
      <c r="I293" s="1142"/>
    </row>
    <row r="294" spans="1:10" s="10" customFormat="1">
      <c r="A294" s="563"/>
      <c r="B294" s="567" t="s">
        <v>104</v>
      </c>
      <c r="C294" s="567"/>
      <c r="D294" s="563"/>
      <c r="E294" s="563"/>
      <c r="F294" s="563"/>
      <c r="G294" s="563"/>
      <c r="H294" s="755"/>
      <c r="I294" s="328"/>
    </row>
    <row r="295" spans="1:10" s="10" customFormat="1">
      <c r="A295" s="563">
        <f>A292+1</f>
        <v>179</v>
      </c>
      <c r="B295" s="567"/>
      <c r="C295" s="607" t="s">
        <v>105</v>
      </c>
      <c r="D295" s="563"/>
      <c r="E295" s="563"/>
      <c r="F295" s="607" t="str">
        <f>'5 - Cost Support'!F52</f>
        <v>Total</v>
      </c>
      <c r="G295" s="563"/>
      <c r="H295" s="1027">
        <f>'5 - Cost Support'!G52</f>
        <v>2018647</v>
      </c>
      <c r="I295" s="328"/>
    </row>
    <row r="296" spans="1:10" s="10" customFormat="1">
      <c r="A296" s="563">
        <f>A295+1</f>
        <v>180</v>
      </c>
      <c r="B296" s="563"/>
      <c r="C296" s="607" t="s">
        <v>31</v>
      </c>
      <c r="D296" s="563"/>
      <c r="E296" s="349" t="str">
        <f>"(Note "&amp;B$319&amp;")"</f>
        <v>(Note K)</v>
      </c>
      <c r="F296" s="584" t="str">
        <f>'5 - Cost Support'!F116</f>
        <v>p.400</v>
      </c>
      <c r="G296" s="563"/>
      <c r="H296" s="1027">
        <f>'5 - Cost Support'!K116</f>
        <v>4189.166666666667</v>
      </c>
      <c r="I296" s="328"/>
    </row>
    <row r="297" spans="1:10" s="10" customFormat="1">
      <c r="A297" s="563">
        <f>A296+1</f>
        <v>181</v>
      </c>
      <c r="B297" s="563"/>
      <c r="C297" s="320" t="s">
        <v>274</v>
      </c>
      <c r="D297" s="563"/>
      <c r="E297" s="563"/>
      <c r="F297" s="568" t="str">
        <f>"(Line "&amp;A295&amp;" / "&amp;A296&amp;")"</f>
        <v>(Line 179 / 180)</v>
      </c>
      <c r="G297" s="563"/>
      <c r="H297" s="868">
        <f>IF(H296=0,0,H295/H296)</f>
        <v>481.87316490948871</v>
      </c>
      <c r="I297" s="328"/>
    </row>
    <row r="298" spans="1:10" s="10" customFormat="1" ht="15.75" thickBot="1">
      <c r="A298" s="563"/>
      <c r="B298" s="563"/>
      <c r="C298" s="567"/>
      <c r="D298" s="563"/>
      <c r="E298" s="563"/>
      <c r="F298" s="563"/>
      <c r="G298" s="563"/>
      <c r="H298" s="755"/>
      <c r="I298" s="328"/>
    </row>
    <row r="299" spans="1:10" s="10" customFormat="1" ht="15.75" thickBot="1">
      <c r="A299" s="556">
        <f>A297+1</f>
        <v>182</v>
      </c>
      <c r="B299" s="587"/>
      <c r="C299" s="588" t="s">
        <v>66</v>
      </c>
      <c r="D299" s="587"/>
      <c r="E299" s="587"/>
      <c r="F299" s="818" t="str">
        <f>"(Line "&amp;A297&amp;")"</f>
        <v>(Line 181)</v>
      </c>
      <c r="G299" s="587"/>
      <c r="H299" s="819">
        <f>+H297</f>
        <v>481.87316490948871</v>
      </c>
      <c r="I299" s="584"/>
    </row>
    <row r="300" spans="1:10" s="10" customFormat="1">
      <c r="A300" s="1069"/>
      <c r="B300" s="458"/>
      <c r="C300" s="330"/>
      <c r="D300" s="330"/>
      <c r="E300" s="813"/>
      <c r="F300" s="586"/>
      <c r="G300" s="814"/>
      <c r="H300" s="752"/>
      <c r="I300" s="1143"/>
    </row>
    <row r="301" spans="1:10" s="10" customFormat="1">
      <c r="A301" s="563"/>
      <c r="B301" s="47" t="s">
        <v>325</v>
      </c>
      <c r="C301" s="590"/>
      <c r="D301" s="590"/>
      <c r="E301" s="46"/>
      <c r="F301" s="591"/>
      <c r="G301" s="591"/>
      <c r="H301" s="814"/>
      <c r="I301" s="328"/>
    </row>
    <row r="302" spans="1:10" s="10" customFormat="1">
      <c r="A302" s="563"/>
      <c r="B302" s="669" t="s">
        <v>214</v>
      </c>
      <c r="C302" s="590" t="s">
        <v>339</v>
      </c>
      <c r="D302" s="590"/>
      <c r="E302" s="46"/>
      <c r="F302" s="591"/>
      <c r="G302" s="591"/>
      <c r="H302" s="814"/>
      <c r="I302" s="328"/>
    </row>
    <row r="303" spans="1:10" s="10" customFormat="1">
      <c r="A303" s="592"/>
      <c r="B303" s="669" t="s">
        <v>307</v>
      </c>
      <c r="C303" s="593" t="s">
        <v>127</v>
      </c>
      <c r="D303" s="340"/>
      <c r="E303" s="1075"/>
      <c r="F303" s="594"/>
      <c r="G303" s="591"/>
      <c r="H303" s="814"/>
      <c r="I303" s="328"/>
    </row>
    <row r="304" spans="1:10" s="10" customFormat="1">
      <c r="A304" s="592"/>
      <c r="B304" s="669"/>
      <c r="C304" s="1130" t="s">
        <v>860</v>
      </c>
      <c r="D304" s="340"/>
      <c r="E304" s="1075"/>
      <c r="F304" s="594"/>
      <c r="G304" s="591"/>
      <c r="H304" s="814"/>
      <c r="I304" s="328"/>
    </row>
    <row r="305" spans="1:9" s="10" customFormat="1">
      <c r="A305" s="592"/>
      <c r="B305" s="669"/>
      <c r="C305" s="593" t="s">
        <v>861</v>
      </c>
      <c r="D305" s="340"/>
      <c r="E305" s="1075"/>
      <c r="F305" s="594"/>
      <c r="G305" s="591"/>
      <c r="H305" s="814"/>
      <c r="I305" s="328"/>
    </row>
    <row r="306" spans="1:9" s="10" customFormat="1">
      <c r="A306" s="563"/>
      <c r="B306" s="669" t="s">
        <v>195</v>
      </c>
      <c r="C306" s="593" t="s">
        <v>340</v>
      </c>
      <c r="D306" s="590"/>
      <c r="E306" s="46"/>
      <c r="F306" s="591"/>
      <c r="G306" s="591"/>
      <c r="H306" s="814"/>
      <c r="I306" s="328"/>
    </row>
    <row r="307" spans="1:9" s="10" customFormat="1">
      <c r="A307" s="563"/>
      <c r="B307" s="600" t="s">
        <v>215</v>
      </c>
      <c r="C307" s="595" t="s">
        <v>849</v>
      </c>
      <c r="D307" s="340"/>
      <c r="E307" s="46"/>
      <c r="F307" s="591"/>
      <c r="G307" s="591"/>
      <c r="H307" s="814"/>
      <c r="I307" s="328"/>
    </row>
    <row r="308" spans="1:9" s="10" customFormat="1">
      <c r="A308" s="563"/>
      <c r="B308" s="669" t="s">
        <v>213</v>
      </c>
      <c r="C308" s="596" t="s">
        <v>239</v>
      </c>
      <c r="D308" s="590"/>
      <c r="E308" s="46"/>
      <c r="F308" s="591"/>
      <c r="G308" s="591"/>
      <c r="H308" s="814"/>
      <c r="I308" s="328"/>
    </row>
    <row r="309" spans="1:9" s="10" customFormat="1">
      <c r="A309" s="592"/>
      <c r="B309" s="600" t="s">
        <v>484</v>
      </c>
      <c r="C309" s="595" t="s">
        <v>363</v>
      </c>
      <c r="D309" s="590"/>
      <c r="E309" s="46"/>
      <c r="F309" s="591"/>
      <c r="G309" s="591"/>
      <c r="H309" s="814"/>
      <c r="I309" s="328"/>
    </row>
    <row r="310" spans="1:9" s="10" customFormat="1">
      <c r="A310" s="563"/>
      <c r="B310" s="669" t="s">
        <v>216</v>
      </c>
      <c r="C310" s="595" t="s">
        <v>558</v>
      </c>
      <c r="D310" s="590"/>
      <c r="E310" s="46"/>
      <c r="F310" s="591"/>
      <c r="G310" s="591"/>
      <c r="H310" s="814"/>
      <c r="I310" s="328"/>
    </row>
    <row r="311" spans="1:9" s="10" customFormat="1">
      <c r="A311" s="563"/>
      <c r="B311" s="669" t="s">
        <v>614</v>
      </c>
      <c r="C311" s="595" t="s">
        <v>218</v>
      </c>
      <c r="D311" s="590"/>
      <c r="E311" s="46"/>
      <c r="F311" s="591"/>
      <c r="G311" s="591"/>
      <c r="H311" s="814"/>
      <c r="I311" s="328"/>
    </row>
    <row r="312" spans="1:9" s="10" customFormat="1">
      <c r="A312" s="563"/>
      <c r="B312" s="669"/>
      <c r="C312" s="595" t="s">
        <v>219</v>
      </c>
      <c r="D312" s="590"/>
      <c r="E312" s="46"/>
      <c r="F312" s="591"/>
      <c r="G312" s="591"/>
      <c r="H312" s="814"/>
      <c r="I312" s="328"/>
    </row>
    <row r="313" spans="1:9" s="10" customFormat="1">
      <c r="A313" s="563"/>
      <c r="B313" s="669"/>
      <c r="C313" s="595" t="s">
        <v>220</v>
      </c>
      <c r="D313" s="590"/>
      <c r="E313" s="46"/>
      <c r="F313" s="591"/>
      <c r="G313" s="591"/>
      <c r="H313" s="814"/>
      <c r="I313" s="328"/>
    </row>
    <row r="314" spans="1:9" s="10" customFormat="1">
      <c r="A314" s="563"/>
      <c r="B314" s="669"/>
      <c r="C314" s="595" t="s">
        <v>221</v>
      </c>
      <c r="D314" s="590"/>
      <c r="E314" s="46"/>
      <c r="F314" s="591"/>
      <c r="G314" s="591"/>
      <c r="H314" s="814"/>
      <c r="I314" s="328"/>
    </row>
    <row r="315" spans="1:9" s="10" customFormat="1">
      <c r="A315" s="563"/>
      <c r="B315" s="669"/>
      <c r="C315" s="595" t="s">
        <v>222</v>
      </c>
      <c r="D315" s="590"/>
      <c r="E315" s="46"/>
      <c r="F315" s="591"/>
      <c r="G315" s="591"/>
      <c r="H315" s="814"/>
      <c r="I315" s="328"/>
    </row>
    <row r="316" spans="1:9" s="10" customFormat="1">
      <c r="A316" s="563"/>
      <c r="B316" s="669"/>
      <c r="C316" s="595" t="s">
        <v>388</v>
      </c>
      <c r="D316" s="590"/>
      <c r="E316" s="46"/>
      <c r="F316" s="591"/>
      <c r="G316" s="591"/>
      <c r="H316" s="814"/>
      <c r="I316" s="328"/>
    </row>
    <row r="317" spans="1:9" s="10" customFormat="1">
      <c r="A317" s="563"/>
      <c r="B317" s="669" t="s">
        <v>201</v>
      </c>
      <c r="C317" s="595" t="s">
        <v>844</v>
      </c>
      <c r="D317" s="590"/>
      <c r="E317" s="46"/>
      <c r="F317" s="591"/>
      <c r="G317" s="591"/>
      <c r="H317" s="814"/>
      <c r="I317" s="328"/>
    </row>
    <row r="318" spans="1:9" s="10" customFormat="1">
      <c r="A318" s="563"/>
      <c r="B318" s="600" t="s">
        <v>203</v>
      </c>
      <c r="C318" s="340" t="s">
        <v>662</v>
      </c>
      <c r="D318" s="340"/>
      <c r="E318" s="46"/>
      <c r="F318" s="591"/>
      <c r="G318" s="591"/>
      <c r="H318" s="814"/>
      <c r="I318" s="328"/>
    </row>
    <row r="319" spans="1:9">
      <c r="A319" s="592"/>
      <c r="B319" s="669" t="s">
        <v>661</v>
      </c>
      <c r="C319" s="590" t="s">
        <v>696</v>
      </c>
      <c r="D319" s="590"/>
      <c r="E319" s="46"/>
      <c r="F319" s="591"/>
      <c r="G319" s="591"/>
      <c r="H319" s="814"/>
    </row>
    <row r="320" spans="1:9">
      <c r="A320" s="457"/>
      <c r="B320" s="894" t="s">
        <v>280</v>
      </c>
      <c r="C320" s="597" t="s">
        <v>826</v>
      </c>
      <c r="D320" s="597"/>
      <c r="E320" s="46"/>
      <c r="F320" s="591"/>
      <c r="G320" s="591"/>
      <c r="H320" s="814"/>
    </row>
    <row r="321" spans="1:9">
      <c r="A321" s="457"/>
      <c r="B321" s="894"/>
      <c r="C321" s="597" t="s">
        <v>827</v>
      </c>
      <c r="D321" s="597"/>
      <c r="E321" s="46"/>
      <c r="F321" s="591"/>
      <c r="G321" s="591"/>
      <c r="H321" s="814"/>
    </row>
    <row r="322" spans="1:9">
      <c r="A322" s="457"/>
      <c r="B322" s="895" t="s">
        <v>281</v>
      </c>
      <c r="C322" s="598" t="s">
        <v>431</v>
      </c>
      <c r="D322" s="596"/>
      <c r="E322" s="1075"/>
      <c r="F322" s="591"/>
      <c r="G322" s="591"/>
      <c r="H322" s="814"/>
    </row>
    <row r="323" spans="1:9">
      <c r="A323" s="457"/>
      <c r="B323" s="895"/>
      <c r="C323" s="598" t="s">
        <v>169</v>
      </c>
      <c r="D323" s="596"/>
      <c r="E323" s="1075"/>
      <c r="F323" s="591"/>
      <c r="G323" s="591"/>
      <c r="H323" s="814"/>
    </row>
    <row r="324" spans="1:9">
      <c r="A324" s="457"/>
      <c r="B324" s="895"/>
      <c r="C324" s="598" t="str">
        <f xml:space="preserve"> " requirement to make the Transmission Owner whole on Line "&amp;A261&amp;"."</f>
        <v xml:space="preserve"> requirement to make the Transmission Owner whole on Line 158.</v>
      </c>
      <c r="D324" s="596"/>
      <c r="E324" s="1075"/>
      <c r="F324" s="594"/>
      <c r="G324" s="591"/>
      <c r="I324" s="814"/>
    </row>
    <row r="325" spans="1:9">
      <c r="A325" s="457"/>
      <c r="B325" s="895" t="s">
        <v>485</v>
      </c>
      <c r="C325" s="1131" t="s">
        <v>862</v>
      </c>
      <c r="D325" s="596"/>
      <c r="E325" s="1075"/>
      <c r="F325" s="594"/>
      <c r="G325" s="591"/>
      <c r="H325" s="814"/>
    </row>
    <row r="326" spans="1:9">
      <c r="A326" s="459"/>
      <c r="B326" s="600" t="s">
        <v>65</v>
      </c>
      <c r="C326" s="340" t="s">
        <v>847</v>
      </c>
      <c r="D326" s="340"/>
      <c r="E326" s="1075"/>
      <c r="F326" s="594"/>
      <c r="G326" s="591"/>
      <c r="H326" s="814"/>
    </row>
    <row r="327" spans="1:9">
      <c r="A327" s="459"/>
      <c r="B327" s="600"/>
      <c r="C327" s="340" t="s">
        <v>848</v>
      </c>
      <c r="D327" s="340"/>
      <c r="E327" s="1075"/>
      <c r="F327" s="594"/>
      <c r="G327" s="591"/>
      <c r="H327" s="814"/>
    </row>
    <row r="328" spans="1:9" s="23" customFormat="1" ht="12.75">
      <c r="A328" s="600"/>
      <c r="B328" s="600" t="s">
        <v>243</v>
      </c>
      <c r="C328" s="23" t="s">
        <v>820</v>
      </c>
      <c r="D328" s="340"/>
      <c r="E328" s="1075"/>
      <c r="F328" s="594"/>
      <c r="G328" s="591"/>
      <c r="H328" s="591"/>
    </row>
    <row r="329" spans="1:9" s="23" customFormat="1" ht="12.75">
      <c r="A329" s="600"/>
      <c r="B329" s="600"/>
      <c r="C329" s="23" t="s">
        <v>187</v>
      </c>
      <c r="D329" s="340"/>
      <c r="E329" s="1075"/>
      <c r="F329" s="594"/>
      <c r="G329" s="591"/>
      <c r="H329" s="591"/>
    </row>
    <row r="330" spans="1:9" ht="15.75">
      <c r="A330" s="13"/>
      <c r="B330" s="600" t="s">
        <v>146</v>
      </c>
      <c r="C330" s="340" t="s">
        <v>171</v>
      </c>
      <c r="D330" s="60"/>
      <c r="E330" s="1076"/>
      <c r="F330" s="892"/>
      <c r="G330" s="591"/>
      <c r="H330" s="814"/>
    </row>
    <row r="331" spans="1:9" ht="15.75">
      <c r="A331" s="13"/>
      <c r="B331" s="600"/>
      <c r="C331" s="340" t="s">
        <v>172</v>
      </c>
      <c r="D331" s="60"/>
      <c r="E331" s="1076"/>
      <c r="F331" s="892"/>
      <c r="G331" s="18"/>
      <c r="H331" s="302"/>
    </row>
    <row r="332" spans="1:9" ht="15.75">
      <c r="A332" s="6"/>
      <c r="B332" s="600"/>
      <c r="C332" s="340" t="s">
        <v>850</v>
      </c>
      <c r="D332" s="17"/>
      <c r="E332" s="893"/>
      <c r="F332" s="18"/>
      <c r="G332" s="17"/>
    </row>
    <row r="333" spans="1:9" ht="15.75">
      <c r="A333" s="6"/>
      <c r="B333" s="600"/>
      <c r="C333" s="340" t="s">
        <v>831</v>
      </c>
      <c r="D333" s="17"/>
      <c r="E333" s="893"/>
      <c r="F333" s="18"/>
      <c r="G333" s="17"/>
    </row>
    <row r="334" spans="1:9" ht="15.75">
      <c r="A334" s="6"/>
      <c r="B334" s="600" t="s">
        <v>165</v>
      </c>
      <c r="C334" s="340" t="s">
        <v>825</v>
      </c>
      <c r="D334" s="17"/>
      <c r="E334" s="893"/>
      <c r="F334" s="18"/>
      <c r="G334" s="17"/>
    </row>
    <row r="335" spans="1:9" ht="15.75">
      <c r="A335" s="6"/>
      <c r="B335" s="600"/>
      <c r="C335" s="340" t="s">
        <v>845</v>
      </c>
      <c r="D335" s="17"/>
      <c r="E335" s="893"/>
      <c r="F335" s="18"/>
      <c r="G335" s="17"/>
    </row>
    <row r="336" spans="1:9" ht="15.75">
      <c r="A336" s="6"/>
      <c r="B336" s="600"/>
      <c r="C336" s="340" t="s">
        <v>846</v>
      </c>
      <c r="D336" s="17"/>
      <c r="E336" s="893"/>
      <c r="F336" s="18"/>
      <c r="G336" s="17"/>
    </row>
    <row r="337" spans="1:8" ht="15.75">
      <c r="A337" s="6"/>
      <c r="B337" s="600" t="s">
        <v>166</v>
      </c>
      <c r="C337" s="340" t="s">
        <v>830</v>
      </c>
      <c r="D337" s="17"/>
      <c r="E337" s="893"/>
      <c r="F337" s="18"/>
      <c r="G337" s="17"/>
    </row>
    <row r="338" spans="1:8" ht="15.75">
      <c r="A338" s="6"/>
      <c r="B338" s="49"/>
      <c r="C338" s="340" t="s">
        <v>186</v>
      </c>
      <c r="D338" s="17"/>
      <c r="E338" s="893"/>
      <c r="F338" s="18"/>
      <c r="G338" s="17"/>
    </row>
    <row r="339" spans="1:8" ht="15.75">
      <c r="A339" s="6"/>
      <c r="B339" s="600" t="s">
        <v>334</v>
      </c>
      <c r="C339" s="340" t="s">
        <v>813</v>
      </c>
      <c r="D339" s="17"/>
      <c r="E339" s="893"/>
      <c r="F339" s="18"/>
      <c r="G339" s="17"/>
    </row>
    <row r="340" spans="1:8" ht="15.75">
      <c r="A340" s="6"/>
      <c r="B340" s="600" t="s">
        <v>829</v>
      </c>
      <c r="C340" s="340" t="s">
        <v>838</v>
      </c>
      <c r="D340" s="17"/>
      <c r="E340" s="893"/>
      <c r="F340" s="18"/>
      <c r="G340" s="17"/>
    </row>
    <row r="341" spans="1:8" ht="15.75">
      <c r="A341" s="1077"/>
      <c r="B341" s="300"/>
      <c r="C341" s="298"/>
      <c r="D341" s="299"/>
      <c r="E341" s="1078"/>
      <c r="F341" s="299"/>
      <c r="G341" s="299"/>
      <c r="H341" s="299"/>
    </row>
    <row r="342" spans="1:8">
      <c r="A342" s="6"/>
      <c r="B342" s="3"/>
      <c r="C342" s="5"/>
      <c r="D342" s="5"/>
      <c r="H342" s="303"/>
    </row>
    <row r="343" spans="1:8">
      <c r="H343" s="304"/>
    </row>
    <row r="344" spans="1:8">
      <c r="H344" s="305"/>
    </row>
  </sheetData>
  <mergeCells count="2">
    <mergeCell ref="A1:H1"/>
    <mergeCell ref="D4:E4"/>
  </mergeCells>
  <phoneticPr fontId="0" type="noConversion"/>
  <printOptions horizontalCentered="1"/>
  <pageMargins left="0" right="0" top="0.75" bottom="0.5" header="0.5" footer="0.5"/>
  <pageSetup scale="55" fitToHeight="0" orientation="portrait" r:id="rId1"/>
  <headerFooter alignWithMargins="0">
    <oddHeader>&amp;RPage &amp;P of &amp;N</oddHeader>
  </headerFooter>
  <rowBreaks count="4" manualBreakCount="4">
    <brk id="68" max="7" man="1"/>
    <brk id="145" max="7" man="1"/>
    <brk id="217" max="7" man="1"/>
    <brk id="299" max="7" man="1"/>
  </rowBreaks>
</worksheet>
</file>

<file path=xl/worksheets/sheet10.xml><?xml version="1.0" encoding="utf-8"?>
<worksheet xmlns="http://schemas.openxmlformats.org/spreadsheetml/2006/main" xmlns:r="http://schemas.openxmlformats.org/officeDocument/2006/relationships">
  <sheetPr>
    <pageSetUpPr fitToPage="1"/>
  </sheetPr>
  <dimension ref="A1:AZ315"/>
  <sheetViews>
    <sheetView showGridLines="0" topLeftCell="E1" zoomScaleNormal="100" workbookViewId="0">
      <selection activeCell="L9" sqref="L9"/>
    </sheetView>
  </sheetViews>
  <sheetFormatPr defaultColWidth="9.140625" defaultRowHeight="12.75"/>
  <cols>
    <col min="1" max="1" width="9.140625" style="362"/>
    <col min="2" max="2" width="47.7109375" style="368" customWidth="1"/>
    <col min="3" max="3" width="17" style="361" customWidth="1"/>
    <col min="4" max="4" width="16.42578125" style="362" customWidth="1"/>
    <col min="5" max="5" width="13" style="362" customWidth="1"/>
    <col min="6" max="6" width="14.140625" style="361" customWidth="1"/>
    <col min="7" max="7" width="14" style="361" customWidth="1"/>
    <col min="8" max="8" width="13.7109375" style="361" customWidth="1"/>
    <col min="9" max="9" width="14.28515625" style="361" customWidth="1"/>
    <col min="10" max="10" width="13.5703125" style="361" customWidth="1"/>
    <col min="11" max="11" width="12.140625" style="361" customWidth="1"/>
    <col min="12" max="12" width="14.42578125" style="369" customWidth="1"/>
    <col min="13" max="13" width="13.28515625" style="361" customWidth="1"/>
    <col min="14" max="14" width="13.140625" style="361" customWidth="1"/>
    <col min="15" max="15" width="13.42578125" style="361" customWidth="1"/>
    <col min="16" max="16" width="13.7109375" style="361" customWidth="1"/>
    <col min="17" max="17" width="12" style="361" hidden="1" customWidth="1"/>
    <col min="18" max="18" width="12.5703125" style="361" hidden="1" customWidth="1"/>
    <col min="19" max="19" width="11.28515625" style="361" hidden="1" customWidth="1"/>
    <col min="20" max="20" width="10.28515625" style="361" hidden="1" customWidth="1"/>
    <col min="21" max="21" width="12" style="361" hidden="1" customWidth="1"/>
    <col min="22" max="22" width="12.5703125" style="361" hidden="1" customWidth="1"/>
    <col min="23" max="23" width="11.28515625" style="361" hidden="1" customWidth="1"/>
    <col min="24" max="24" width="10.28515625" style="361" hidden="1" customWidth="1"/>
    <col min="25" max="25" width="12" style="361" hidden="1" customWidth="1"/>
    <col min="26" max="26" width="12.5703125" style="361" hidden="1" customWidth="1"/>
    <col min="27" max="27" width="11.28515625" style="361" hidden="1" customWidth="1"/>
    <col min="28" max="28" width="10.28515625" style="361" hidden="1" customWidth="1"/>
    <col min="29" max="29" width="12" style="361" hidden="1" customWidth="1"/>
    <col min="30" max="30" width="12.5703125" style="361" hidden="1" customWidth="1"/>
    <col min="31" max="31" width="11.28515625" style="361" hidden="1" customWidth="1"/>
    <col min="32" max="32" width="10.28515625" style="361" hidden="1" customWidth="1"/>
    <col min="33" max="33" width="12" style="361" hidden="1" customWidth="1"/>
    <col min="34" max="34" width="12.5703125" style="361" hidden="1" customWidth="1"/>
    <col min="35" max="35" width="11.28515625" style="361" hidden="1" customWidth="1"/>
    <col min="36" max="36" width="10.28515625" style="361" hidden="1" customWidth="1"/>
    <col min="37" max="37" width="13.7109375" style="361" bestFit="1" customWidth="1"/>
    <col min="38" max="38" width="14.140625" style="361" customWidth="1"/>
    <col min="39" max="39" width="13.5703125" style="361" customWidth="1"/>
    <col min="40" max="40" width="9.7109375" style="361" bestFit="1" customWidth="1"/>
    <col min="41" max="16384" width="9.140625" style="361"/>
  </cols>
  <sheetData>
    <row r="1" spans="1:41" ht="18">
      <c r="A1" s="1347" t="str">
        <f>+'Appendix H-1'!A6</f>
        <v>South Carolina Electric &amp; Gas Company (SCEG)</v>
      </c>
      <c r="B1" s="1348"/>
      <c r="C1" s="1348"/>
      <c r="D1" s="1348"/>
      <c r="E1" s="1348"/>
      <c r="F1" s="1348"/>
      <c r="G1" s="1348"/>
      <c r="H1" s="1348"/>
      <c r="I1" s="1348"/>
      <c r="J1" s="1348"/>
      <c r="K1" s="1349"/>
      <c r="L1" s="1349"/>
      <c r="M1" s="1349"/>
      <c r="N1" s="1349"/>
      <c r="O1" s="1349"/>
      <c r="P1" s="1349"/>
      <c r="Q1" s="1349"/>
      <c r="R1" s="1349"/>
      <c r="S1" s="1349"/>
      <c r="T1" s="1349"/>
      <c r="U1" s="1349"/>
      <c r="V1" s="1349"/>
      <c r="W1" s="1349"/>
      <c r="X1" s="1349"/>
      <c r="Y1" s="1349"/>
      <c r="Z1" s="1349"/>
      <c r="AA1" s="1349"/>
      <c r="AB1" s="1349"/>
      <c r="AC1" s="1349"/>
      <c r="AD1" s="1349"/>
      <c r="AE1" s="1349"/>
      <c r="AF1" s="1349"/>
      <c r="AG1" s="1349"/>
      <c r="AH1" s="1349"/>
      <c r="AI1" s="1349"/>
      <c r="AJ1" s="1349"/>
      <c r="AK1" s="1349"/>
      <c r="AL1" s="1349"/>
      <c r="AM1" s="1349"/>
      <c r="AN1" s="1349"/>
      <c r="AO1" s="1349"/>
    </row>
    <row r="2" spans="1:41" ht="18">
      <c r="A2" s="1347" t="s">
        <v>548</v>
      </c>
      <c r="B2" s="1347"/>
      <c r="C2" s="1347"/>
      <c r="D2" s="1347"/>
      <c r="E2" s="1347"/>
      <c r="F2" s="1347"/>
      <c r="G2" s="1347"/>
      <c r="H2" s="1347"/>
      <c r="I2" s="1347"/>
      <c r="J2" s="1347"/>
      <c r="K2" s="1347"/>
      <c r="L2" s="1347"/>
      <c r="M2" s="1347"/>
      <c r="N2" s="1347"/>
      <c r="O2" s="1347"/>
      <c r="P2" s="1347"/>
      <c r="Q2" s="1347"/>
      <c r="R2" s="1347"/>
      <c r="S2" s="1347"/>
      <c r="T2" s="1347"/>
      <c r="U2" s="1347"/>
      <c r="V2" s="1347"/>
      <c r="W2" s="1347"/>
      <c r="X2" s="1347"/>
      <c r="Y2" s="1347"/>
      <c r="Z2" s="1347"/>
      <c r="AA2" s="1347"/>
      <c r="AB2" s="1347"/>
      <c r="AC2" s="1347"/>
      <c r="AD2" s="1347"/>
      <c r="AE2" s="1347"/>
      <c r="AF2" s="1347"/>
      <c r="AG2" s="1347"/>
      <c r="AH2" s="1347"/>
      <c r="AI2" s="1347"/>
      <c r="AJ2" s="1347"/>
      <c r="AK2" s="1347"/>
      <c r="AL2" s="1347"/>
      <c r="AM2" s="1347"/>
      <c r="AN2" s="1347"/>
      <c r="AO2" s="374"/>
    </row>
    <row r="3" spans="1:41">
      <c r="A3" s="761"/>
      <c r="B3" s="762"/>
      <c r="C3" s="374"/>
      <c r="D3" s="761"/>
      <c r="E3" s="761"/>
      <c r="F3" s="374"/>
      <c r="G3" s="374"/>
      <c r="H3" s="374"/>
      <c r="I3" s="374"/>
      <c r="J3" s="374"/>
      <c r="K3" s="374"/>
      <c r="L3" s="763"/>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row>
    <row r="4" spans="1:41">
      <c r="A4" s="761"/>
      <c r="B4" s="762"/>
      <c r="C4" s="374"/>
      <c r="D4" s="761"/>
      <c r="E4" s="761"/>
      <c r="F4" s="374"/>
      <c r="G4" s="374"/>
      <c r="H4" s="374"/>
      <c r="I4" s="374"/>
      <c r="J4" s="374"/>
      <c r="K4" s="374"/>
      <c r="L4" s="763"/>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row>
    <row r="5" spans="1:41">
      <c r="A5" s="761">
        <v>1</v>
      </c>
      <c r="B5" s="762"/>
      <c r="C5" s="374" t="s">
        <v>424</v>
      </c>
      <c r="D5" s="761"/>
      <c r="E5" s="761"/>
      <c r="F5" s="374"/>
      <c r="G5" s="374"/>
      <c r="H5" s="374"/>
      <c r="I5" s="374"/>
      <c r="J5" s="374"/>
      <c r="K5" s="374"/>
      <c r="L5" s="763"/>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row>
    <row r="6" spans="1:41">
      <c r="A6" s="761"/>
      <c r="B6" s="762"/>
      <c r="C6" s="374"/>
      <c r="D6" s="761"/>
      <c r="E6" s="761"/>
      <c r="F6" s="374"/>
      <c r="G6" s="374"/>
      <c r="H6" s="374"/>
      <c r="I6" s="374"/>
      <c r="J6" s="374"/>
      <c r="K6" s="374"/>
      <c r="L6" s="763"/>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row>
    <row r="7" spans="1:41">
      <c r="A7" s="761">
        <v>2</v>
      </c>
      <c r="B7" s="762"/>
      <c r="C7" s="764" t="s">
        <v>707</v>
      </c>
      <c r="D7" s="761"/>
      <c r="E7" s="761"/>
      <c r="F7" s="374"/>
      <c r="G7" s="374"/>
      <c r="H7" s="374"/>
      <c r="I7" s="374"/>
      <c r="J7" s="374"/>
      <c r="K7" s="374"/>
      <c r="L7" s="763"/>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row>
    <row r="8" spans="1:41">
      <c r="A8" s="761"/>
      <c r="B8" s="762"/>
      <c r="C8" s="764"/>
      <c r="D8" s="761" t="s">
        <v>423</v>
      </c>
      <c r="E8" s="761"/>
      <c r="F8" s="374"/>
      <c r="G8" s="374"/>
      <c r="H8" s="374"/>
      <c r="I8" s="374"/>
      <c r="J8" s="374"/>
      <c r="K8" s="374"/>
      <c r="L8" s="763"/>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row>
    <row r="9" spans="1:41">
      <c r="A9" s="761">
        <v>3</v>
      </c>
      <c r="B9" s="762"/>
      <c r="C9" s="761" t="s">
        <v>214</v>
      </c>
      <c r="D9" s="761">
        <f>'Appendix H-1'!A271</f>
        <v>164</v>
      </c>
      <c r="E9" s="761"/>
      <c r="F9" s="372" t="str">
        <f>'Appendix H-1'!C271</f>
        <v>Net Plant Carrying Charge without New Investment Incentive without Depreciation</v>
      </c>
      <c r="G9" s="374"/>
      <c r="H9" s="374"/>
      <c r="I9" s="374"/>
      <c r="J9" s="374"/>
      <c r="K9" s="374"/>
      <c r="L9" s="763"/>
      <c r="M9" s="374"/>
      <c r="N9" s="372">
        <f>'Appendix H-1'!H271</f>
        <v>0.14297482309229409</v>
      </c>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c r="AN9" s="374"/>
      <c r="AO9" s="374"/>
    </row>
    <row r="10" spans="1:41">
      <c r="A10" s="761">
        <v>4</v>
      </c>
      <c r="B10" s="762"/>
      <c r="C10" s="761" t="s">
        <v>307</v>
      </c>
      <c r="D10" s="761">
        <f>'Appendix H-1'!A281</f>
        <v>171</v>
      </c>
      <c r="E10" s="761"/>
      <c r="F10" s="372" t="str">
        <f>'Appendix H-1'!C281</f>
        <v>Net Plant Carrying Charge with 100 Basis Point New Investment Incentive without Depreciation</v>
      </c>
      <c r="G10" s="374"/>
      <c r="H10" s="374"/>
      <c r="I10" s="374"/>
      <c r="J10" s="374"/>
      <c r="K10" s="374"/>
      <c r="L10" s="763"/>
      <c r="M10" s="374"/>
      <c r="N10" s="372">
        <f>'Appendix H-1'!H281</f>
        <v>0.14970101167802161</v>
      </c>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row>
    <row r="11" spans="1:41">
      <c r="A11" s="761">
        <v>5</v>
      </c>
      <c r="B11" s="761"/>
      <c r="C11" s="761" t="s">
        <v>195</v>
      </c>
      <c r="D11" s="761"/>
      <c r="E11" s="761"/>
      <c r="F11" s="374" t="s">
        <v>403</v>
      </c>
      <c r="G11" s="374"/>
      <c r="H11" s="374"/>
      <c r="I11" s="374"/>
      <c r="J11" s="374"/>
      <c r="K11" s="374"/>
      <c r="L11" s="763"/>
      <c r="M11" s="374"/>
      <c r="N11" s="765">
        <f>+N10-N9</f>
        <v>6.7261885857275161E-3</v>
      </c>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row>
    <row r="12" spans="1:41">
      <c r="A12" s="374"/>
      <c r="B12" s="761"/>
      <c r="C12" s="374"/>
      <c r="D12" s="761"/>
      <c r="E12" s="761"/>
      <c r="F12" s="374"/>
      <c r="G12" s="374"/>
      <c r="H12" s="374"/>
      <c r="I12" s="374"/>
      <c r="J12" s="374"/>
      <c r="K12" s="374"/>
      <c r="L12" s="763"/>
      <c r="M12" s="374"/>
      <c r="N12" s="765"/>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row>
    <row r="13" spans="1:41">
      <c r="A13" s="761">
        <v>6</v>
      </c>
      <c r="B13" s="761"/>
      <c r="C13" s="764" t="s">
        <v>400</v>
      </c>
      <c r="D13" s="761"/>
      <c r="E13" s="761"/>
      <c r="F13" s="374"/>
      <c r="G13" s="374"/>
      <c r="H13" s="374"/>
      <c r="I13" s="374"/>
      <c r="J13" s="374"/>
      <c r="K13" s="374"/>
      <c r="L13" s="763"/>
      <c r="M13" s="374"/>
      <c r="N13" s="765"/>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74"/>
      <c r="AO13" s="374"/>
    </row>
    <row r="14" spans="1:41">
      <c r="A14" s="764"/>
      <c r="B14" s="761"/>
      <c r="C14" s="764"/>
      <c r="D14" s="761"/>
      <c r="E14" s="761"/>
      <c r="F14" s="374"/>
      <c r="G14" s="374"/>
      <c r="H14" s="374"/>
      <c r="I14" s="374"/>
      <c r="J14" s="374"/>
      <c r="K14" s="374"/>
      <c r="L14" s="763"/>
      <c r="M14" s="374"/>
      <c r="N14" s="765"/>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row>
    <row r="15" spans="1:41">
      <c r="A15" s="761">
        <v>7</v>
      </c>
      <c r="B15" s="762"/>
      <c r="C15" s="761" t="s">
        <v>215</v>
      </c>
      <c r="D15" s="761">
        <f>+'Appendix H-1'!A272</f>
        <v>165</v>
      </c>
      <c r="E15" s="761"/>
      <c r="F15" s="762" t="str">
        <f>+'Appendix H-1'!C272</f>
        <v xml:space="preserve">Net Plant Carrying Charge without New Investment Incentive without Depreciation, Return, nor Income Taxes </v>
      </c>
      <c r="G15" s="374"/>
      <c r="H15" s="374"/>
      <c r="I15" s="374"/>
      <c r="J15" s="374"/>
      <c r="K15" s="374"/>
      <c r="L15" s="763"/>
      <c r="M15" s="374"/>
      <c r="N15" s="765">
        <f>'Appendix H-1'!H272</f>
        <v>5.1455085081077899E-2</v>
      </c>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row>
    <row r="16" spans="1:41">
      <c r="A16" s="761"/>
      <c r="B16" s="762"/>
      <c r="C16" s="761"/>
      <c r="D16" s="761"/>
      <c r="E16" s="761"/>
      <c r="F16" s="762"/>
      <c r="G16" s="374"/>
      <c r="H16" s="374"/>
      <c r="I16" s="374"/>
      <c r="J16" s="374"/>
      <c r="K16" s="374"/>
      <c r="L16" s="763"/>
      <c r="M16" s="374"/>
      <c r="N16" s="765"/>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row>
    <row r="17" spans="1:52" ht="15.75">
      <c r="A17" s="761"/>
      <c r="B17" s="762"/>
      <c r="C17" s="371"/>
      <c r="D17" s="761"/>
      <c r="E17" s="761"/>
      <c r="F17" s="374"/>
      <c r="G17" s="374"/>
      <c r="H17" s="374"/>
      <c r="I17" s="374"/>
      <c r="J17" s="374"/>
      <c r="K17" s="374"/>
      <c r="L17" s="763"/>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row>
    <row r="18" spans="1:52">
      <c r="A18" s="362">
        <v>8</v>
      </c>
      <c r="C18" s="800" t="s">
        <v>557</v>
      </c>
      <c r="D18" s="801"/>
      <c r="E18" s="801"/>
      <c r="F18" s="802"/>
      <c r="G18" s="802"/>
      <c r="H18" s="802"/>
      <c r="I18" s="802"/>
    </row>
    <row r="19" spans="1:52">
      <c r="A19" s="362">
        <v>9</v>
      </c>
      <c r="C19" s="800" t="s">
        <v>539</v>
      </c>
      <c r="D19" s="801"/>
      <c r="E19" s="801"/>
      <c r="F19" s="802"/>
      <c r="G19" s="802"/>
      <c r="H19" s="802"/>
      <c r="I19" s="802"/>
    </row>
    <row r="20" spans="1:52" ht="25.5" customHeight="1" thickBot="1">
      <c r="C20" s="803"/>
      <c r="D20" s="804"/>
      <c r="E20" s="804"/>
      <c r="F20" s="805"/>
      <c r="G20" s="805"/>
      <c r="H20" s="805"/>
      <c r="I20" s="805"/>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4"/>
      <c r="AO20" s="374"/>
      <c r="AP20" s="374"/>
      <c r="AQ20" s="374"/>
      <c r="AR20" s="374"/>
      <c r="AS20" s="374"/>
      <c r="AT20" s="374"/>
      <c r="AU20" s="374"/>
      <c r="AV20" s="374"/>
      <c r="AW20" s="374"/>
      <c r="AX20" s="374"/>
      <c r="AY20" s="374"/>
      <c r="AZ20" s="374"/>
    </row>
    <row r="21" spans="1:52" ht="13.5" thickBot="1">
      <c r="A21" s="362">
        <v>10</v>
      </c>
      <c r="C21" s="375" t="s">
        <v>394</v>
      </c>
      <c r="D21" s="376"/>
      <c r="E21" s="1350"/>
      <c r="F21" s="1351"/>
      <c r="G21" s="1351"/>
      <c r="H21" s="1351"/>
      <c r="I21" s="1350"/>
      <c r="J21" s="1351"/>
      <c r="K21" s="1351"/>
      <c r="L21" s="1351"/>
      <c r="M21" s="1350"/>
      <c r="N21" s="1352"/>
      <c r="O21" s="1352"/>
      <c r="P21" s="1353"/>
      <c r="Q21" s="377" t="s">
        <v>414</v>
      </c>
      <c r="R21" s="378" t="str">
        <f>+Q21</f>
        <v>Project E</v>
      </c>
      <c r="S21" s="378" t="str">
        <f>+R21</f>
        <v>Project E</v>
      </c>
      <c r="T21" s="379" t="str">
        <f>+S21</f>
        <v>Project E</v>
      </c>
      <c r="U21" s="377" t="s">
        <v>415</v>
      </c>
      <c r="V21" s="378" t="str">
        <f>+U21</f>
        <v>Project F</v>
      </c>
      <c r="W21" s="378" t="str">
        <f>+V21</f>
        <v>Project F</v>
      </c>
      <c r="X21" s="379" t="str">
        <f>+W21</f>
        <v>Project F</v>
      </c>
      <c r="Y21" s="377" t="s">
        <v>416</v>
      </c>
      <c r="Z21" s="378" t="str">
        <f>+Y21</f>
        <v>Project G</v>
      </c>
      <c r="AA21" s="378" t="str">
        <f>+Z21</f>
        <v>Project G</v>
      </c>
      <c r="AB21" s="379" t="str">
        <f>+AA21</f>
        <v>Project G</v>
      </c>
      <c r="AC21" s="377" t="s">
        <v>417</v>
      </c>
      <c r="AD21" s="378" t="str">
        <f>+AC21</f>
        <v>Project H</v>
      </c>
      <c r="AE21" s="378" t="str">
        <f>+AD21</f>
        <v>Project H</v>
      </c>
      <c r="AF21" s="379" t="str">
        <f>+AE21</f>
        <v>Project H</v>
      </c>
      <c r="AG21" s="377" t="s">
        <v>418</v>
      </c>
      <c r="AH21" s="378" t="str">
        <f>+AG21</f>
        <v>Project I</v>
      </c>
      <c r="AI21" s="378" t="str">
        <f>+AH21</f>
        <v>Project I</v>
      </c>
      <c r="AJ21" s="379" t="str">
        <f>+AI21</f>
        <v>Project I</v>
      </c>
      <c r="AK21" s="380"/>
      <c r="AL21" s="381"/>
      <c r="AM21" s="382"/>
    </row>
    <row r="22" spans="1:52">
      <c r="A22" s="362">
        <f t="shared" ref="A22:A73" si="0">+A21+1</f>
        <v>11</v>
      </c>
      <c r="B22" s="383"/>
      <c r="C22" s="384"/>
      <c r="D22" s="385"/>
      <c r="E22" s="386"/>
      <c r="F22" s="387"/>
      <c r="G22" s="388"/>
      <c r="H22" s="389"/>
      <c r="I22" s="390"/>
      <c r="J22" s="391"/>
      <c r="K22" s="391"/>
      <c r="L22" s="392"/>
      <c r="M22" s="390"/>
      <c r="N22" s="391"/>
      <c r="O22" s="391"/>
      <c r="P22" s="392"/>
      <c r="Q22" s="390"/>
      <c r="R22" s="391"/>
      <c r="S22" s="391"/>
      <c r="T22" s="392"/>
      <c r="U22" s="390"/>
      <c r="V22" s="391"/>
      <c r="W22" s="391"/>
      <c r="X22" s="392"/>
      <c r="Y22" s="390"/>
      <c r="Z22" s="391"/>
      <c r="AA22" s="391"/>
      <c r="AB22" s="392"/>
      <c r="AC22" s="390"/>
      <c r="AD22" s="391"/>
      <c r="AE22" s="391"/>
      <c r="AF22" s="392"/>
      <c r="AG22" s="390"/>
      <c r="AH22" s="391"/>
      <c r="AI22" s="391"/>
      <c r="AJ22" s="392"/>
      <c r="AK22" s="393"/>
      <c r="AL22" s="394"/>
      <c r="AM22" s="395"/>
    </row>
    <row r="23" spans="1:52">
      <c r="A23" s="362">
        <f t="shared" si="0"/>
        <v>12</v>
      </c>
      <c r="B23" s="383" t="s">
        <v>709</v>
      </c>
      <c r="C23" s="384" t="s">
        <v>392</v>
      </c>
      <c r="D23" s="385"/>
      <c r="E23" s="396"/>
      <c r="F23" s="397"/>
      <c r="G23" s="385"/>
      <c r="H23" s="398"/>
      <c r="I23" s="396"/>
      <c r="J23" s="397"/>
      <c r="K23" s="385"/>
      <c r="L23" s="399"/>
      <c r="M23" s="396"/>
      <c r="N23" s="400"/>
      <c r="O23" s="385"/>
      <c r="P23" s="398"/>
      <c r="Q23" s="396"/>
      <c r="R23" s="400"/>
      <c r="S23" s="385"/>
      <c r="T23" s="398"/>
      <c r="U23" s="396"/>
      <c r="V23" s="400"/>
      <c r="W23" s="385"/>
      <c r="X23" s="398"/>
      <c r="Y23" s="396"/>
      <c r="Z23" s="400"/>
      <c r="AA23" s="385"/>
      <c r="AB23" s="398"/>
      <c r="AC23" s="396"/>
      <c r="AD23" s="400"/>
      <c r="AE23" s="385"/>
      <c r="AF23" s="398"/>
      <c r="AG23" s="396"/>
      <c r="AH23" s="400"/>
      <c r="AI23" s="385"/>
      <c r="AJ23" s="398"/>
      <c r="AK23" s="393"/>
      <c r="AL23" s="394"/>
      <c r="AM23" s="395"/>
    </row>
    <row r="24" spans="1:52" ht="38.25">
      <c r="A24" s="362">
        <f t="shared" si="0"/>
        <v>13</v>
      </c>
      <c r="B24" s="383" t="s">
        <v>710</v>
      </c>
      <c r="C24" s="384" t="s">
        <v>393</v>
      </c>
      <c r="D24" s="385" t="s">
        <v>708</v>
      </c>
      <c r="E24" s="390"/>
      <c r="F24" s="401"/>
      <c r="G24" s="385"/>
      <c r="H24" s="398"/>
      <c r="I24" s="390"/>
      <c r="J24" s="385"/>
      <c r="K24" s="385"/>
      <c r="L24" s="399"/>
      <c r="M24" s="390"/>
      <c r="N24" s="385"/>
      <c r="O24" s="385"/>
      <c r="P24" s="398"/>
      <c r="Q24" s="390"/>
      <c r="R24" s="385"/>
      <c r="S24" s="385"/>
      <c r="T24" s="398"/>
      <c r="U24" s="390"/>
      <c r="V24" s="385"/>
      <c r="W24" s="385"/>
      <c r="X24" s="398"/>
      <c r="Y24" s="390"/>
      <c r="Z24" s="385"/>
      <c r="AA24" s="385"/>
      <c r="AB24" s="398"/>
      <c r="AC24" s="390"/>
      <c r="AD24" s="385"/>
      <c r="AE24" s="385"/>
      <c r="AF24" s="398"/>
      <c r="AG24" s="390"/>
      <c r="AH24" s="385"/>
      <c r="AI24" s="385"/>
      <c r="AJ24" s="398"/>
      <c r="AK24" s="393"/>
      <c r="AL24" s="394"/>
      <c r="AM24" s="395"/>
    </row>
    <row r="25" spans="1:52" ht="13.5">
      <c r="A25" s="362">
        <f t="shared" si="0"/>
        <v>14</v>
      </c>
      <c r="B25" s="383" t="s">
        <v>711</v>
      </c>
      <c r="C25" s="384" t="s">
        <v>712</v>
      </c>
      <c r="D25" s="385"/>
      <c r="E25" s="390"/>
      <c r="F25" s="402"/>
      <c r="G25" s="403"/>
      <c r="H25" s="404"/>
      <c r="I25" s="390"/>
      <c r="J25" s="405"/>
      <c r="K25" s="403"/>
      <c r="L25" s="406"/>
      <c r="M25" s="390"/>
      <c r="N25" s="407"/>
      <c r="O25" s="408"/>
      <c r="P25" s="409"/>
      <c r="Q25" s="390"/>
      <c r="R25" s="407"/>
      <c r="S25" s="408"/>
      <c r="T25" s="409"/>
      <c r="U25" s="390"/>
      <c r="V25" s="407"/>
      <c r="W25" s="408"/>
      <c r="X25" s="409"/>
      <c r="Y25" s="390"/>
      <c r="Z25" s="407"/>
      <c r="AA25" s="408"/>
      <c r="AB25" s="409"/>
      <c r="AC25" s="390"/>
      <c r="AD25" s="407"/>
      <c r="AE25" s="408"/>
      <c r="AF25" s="409"/>
      <c r="AG25" s="390"/>
      <c r="AH25" s="407"/>
      <c r="AI25" s="408"/>
      <c r="AJ25" s="409"/>
      <c r="AK25" s="393"/>
      <c r="AL25" s="394"/>
      <c r="AM25" s="395"/>
    </row>
    <row r="26" spans="1:52" ht="25.5">
      <c r="A26" s="362">
        <f t="shared" si="0"/>
        <v>15</v>
      </c>
      <c r="B26" s="766" t="s">
        <v>713</v>
      </c>
      <c r="C26" s="384" t="str">
        <f>'Appendix H-1'!H208*100&amp;"% ROE"</f>
        <v>10.55% ROE</v>
      </c>
      <c r="D26" s="403"/>
      <c r="E26" s="410">
        <f>$N$9</f>
        <v>0.14297482309229409</v>
      </c>
      <c r="F26" s="401"/>
      <c r="G26" s="393"/>
      <c r="H26" s="395"/>
      <c r="I26" s="410">
        <f>$N$9</f>
        <v>0.14297482309229409</v>
      </c>
      <c r="J26" s="393"/>
      <c r="K26" s="393"/>
      <c r="L26" s="411"/>
      <c r="M26" s="410">
        <f>$N$9</f>
        <v>0.14297482309229409</v>
      </c>
      <c r="N26" s="385"/>
      <c r="O26" s="385"/>
      <c r="P26" s="398"/>
      <c r="Q26" s="394">
        <f>+$N9</f>
        <v>0.14297482309229409</v>
      </c>
      <c r="R26" s="385"/>
      <c r="S26" s="385"/>
      <c r="T26" s="398"/>
      <c r="U26" s="394">
        <f>+$N9</f>
        <v>0.14297482309229409</v>
      </c>
      <c r="V26" s="385"/>
      <c r="W26" s="385"/>
      <c r="X26" s="398"/>
      <c r="Y26" s="394">
        <f>$N15</f>
        <v>5.1455085081077899E-2</v>
      </c>
      <c r="Z26" s="385"/>
      <c r="AA26" s="385"/>
      <c r="AB26" s="398"/>
      <c r="AC26" s="394">
        <f>$N15</f>
        <v>5.1455085081077899E-2</v>
      </c>
      <c r="AD26" s="385"/>
      <c r="AE26" s="385"/>
      <c r="AF26" s="398"/>
      <c r="AG26" s="394">
        <f>+$N9</f>
        <v>0.14297482309229409</v>
      </c>
      <c r="AH26" s="385"/>
      <c r="AI26" s="385"/>
      <c r="AJ26" s="398"/>
      <c r="AK26" s="393"/>
      <c r="AL26" s="394"/>
      <c r="AM26" s="395"/>
    </row>
    <row r="27" spans="1:52">
      <c r="A27" s="362">
        <f t="shared" si="0"/>
        <v>16</v>
      </c>
      <c r="B27" s="766" t="s">
        <v>714</v>
      </c>
      <c r="C27" s="384" t="s">
        <v>402</v>
      </c>
      <c r="D27" s="403"/>
      <c r="E27" s="410">
        <f>(E$25/100*$N$11)+E$26</f>
        <v>0.14297482309229409</v>
      </c>
      <c r="F27" s="401"/>
      <c r="G27" s="393"/>
      <c r="H27" s="395"/>
      <c r="I27" s="410">
        <f>(I$25/100*$N$11)+I$26</f>
        <v>0.14297482309229409</v>
      </c>
      <c r="J27" s="393"/>
      <c r="K27" s="393"/>
      <c r="L27" s="411"/>
      <c r="M27" s="410">
        <f>(M$25/100*$N$11)+M$26</f>
        <v>0.14297482309229409</v>
      </c>
      <c r="N27" s="393"/>
      <c r="O27" s="393"/>
      <c r="P27" s="395"/>
      <c r="Q27" s="394">
        <f>($N9+$N11/100*Q25)</f>
        <v>0.14297482309229409</v>
      </c>
      <c r="R27" s="393"/>
      <c r="S27" s="393"/>
      <c r="T27" s="395"/>
      <c r="U27" s="394">
        <f>($N9+$N11/100*U25)</f>
        <v>0.14297482309229409</v>
      </c>
      <c r="V27" s="393"/>
      <c r="W27" s="393"/>
      <c r="X27" s="395"/>
      <c r="Y27" s="394">
        <f>+N15</f>
        <v>5.1455085081077899E-2</v>
      </c>
      <c r="Z27" s="393"/>
      <c r="AA27" s="393"/>
      <c r="AB27" s="395"/>
      <c r="AC27" s="394">
        <f>+N15</f>
        <v>5.1455085081077899E-2</v>
      </c>
      <c r="AD27" s="393"/>
      <c r="AE27" s="393"/>
      <c r="AF27" s="395"/>
      <c r="AG27" s="394">
        <f>($N9+$N11/100*AG25)</f>
        <v>0.14297482309229409</v>
      </c>
      <c r="AH27" s="393"/>
      <c r="AI27" s="393"/>
      <c r="AJ27" s="395"/>
      <c r="AK27" s="393"/>
      <c r="AL27" s="394"/>
      <c r="AM27" s="395"/>
    </row>
    <row r="28" spans="1:52" ht="25.5" customHeight="1">
      <c r="A28" s="362">
        <f t="shared" si="0"/>
        <v>17</v>
      </c>
      <c r="B28" s="766" t="s">
        <v>12</v>
      </c>
      <c r="C28" s="384" t="s">
        <v>749</v>
      </c>
      <c r="D28" s="385"/>
      <c r="E28" s="412"/>
      <c r="F28" s="400"/>
      <c r="G28" s="401"/>
      <c r="H28" s="411"/>
      <c r="I28" s="413"/>
      <c r="J28" s="400"/>
      <c r="K28" s="400"/>
      <c r="L28" s="411"/>
      <c r="M28" s="413"/>
      <c r="N28" s="400"/>
      <c r="O28" s="400"/>
      <c r="P28" s="411"/>
      <c r="Q28" s="413"/>
      <c r="R28" s="400"/>
      <c r="S28" s="400"/>
      <c r="T28" s="411"/>
      <c r="U28" s="413"/>
      <c r="V28" s="400"/>
      <c r="W28" s="400"/>
      <c r="X28" s="411"/>
      <c r="Y28" s="413"/>
      <c r="Z28" s="400"/>
      <c r="AA28" s="400"/>
      <c r="AB28" s="411"/>
      <c r="AC28" s="413"/>
      <c r="AD28" s="400"/>
      <c r="AE28" s="400"/>
      <c r="AF28" s="411"/>
      <c r="AG28" s="413"/>
      <c r="AH28" s="400"/>
      <c r="AI28" s="400"/>
      <c r="AJ28" s="411"/>
      <c r="AK28" s="393"/>
      <c r="AL28" s="394"/>
      <c r="AM28" s="395"/>
    </row>
    <row r="29" spans="1:52">
      <c r="A29" s="362">
        <f t="shared" si="0"/>
        <v>18</v>
      </c>
      <c r="B29" s="383" t="s">
        <v>715</v>
      </c>
      <c r="C29" s="394" t="s">
        <v>405</v>
      </c>
      <c r="D29" s="385"/>
      <c r="E29" s="414"/>
      <c r="F29" s="401"/>
      <c r="G29" s="400"/>
      <c r="H29" s="411"/>
      <c r="I29" s="998">
        <f>IF(I28=0,0,I28/I23)</f>
        <v>0</v>
      </c>
      <c r="J29" s="984"/>
      <c r="K29" s="984"/>
      <c r="L29" s="986"/>
      <c r="M29" s="998">
        <f>IF(M28=0,0,M28/M23)</f>
        <v>0</v>
      </c>
      <c r="N29" s="984"/>
      <c r="O29" s="984"/>
      <c r="P29" s="411"/>
      <c r="Q29" s="414">
        <f>IF(Q28=0,0,Q28/Q23)</f>
        <v>0</v>
      </c>
      <c r="R29" s="400"/>
      <c r="S29" s="400"/>
      <c r="T29" s="411"/>
      <c r="U29" s="414">
        <f>IF(U28=0,0,U28/U23)</f>
        <v>0</v>
      </c>
      <c r="V29" s="400"/>
      <c r="W29" s="400"/>
      <c r="X29" s="411"/>
      <c r="Y29" s="414">
        <f>IF(Y28=0,0,Y28/Y23)</f>
        <v>0</v>
      </c>
      <c r="Z29" s="400"/>
      <c r="AA29" s="400"/>
      <c r="AB29" s="411"/>
      <c r="AC29" s="414">
        <f>IF(AC28=0,0,AC28/AC23)</f>
        <v>0</v>
      </c>
      <c r="AD29" s="400"/>
      <c r="AE29" s="400"/>
      <c r="AF29" s="411"/>
      <c r="AG29" s="414">
        <f>IF(AG28=0,0,AG28/AG23)</f>
        <v>0</v>
      </c>
      <c r="AH29" s="400"/>
      <c r="AI29" s="400"/>
      <c r="AJ29" s="411"/>
      <c r="AK29" s="393"/>
      <c r="AL29" s="394"/>
      <c r="AM29" s="395"/>
    </row>
    <row r="30" spans="1:52" s="374" customFormat="1" ht="13.5" thickBot="1">
      <c r="A30" s="362">
        <f t="shared" si="0"/>
        <v>19</v>
      </c>
      <c r="B30" s="383"/>
      <c r="C30" s="384"/>
      <c r="D30" s="403"/>
      <c r="E30" s="437"/>
      <c r="F30" s="367"/>
      <c r="G30" s="415"/>
      <c r="H30" s="416"/>
      <c r="I30" s="438"/>
      <c r="J30" s="415"/>
      <c r="K30" s="415"/>
      <c r="L30" s="416"/>
      <c r="M30" s="439"/>
      <c r="N30" s="415"/>
      <c r="O30" s="415"/>
      <c r="P30" s="416"/>
      <c r="Q30" s="437"/>
      <c r="R30" s="415"/>
      <c r="S30" s="415"/>
      <c r="T30" s="416"/>
      <c r="U30" s="437"/>
      <c r="V30" s="415"/>
      <c r="W30" s="415"/>
      <c r="X30" s="416"/>
      <c r="Y30" s="437"/>
      <c r="Z30" s="415"/>
      <c r="AA30" s="415"/>
      <c r="AB30" s="416"/>
      <c r="AC30" s="437"/>
      <c r="AD30" s="415"/>
      <c r="AE30" s="415"/>
      <c r="AF30" s="416"/>
      <c r="AG30" s="437"/>
      <c r="AH30" s="415"/>
      <c r="AI30" s="415"/>
      <c r="AJ30" s="416"/>
      <c r="AK30" s="417"/>
      <c r="AL30" s="418"/>
      <c r="AM30" s="419"/>
    </row>
    <row r="31" spans="1:52" ht="25.5">
      <c r="A31" s="362">
        <f>+A30+1</f>
        <v>20</v>
      </c>
      <c r="C31" s="420"/>
      <c r="D31" s="421" t="s">
        <v>395</v>
      </c>
      <c r="E31" s="377" t="s">
        <v>408</v>
      </c>
      <c r="F31" s="378" t="s">
        <v>409</v>
      </c>
      <c r="G31" s="378" t="s">
        <v>410</v>
      </c>
      <c r="H31" s="422" t="s">
        <v>407</v>
      </c>
      <c r="I31" s="377" t="s">
        <v>408</v>
      </c>
      <c r="J31" s="378" t="s">
        <v>409</v>
      </c>
      <c r="K31" s="378" t="s">
        <v>410</v>
      </c>
      <c r="L31" s="379" t="s">
        <v>407</v>
      </c>
      <c r="M31" s="377" t="s">
        <v>408</v>
      </c>
      <c r="N31" s="378" t="s">
        <v>409</v>
      </c>
      <c r="O31" s="378" t="s">
        <v>410</v>
      </c>
      <c r="P31" s="379" t="s">
        <v>407</v>
      </c>
      <c r="Q31" s="377" t="s">
        <v>408</v>
      </c>
      <c r="R31" s="378" t="s">
        <v>409</v>
      </c>
      <c r="S31" s="378" t="s">
        <v>410</v>
      </c>
      <c r="T31" s="379" t="s">
        <v>407</v>
      </c>
      <c r="U31" s="377" t="s">
        <v>408</v>
      </c>
      <c r="V31" s="378" t="s">
        <v>409</v>
      </c>
      <c r="W31" s="378" t="s">
        <v>410</v>
      </c>
      <c r="X31" s="379" t="s">
        <v>407</v>
      </c>
      <c r="Y31" s="377" t="s">
        <v>408</v>
      </c>
      <c r="Z31" s="378" t="s">
        <v>409</v>
      </c>
      <c r="AA31" s="378" t="s">
        <v>410</v>
      </c>
      <c r="AB31" s="379" t="s">
        <v>407</v>
      </c>
      <c r="AC31" s="377" t="s">
        <v>408</v>
      </c>
      <c r="AD31" s="378" t="s">
        <v>409</v>
      </c>
      <c r="AE31" s="378" t="s">
        <v>410</v>
      </c>
      <c r="AF31" s="379" t="s">
        <v>407</v>
      </c>
      <c r="AG31" s="377" t="s">
        <v>408</v>
      </c>
      <c r="AH31" s="378" t="s">
        <v>409</v>
      </c>
      <c r="AI31" s="378" t="s">
        <v>410</v>
      </c>
      <c r="AJ31" s="379" t="s">
        <v>407</v>
      </c>
      <c r="AK31" s="423" t="s">
        <v>306</v>
      </c>
      <c r="AL31" s="424" t="s">
        <v>421</v>
      </c>
      <c r="AM31" s="425" t="s">
        <v>422</v>
      </c>
    </row>
    <row r="32" spans="1:52">
      <c r="A32" s="362">
        <f t="shared" si="0"/>
        <v>21</v>
      </c>
      <c r="C32" s="767" t="str">
        <f>"W "&amp;'Appendix H-1'!H208*100&amp;" % ROE"</f>
        <v>W 10.55 % ROE</v>
      </c>
      <c r="D32" s="1042"/>
      <c r="E32" s="983">
        <f>+E28</f>
        <v>0</v>
      </c>
      <c r="F32" s="984">
        <f>+E29</f>
        <v>0</v>
      </c>
      <c r="G32" s="985">
        <f>+E32-F32</f>
        <v>0</v>
      </c>
      <c r="H32" s="984">
        <f>+G32*E26</f>
        <v>0</v>
      </c>
      <c r="I32" s="983">
        <f>+I28</f>
        <v>0</v>
      </c>
      <c r="J32" s="984">
        <f>+I$29/12*(13-I$30)</f>
        <v>0</v>
      </c>
      <c r="K32" s="985">
        <f t="shared" ref="K32:K71" si="1">+I32-J32</f>
        <v>0</v>
      </c>
      <c r="L32" s="984">
        <f>+I$26*K32*(13-I30)/12+J32</f>
        <v>0</v>
      </c>
      <c r="M32" s="983">
        <f>+M28</f>
        <v>0</v>
      </c>
      <c r="N32" s="984">
        <f>+M$29/12*(13-M$30)</f>
        <v>0</v>
      </c>
      <c r="O32" s="985">
        <f t="shared" ref="O32:O71" si="2">+M32-N32</f>
        <v>0</v>
      </c>
      <c r="P32" s="984">
        <f>+M$26*O32*(13-M30)/12+N32</f>
        <v>0</v>
      </c>
      <c r="Q32" s="983"/>
      <c r="R32" s="985"/>
      <c r="S32" s="985"/>
      <c r="T32" s="986"/>
      <c r="U32" s="983"/>
      <c r="V32" s="985"/>
      <c r="W32" s="985"/>
      <c r="X32" s="986"/>
      <c r="Y32" s="983"/>
      <c r="Z32" s="985"/>
      <c r="AA32" s="985"/>
      <c r="AB32" s="986"/>
      <c r="AC32" s="983"/>
      <c r="AD32" s="985"/>
      <c r="AE32" s="985"/>
      <c r="AF32" s="986"/>
      <c r="AG32" s="983"/>
      <c r="AH32" s="985"/>
      <c r="AI32" s="985"/>
      <c r="AJ32" s="986"/>
      <c r="AK32" s="987">
        <f t="shared" ref="AK32:AK71" si="3">+P32+L32+H32</f>
        <v>0</v>
      </c>
      <c r="AL32" s="983"/>
      <c r="AM32" s="988">
        <f>+AK32</f>
        <v>0</v>
      </c>
    </row>
    <row r="33" spans="1:40">
      <c r="A33" s="362">
        <f t="shared" si="0"/>
        <v>22</v>
      </c>
      <c r="C33" s="426" t="s">
        <v>716</v>
      </c>
      <c r="D33" s="1042"/>
      <c r="E33" s="983">
        <f>+E32</f>
        <v>0</v>
      </c>
      <c r="F33" s="984">
        <f>+F32</f>
        <v>0</v>
      </c>
      <c r="G33" s="985">
        <f>+G32</f>
        <v>0</v>
      </c>
      <c r="H33" s="984">
        <f>+G33*E27</f>
        <v>0</v>
      </c>
      <c r="I33" s="983">
        <f>+I32</f>
        <v>0</v>
      </c>
      <c r="J33" s="984">
        <f>+J32</f>
        <v>0</v>
      </c>
      <c r="K33" s="985">
        <f t="shared" si="1"/>
        <v>0</v>
      </c>
      <c r="L33" s="986">
        <f>+I$27*K33*(13-I30)/12+J33</f>
        <v>0</v>
      </c>
      <c r="M33" s="983">
        <f>+M32</f>
        <v>0</v>
      </c>
      <c r="N33" s="984">
        <f>+N32</f>
        <v>0</v>
      </c>
      <c r="O33" s="985">
        <f t="shared" si="2"/>
        <v>0</v>
      </c>
      <c r="P33" s="986">
        <f>+M$27*O33*(13-M30)/12+N33</f>
        <v>0</v>
      </c>
      <c r="Q33" s="983"/>
      <c r="R33" s="985"/>
      <c r="S33" s="985"/>
      <c r="T33" s="986"/>
      <c r="U33" s="983"/>
      <c r="V33" s="985"/>
      <c r="W33" s="985"/>
      <c r="X33" s="986"/>
      <c r="Y33" s="983"/>
      <c r="Z33" s="985"/>
      <c r="AA33" s="985"/>
      <c r="AB33" s="986"/>
      <c r="AC33" s="983"/>
      <c r="AD33" s="985"/>
      <c r="AE33" s="985"/>
      <c r="AF33" s="986"/>
      <c r="AG33" s="983"/>
      <c r="AH33" s="985"/>
      <c r="AI33" s="985"/>
      <c r="AJ33" s="986"/>
      <c r="AK33" s="987">
        <f t="shared" si="3"/>
        <v>0</v>
      </c>
      <c r="AL33" s="983">
        <f>+AK33</f>
        <v>0</v>
      </c>
      <c r="AM33" s="988"/>
      <c r="AN33" s="427"/>
    </row>
    <row r="34" spans="1:40">
      <c r="A34" s="362">
        <f t="shared" si="0"/>
        <v>23</v>
      </c>
      <c r="C34" s="426" t="str">
        <f t="shared" ref="C34:C71" si="4">+C32</f>
        <v>W 10.55 % ROE</v>
      </c>
      <c r="D34" s="1042"/>
      <c r="E34" s="985"/>
      <c r="F34" s="984">
        <v>0</v>
      </c>
      <c r="G34" s="985">
        <f t="shared" ref="G34:G71" si="5">+E34-F34</f>
        <v>0</v>
      </c>
      <c r="H34" s="984">
        <f>+E$26*G34+F34</f>
        <v>0</v>
      </c>
      <c r="I34" s="983">
        <f>+I$28*0</f>
        <v>0</v>
      </c>
      <c r="J34" s="985">
        <f>+I$29*0</f>
        <v>0</v>
      </c>
      <c r="K34" s="985">
        <f t="shared" si="1"/>
        <v>0</v>
      </c>
      <c r="L34" s="986">
        <f>+I$26*K34+J34</f>
        <v>0</v>
      </c>
      <c r="M34" s="983">
        <f>+M$28*0</f>
        <v>0</v>
      </c>
      <c r="N34" s="985">
        <f>+M$29*0</f>
        <v>0</v>
      </c>
      <c r="O34" s="985">
        <f t="shared" si="2"/>
        <v>0</v>
      </c>
      <c r="P34" s="986">
        <f>+M$26*O34+N34</f>
        <v>0</v>
      </c>
      <c r="Q34" s="983"/>
      <c r="R34" s="984"/>
      <c r="S34" s="985"/>
      <c r="T34" s="986"/>
      <c r="U34" s="983"/>
      <c r="V34" s="984"/>
      <c r="W34" s="985"/>
      <c r="X34" s="986"/>
      <c r="Y34" s="983"/>
      <c r="Z34" s="984"/>
      <c r="AA34" s="985"/>
      <c r="AB34" s="986"/>
      <c r="AC34" s="983"/>
      <c r="AD34" s="984"/>
      <c r="AE34" s="985"/>
      <c r="AF34" s="986"/>
      <c r="AG34" s="983"/>
      <c r="AH34" s="984"/>
      <c r="AI34" s="985"/>
      <c r="AJ34" s="986"/>
      <c r="AK34" s="987">
        <f t="shared" si="3"/>
        <v>0</v>
      </c>
      <c r="AL34" s="983"/>
      <c r="AM34" s="988">
        <f>+AK34</f>
        <v>0</v>
      </c>
    </row>
    <row r="35" spans="1:40">
      <c r="A35" s="362">
        <f t="shared" si="0"/>
        <v>24</v>
      </c>
      <c r="C35" s="426" t="str">
        <f t="shared" si="4"/>
        <v>W Increased ROE</v>
      </c>
      <c r="D35" s="1042"/>
      <c r="E35" s="985"/>
      <c r="F35" s="984">
        <f>+F34</f>
        <v>0</v>
      </c>
      <c r="G35" s="985">
        <f t="shared" si="5"/>
        <v>0</v>
      </c>
      <c r="H35" s="984">
        <f>+E$27*G35+F35</f>
        <v>0</v>
      </c>
      <c r="I35" s="983">
        <f>+I34</f>
        <v>0</v>
      </c>
      <c r="J35" s="985">
        <f>+J34</f>
        <v>0</v>
      </c>
      <c r="K35" s="985">
        <f t="shared" si="1"/>
        <v>0</v>
      </c>
      <c r="L35" s="986">
        <f>+I$27*K35+J35</f>
        <v>0</v>
      </c>
      <c r="M35" s="983">
        <f>+M34</f>
        <v>0</v>
      </c>
      <c r="N35" s="985">
        <f>N34</f>
        <v>0</v>
      </c>
      <c r="O35" s="985">
        <f t="shared" si="2"/>
        <v>0</v>
      </c>
      <c r="P35" s="986">
        <f>+M$27*O35+N35</f>
        <v>0</v>
      </c>
      <c r="Q35" s="983"/>
      <c r="R35" s="984"/>
      <c r="S35" s="985"/>
      <c r="T35" s="986"/>
      <c r="U35" s="983"/>
      <c r="V35" s="984"/>
      <c r="W35" s="985"/>
      <c r="X35" s="986"/>
      <c r="Y35" s="983"/>
      <c r="Z35" s="984"/>
      <c r="AA35" s="985"/>
      <c r="AB35" s="986"/>
      <c r="AC35" s="983"/>
      <c r="AD35" s="984"/>
      <c r="AE35" s="985"/>
      <c r="AF35" s="986"/>
      <c r="AG35" s="983"/>
      <c r="AH35" s="984"/>
      <c r="AI35" s="985"/>
      <c r="AJ35" s="986"/>
      <c r="AK35" s="987">
        <f t="shared" si="3"/>
        <v>0</v>
      </c>
      <c r="AL35" s="983">
        <f>+AK35</f>
        <v>0</v>
      </c>
      <c r="AM35" s="988"/>
    </row>
    <row r="36" spans="1:40">
      <c r="A36" s="362">
        <f t="shared" si="0"/>
        <v>25</v>
      </c>
      <c r="C36" s="426" t="str">
        <f t="shared" si="4"/>
        <v>W 10.55 % ROE</v>
      </c>
      <c r="D36" s="1042"/>
      <c r="E36" s="985"/>
      <c r="F36" s="985">
        <v>0</v>
      </c>
      <c r="G36" s="985">
        <f t="shared" si="5"/>
        <v>0</v>
      </c>
      <c r="H36" s="984">
        <f>+E$26*G36+F36</f>
        <v>0</v>
      </c>
      <c r="I36" s="983">
        <f>+K35</f>
        <v>0</v>
      </c>
      <c r="J36" s="985">
        <f t="shared" ref="J36:J72" si="6">+J35</f>
        <v>0</v>
      </c>
      <c r="K36" s="985">
        <f t="shared" si="1"/>
        <v>0</v>
      </c>
      <c r="L36" s="986">
        <f>+I$26*K36+J36</f>
        <v>0</v>
      </c>
      <c r="M36" s="983">
        <f>+O35</f>
        <v>0</v>
      </c>
      <c r="N36" s="985">
        <f>N35</f>
        <v>0</v>
      </c>
      <c r="O36" s="985">
        <f t="shared" si="2"/>
        <v>0</v>
      </c>
      <c r="P36" s="986">
        <f>+M$26*O36+N36</f>
        <v>0</v>
      </c>
      <c r="Q36" s="983">
        <f>+Q$28</f>
        <v>0</v>
      </c>
      <c r="R36" s="984">
        <f>+Q$29/12*(12-Q$30)</f>
        <v>0</v>
      </c>
      <c r="S36" s="985">
        <f t="shared" ref="S36:S71" si="7">+Q36-R36</f>
        <v>0</v>
      </c>
      <c r="T36" s="986">
        <f>+Q$26*S36+R36</f>
        <v>0</v>
      </c>
      <c r="U36" s="983"/>
      <c r="V36" s="985"/>
      <c r="W36" s="985"/>
      <c r="X36" s="986"/>
      <c r="Y36" s="983"/>
      <c r="Z36" s="985"/>
      <c r="AA36" s="985"/>
      <c r="AB36" s="986"/>
      <c r="AC36" s="983"/>
      <c r="AD36" s="985"/>
      <c r="AE36" s="985"/>
      <c r="AF36" s="986"/>
      <c r="AG36" s="983"/>
      <c r="AH36" s="985"/>
      <c r="AI36" s="985"/>
      <c r="AJ36" s="986"/>
      <c r="AK36" s="987">
        <f t="shared" si="3"/>
        <v>0</v>
      </c>
      <c r="AL36" s="983"/>
      <c r="AM36" s="988">
        <f>+AK36</f>
        <v>0</v>
      </c>
    </row>
    <row r="37" spans="1:40">
      <c r="A37" s="362">
        <f t="shared" si="0"/>
        <v>26</v>
      </c>
      <c r="C37" s="426" t="str">
        <f t="shared" si="4"/>
        <v>W Increased ROE</v>
      </c>
      <c r="D37" s="1042"/>
      <c r="E37" s="985"/>
      <c r="F37" s="985">
        <f>+F36</f>
        <v>0</v>
      </c>
      <c r="G37" s="985">
        <f t="shared" si="5"/>
        <v>0</v>
      </c>
      <c r="H37" s="984">
        <f>+E$27*G37+F37</f>
        <v>0</v>
      </c>
      <c r="I37" s="983">
        <f>+I36</f>
        <v>0</v>
      </c>
      <c r="J37" s="985">
        <f t="shared" si="6"/>
        <v>0</v>
      </c>
      <c r="K37" s="985">
        <f t="shared" si="1"/>
        <v>0</v>
      </c>
      <c r="L37" s="986">
        <f>+I$27*K37+J37</f>
        <v>0</v>
      </c>
      <c r="M37" s="983">
        <f>+M36</f>
        <v>0</v>
      </c>
      <c r="N37" s="985">
        <f>+N36</f>
        <v>0</v>
      </c>
      <c r="O37" s="985">
        <f t="shared" si="2"/>
        <v>0</v>
      </c>
      <c r="P37" s="986">
        <f>+M$27*O37+N37</f>
        <v>0</v>
      </c>
      <c r="Q37" s="983">
        <f>+Q36</f>
        <v>0</v>
      </c>
      <c r="R37" s="984">
        <f>+R36</f>
        <v>0</v>
      </c>
      <c r="S37" s="985">
        <f t="shared" si="7"/>
        <v>0</v>
      </c>
      <c r="T37" s="986">
        <f>+Q$27*S37+R37</f>
        <v>0</v>
      </c>
      <c r="U37" s="983"/>
      <c r="V37" s="985"/>
      <c r="W37" s="985"/>
      <c r="X37" s="986"/>
      <c r="Y37" s="983"/>
      <c r="Z37" s="985"/>
      <c r="AA37" s="985"/>
      <c r="AB37" s="986"/>
      <c r="AC37" s="983"/>
      <c r="AD37" s="985"/>
      <c r="AE37" s="985"/>
      <c r="AF37" s="986"/>
      <c r="AG37" s="983"/>
      <c r="AH37" s="985"/>
      <c r="AI37" s="985"/>
      <c r="AJ37" s="986"/>
      <c r="AK37" s="987">
        <f t="shared" si="3"/>
        <v>0</v>
      </c>
      <c r="AL37" s="983">
        <f>+AK37</f>
        <v>0</v>
      </c>
      <c r="AM37" s="988"/>
    </row>
    <row r="38" spans="1:40">
      <c r="A38" s="362">
        <f t="shared" si="0"/>
        <v>27</v>
      </c>
      <c r="C38" s="426" t="str">
        <f t="shared" si="4"/>
        <v>W 10.55 % ROE</v>
      </c>
      <c r="D38" s="1042"/>
      <c r="E38" s="985"/>
      <c r="F38" s="985">
        <v>0</v>
      </c>
      <c r="G38" s="985">
        <f t="shared" si="5"/>
        <v>0</v>
      </c>
      <c r="H38" s="984">
        <f>+E$26*G38+F38</f>
        <v>0</v>
      </c>
      <c r="I38" s="983">
        <f>+K37</f>
        <v>0</v>
      </c>
      <c r="J38" s="985">
        <f t="shared" si="6"/>
        <v>0</v>
      </c>
      <c r="K38" s="985">
        <f t="shared" si="1"/>
        <v>0</v>
      </c>
      <c r="L38" s="986">
        <f>+I$26*K38+J38</f>
        <v>0</v>
      </c>
      <c r="M38" s="983">
        <f>+O37</f>
        <v>0</v>
      </c>
      <c r="N38" s="985">
        <f t="shared" ref="N38:N71" si="8">+N37</f>
        <v>0</v>
      </c>
      <c r="O38" s="985">
        <f t="shared" si="2"/>
        <v>0</v>
      </c>
      <c r="P38" s="986">
        <f>+M$26*O38+N38</f>
        <v>0</v>
      </c>
      <c r="Q38" s="983">
        <f>+S37</f>
        <v>0</v>
      </c>
      <c r="R38" s="985">
        <f>+Q$29</f>
        <v>0</v>
      </c>
      <c r="S38" s="985">
        <f t="shared" si="7"/>
        <v>0</v>
      </c>
      <c r="T38" s="986">
        <f>+Q$26*S38+R38</f>
        <v>0</v>
      </c>
      <c r="U38" s="983">
        <f>+U$28</f>
        <v>0</v>
      </c>
      <c r="V38" s="984">
        <f>+U$29/12*(12-U$30)</f>
        <v>0</v>
      </c>
      <c r="W38" s="985">
        <f t="shared" ref="W38:W71" si="9">+U38-V38</f>
        <v>0</v>
      </c>
      <c r="X38" s="986">
        <f>+U$26*W38+V38</f>
        <v>0</v>
      </c>
      <c r="Y38" s="983">
        <f>+Y$28</f>
        <v>0</v>
      </c>
      <c r="Z38" s="984">
        <f>+Y$29/12*(12-Y$30)</f>
        <v>0</v>
      </c>
      <c r="AA38" s="985">
        <f t="shared" ref="AA38:AA71" si="10">+Y38-Z38</f>
        <v>0</v>
      </c>
      <c r="AB38" s="986">
        <f>+Y$26*AA38+Z38</f>
        <v>0</v>
      </c>
      <c r="AC38" s="983"/>
      <c r="AD38" s="985"/>
      <c r="AE38" s="985"/>
      <c r="AF38" s="986"/>
      <c r="AG38" s="983"/>
      <c r="AH38" s="985"/>
      <c r="AI38" s="985"/>
      <c r="AJ38" s="986"/>
      <c r="AK38" s="987">
        <f t="shared" si="3"/>
        <v>0</v>
      </c>
      <c r="AL38" s="983"/>
      <c r="AM38" s="988">
        <f>+AK38</f>
        <v>0</v>
      </c>
    </row>
    <row r="39" spans="1:40">
      <c r="A39" s="362">
        <f t="shared" si="0"/>
        <v>28</v>
      </c>
      <c r="C39" s="426" t="str">
        <f t="shared" si="4"/>
        <v>W Increased ROE</v>
      </c>
      <c r="D39" s="1042"/>
      <c r="E39" s="985"/>
      <c r="F39" s="985">
        <v>0</v>
      </c>
      <c r="G39" s="985">
        <f t="shared" si="5"/>
        <v>0</v>
      </c>
      <c r="H39" s="984">
        <f>+E$27*G39+F39</f>
        <v>0</v>
      </c>
      <c r="I39" s="983">
        <f>+I38</f>
        <v>0</v>
      </c>
      <c r="J39" s="985">
        <f t="shared" si="6"/>
        <v>0</v>
      </c>
      <c r="K39" s="985">
        <f t="shared" si="1"/>
        <v>0</v>
      </c>
      <c r="L39" s="986">
        <f>+I$27*K39+J39</f>
        <v>0</v>
      </c>
      <c r="M39" s="983">
        <f>+M38</f>
        <v>0</v>
      </c>
      <c r="N39" s="985">
        <f t="shared" si="8"/>
        <v>0</v>
      </c>
      <c r="O39" s="985">
        <f t="shared" si="2"/>
        <v>0</v>
      </c>
      <c r="P39" s="986">
        <f>+M$27*O39+N39</f>
        <v>0</v>
      </c>
      <c r="Q39" s="983">
        <f>+Q38</f>
        <v>0</v>
      </c>
      <c r="R39" s="985">
        <f>+R38</f>
        <v>0</v>
      </c>
      <c r="S39" s="985">
        <f t="shared" si="7"/>
        <v>0</v>
      </c>
      <c r="T39" s="986">
        <f>+Q$27*S39+R39</f>
        <v>0</v>
      </c>
      <c r="U39" s="983">
        <f>+U38</f>
        <v>0</v>
      </c>
      <c r="V39" s="984">
        <f>+V38</f>
        <v>0</v>
      </c>
      <c r="W39" s="985">
        <f t="shared" si="9"/>
        <v>0</v>
      </c>
      <c r="X39" s="986">
        <f>+U$27*W39+V39</f>
        <v>0</v>
      </c>
      <c r="Y39" s="983">
        <f>+Y38</f>
        <v>0</v>
      </c>
      <c r="Z39" s="984">
        <f>+Z38</f>
        <v>0</v>
      </c>
      <c r="AA39" s="985">
        <f t="shared" si="10"/>
        <v>0</v>
      </c>
      <c r="AB39" s="986">
        <f>+Y$27*AA39+Z39</f>
        <v>0</v>
      </c>
      <c r="AC39" s="983"/>
      <c r="AD39" s="985"/>
      <c r="AE39" s="985"/>
      <c r="AF39" s="986"/>
      <c r="AG39" s="983"/>
      <c r="AH39" s="985"/>
      <c r="AI39" s="985"/>
      <c r="AJ39" s="986"/>
      <c r="AK39" s="987">
        <f t="shared" si="3"/>
        <v>0</v>
      </c>
      <c r="AL39" s="983">
        <f>+AK39</f>
        <v>0</v>
      </c>
      <c r="AM39" s="988"/>
    </row>
    <row r="40" spans="1:40">
      <c r="A40" s="362">
        <f t="shared" si="0"/>
        <v>29</v>
      </c>
      <c r="C40" s="426" t="str">
        <f t="shared" si="4"/>
        <v>W 10.55 % ROE</v>
      </c>
      <c r="D40" s="1042"/>
      <c r="E40" s="985"/>
      <c r="F40" s="985">
        <v>0</v>
      </c>
      <c r="G40" s="985">
        <f t="shared" si="5"/>
        <v>0</v>
      </c>
      <c r="H40" s="984">
        <f>+E$26*G40+F40</f>
        <v>0</v>
      </c>
      <c r="I40" s="983">
        <f>+K39</f>
        <v>0</v>
      </c>
      <c r="J40" s="985">
        <f t="shared" si="6"/>
        <v>0</v>
      </c>
      <c r="K40" s="985">
        <f t="shared" si="1"/>
        <v>0</v>
      </c>
      <c r="L40" s="986">
        <f>+I$26*K40+J40</f>
        <v>0</v>
      </c>
      <c r="M40" s="983">
        <f>+O39</f>
        <v>0</v>
      </c>
      <c r="N40" s="985">
        <f t="shared" si="8"/>
        <v>0</v>
      </c>
      <c r="O40" s="985">
        <f t="shared" si="2"/>
        <v>0</v>
      </c>
      <c r="P40" s="986">
        <f>+M$26*O40+N40</f>
        <v>0</v>
      </c>
      <c r="Q40" s="983">
        <f>+S39</f>
        <v>0</v>
      </c>
      <c r="R40" s="985">
        <f>+Q$29</f>
        <v>0</v>
      </c>
      <c r="S40" s="985">
        <f t="shared" si="7"/>
        <v>0</v>
      </c>
      <c r="T40" s="986">
        <f>+Q$26*S40+R40</f>
        <v>0</v>
      </c>
      <c r="U40" s="983">
        <f>+W39</f>
        <v>0</v>
      </c>
      <c r="V40" s="985">
        <f>+U$29</f>
        <v>0</v>
      </c>
      <c r="W40" s="985">
        <f t="shared" si="9"/>
        <v>0</v>
      </c>
      <c r="X40" s="986">
        <f>+U$26*W40+V40</f>
        <v>0</v>
      </c>
      <c r="Y40" s="983">
        <f>+AA39</f>
        <v>0</v>
      </c>
      <c r="Z40" s="985">
        <f>+Y$29</f>
        <v>0</v>
      </c>
      <c r="AA40" s="985">
        <f t="shared" si="10"/>
        <v>0</v>
      </c>
      <c r="AB40" s="986">
        <f>+Y$26*AA40+Z40</f>
        <v>0</v>
      </c>
      <c r="AC40" s="983">
        <f>+AC$28</f>
        <v>0</v>
      </c>
      <c r="AD40" s="984">
        <f>+AC$29/12*(12-AC$30)</f>
        <v>0</v>
      </c>
      <c r="AE40" s="985">
        <f t="shared" ref="AE40:AE71" si="11">+AC40-AD40</f>
        <v>0</v>
      </c>
      <c r="AF40" s="986">
        <f>+AC$26*AE40+AD40</f>
        <v>0</v>
      </c>
      <c r="AG40" s="983">
        <f>+AG$28</f>
        <v>0</v>
      </c>
      <c r="AH40" s="984">
        <f>+AG$29/12*(12-AG$30)</f>
        <v>0</v>
      </c>
      <c r="AI40" s="985">
        <f t="shared" ref="AI40:AI71" si="12">+AG40-AH40</f>
        <v>0</v>
      </c>
      <c r="AJ40" s="986">
        <f>+AG$26*AI40+AH40</f>
        <v>0</v>
      </c>
      <c r="AK40" s="987">
        <f t="shared" si="3"/>
        <v>0</v>
      </c>
      <c r="AL40" s="983"/>
      <c r="AM40" s="988">
        <f>+AK40</f>
        <v>0</v>
      </c>
    </row>
    <row r="41" spans="1:40">
      <c r="A41" s="362">
        <f t="shared" si="0"/>
        <v>30</v>
      </c>
      <c r="C41" s="426" t="str">
        <f t="shared" si="4"/>
        <v>W Increased ROE</v>
      </c>
      <c r="D41" s="1042"/>
      <c r="E41" s="985"/>
      <c r="F41" s="985">
        <v>0</v>
      </c>
      <c r="G41" s="985">
        <f t="shared" si="5"/>
        <v>0</v>
      </c>
      <c r="H41" s="984">
        <f>+E$27*G41+F41</f>
        <v>0</v>
      </c>
      <c r="I41" s="983">
        <f>+I40</f>
        <v>0</v>
      </c>
      <c r="J41" s="985">
        <f t="shared" si="6"/>
        <v>0</v>
      </c>
      <c r="K41" s="985">
        <f t="shared" si="1"/>
        <v>0</v>
      </c>
      <c r="L41" s="986">
        <f>+I$27*K41+J41</f>
        <v>0</v>
      </c>
      <c r="M41" s="983">
        <f>+M40</f>
        <v>0</v>
      </c>
      <c r="N41" s="985">
        <f t="shared" si="8"/>
        <v>0</v>
      </c>
      <c r="O41" s="985">
        <f t="shared" si="2"/>
        <v>0</v>
      </c>
      <c r="P41" s="986">
        <f>+M$27*O41+N41</f>
        <v>0</v>
      </c>
      <c r="Q41" s="983">
        <f>+Q40</f>
        <v>0</v>
      </c>
      <c r="R41" s="985">
        <f>+R40</f>
        <v>0</v>
      </c>
      <c r="S41" s="985">
        <f t="shared" si="7"/>
        <v>0</v>
      </c>
      <c r="T41" s="986">
        <f>+Q$27*S41+R41</f>
        <v>0</v>
      </c>
      <c r="U41" s="983">
        <f>+U40</f>
        <v>0</v>
      </c>
      <c r="V41" s="985">
        <f>+V40</f>
        <v>0</v>
      </c>
      <c r="W41" s="985">
        <f t="shared" si="9"/>
        <v>0</v>
      </c>
      <c r="X41" s="986">
        <f>+U$27*W41+V41</f>
        <v>0</v>
      </c>
      <c r="Y41" s="983">
        <f>+Y40</f>
        <v>0</v>
      </c>
      <c r="Z41" s="985">
        <f>+Z40</f>
        <v>0</v>
      </c>
      <c r="AA41" s="985">
        <f t="shared" si="10"/>
        <v>0</v>
      </c>
      <c r="AB41" s="986">
        <f>+Y$27*AA41+Z41</f>
        <v>0</v>
      </c>
      <c r="AC41" s="983">
        <f>+AC40</f>
        <v>0</v>
      </c>
      <c r="AD41" s="984">
        <f>+AD40</f>
        <v>0</v>
      </c>
      <c r="AE41" s="985">
        <f t="shared" si="11"/>
        <v>0</v>
      </c>
      <c r="AF41" s="986">
        <f>+AC$27*AE41+AD41</f>
        <v>0</v>
      </c>
      <c r="AG41" s="983">
        <f>+AG40</f>
        <v>0</v>
      </c>
      <c r="AH41" s="984">
        <f>+AH40</f>
        <v>0</v>
      </c>
      <c r="AI41" s="985">
        <f t="shared" si="12"/>
        <v>0</v>
      </c>
      <c r="AJ41" s="986">
        <f>+AG$27*AI41+AH41</f>
        <v>0</v>
      </c>
      <c r="AK41" s="987">
        <f t="shared" si="3"/>
        <v>0</v>
      </c>
      <c r="AL41" s="983">
        <f>+AK41</f>
        <v>0</v>
      </c>
      <c r="AM41" s="988"/>
    </row>
    <row r="42" spans="1:40">
      <c r="A42" s="362">
        <f t="shared" si="0"/>
        <v>31</v>
      </c>
      <c r="C42" s="426" t="str">
        <f t="shared" si="4"/>
        <v>W 10.55 % ROE</v>
      </c>
      <c r="D42" s="1042"/>
      <c r="E42" s="985"/>
      <c r="F42" s="985">
        <v>0</v>
      </c>
      <c r="G42" s="985">
        <f t="shared" si="5"/>
        <v>0</v>
      </c>
      <c r="H42" s="984">
        <f>+E$26*G42+F42</f>
        <v>0</v>
      </c>
      <c r="I42" s="983">
        <f>+K41</f>
        <v>0</v>
      </c>
      <c r="J42" s="985">
        <f t="shared" si="6"/>
        <v>0</v>
      </c>
      <c r="K42" s="985">
        <f t="shared" si="1"/>
        <v>0</v>
      </c>
      <c r="L42" s="986">
        <f>+I$26*K42+J42</f>
        <v>0</v>
      </c>
      <c r="M42" s="983">
        <f>+O41</f>
        <v>0</v>
      </c>
      <c r="N42" s="985">
        <f t="shared" si="8"/>
        <v>0</v>
      </c>
      <c r="O42" s="985">
        <f t="shared" si="2"/>
        <v>0</v>
      </c>
      <c r="P42" s="986">
        <f>+M$26*O42+N42</f>
        <v>0</v>
      </c>
      <c r="Q42" s="983">
        <f>+S41</f>
        <v>0</v>
      </c>
      <c r="R42" s="985">
        <f>+Q$29</f>
        <v>0</v>
      </c>
      <c r="S42" s="985">
        <f t="shared" si="7"/>
        <v>0</v>
      </c>
      <c r="T42" s="986">
        <f>+Q$26*S42+R42</f>
        <v>0</v>
      </c>
      <c r="U42" s="983">
        <f>+W41</f>
        <v>0</v>
      </c>
      <c r="V42" s="985">
        <f>+U$29</f>
        <v>0</v>
      </c>
      <c r="W42" s="985">
        <f t="shared" si="9"/>
        <v>0</v>
      </c>
      <c r="X42" s="986">
        <f>+U$26*W42+V42</f>
        <v>0</v>
      </c>
      <c r="Y42" s="983">
        <f>+AA41</f>
        <v>0</v>
      </c>
      <c r="Z42" s="985">
        <f>+Y$29</f>
        <v>0</v>
      </c>
      <c r="AA42" s="985">
        <f t="shared" si="10"/>
        <v>0</v>
      </c>
      <c r="AB42" s="986">
        <f>+Y$26*AA42+Z42</f>
        <v>0</v>
      </c>
      <c r="AC42" s="983">
        <f>+AE41</f>
        <v>0</v>
      </c>
      <c r="AD42" s="985">
        <f>+AC$29</f>
        <v>0</v>
      </c>
      <c r="AE42" s="985">
        <f t="shared" si="11"/>
        <v>0</v>
      </c>
      <c r="AF42" s="986">
        <f>+AC$26*AE42+AD42</f>
        <v>0</v>
      </c>
      <c r="AG42" s="983">
        <f>+AI41</f>
        <v>0</v>
      </c>
      <c r="AH42" s="985">
        <f>+AG$29</f>
        <v>0</v>
      </c>
      <c r="AI42" s="985">
        <f t="shared" si="12"/>
        <v>0</v>
      </c>
      <c r="AJ42" s="986">
        <f>+AG$26*AI42+AH42</f>
        <v>0</v>
      </c>
      <c r="AK42" s="987">
        <f t="shared" si="3"/>
        <v>0</v>
      </c>
      <c r="AL42" s="983"/>
      <c r="AM42" s="988">
        <f>+AK42</f>
        <v>0</v>
      </c>
    </row>
    <row r="43" spans="1:40">
      <c r="A43" s="362">
        <f t="shared" si="0"/>
        <v>32</v>
      </c>
      <c r="C43" s="426" t="str">
        <f t="shared" si="4"/>
        <v>W Increased ROE</v>
      </c>
      <c r="D43" s="1042"/>
      <c r="E43" s="985"/>
      <c r="F43" s="985">
        <v>0</v>
      </c>
      <c r="G43" s="985">
        <f t="shared" si="5"/>
        <v>0</v>
      </c>
      <c r="H43" s="984">
        <f>+E$27*G43+F43</f>
        <v>0</v>
      </c>
      <c r="I43" s="983">
        <f>+I42</f>
        <v>0</v>
      </c>
      <c r="J43" s="985">
        <f t="shared" si="6"/>
        <v>0</v>
      </c>
      <c r="K43" s="985">
        <f t="shared" si="1"/>
        <v>0</v>
      </c>
      <c r="L43" s="986">
        <f>+I$27*K43+J43</f>
        <v>0</v>
      </c>
      <c r="M43" s="983">
        <f>+M42</f>
        <v>0</v>
      </c>
      <c r="N43" s="985">
        <f t="shared" si="8"/>
        <v>0</v>
      </c>
      <c r="O43" s="985">
        <f t="shared" si="2"/>
        <v>0</v>
      </c>
      <c r="P43" s="986">
        <f>+M$27*O43+N43</f>
        <v>0</v>
      </c>
      <c r="Q43" s="983">
        <f>+Q42</f>
        <v>0</v>
      </c>
      <c r="R43" s="985">
        <f>+R42</f>
        <v>0</v>
      </c>
      <c r="S43" s="985">
        <f t="shared" si="7"/>
        <v>0</v>
      </c>
      <c r="T43" s="986">
        <f>+Q$27*S43+R43</f>
        <v>0</v>
      </c>
      <c r="U43" s="983">
        <f>+U42</f>
        <v>0</v>
      </c>
      <c r="V43" s="985">
        <f>+V42</f>
        <v>0</v>
      </c>
      <c r="W43" s="985">
        <f t="shared" si="9"/>
        <v>0</v>
      </c>
      <c r="X43" s="986">
        <f>+U$27*W43+V43</f>
        <v>0</v>
      </c>
      <c r="Y43" s="983">
        <f>+Y42</f>
        <v>0</v>
      </c>
      <c r="Z43" s="985">
        <f>+Z42</f>
        <v>0</v>
      </c>
      <c r="AA43" s="985">
        <f t="shared" si="10"/>
        <v>0</v>
      </c>
      <c r="AB43" s="986">
        <f>+Y$27*AA43+Z43</f>
        <v>0</v>
      </c>
      <c r="AC43" s="983">
        <f>+AC42</f>
        <v>0</v>
      </c>
      <c r="AD43" s="985">
        <f>+AD42</f>
        <v>0</v>
      </c>
      <c r="AE43" s="985">
        <f t="shared" si="11"/>
        <v>0</v>
      </c>
      <c r="AF43" s="986">
        <f>+AC$27*AE43+AD43</f>
        <v>0</v>
      </c>
      <c r="AG43" s="983">
        <f>+AG42</f>
        <v>0</v>
      </c>
      <c r="AH43" s="985">
        <f>+AH42</f>
        <v>0</v>
      </c>
      <c r="AI43" s="985">
        <f t="shared" si="12"/>
        <v>0</v>
      </c>
      <c r="AJ43" s="986">
        <f>+AG$27*AI43+AH43</f>
        <v>0</v>
      </c>
      <c r="AK43" s="987">
        <f t="shared" si="3"/>
        <v>0</v>
      </c>
      <c r="AL43" s="983">
        <f>+AK43</f>
        <v>0</v>
      </c>
      <c r="AM43" s="988"/>
    </row>
    <row r="44" spans="1:40">
      <c r="A44" s="362">
        <f t="shared" si="0"/>
        <v>33</v>
      </c>
      <c r="C44" s="426" t="str">
        <f t="shared" si="4"/>
        <v>W 10.55 % ROE</v>
      </c>
      <c r="D44" s="1042"/>
      <c r="E44" s="985"/>
      <c r="F44" s="985">
        <v>0</v>
      </c>
      <c r="G44" s="985">
        <f t="shared" si="5"/>
        <v>0</v>
      </c>
      <c r="H44" s="984">
        <f>+E$26*G44+F44</f>
        <v>0</v>
      </c>
      <c r="I44" s="983">
        <f>+K43</f>
        <v>0</v>
      </c>
      <c r="J44" s="985">
        <f t="shared" si="6"/>
        <v>0</v>
      </c>
      <c r="K44" s="985">
        <f t="shared" si="1"/>
        <v>0</v>
      </c>
      <c r="L44" s="986">
        <f>+I$26*K44+J44</f>
        <v>0</v>
      </c>
      <c r="M44" s="983">
        <f>+O43</f>
        <v>0</v>
      </c>
      <c r="N44" s="985">
        <f t="shared" si="8"/>
        <v>0</v>
      </c>
      <c r="O44" s="985">
        <f t="shared" si="2"/>
        <v>0</v>
      </c>
      <c r="P44" s="986">
        <f>+M$26*O44+N44</f>
        <v>0</v>
      </c>
      <c r="Q44" s="983">
        <f>+S43</f>
        <v>0</v>
      </c>
      <c r="R44" s="985">
        <f>+Q$29</f>
        <v>0</v>
      </c>
      <c r="S44" s="985">
        <f t="shared" si="7"/>
        <v>0</v>
      </c>
      <c r="T44" s="986">
        <f>+Q$26*S44+R44</f>
        <v>0</v>
      </c>
      <c r="U44" s="983">
        <f>+W43</f>
        <v>0</v>
      </c>
      <c r="V44" s="985">
        <f>+U$29</f>
        <v>0</v>
      </c>
      <c r="W44" s="985">
        <f t="shared" si="9"/>
        <v>0</v>
      </c>
      <c r="X44" s="986">
        <f>+U$26*W44+V44</f>
        <v>0</v>
      </c>
      <c r="Y44" s="983">
        <f>+AA43</f>
        <v>0</v>
      </c>
      <c r="Z44" s="985">
        <f>+Y$29</f>
        <v>0</v>
      </c>
      <c r="AA44" s="985">
        <f t="shared" si="10"/>
        <v>0</v>
      </c>
      <c r="AB44" s="986">
        <f>+Y$26*AA44+Z44</f>
        <v>0</v>
      </c>
      <c r="AC44" s="983">
        <f>+AE43</f>
        <v>0</v>
      </c>
      <c r="AD44" s="985">
        <f>+AC$29</f>
        <v>0</v>
      </c>
      <c r="AE44" s="985">
        <f t="shared" si="11"/>
        <v>0</v>
      </c>
      <c r="AF44" s="986">
        <f>+AC$26*AE44+AD44</f>
        <v>0</v>
      </c>
      <c r="AG44" s="983">
        <f>+AI43</f>
        <v>0</v>
      </c>
      <c r="AH44" s="985">
        <f>+AG$29</f>
        <v>0</v>
      </c>
      <c r="AI44" s="985">
        <f t="shared" si="12"/>
        <v>0</v>
      </c>
      <c r="AJ44" s="986">
        <f>+AG$26*AI44+AH44</f>
        <v>0</v>
      </c>
      <c r="AK44" s="987">
        <f t="shared" si="3"/>
        <v>0</v>
      </c>
      <c r="AL44" s="983"/>
      <c r="AM44" s="988">
        <f>+AK44</f>
        <v>0</v>
      </c>
    </row>
    <row r="45" spans="1:40">
      <c r="A45" s="362">
        <f t="shared" si="0"/>
        <v>34</v>
      </c>
      <c r="C45" s="426" t="str">
        <f t="shared" si="4"/>
        <v>W Increased ROE</v>
      </c>
      <c r="D45" s="1042"/>
      <c r="E45" s="985"/>
      <c r="F45" s="985">
        <v>0</v>
      </c>
      <c r="G45" s="985">
        <f t="shared" si="5"/>
        <v>0</v>
      </c>
      <c r="H45" s="984">
        <f>+E$27*G45+F45</f>
        <v>0</v>
      </c>
      <c r="I45" s="983">
        <f>+I44</f>
        <v>0</v>
      </c>
      <c r="J45" s="985">
        <f t="shared" si="6"/>
        <v>0</v>
      </c>
      <c r="K45" s="985">
        <f t="shared" si="1"/>
        <v>0</v>
      </c>
      <c r="L45" s="986">
        <f>+I$27*K45+J45</f>
        <v>0</v>
      </c>
      <c r="M45" s="983">
        <f>+M44</f>
        <v>0</v>
      </c>
      <c r="N45" s="985">
        <f t="shared" si="8"/>
        <v>0</v>
      </c>
      <c r="O45" s="985">
        <f t="shared" si="2"/>
        <v>0</v>
      </c>
      <c r="P45" s="986">
        <f>+M$27*O45+N45</f>
        <v>0</v>
      </c>
      <c r="Q45" s="983">
        <f>+Q44</f>
        <v>0</v>
      </c>
      <c r="R45" s="985">
        <f>+R44</f>
        <v>0</v>
      </c>
      <c r="S45" s="985">
        <f t="shared" si="7"/>
        <v>0</v>
      </c>
      <c r="T45" s="986">
        <f>+Q$27*S45+R45</f>
        <v>0</v>
      </c>
      <c r="U45" s="983">
        <f>+U44</f>
        <v>0</v>
      </c>
      <c r="V45" s="985">
        <f>+V44</f>
        <v>0</v>
      </c>
      <c r="W45" s="985">
        <f t="shared" si="9"/>
        <v>0</v>
      </c>
      <c r="X45" s="986">
        <f>+U$27*W45+V45</f>
        <v>0</v>
      </c>
      <c r="Y45" s="983">
        <f>+Y44</f>
        <v>0</v>
      </c>
      <c r="Z45" s="985">
        <f>+Z44</f>
        <v>0</v>
      </c>
      <c r="AA45" s="985">
        <f t="shared" si="10"/>
        <v>0</v>
      </c>
      <c r="AB45" s="986">
        <f>+Y$27*AA45+Z45</f>
        <v>0</v>
      </c>
      <c r="AC45" s="983">
        <f>+AC44</f>
        <v>0</v>
      </c>
      <c r="AD45" s="985">
        <f>+AD44</f>
        <v>0</v>
      </c>
      <c r="AE45" s="985">
        <f t="shared" si="11"/>
        <v>0</v>
      </c>
      <c r="AF45" s="986">
        <f>+AC$27*AE45+AD45</f>
        <v>0</v>
      </c>
      <c r="AG45" s="983">
        <f>+AG44</f>
        <v>0</v>
      </c>
      <c r="AH45" s="985">
        <f>+AH44</f>
        <v>0</v>
      </c>
      <c r="AI45" s="985">
        <f t="shared" si="12"/>
        <v>0</v>
      </c>
      <c r="AJ45" s="986">
        <f>+AG$27*AI45+AH45</f>
        <v>0</v>
      </c>
      <c r="AK45" s="987">
        <f t="shared" si="3"/>
        <v>0</v>
      </c>
      <c r="AL45" s="983">
        <f>+AK45</f>
        <v>0</v>
      </c>
      <c r="AM45" s="988"/>
    </row>
    <row r="46" spans="1:40">
      <c r="A46" s="362">
        <f t="shared" si="0"/>
        <v>35</v>
      </c>
      <c r="C46" s="426" t="str">
        <f t="shared" si="4"/>
        <v>W 10.55 % ROE</v>
      </c>
      <c r="D46" s="1042"/>
      <c r="E46" s="985"/>
      <c r="F46" s="985">
        <v>0</v>
      </c>
      <c r="G46" s="985">
        <f t="shared" si="5"/>
        <v>0</v>
      </c>
      <c r="H46" s="984">
        <f>+E$26*G46+F46</f>
        <v>0</v>
      </c>
      <c r="I46" s="983">
        <f>+K45</f>
        <v>0</v>
      </c>
      <c r="J46" s="985">
        <f t="shared" si="6"/>
        <v>0</v>
      </c>
      <c r="K46" s="985">
        <f t="shared" si="1"/>
        <v>0</v>
      </c>
      <c r="L46" s="986">
        <f>+I$26*K46+J46</f>
        <v>0</v>
      </c>
      <c r="M46" s="983">
        <f>+O45</f>
        <v>0</v>
      </c>
      <c r="N46" s="985">
        <f t="shared" si="8"/>
        <v>0</v>
      </c>
      <c r="O46" s="985">
        <f t="shared" si="2"/>
        <v>0</v>
      </c>
      <c r="P46" s="986">
        <f>+M$26*O46+N46</f>
        <v>0</v>
      </c>
      <c r="Q46" s="983">
        <f>+S45</f>
        <v>0</v>
      </c>
      <c r="R46" s="985">
        <f>+Q$29</f>
        <v>0</v>
      </c>
      <c r="S46" s="985">
        <f t="shared" si="7"/>
        <v>0</v>
      </c>
      <c r="T46" s="986">
        <f>+Q$26*S46+R46</f>
        <v>0</v>
      </c>
      <c r="U46" s="983">
        <f>+W45</f>
        <v>0</v>
      </c>
      <c r="V46" s="985">
        <f>+U$29</f>
        <v>0</v>
      </c>
      <c r="W46" s="985">
        <f t="shared" si="9"/>
        <v>0</v>
      </c>
      <c r="X46" s="986">
        <f>+U$26*W46+V46</f>
        <v>0</v>
      </c>
      <c r="Y46" s="983">
        <f>+AA45</f>
        <v>0</v>
      </c>
      <c r="Z46" s="985">
        <f>+Y$29</f>
        <v>0</v>
      </c>
      <c r="AA46" s="985">
        <f t="shared" si="10"/>
        <v>0</v>
      </c>
      <c r="AB46" s="986">
        <f>+Y$26*AA46+Z46</f>
        <v>0</v>
      </c>
      <c r="AC46" s="983">
        <f>+AE45</f>
        <v>0</v>
      </c>
      <c r="AD46" s="985">
        <f>+AC$29</f>
        <v>0</v>
      </c>
      <c r="AE46" s="985">
        <f t="shared" si="11"/>
        <v>0</v>
      </c>
      <c r="AF46" s="986">
        <f>+AC$26*AE46+AD46</f>
        <v>0</v>
      </c>
      <c r="AG46" s="983">
        <f>+AI45</f>
        <v>0</v>
      </c>
      <c r="AH46" s="985">
        <f>+AG$29</f>
        <v>0</v>
      </c>
      <c r="AI46" s="985">
        <f t="shared" si="12"/>
        <v>0</v>
      </c>
      <c r="AJ46" s="986">
        <f>+AG$26*AI46+AH46</f>
        <v>0</v>
      </c>
      <c r="AK46" s="987">
        <f t="shared" si="3"/>
        <v>0</v>
      </c>
      <c r="AL46" s="983"/>
      <c r="AM46" s="988">
        <f>+AK46</f>
        <v>0</v>
      </c>
    </row>
    <row r="47" spans="1:40">
      <c r="A47" s="362">
        <f t="shared" si="0"/>
        <v>36</v>
      </c>
      <c r="C47" s="426" t="str">
        <f t="shared" si="4"/>
        <v>W Increased ROE</v>
      </c>
      <c r="D47" s="1042"/>
      <c r="E47" s="985"/>
      <c r="F47" s="985">
        <v>0</v>
      </c>
      <c r="G47" s="985">
        <f t="shared" si="5"/>
        <v>0</v>
      </c>
      <c r="H47" s="984">
        <f>+E$27*G47+F47</f>
        <v>0</v>
      </c>
      <c r="I47" s="983">
        <f>+I46</f>
        <v>0</v>
      </c>
      <c r="J47" s="985">
        <f t="shared" si="6"/>
        <v>0</v>
      </c>
      <c r="K47" s="985">
        <f t="shared" si="1"/>
        <v>0</v>
      </c>
      <c r="L47" s="986">
        <f>+I$27*K47+J47</f>
        <v>0</v>
      </c>
      <c r="M47" s="983">
        <f>+M46</f>
        <v>0</v>
      </c>
      <c r="N47" s="985">
        <f t="shared" si="8"/>
        <v>0</v>
      </c>
      <c r="O47" s="985">
        <f t="shared" si="2"/>
        <v>0</v>
      </c>
      <c r="P47" s="986">
        <f>+M$27*O47+N47</f>
        <v>0</v>
      </c>
      <c r="Q47" s="983">
        <f>+Q46</f>
        <v>0</v>
      </c>
      <c r="R47" s="985">
        <f>+R46</f>
        <v>0</v>
      </c>
      <c r="S47" s="985">
        <f t="shared" si="7"/>
        <v>0</v>
      </c>
      <c r="T47" s="986">
        <f>+Q$27*S47+R47</f>
        <v>0</v>
      </c>
      <c r="U47" s="983">
        <f>+U46</f>
        <v>0</v>
      </c>
      <c r="V47" s="985">
        <f>+V46</f>
        <v>0</v>
      </c>
      <c r="W47" s="985">
        <f t="shared" si="9"/>
        <v>0</v>
      </c>
      <c r="X47" s="986">
        <f>+U$27*W47+V47</f>
        <v>0</v>
      </c>
      <c r="Y47" s="983">
        <f>+Y46</f>
        <v>0</v>
      </c>
      <c r="Z47" s="985">
        <f>+Z46</f>
        <v>0</v>
      </c>
      <c r="AA47" s="985">
        <f t="shared" si="10"/>
        <v>0</v>
      </c>
      <c r="AB47" s="986">
        <f>+Y$27*AA47+Z47</f>
        <v>0</v>
      </c>
      <c r="AC47" s="983">
        <f>+AC46</f>
        <v>0</v>
      </c>
      <c r="AD47" s="985">
        <f>+AD46</f>
        <v>0</v>
      </c>
      <c r="AE47" s="985">
        <f t="shared" si="11"/>
        <v>0</v>
      </c>
      <c r="AF47" s="986">
        <f>+AC$27*AE47+AD47</f>
        <v>0</v>
      </c>
      <c r="AG47" s="983">
        <f>+AG46</f>
        <v>0</v>
      </c>
      <c r="AH47" s="985">
        <f>+AH46</f>
        <v>0</v>
      </c>
      <c r="AI47" s="985">
        <f t="shared" si="12"/>
        <v>0</v>
      </c>
      <c r="AJ47" s="986">
        <f>+AG$27*AI47+AH47</f>
        <v>0</v>
      </c>
      <c r="AK47" s="987">
        <f t="shared" si="3"/>
        <v>0</v>
      </c>
      <c r="AL47" s="983">
        <f>+AK47</f>
        <v>0</v>
      </c>
      <c r="AM47" s="988"/>
    </row>
    <row r="48" spans="1:40">
      <c r="A48" s="362">
        <f t="shared" si="0"/>
        <v>37</v>
      </c>
      <c r="C48" s="426" t="str">
        <f t="shared" si="4"/>
        <v>W 10.55 % ROE</v>
      </c>
      <c r="D48" s="1042"/>
      <c r="E48" s="985"/>
      <c r="F48" s="985">
        <v>0</v>
      </c>
      <c r="G48" s="985">
        <f t="shared" si="5"/>
        <v>0</v>
      </c>
      <c r="H48" s="984">
        <f>+E$26*G48+F48</f>
        <v>0</v>
      </c>
      <c r="I48" s="983">
        <f>+K47</f>
        <v>0</v>
      </c>
      <c r="J48" s="985">
        <f t="shared" si="6"/>
        <v>0</v>
      </c>
      <c r="K48" s="985">
        <f t="shared" si="1"/>
        <v>0</v>
      </c>
      <c r="L48" s="986">
        <f>+I$26*K48+J48</f>
        <v>0</v>
      </c>
      <c r="M48" s="983">
        <f>+O47</f>
        <v>0</v>
      </c>
      <c r="N48" s="985">
        <f t="shared" si="8"/>
        <v>0</v>
      </c>
      <c r="O48" s="985">
        <f t="shared" si="2"/>
        <v>0</v>
      </c>
      <c r="P48" s="986">
        <f>+M$26*O48+N48</f>
        <v>0</v>
      </c>
      <c r="Q48" s="983">
        <f>+S47</f>
        <v>0</v>
      </c>
      <c r="R48" s="985">
        <f>+Q$29</f>
        <v>0</v>
      </c>
      <c r="S48" s="985">
        <f t="shared" si="7"/>
        <v>0</v>
      </c>
      <c r="T48" s="986">
        <f>+Q$26*S48+R48</f>
        <v>0</v>
      </c>
      <c r="U48" s="983">
        <f>+W47</f>
        <v>0</v>
      </c>
      <c r="V48" s="985">
        <f>+U$29</f>
        <v>0</v>
      </c>
      <c r="W48" s="985">
        <f t="shared" si="9"/>
        <v>0</v>
      </c>
      <c r="X48" s="986">
        <f>+U$26*W48+V48</f>
        <v>0</v>
      </c>
      <c r="Y48" s="983">
        <f>+AA47</f>
        <v>0</v>
      </c>
      <c r="Z48" s="985">
        <f>+Y$29</f>
        <v>0</v>
      </c>
      <c r="AA48" s="985">
        <f t="shared" si="10"/>
        <v>0</v>
      </c>
      <c r="AB48" s="986">
        <f>+Y$26*AA48+Z48</f>
        <v>0</v>
      </c>
      <c r="AC48" s="983">
        <f>+AE47</f>
        <v>0</v>
      </c>
      <c r="AD48" s="985">
        <f>+AC$29</f>
        <v>0</v>
      </c>
      <c r="AE48" s="985">
        <f t="shared" si="11"/>
        <v>0</v>
      </c>
      <c r="AF48" s="986">
        <f>+AC$26*AE48+AD48</f>
        <v>0</v>
      </c>
      <c r="AG48" s="983">
        <f>+AI47</f>
        <v>0</v>
      </c>
      <c r="AH48" s="985">
        <f>+AG$29</f>
        <v>0</v>
      </c>
      <c r="AI48" s="985">
        <f t="shared" si="12"/>
        <v>0</v>
      </c>
      <c r="AJ48" s="986">
        <f>+AG$26*AI48+AH48</f>
        <v>0</v>
      </c>
      <c r="AK48" s="987">
        <f t="shared" si="3"/>
        <v>0</v>
      </c>
      <c r="AL48" s="983"/>
      <c r="AM48" s="988">
        <f>+AK48</f>
        <v>0</v>
      </c>
    </row>
    <row r="49" spans="1:39">
      <c r="A49" s="362">
        <f t="shared" si="0"/>
        <v>38</v>
      </c>
      <c r="C49" s="426" t="str">
        <f t="shared" si="4"/>
        <v>W Increased ROE</v>
      </c>
      <c r="D49" s="1042"/>
      <c r="E49" s="985"/>
      <c r="F49" s="985">
        <v>0</v>
      </c>
      <c r="G49" s="985">
        <f t="shared" si="5"/>
        <v>0</v>
      </c>
      <c r="H49" s="984">
        <f>+E$27*G49+F49</f>
        <v>0</v>
      </c>
      <c r="I49" s="983">
        <f>+I48</f>
        <v>0</v>
      </c>
      <c r="J49" s="985">
        <f t="shared" si="6"/>
        <v>0</v>
      </c>
      <c r="K49" s="985">
        <f t="shared" si="1"/>
        <v>0</v>
      </c>
      <c r="L49" s="986">
        <f>+I$27*K49+J49</f>
        <v>0</v>
      </c>
      <c r="M49" s="983">
        <f>+M48</f>
        <v>0</v>
      </c>
      <c r="N49" s="985">
        <f t="shared" si="8"/>
        <v>0</v>
      </c>
      <c r="O49" s="985">
        <f t="shared" si="2"/>
        <v>0</v>
      </c>
      <c r="P49" s="986">
        <f>+M$27*O49+N49</f>
        <v>0</v>
      </c>
      <c r="Q49" s="983">
        <f>+Q48</f>
        <v>0</v>
      </c>
      <c r="R49" s="985">
        <f>+R48</f>
        <v>0</v>
      </c>
      <c r="S49" s="985">
        <f t="shared" si="7"/>
        <v>0</v>
      </c>
      <c r="T49" s="986">
        <f>+Q$27*S49+R49</f>
        <v>0</v>
      </c>
      <c r="U49" s="983">
        <f>+U48</f>
        <v>0</v>
      </c>
      <c r="V49" s="985">
        <f>+V48</f>
        <v>0</v>
      </c>
      <c r="W49" s="985">
        <f t="shared" si="9"/>
        <v>0</v>
      </c>
      <c r="X49" s="986">
        <f>+U$27*W49+V49</f>
        <v>0</v>
      </c>
      <c r="Y49" s="983">
        <f>+Y48</f>
        <v>0</v>
      </c>
      <c r="Z49" s="985">
        <f>+Z48</f>
        <v>0</v>
      </c>
      <c r="AA49" s="985">
        <f t="shared" si="10"/>
        <v>0</v>
      </c>
      <c r="AB49" s="986">
        <f>+Y$27*AA49+Z49</f>
        <v>0</v>
      </c>
      <c r="AC49" s="983">
        <f>+AC48</f>
        <v>0</v>
      </c>
      <c r="AD49" s="985">
        <f>+AD48</f>
        <v>0</v>
      </c>
      <c r="AE49" s="985">
        <f t="shared" si="11"/>
        <v>0</v>
      </c>
      <c r="AF49" s="986">
        <f>+AC$27*AE49+AD49</f>
        <v>0</v>
      </c>
      <c r="AG49" s="983">
        <f>+AG48</f>
        <v>0</v>
      </c>
      <c r="AH49" s="985">
        <f>+AH48</f>
        <v>0</v>
      </c>
      <c r="AI49" s="985">
        <f t="shared" si="12"/>
        <v>0</v>
      </c>
      <c r="AJ49" s="986">
        <f>+AG$27*AI49+AH49</f>
        <v>0</v>
      </c>
      <c r="AK49" s="987">
        <f t="shared" si="3"/>
        <v>0</v>
      </c>
      <c r="AL49" s="983">
        <f>+AK49</f>
        <v>0</v>
      </c>
      <c r="AM49" s="988"/>
    </row>
    <row r="50" spans="1:39">
      <c r="A50" s="362">
        <f t="shared" si="0"/>
        <v>39</v>
      </c>
      <c r="C50" s="426" t="str">
        <f t="shared" si="4"/>
        <v>W 10.55 % ROE</v>
      </c>
      <c r="D50" s="1042"/>
      <c r="E50" s="985"/>
      <c r="F50" s="985">
        <v>0</v>
      </c>
      <c r="G50" s="985">
        <f t="shared" si="5"/>
        <v>0</v>
      </c>
      <c r="H50" s="984">
        <f>+E$26*G50+F50</f>
        <v>0</v>
      </c>
      <c r="I50" s="983">
        <f>+K49</f>
        <v>0</v>
      </c>
      <c r="J50" s="985">
        <f t="shared" si="6"/>
        <v>0</v>
      </c>
      <c r="K50" s="985">
        <f t="shared" si="1"/>
        <v>0</v>
      </c>
      <c r="L50" s="986">
        <f>+I$26*K50+J50</f>
        <v>0</v>
      </c>
      <c r="M50" s="983">
        <f>+O49</f>
        <v>0</v>
      </c>
      <c r="N50" s="985">
        <f t="shared" si="8"/>
        <v>0</v>
      </c>
      <c r="O50" s="985">
        <f t="shared" si="2"/>
        <v>0</v>
      </c>
      <c r="P50" s="986">
        <f>+M$26*O50+N50</f>
        <v>0</v>
      </c>
      <c r="Q50" s="983">
        <f>+S49</f>
        <v>0</v>
      </c>
      <c r="R50" s="985">
        <f>+Q$29</f>
        <v>0</v>
      </c>
      <c r="S50" s="985">
        <f t="shared" si="7"/>
        <v>0</v>
      </c>
      <c r="T50" s="986">
        <f>+Q$26*S50+R50</f>
        <v>0</v>
      </c>
      <c r="U50" s="983">
        <f>+W49</f>
        <v>0</v>
      </c>
      <c r="V50" s="985">
        <f>+U$29</f>
        <v>0</v>
      </c>
      <c r="W50" s="985">
        <f t="shared" si="9"/>
        <v>0</v>
      </c>
      <c r="X50" s="986">
        <f>+U$26*W50+V50</f>
        <v>0</v>
      </c>
      <c r="Y50" s="983">
        <f>+AA49</f>
        <v>0</v>
      </c>
      <c r="Z50" s="985">
        <f>+Y$29</f>
        <v>0</v>
      </c>
      <c r="AA50" s="985">
        <f t="shared" si="10"/>
        <v>0</v>
      </c>
      <c r="AB50" s="986">
        <f>+Y$26*AA50+Z50</f>
        <v>0</v>
      </c>
      <c r="AC50" s="983">
        <f>+AE49</f>
        <v>0</v>
      </c>
      <c r="AD50" s="985">
        <f>+AC$29</f>
        <v>0</v>
      </c>
      <c r="AE50" s="985">
        <f t="shared" si="11"/>
        <v>0</v>
      </c>
      <c r="AF50" s="986">
        <f>+AC$26*AE50+AD50</f>
        <v>0</v>
      </c>
      <c r="AG50" s="983">
        <f>+AI49</f>
        <v>0</v>
      </c>
      <c r="AH50" s="985">
        <f>+AG$29</f>
        <v>0</v>
      </c>
      <c r="AI50" s="985">
        <f t="shared" si="12"/>
        <v>0</v>
      </c>
      <c r="AJ50" s="986">
        <f>+AG$26*AI50+AH50</f>
        <v>0</v>
      </c>
      <c r="AK50" s="987">
        <f t="shared" si="3"/>
        <v>0</v>
      </c>
      <c r="AL50" s="983"/>
      <c r="AM50" s="988">
        <f>+AK50</f>
        <v>0</v>
      </c>
    </row>
    <row r="51" spans="1:39">
      <c r="A51" s="362">
        <f t="shared" si="0"/>
        <v>40</v>
      </c>
      <c r="C51" s="426" t="str">
        <f t="shared" si="4"/>
        <v>W Increased ROE</v>
      </c>
      <c r="D51" s="1042"/>
      <c r="E51" s="985"/>
      <c r="F51" s="985">
        <v>0</v>
      </c>
      <c r="G51" s="985">
        <f t="shared" si="5"/>
        <v>0</v>
      </c>
      <c r="H51" s="984">
        <f>+E$27*G51+F51</f>
        <v>0</v>
      </c>
      <c r="I51" s="983">
        <f>+I50</f>
        <v>0</v>
      </c>
      <c r="J51" s="985">
        <f t="shared" si="6"/>
        <v>0</v>
      </c>
      <c r="K51" s="985">
        <f t="shared" si="1"/>
        <v>0</v>
      </c>
      <c r="L51" s="986">
        <f>+I$27*K51+J51</f>
        <v>0</v>
      </c>
      <c r="M51" s="983">
        <f>+M50</f>
        <v>0</v>
      </c>
      <c r="N51" s="985">
        <f t="shared" si="8"/>
        <v>0</v>
      </c>
      <c r="O51" s="985">
        <f t="shared" si="2"/>
        <v>0</v>
      </c>
      <c r="P51" s="986">
        <f>+M$27*O51+N51</f>
        <v>0</v>
      </c>
      <c r="Q51" s="983">
        <f>+Q50</f>
        <v>0</v>
      </c>
      <c r="R51" s="985">
        <f>+R50</f>
        <v>0</v>
      </c>
      <c r="S51" s="985">
        <f t="shared" si="7"/>
        <v>0</v>
      </c>
      <c r="T51" s="986">
        <f>+Q$27*S51+R51</f>
        <v>0</v>
      </c>
      <c r="U51" s="983">
        <f>+U50</f>
        <v>0</v>
      </c>
      <c r="V51" s="985">
        <f>+V50</f>
        <v>0</v>
      </c>
      <c r="W51" s="985">
        <f t="shared" si="9"/>
        <v>0</v>
      </c>
      <c r="X51" s="986">
        <f>+U$27*W51+V51</f>
        <v>0</v>
      </c>
      <c r="Y51" s="983">
        <f>+Y50</f>
        <v>0</v>
      </c>
      <c r="Z51" s="985">
        <f>+Z50</f>
        <v>0</v>
      </c>
      <c r="AA51" s="985">
        <f t="shared" si="10"/>
        <v>0</v>
      </c>
      <c r="AB51" s="986">
        <f>+Y$27*AA51+Z51</f>
        <v>0</v>
      </c>
      <c r="AC51" s="983">
        <f>+AC50</f>
        <v>0</v>
      </c>
      <c r="AD51" s="985">
        <f>+AD50</f>
        <v>0</v>
      </c>
      <c r="AE51" s="985">
        <f t="shared" si="11"/>
        <v>0</v>
      </c>
      <c r="AF51" s="986">
        <f>+AC$27*AE51+AD51</f>
        <v>0</v>
      </c>
      <c r="AG51" s="983">
        <f>+AG50</f>
        <v>0</v>
      </c>
      <c r="AH51" s="985">
        <f>+AH50</f>
        <v>0</v>
      </c>
      <c r="AI51" s="985">
        <f t="shared" si="12"/>
        <v>0</v>
      </c>
      <c r="AJ51" s="986">
        <f>+AG$27*AI51+AH51</f>
        <v>0</v>
      </c>
      <c r="AK51" s="987">
        <f t="shared" si="3"/>
        <v>0</v>
      </c>
      <c r="AL51" s="983">
        <f>+AK51</f>
        <v>0</v>
      </c>
      <c r="AM51" s="988"/>
    </row>
    <row r="52" spans="1:39">
      <c r="A52" s="362">
        <f t="shared" si="0"/>
        <v>41</v>
      </c>
      <c r="C52" s="426" t="str">
        <f t="shared" si="4"/>
        <v>W 10.55 % ROE</v>
      </c>
      <c r="D52" s="1042"/>
      <c r="E52" s="985"/>
      <c r="F52" s="985">
        <v>0</v>
      </c>
      <c r="G52" s="985">
        <f t="shared" si="5"/>
        <v>0</v>
      </c>
      <c r="H52" s="984">
        <f>+E$26*G52+F52</f>
        <v>0</v>
      </c>
      <c r="I52" s="983">
        <f>+K51</f>
        <v>0</v>
      </c>
      <c r="J52" s="985">
        <f t="shared" si="6"/>
        <v>0</v>
      </c>
      <c r="K52" s="985">
        <f t="shared" si="1"/>
        <v>0</v>
      </c>
      <c r="L52" s="986">
        <f>+I$26*K52+J52</f>
        <v>0</v>
      </c>
      <c r="M52" s="983">
        <f>+O51</f>
        <v>0</v>
      </c>
      <c r="N52" s="985">
        <f t="shared" si="8"/>
        <v>0</v>
      </c>
      <c r="O52" s="985">
        <f t="shared" si="2"/>
        <v>0</v>
      </c>
      <c r="P52" s="986">
        <f>+M$26*O52+N52</f>
        <v>0</v>
      </c>
      <c r="Q52" s="983">
        <f>+S51</f>
        <v>0</v>
      </c>
      <c r="R52" s="985">
        <f>+Q$29</f>
        <v>0</v>
      </c>
      <c r="S52" s="985">
        <f t="shared" si="7"/>
        <v>0</v>
      </c>
      <c r="T52" s="986">
        <f>+Q$26*S52+R52</f>
        <v>0</v>
      </c>
      <c r="U52" s="983">
        <f>+W51</f>
        <v>0</v>
      </c>
      <c r="V52" s="985">
        <f>+U$29</f>
        <v>0</v>
      </c>
      <c r="W52" s="985">
        <f t="shared" si="9"/>
        <v>0</v>
      </c>
      <c r="X52" s="986">
        <f>+U$26*W52+V52</f>
        <v>0</v>
      </c>
      <c r="Y52" s="983">
        <f>+AA51</f>
        <v>0</v>
      </c>
      <c r="Z52" s="985">
        <f>+Y$29</f>
        <v>0</v>
      </c>
      <c r="AA52" s="985">
        <f t="shared" si="10"/>
        <v>0</v>
      </c>
      <c r="AB52" s="986">
        <f>+Y$26*AA52+Z52</f>
        <v>0</v>
      </c>
      <c r="AC52" s="983">
        <f>+AE51</f>
        <v>0</v>
      </c>
      <c r="AD52" s="985">
        <f>+AC$29</f>
        <v>0</v>
      </c>
      <c r="AE52" s="985">
        <f t="shared" si="11"/>
        <v>0</v>
      </c>
      <c r="AF52" s="986">
        <f>+AC$26*AE52+AD52</f>
        <v>0</v>
      </c>
      <c r="AG52" s="983">
        <f>+AI51</f>
        <v>0</v>
      </c>
      <c r="AH52" s="985">
        <f>+AG$29</f>
        <v>0</v>
      </c>
      <c r="AI52" s="985">
        <f t="shared" si="12"/>
        <v>0</v>
      </c>
      <c r="AJ52" s="986">
        <f>+AG$26*AI52+AH52</f>
        <v>0</v>
      </c>
      <c r="AK52" s="987">
        <f t="shared" si="3"/>
        <v>0</v>
      </c>
      <c r="AL52" s="983"/>
      <c r="AM52" s="988">
        <f>+AK52</f>
        <v>0</v>
      </c>
    </row>
    <row r="53" spans="1:39">
      <c r="A53" s="362">
        <f t="shared" si="0"/>
        <v>42</v>
      </c>
      <c r="C53" s="426" t="str">
        <f t="shared" si="4"/>
        <v>W Increased ROE</v>
      </c>
      <c r="D53" s="1042"/>
      <c r="E53" s="985"/>
      <c r="F53" s="985">
        <v>0</v>
      </c>
      <c r="G53" s="985">
        <f t="shared" si="5"/>
        <v>0</v>
      </c>
      <c r="H53" s="984">
        <f>+E$27*G53+F53</f>
        <v>0</v>
      </c>
      <c r="I53" s="983">
        <f>+I52</f>
        <v>0</v>
      </c>
      <c r="J53" s="985">
        <f t="shared" si="6"/>
        <v>0</v>
      </c>
      <c r="K53" s="985">
        <f t="shared" si="1"/>
        <v>0</v>
      </c>
      <c r="L53" s="986">
        <f>+I$27*K53+J53</f>
        <v>0</v>
      </c>
      <c r="M53" s="983">
        <f>+M52</f>
        <v>0</v>
      </c>
      <c r="N53" s="985">
        <f t="shared" si="8"/>
        <v>0</v>
      </c>
      <c r="O53" s="985">
        <f t="shared" si="2"/>
        <v>0</v>
      </c>
      <c r="P53" s="986">
        <f>+M$27*O53+N53</f>
        <v>0</v>
      </c>
      <c r="Q53" s="983">
        <f>+Q52</f>
        <v>0</v>
      </c>
      <c r="R53" s="985">
        <f>+R52</f>
        <v>0</v>
      </c>
      <c r="S53" s="985">
        <f t="shared" si="7"/>
        <v>0</v>
      </c>
      <c r="T53" s="986">
        <f>+Q$27*S53+R53</f>
        <v>0</v>
      </c>
      <c r="U53" s="983">
        <f>+U52</f>
        <v>0</v>
      </c>
      <c r="V53" s="985">
        <f>+V52</f>
        <v>0</v>
      </c>
      <c r="W53" s="985">
        <f t="shared" si="9"/>
        <v>0</v>
      </c>
      <c r="X53" s="986">
        <f>+U$27*W53+V53</f>
        <v>0</v>
      </c>
      <c r="Y53" s="983">
        <f>+Y52</f>
        <v>0</v>
      </c>
      <c r="Z53" s="985">
        <f>+Z52</f>
        <v>0</v>
      </c>
      <c r="AA53" s="985">
        <f t="shared" si="10"/>
        <v>0</v>
      </c>
      <c r="AB53" s="986">
        <f>+Y$27*AA53+Z53</f>
        <v>0</v>
      </c>
      <c r="AC53" s="983">
        <f>+AC52</f>
        <v>0</v>
      </c>
      <c r="AD53" s="985">
        <f>+AD52</f>
        <v>0</v>
      </c>
      <c r="AE53" s="985">
        <f t="shared" si="11"/>
        <v>0</v>
      </c>
      <c r="AF53" s="986">
        <f>+AC$27*AE53+AD53</f>
        <v>0</v>
      </c>
      <c r="AG53" s="983">
        <f>+AG52</f>
        <v>0</v>
      </c>
      <c r="AH53" s="985">
        <f>+AH52</f>
        <v>0</v>
      </c>
      <c r="AI53" s="985">
        <f t="shared" si="12"/>
        <v>0</v>
      </c>
      <c r="AJ53" s="986">
        <f>+AG$27*AI53+AH53</f>
        <v>0</v>
      </c>
      <c r="AK53" s="987">
        <f t="shared" si="3"/>
        <v>0</v>
      </c>
      <c r="AL53" s="983">
        <f>+AK53</f>
        <v>0</v>
      </c>
      <c r="AM53" s="988"/>
    </row>
    <row r="54" spans="1:39">
      <c r="A54" s="362">
        <f t="shared" si="0"/>
        <v>43</v>
      </c>
      <c r="C54" s="426" t="str">
        <f t="shared" si="4"/>
        <v>W 10.55 % ROE</v>
      </c>
      <c r="D54" s="1042"/>
      <c r="E54" s="985"/>
      <c r="F54" s="985">
        <v>0</v>
      </c>
      <c r="G54" s="985">
        <f t="shared" si="5"/>
        <v>0</v>
      </c>
      <c r="H54" s="984">
        <f>+E$26*G54+F54</f>
        <v>0</v>
      </c>
      <c r="I54" s="983">
        <f>+K53</f>
        <v>0</v>
      </c>
      <c r="J54" s="985">
        <f t="shared" si="6"/>
        <v>0</v>
      </c>
      <c r="K54" s="985">
        <f t="shared" si="1"/>
        <v>0</v>
      </c>
      <c r="L54" s="986">
        <f>+I$26*K54+J54</f>
        <v>0</v>
      </c>
      <c r="M54" s="983">
        <f>+O53</f>
        <v>0</v>
      </c>
      <c r="N54" s="985">
        <f t="shared" si="8"/>
        <v>0</v>
      </c>
      <c r="O54" s="985">
        <f t="shared" si="2"/>
        <v>0</v>
      </c>
      <c r="P54" s="986">
        <f>+M$26*O54+N54</f>
        <v>0</v>
      </c>
      <c r="Q54" s="983">
        <f>+S53</f>
        <v>0</v>
      </c>
      <c r="R54" s="985">
        <f>+Q$29</f>
        <v>0</v>
      </c>
      <c r="S54" s="985">
        <f t="shared" si="7"/>
        <v>0</v>
      </c>
      <c r="T54" s="986">
        <f>+Q$26*S54+R54</f>
        <v>0</v>
      </c>
      <c r="U54" s="983">
        <f>+W53</f>
        <v>0</v>
      </c>
      <c r="V54" s="985">
        <f>+U$29</f>
        <v>0</v>
      </c>
      <c r="W54" s="985">
        <f t="shared" si="9"/>
        <v>0</v>
      </c>
      <c r="X54" s="986">
        <f>+U$26*W54+V54</f>
        <v>0</v>
      </c>
      <c r="Y54" s="983">
        <f>+AA53</f>
        <v>0</v>
      </c>
      <c r="Z54" s="985">
        <f>+Y$29</f>
        <v>0</v>
      </c>
      <c r="AA54" s="985">
        <f t="shared" si="10"/>
        <v>0</v>
      </c>
      <c r="AB54" s="986">
        <f>+Y$26*AA54+Z54</f>
        <v>0</v>
      </c>
      <c r="AC54" s="983">
        <f>+AE53</f>
        <v>0</v>
      </c>
      <c r="AD54" s="985">
        <f>+AC$29</f>
        <v>0</v>
      </c>
      <c r="AE54" s="985">
        <f t="shared" si="11"/>
        <v>0</v>
      </c>
      <c r="AF54" s="986">
        <f>+AC$26*AE54+AD54</f>
        <v>0</v>
      </c>
      <c r="AG54" s="983">
        <f>+AI53</f>
        <v>0</v>
      </c>
      <c r="AH54" s="985">
        <f>+AG$29</f>
        <v>0</v>
      </c>
      <c r="AI54" s="985">
        <f t="shared" si="12"/>
        <v>0</v>
      </c>
      <c r="AJ54" s="986">
        <f>+AG$26*AI54+AH54</f>
        <v>0</v>
      </c>
      <c r="AK54" s="987">
        <f t="shared" si="3"/>
        <v>0</v>
      </c>
      <c r="AL54" s="983"/>
      <c r="AM54" s="988">
        <f>+AK54</f>
        <v>0</v>
      </c>
    </row>
    <row r="55" spans="1:39">
      <c r="A55" s="362">
        <f t="shared" si="0"/>
        <v>44</v>
      </c>
      <c r="C55" s="426" t="str">
        <f t="shared" si="4"/>
        <v>W Increased ROE</v>
      </c>
      <c r="D55" s="1042"/>
      <c r="E55" s="985"/>
      <c r="F55" s="985">
        <v>0</v>
      </c>
      <c r="G55" s="985">
        <f t="shared" si="5"/>
        <v>0</v>
      </c>
      <c r="H55" s="984">
        <f>+E$27*G55+F55</f>
        <v>0</v>
      </c>
      <c r="I55" s="983">
        <f>+I54</f>
        <v>0</v>
      </c>
      <c r="J55" s="985">
        <f t="shared" si="6"/>
        <v>0</v>
      </c>
      <c r="K55" s="985">
        <f t="shared" si="1"/>
        <v>0</v>
      </c>
      <c r="L55" s="986">
        <f>+I$27*K55+J55</f>
        <v>0</v>
      </c>
      <c r="M55" s="983">
        <f>+M54</f>
        <v>0</v>
      </c>
      <c r="N55" s="985">
        <f t="shared" si="8"/>
        <v>0</v>
      </c>
      <c r="O55" s="985">
        <f t="shared" si="2"/>
        <v>0</v>
      </c>
      <c r="P55" s="986">
        <f>+M$27*O55+N55</f>
        <v>0</v>
      </c>
      <c r="Q55" s="983">
        <f>+Q54</f>
        <v>0</v>
      </c>
      <c r="R55" s="985">
        <f>+R54</f>
        <v>0</v>
      </c>
      <c r="S55" s="985">
        <f t="shared" si="7"/>
        <v>0</v>
      </c>
      <c r="T55" s="986">
        <f>+Q$27*S55+R55</f>
        <v>0</v>
      </c>
      <c r="U55" s="983">
        <f>+U54</f>
        <v>0</v>
      </c>
      <c r="V55" s="985">
        <f>+V54</f>
        <v>0</v>
      </c>
      <c r="W55" s="985">
        <f t="shared" si="9"/>
        <v>0</v>
      </c>
      <c r="X55" s="986">
        <f>+U$27*W55+V55</f>
        <v>0</v>
      </c>
      <c r="Y55" s="983">
        <f>+Y54</f>
        <v>0</v>
      </c>
      <c r="Z55" s="985">
        <f>+Z54</f>
        <v>0</v>
      </c>
      <c r="AA55" s="985">
        <f t="shared" si="10"/>
        <v>0</v>
      </c>
      <c r="AB55" s="986">
        <f>+Y$27*AA55+Z55</f>
        <v>0</v>
      </c>
      <c r="AC55" s="983">
        <f>+AC54</f>
        <v>0</v>
      </c>
      <c r="AD55" s="985">
        <f>+AD54</f>
        <v>0</v>
      </c>
      <c r="AE55" s="985">
        <f t="shared" si="11"/>
        <v>0</v>
      </c>
      <c r="AF55" s="986">
        <f>+AC$27*AE55+AD55</f>
        <v>0</v>
      </c>
      <c r="AG55" s="983">
        <f>+AG54</f>
        <v>0</v>
      </c>
      <c r="AH55" s="985">
        <f>+AH54</f>
        <v>0</v>
      </c>
      <c r="AI55" s="985">
        <f t="shared" si="12"/>
        <v>0</v>
      </c>
      <c r="AJ55" s="986">
        <f>+AG$27*AI55+AH55</f>
        <v>0</v>
      </c>
      <c r="AK55" s="987">
        <f t="shared" si="3"/>
        <v>0</v>
      </c>
      <c r="AL55" s="983">
        <f>+AK55</f>
        <v>0</v>
      </c>
      <c r="AM55" s="988"/>
    </row>
    <row r="56" spans="1:39">
      <c r="A56" s="362">
        <f t="shared" si="0"/>
        <v>45</v>
      </c>
      <c r="C56" s="426" t="str">
        <f t="shared" si="4"/>
        <v>W 10.55 % ROE</v>
      </c>
      <c r="D56" s="1042"/>
      <c r="E56" s="985"/>
      <c r="F56" s="985">
        <v>0</v>
      </c>
      <c r="G56" s="985">
        <f t="shared" si="5"/>
        <v>0</v>
      </c>
      <c r="H56" s="984">
        <f>+E$26*G56+F56</f>
        <v>0</v>
      </c>
      <c r="I56" s="983">
        <f>+K55</f>
        <v>0</v>
      </c>
      <c r="J56" s="985">
        <f t="shared" si="6"/>
        <v>0</v>
      </c>
      <c r="K56" s="985">
        <f t="shared" si="1"/>
        <v>0</v>
      </c>
      <c r="L56" s="986">
        <f>+I$26*K56+J56</f>
        <v>0</v>
      </c>
      <c r="M56" s="983">
        <f>+O55</f>
        <v>0</v>
      </c>
      <c r="N56" s="985">
        <f t="shared" si="8"/>
        <v>0</v>
      </c>
      <c r="O56" s="985">
        <f t="shared" si="2"/>
        <v>0</v>
      </c>
      <c r="P56" s="986">
        <f>+M$26*O56+N56</f>
        <v>0</v>
      </c>
      <c r="Q56" s="983">
        <f>+S55</f>
        <v>0</v>
      </c>
      <c r="R56" s="985">
        <f>+Q$29</f>
        <v>0</v>
      </c>
      <c r="S56" s="985">
        <f t="shared" si="7"/>
        <v>0</v>
      </c>
      <c r="T56" s="986">
        <f>+Q$26*S56+R56</f>
        <v>0</v>
      </c>
      <c r="U56" s="983">
        <f>+W55</f>
        <v>0</v>
      </c>
      <c r="V56" s="985">
        <f>+U$29</f>
        <v>0</v>
      </c>
      <c r="W56" s="985">
        <f t="shared" si="9"/>
        <v>0</v>
      </c>
      <c r="X56" s="986">
        <f>+U$26*W56+V56</f>
        <v>0</v>
      </c>
      <c r="Y56" s="983">
        <f>+AA55</f>
        <v>0</v>
      </c>
      <c r="Z56" s="985">
        <f>+Y$29</f>
        <v>0</v>
      </c>
      <c r="AA56" s="985">
        <f t="shared" si="10"/>
        <v>0</v>
      </c>
      <c r="AB56" s="986">
        <f>+Y$26*AA56+Z56</f>
        <v>0</v>
      </c>
      <c r="AC56" s="983">
        <f>+AE55</f>
        <v>0</v>
      </c>
      <c r="AD56" s="985">
        <f>+AC$29</f>
        <v>0</v>
      </c>
      <c r="AE56" s="985">
        <f t="shared" si="11"/>
        <v>0</v>
      </c>
      <c r="AF56" s="986">
        <f>+AC$26*AE56+AD56</f>
        <v>0</v>
      </c>
      <c r="AG56" s="983">
        <f>+AI55</f>
        <v>0</v>
      </c>
      <c r="AH56" s="985">
        <f>+AG$29</f>
        <v>0</v>
      </c>
      <c r="AI56" s="985">
        <f t="shared" si="12"/>
        <v>0</v>
      </c>
      <c r="AJ56" s="986">
        <f>+AG$26*AI56+AH56</f>
        <v>0</v>
      </c>
      <c r="AK56" s="987">
        <f t="shared" si="3"/>
        <v>0</v>
      </c>
      <c r="AL56" s="983"/>
      <c r="AM56" s="988">
        <f>+AK56</f>
        <v>0</v>
      </c>
    </row>
    <row r="57" spans="1:39">
      <c r="A57" s="362">
        <f t="shared" si="0"/>
        <v>46</v>
      </c>
      <c r="C57" s="426" t="str">
        <f t="shared" si="4"/>
        <v>W Increased ROE</v>
      </c>
      <c r="D57" s="1042"/>
      <c r="E57" s="985"/>
      <c r="F57" s="985">
        <v>0</v>
      </c>
      <c r="G57" s="985">
        <f t="shared" si="5"/>
        <v>0</v>
      </c>
      <c r="H57" s="984">
        <f>+E$27*G57+F57</f>
        <v>0</v>
      </c>
      <c r="I57" s="983">
        <f>+I56</f>
        <v>0</v>
      </c>
      <c r="J57" s="985">
        <f t="shared" si="6"/>
        <v>0</v>
      </c>
      <c r="K57" s="985">
        <f t="shared" si="1"/>
        <v>0</v>
      </c>
      <c r="L57" s="986">
        <f>+I$27*K57+J57</f>
        <v>0</v>
      </c>
      <c r="M57" s="983">
        <f>+M56</f>
        <v>0</v>
      </c>
      <c r="N57" s="985">
        <f t="shared" si="8"/>
        <v>0</v>
      </c>
      <c r="O57" s="985">
        <f t="shared" si="2"/>
        <v>0</v>
      </c>
      <c r="P57" s="986">
        <f>+M$27*O57+N57</f>
        <v>0</v>
      </c>
      <c r="Q57" s="983">
        <f>+Q56</f>
        <v>0</v>
      </c>
      <c r="R57" s="985">
        <f>+R56</f>
        <v>0</v>
      </c>
      <c r="S57" s="985">
        <f t="shared" si="7"/>
        <v>0</v>
      </c>
      <c r="T57" s="986">
        <f>+Q$27*S57+R57</f>
        <v>0</v>
      </c>
      <c r="U57" s="983">
        <f>+U56</f>
        <v>0</v>
      </c>
      <c r="V57" s="985">
        <f>+V56</f>
        <v>0</v>
      </c>
      <c r="W57" s="985">
        <f t="shared" si="9"/>
        <v>0</v>
      </c>
      <c r="X57" s="986">
        <f>+U$27*W57+V57</f>
        <v>0</v>
      </c>
      <c r="Y57" s="983">
        <f>+Y56</f>
        <v>0</v>
      </c>
      <c r="Z57" s="985">
        <f>+Z56</f>
        <v>0</v>
      </c>
      <c r="AA57" s="985">
        <f t="shared" si="10"/>
        <v>0</v>
      </c>
      <c r="AB57" s="986">
        <f>+Y$27*AA57+Z57</f>
        <v>0</v>
      </c>
      <c r="AC57" s="983">
        <f>+AC56</f>
        <v>0</v>
      </c>
      <c r="AD57" s="985">
        <f>+AD56</f>
        <v>0</v>
      </c>
      <c r="AE57" s="985">
        <f t="shared" si="11"/>
        <v>0</v>
      </c>
      <c r="AF57" s="986">
        <f>+AC$27*AE57+AD57</f>
        <v>0</v>
      </c>
      <c r="AG57" s="983">
        <f>+AG56</f>
        <v>0</v>
      </c>
      <c r="AH57" s="985">
        <f>+AH56</f>
        <v>0</v>
      </c>
      <c r="AI57" s="985">
        <f t="shared" si="12"/>
        <v>0</v>
      </c>
      <c r="AJ57" s="986">
        <f>+AG$27*AI57+AH57</f>
        <v>0</v>
      </c>
      <c r="AK57" s="987">
        <f t="shared" si="3"/>
        <v>0</v>
      </c>
      <c r="AL57" s="983">
        <f>+AK57</f>
        <v>0</v>
      </c>
      <c r="AM57" s="988"/>
    </row>
    <row r="58" spans="1:39">
      <c r="A58" s="362">
        <f t="shared" si="0"/>
        <v>47</v>
      </c>
      <c r="C58" s="426" t="str">
        <f t="shared" si="4"/>
        <v>W 10.55 % ROE</v>
      </c>
      <c r="D58" s="1042"/>
      <c r="E58" s="985"/>
      <c r="F58" s="985">
        <v>0</v>
      </c>
      <c r="G58" s="985">
        <f t="shared" si="5"/>
        <v>0</v>
      </c>
      <c r="H58" s="984">
        <f>+E$26*G58+F58</f>
        <v>0</v>
      </c>
      <c r="I58" s="983">
        <f>+K57</f>
        <v>0</v>
      </c>
      <c r="J58" s="985">
        <f t="shared" si="6"/>
        <v>0</v>
      </c>
      <c r="K58" s="985">
        <f t="shared" si="1"/>
        <v>0</v>
      </c>
      <c r="L58" s="986">
        <f>+I$26*K58+J58</f>
        <v>0</v>
      </c>
      <c r="M58" s="983">
        <f>+O57</f>
        <v>0</v>
      </c>
      <c r="N58" s="985">
        <f t="shared" si="8"/>
        <v>0</v>
      </c>
      <c r="O58" s="985">
        <f t="shared" si="2"/>
        <v>0</v>
      </c>
      <c r="P58" s="986">
        <f>+M$26*O58+N58</f>
        <v>0</v>
      </c>
      <c r="Q58" s="983">
        <f>+S57</f>
        <v>0</v>
      </c>
      <c r="R58" s="985">
        <f>+Q$29</f>
        <v>0</v>
      </c>
      <c r="S58" s="985">
        <f t="shared" si="7"/>
        <v>0</v>
      </c>
      <c r="T58" s="986">
        <f>+Q$26*S58+R58</f>
        <v>0</v>
      </c>
      <c r="U58" s="983">
        <f>+W57</f>
        <v>0</v>
      </c>
      <c r="V58" s="985">
        <f>+U$29</f>
        <v>0</v>
      </c>
      <c r="W58" s="985">
        <f t="shared" si="9"/>
        <v>0</v>
      </c>
      <c r="X58" s="986">
        <f>+U$26*W58+V58</f>
        <v>0</v>
      </c>
      <c r="Y58" s="983">
        <f>+AA57</f>
        <v>0</v>
      </c>
      <c r="Z58" s="985">
        <f>+Y$29</f>
        <v>0</v>
      </c>
      <c r="AA58" s="985">
        <f t="shared" si="10"/>
        <v>0</v>
      </c>
      <c r="AB58" s="986">
        <f>+Y$26*AA58+Z58</f>
        <v>0</v>
      </c>
      <c r="AC58" s="983">
        <f>+AE57</f>
        <v>0</v>
      </c>
      <c r="AD58" s="985">
        <f>+AC$29</f>
        <v>0</v>
      </c>
      <c r="AE58" s="985">
        <f t="shared" si="11"/>
        <v>0</v>
      </c>
      <c r="AF58" s="986">
        <f>+AC$26*AE58+AD58</f>
        <v>0</v>
      </c>
      <c r="AG58" s="983">
        <f>+AI57</f>
        <v>0</v>
      </c>
      <c r="AH58" s="985">
        <f>+AG$29</f>
        <v>0</v>
      </c>
      <c r="AI58" s="985">
        <f t="shared" si="12"/>
        <v>0</v>
      </c>
      <c r="AJ58" s="986">
        <f>+AG$26*AI58+AH58</f>
        <v>0</v>
      </c>
      <c r="AK58" s="987">
        <f t="shared" si="3"/>
        <v>0</v>
      </c>
      <c r="AL58" s="983"/>
      <c r="AM58" s="988">
        <f>+AK58</f>
        <v>0</v>
      </c>
    </row>
    <row r="59" spans="1:39">
      <c r="A59" s="362">
        <f t="shared" si="0"/>
        <v>48</v>
      </c>
      <c r="C59" s="426" t="str">
        <f t="shared" si="4"/>
        <v>W Increased ROE</v>
      </c>
      <c r="D59" s="1042"/>
      <c r="E59" s="985"/>
      <c r="F59" s="985">
        <v>0</v>
      </c>
      <c r="G59" s="985">
        <f t="shared" si="5"/>
        <v>0</v>
      </c>
      <c r="H59" s="984">
        <f>+E$27*G59+F59</f>
        <v>0</v>
      </c>
      <c r="I59" s="983">
        <f>+I58</f>
        <v>0</v>
      </c>
      <c r="J59" s="985">
        <f t="shared" si="6"/>
        <v>0</v>
      </c>
      <c r="K59" s="985">
        <f t="shared" si="1"/>
        <v>0</v>
      </c>
      <c r="L59" s="986">
        <f>+I$27*K59+J59</f>
        <v>0</v>
      </c>
      <c r="M59" s="983">
        <f>+M58</f>
        <v>0</v>
      </c>
      <c r="N59" s="985">
        <f t="shared" si="8"/>
        <v>0</v>
      </c>
      <c r="O59" s="985">
        <f t="shared" si="2"/>
        <v>0</v>
      </c>
      <c r="P59" s="986">
        <f>+M$27*O59+N59</f>
        <v>0</v>
      </c>
      <c r="Q59" s="983">
        <f>+Q58</f>
        <v>0</v>
      </c>
      <c r="R59" s="985">
        <f>+R58</f>
        <v>0</v>
      </c>
      <c r="S59" s="985">
        <f t="shared" si="7"/>
        <v>0</v>
      </c>
      <c r="T59" s="986">
        <f>+Q$27*S59+R59</f>
        <v>0</v>
      </c>
      <c r="U59" s="983">
        <f>+U58</f>
        <v>0</v>
      </c>
      <c r="V59" s="985">
        <f>+V58</f>
        <v>0</v>
      </c>
      <c r="W59" s="985">
        <f t="shared" si="9"/>
        <v>0</v>
      </c>
      <c r="X59" s="986">
        <f>+U$27*W59+V59</f>
        <v>0</v>
      </c>
      <c r="Y59" s="983">
        <f>+Y58</f>
        <v>0</v>
      </c>
      <c r="Z59" s="985">
        <f>+Z58</f>
        <v>0</v>
      </c>
      <c r="AA59" s="985">
        <f t="shared" si="10"/>
        <v>0</v>
      </c>
      <c r="AB59" s="986">
        <f>+Y$27*AA59+Z59</f>
        <v>0</v>
      </c>
      <c r="AC59" s="983">
        <f>+AC58</f>
        <v>0</v>
      </c>
      <c r="AD59" s="985">
        <f>+AD58</f>
        <v>0</v>
      </c>
      <c r="AE59" s="985">
        <f t="shared" si="11"/>
        <v>0</v>
      </c>
      <c r="AF59" s="986">
        <f>+AC$27*AE59+AD59</f>
        <v>0</v>
      </c>
      <c r="AG59" s="983">
        <f>+AG58</f>
        <v>0</v>
      </c>
      <c r="AH59" s="985">
        <f>+AH58</f>
        <v>0</v>
      </c>
      <c r="AI59" s="985">
        <f t="shared" si="12"/>
        <v>0</v>
      </c>
      <c r="AJ59" s="986">
        <f>+AG$27*AI59+AH59</f>
        <v>0</v>
      </c>
      <c r="AK59" s="987">
        <f t="shared" si="3"/>
        <v>0</v>
      </c>
      <c r="AL59" s="983">
        <f>+AK59</f>
        <v>0</v>
      </c>
      <c r="AM59" s="988"/>
    </row>
    <row r="60" spans="1:39">
      <c r="A60" s="362">
        <f t="shared" si="0"/>
        <v>49</v>
      </c>
      <c r="C60" s="426" t="str">
        <f t="shared" si="4"/>
        <v>W 10.55 % ROE</v>
      </c>
      <c r="D60" s="1042"/>
      <c r="E60" s="985"/>
      <c r="F60" s="985">
        <v>0</v>
      </c>
      <c r="G60" s="985">
        <f t="shared" si="5"/>
        <v>0</v>
      </c>
      <c r="H60" s="984">
        <f>+E$26*G60+F60</f>
        <v>0</v>
      </c>
      <c r="I60" s="983">
        <f>+K59</f>
        <v>0</v>
      </c>
      <c r="J60" s="985">
        <f t="shared" si="6"/>
        <v>0</v>
      </c>
      <c r="K60" s="985">
        <f t="shared" si="1"/>
        <v>0</v>
      </c>
      <c r="L60" s="986">
        <f>+I$26*K60+J60</f>
        <v>0</v>
      </c>
      <c r="M60" s="983">
        <f>+O59</f>
        <v>0</v>
      </c>
      <c r="N60" s="985">
        <f t="shared" si="8"/>
        <v>0</v>
      </c>
      <c r="O60" s="985">
        <f t="shared" si="2"/>
        <v>0</v>
      </c>
      <c r="P60" s="986">
        <f>+M$26*O60+N60</f>
        <v>0</v>
      </c>
      <c r="Q60" s="983">
        <f>+S59</f>
        <v>0</v>
      </c>
      <c r="R60" s="985">
        <f>+Q$29</f>
        <v>0</v>
      </c>
      <c r="S60" s="985">
        <f t="shared" si="7"/>
        <v>0</v>
      </c>
      <c r="T60" s="986">
        <f>+Q$26*S60+R60</f>
        <v>0</v>
      </c>
      <c r="U60" s="983">
        <f>+W59</f>
        <v>0</v>
      </c>
      <c r="V60" s="985">
        <f>+U$29</f>
        <v>0</v>
      </c>
      <c r="W60" s="985">
        <f t="shared" si="9"/>
        <v>0</v>
      </c>
      <c r="X60" s="986">
        <f>+U$26*W60+V60</f>
        <v>0</v>
      </c>
      <c r="Y60" s="983">
        <f>+AA59</f>
        <v>0</v>
      </c>
      <c r="Z60" s="985">
        <f>+Y$29</f>
        <v>0</v>
      </c>
      <c r="AA60" s="985">
        <f t="shared" si="10"/>
        <v>0</v>
      </c>
      <c r="AB60" s="986">
        <f>+Y$26*AA60+Z60</f>
        <v>0</v>
      </c>
      <c r="AC60" s="983">
        <f>+AE59</f>
        <v>0</v>
      </c>
      <c r="AD60" s="985">
        <f>+AC$29</f>
        <v>0</v>
      </c>
      <c r="AE60" s="985">
        <f t="shared" si="11"/>
        <v>0</v>
      </c>
      <c r="AF60" s="986">
        <f>+AC$26*AE60+AD60</f>
        <v>0</v>
      </c>
      <c r="AG60" s="983">
        <f>+AI59</f>
        <v>0</v>
      </c>
      <c r="AH60" s="985">
        <f>+AG$29</f>
        <v>0</v>
      </c>
      <c r="AI60" s="985">
        <f t="shared" si="12"/>
        <v>0</v>
      </c>
      <c r="AJ60" s="986">
        <f>+AG$26*AI60+AH60</f>
        <v>0</v>
      </c>
      <c r="AK60" s="987">
        <f t="shared" si="3"/>
        <v>0</v>
      </c>
      <c r="AL60" s="983"/>
      <c r="AM60" s="988">
        <f>+AK60</f>
        <v>0</v>
      </c>
    </row>
    <row r="61" spans="1:39">
      <c r="A61" s="362">
        <f t="shared" si="0"/>
        <v>50</v>
      </c>
      <c r="C61" s="426" t="str">
        <f t="shared" si="4"/>
        <v>W Increased ROE</v>
      </c>
      <c r="D61" s="1042"/>
      <c r="E61" s="985"/>
      <c r="F61" s="985">
        <v>0</v>
      </c>
      <c r="G61" s="985">
        <f t="shared" si="5"/>
        <v>0</v>
      </c>
      <c r="H61" s="984">
        <f>+E$27*G61+F61</f>
        <v>0</v>
      </c>
      <c r="I61" s="983">
        <f>+I60</f>
        <v>0</v>
      </c>
      <c r="J61" s="985">
        <f t="shared" si="6"/>
        <v>0</v>
      </c>
      <c r="K61" s="985">
        <f t="shared" si="1"/>
        <v>0</v>
      </c>
      <c r="L61" s="986">
        <f>+I$27*K61+J61</f>
        <v>0</v>
      </c>
      <c r="M61" s="983">
        <f>+M60</f>
        <v>0</v>
      </c>
      <c r="N61" s="985">
        <f t="shared" si="8"/>
        <v>0</v>
      </c>
      <c r="O61" s="985">
        <f t="shared" si="2"/>
        <v>0</v>
      </c>
      <c r="P61" s="986">
        <f>+M$27*O61+N61</f>
        <v>0</v>
      </c>
      <c r="Q61" s="983">
        <f>+Q60</f>
        <v>0</v>
      </c>
      <c r="R61" s="985">
        <f>+R60</f>
        <v>0</v>
      </c>
      <c r="S61" s="985">
        <f t="shared" si="7"/>
        <v>0</v>
      </c>
      <c r="T61" s="986">
        <f>+Q$27*S61+R61</f>
        <v>0</v>
      </c>
      <c r="U61" s="983">
        <f>+U60</f>
        <v>0</v>
      </c>
      <c r="V61" s="985">
        <f>+V60</f>
        <v>0</v>
      </c>
      <c r="W61" s="985">
        <f t="shared" si="9"/>
        <v>0</v>
      </c>
      <c r="X61" s="986">
        <f>+U$27*W61+V61</f>
        <v>0</v>
      </c>
      <c r="Y61" s="983">
        <f>+Y60</f>
        <v>0</v>
      </c>
      <c r="Z61" s="985">
        <f>+Z60</f>
        <v>0</v>
      </c>
      <c r="AA61" s="985">
        <f t="shared" si="10"/>
        <v>0</v>
      </c>
      <c r="AB61" s="986">
        <f>+Y$27*AA61+Z61</f>
        <v>0</v>
      </c>
      <c r="AC61" s="983">
        <f>+AC60</f>
        <v>0</v>
      </c>
      <c r="AD61" s="985">
        <f>+AD60</f>
        <v>0</v>
      </c>
      <c r="AE61" s="985">
        <f t="shared" si="11"/>
        <v>0</v>
      </c>
      <c r="AF61" s="986">
        <f>+AC$27*AE61+AD61</f>
        <v>0</v>
      </c>
      <c r="AG61" s="983">
        <f>+AG60</f>
        <v>0</v>
      </c>
      <c r="AH61" s="985">
        <f>+AH60</f>
        <v>0</v>
      </c>
      <c r="AI61" s="985">
        <f t="shared" si="12"/>
        <v>0</v>
      </c>
      <c r="AJ61" s="986">
        <f>+AG$27*AI61+AH61</f>
        <v>0</v>
      </c>
      <c r="AK61" s="987">
        <f t="shared" si="3"/>
        <v>0</v>
      </c>
      <c r="AL61" s="983">
        <f>+AK61</f>
        <v>0</v>
      </c>
      <c r="AM61" s="988"/>
    </row>
    <row r="62" spans="1:39">
      <c r="A62" s="362">
        <f t="shared" si="0"/>
        <v>51</v>
      </c>
      <c r="C62" s="426" t="str">
        <f t="shared" si="4"/>
        <v>W 10.55 % ROE</v>
      </c>
      <c r="D62" s="1042"/>
      <c r="E62" s="985"/>
      <c r="F62" s="985">
        <v>0</v>
      </c>
      <c r="G62" s="985">
        <f t="shared" si="5"/>
        <v>0</v>
      </c>
      <c r="H62" s="984">
        <f>+E$26*G62+F62</f>
        <v>0</v>
      </c>
      <c r="I62" s="983">
        <f>+K61</f>
        <v>0</v>
      </c>
      <c r="J62" s="985">
        <f t="shared" si="6"/>
        <v>0</v>
      </c>
      <c r="K62" s="985">
        <f t="shared" si="1"/>
        <v>0</v>
      </c>
      <c r="L62" s="986">
        <f>+I$26*K62+J62</f>
        <v>0</v>
      </c>
      <c r="M62" s="983">
        <f>+O61</f>
        <v>0</v>
      </c>
      <c r="N62" s="985">
        <f t="shared" si="8"/>
        <v>0</v>
      </c>
      <c r="O62" s="985">
        <f t="shared" si="2"/>
        <v>0</v>
      </c>
      <c r="P62" s="986">
        <f>+M$26*O62+N62</f>
        <v>0</v>
      </c>
      <c r="Q62" s="983">
        <f>+S61</f>
        <v>0</v>
      </c>
      <c r="R62" s="985">
        <f>+Q$29</f>
        <v>0</v>
      </c>
      <c r="S62" s="985">
        <f t="shared" si="7"/>
        <v>0</v>
      </c>
      <c r="T62" s="986">
        <f>+Q$26*S62+R62</f>
        <v>0</v>
      </c>
      <c r="U62" s="983">
        <f>+W61</f>
        <v>0</v>
      </c>
      <c r="V62" s="985">
        <f>+U$29</f>
        <v>0</v>
      </c>
      <c r="W62" s="985">
        <f t="shared" si="9"/>
        <v>0</v>
      </c>
      <c r="X62" s="986">
        <f>+U$26*W62+V62</f>
        <v>0</v>
      </c>
      <c r="Y62" s="983">
        <f>+AA61</f>
        <v>0</v>
      </c>
      <c r="Z62" s="985">
        <f>+Y$29</f>
        <v>0</v>
      </c>
      <c r="AA62" s="985">
        <f t="shared" si="10"/>
        <v>0</v>
      </c>
      <c r="AB62" s="986">
        <f>+Y$26*AA62+Z62</f>
        <v>0</v>
      </c>
      <c r="AC62" s="983">
        <f>+AE61</f>
        <v>0</v>
      </c>
      <c r="AD62" s="985">
        <f>+AC$29</f>
        <v>0</v>
      </c>
      <c r="AE62" s="985">
        <f t="shared" si="11"/>
        <v>0</v>
      </c>
      <c r="AF62" s="986">
        <f>+AC$26*AE62+AD62</f>
        <v>0</v>
      </c>
      <c r="AG62" s="983">
        <f>+AI61</f>
        <v>0</v>
      </c>
      <c r="AH62" s="985">
        <f>+AG$29</f>
        <v>0</v>
      </c>
      <c r="AI62" s="985">
        <f t="shared" si="12"/>
        <v>0</v>
      </c>
      <c r="AJ62" s="986">
        <f>+AG$26*AI62+AH62</f>
        <v>0</v>
      </c>
      <c r="AK62" s="987">
        <f t="shared" si="3"/>
        <v>0</v>
      </c>
      <c r="AL62" s="983"/>
      <c r="AM62" s="988">
        <f>+AK62</f>
        <v>0</v>
      </c>
    </row>
    <row r="63" spans="1:39">
      <c r="A63" s="362">
        <f t="shared" si="0"/>
        <v>52</v>
      </c>
      <c r="C63" s="426" t="str">
        <f t="shared" si="4"/>
        <v>W Increased ROE</v>
      </c>
      <c r="D63" s="1042"/>
      <c r="E63" s="985"/>
      <c r="F63" s="985">
        <v>0</v>
      </c>
      <c r="G63" s="985">
        <f t="shared" si="5"/>
        <v>0</v>
      </c>
      <c r="H63" s="984">
        <f>+E$27*G63+F63</f>
        <v>0</v>
      </c>
      <c r="I63" s="983">
        <f>+I62</f>
        <v>0</v>
      </c>
      <c r="J63" s="985">
        <f t="shared" si="6"/>
        <v>0</v>
      </c>
      <c r="K63" s="985">
        <f t="shared" si="1"/>
        <v>0</v>
      </c>
      <c r="L63" s="986">
        <f>+I$27*K63+J63</f>
        <v>0</v>
      </c>
      <c r="M63" s="983">
        <f>+M62</f>
        <v>0</v>
      </c>
      <c r="N63" s="985">
        <f t="shared" si="8"/>
        <v>0</v>
      </c>
      <c r="O63" s="985">
        <f t="shared" si="2"/>
        <v>0</v>
      </c>
      <c r="P63" s="986">
        <f>+M$27*O63+N63</f>
        <v>0</v>
      </c>
      <c r="Q63" s="983">
        <f>+Q62</f>
        <v>0</v>
      </c>
      <c r="R63" s="985">
        <f>+R62</f>
        <v>0</v>
      </c>
      <c r="S63" s="985">
        <f t="shared" si="7"/>
        <v>0</v>
      </c>
      <c r="T63" s="986">
        <f>+Q$27*S63+R63</f>
        <v>0</v>
      </c>
      <c r="U63" s="983">
        <f>+U62</f>
        <v>0</v>
      </c>
      <c r="V63" s="985">
        <f>+V62</f>
        <v>0</v>
      </c>
      <c r="W63" s="985">
        <f t="shared" si="9"/>
        <v>0</v>
      </c>
      <c r="X63" s="986">
        <f>+U$27*W63+V63</f>
        <v>0</v>
      </c>
      <c r="Y63" s="983">
        <f>+Y62</f>
        <v>0</v>
      </c>
      <c r="Z63" s="985">
        <f>+Z62</f>
        <v>0</v>
      </c>
      <c r="AA63" s="985">
        <f t="shared" si="10"/>
        <v>0</v>
      </c>
      <c r="AB63" s="986">
        <f>+Y$27*AA63+Z63</f>
        <v>0</v>
      </c>
      <c r="AC63" s="983">
        <f>+AC62</f>
        <v>0</v>
      </c>
      <c r="AD63" s="985">
        <f>+AD62</f>
        <v>0</v>
      </c>
      <c r="AE63" s="985">
        <f t="shared" si="11"/>
        <v>0</v>
      </c>
      <c r="AF63" s="986">
        <f>+AC$27*AE63+AD63</f>
        <v>0</v>
      </c>
      <c r="AG63" s="983">
        <f>+AG62</f>
        <v>0</v>
      </c>
      <c r="AH63" s="985">
        <f>+AH62</f>
        <v>0</v>
      </c>
      <c r="AI63" s="985">
        <f t="shared" si="12"/>
        <v>0</v>
      </c>
      <c r="AJ63" s="986">
        <f>+AG$27*AI63+AH63</f>
        <v>0</v>
      </c>
      <c r="AK63" s="987">
        <f t="shared" si="3"/>
        <v>0</v>
      </c>
      <c r="AL63" s="983">
        <f>+AK63</f>
        <v>0</v>
      </c>
      <c r="AM63" s="988"/>
    </row>
    <row r="64" spans="1:39">
      <c r="A64" s="362">
        <f t="shared" si="0"/>
        <v>53</v>
      </c>
      <c r="C64" s="426" t="str">
        <f t="shared" si="4"/>
        <v>W 10.55 % ROE</v>
      </c>
      <c r="D64" s="1042"/>
      <c r="E64" s="985"/>
      <c r="F64" s="985">
        <v>0</v>
      </c>
      <c r="G64" s="985">
        <f t="shared" si="5"/>
        <v>0</v>
      </c>
      <c r="H64" s="984">
        <f>+E$26*G64+F64</f>
        <v>0</v>
      </c>
      <c r="I64" s="983">
        <f>+K63</f>
        <v>0</v>
      </c>
      <c r="J64" s="985">
        <f t="shared" si="6"/>
        <v>0</v>
      </c>
      <c r="K64" s="985">
        <f t="shared" si="1"/>
        <v>0</v>
      </c>
      <c r="L64" s="986">
        <f>+I$26*K64+J64</f>
        <v>0</v>
      </c>
      <c r="M64" s="983">
        <f>+O63</f>
        <v>0</v>
      </c>
      <c r="N64" s="985">
        <f t="shared" si="8"/>
        <v>0</v>
      </c>
      <c r="O64" s="985">
        <f t="shared" si="2"/>
        <v>0</v>
      </c>
      <c r="P64" s="986">
        <f>+M$26*O64+N64</f>
        <v>0</v>
      </c>
      <c r="Q64" s="983">
        <f>+S63</f>
        <v>0</v>
      </c>
      <c r="R64" s="985">
        <f>+Q$29</f>
        <v>0</v>
      </c>
      <c r="S64" s="985">
        <f t="shared" si="7"/>
        <v>0</v>
      </c>
      <c r="T64" s="986">
        <f>+Q$26*S64+R64</f>
        <v>0</v>
      </c>
      <c r="U64" s="983">
        <f>+W63</f>
        <v>0</v>
      </c>
      <c r="V64" s="985">
        <f>+U$29</f>
        <v>0</v>
      </c>
      <c r="W64" s="985">
        <f t="shared" si="9"/>
        <v>0</v>
      </c>
      <c r="X64" s="986">
        <f>+U$26*W64+V64</f>
        <v>0</v>
      </c>
      <c r="Y64" s="983">
        <f>+AA63</f>
        <v>0</v>
      </c>
      <c r="Z64" s="985">
        <f>+Y$29</f>
        <v>0</v>
      </c>
      <c r="AA64" s="985">
        <f t="shared" si="10"/>
        <v>0</v>
      </c>
      <c r="AB64" s="986">
        <f>+Y$26*AA64+Z64</f>
        <v>0</v>
      </c>
      <c r="AC64" s="983">
        <f>+AE63</f>
        <v>0</v>
      </c>
      <c r="AD64" s="985">
        <f>+AC$29</f>
        <v>0</v>
      </c>
      <c r="AE64" s="985">
        <f t="shared" si="11"/>
        <v>0</v>
      </c>
      <c r="AF64" s="986">
        <f>+AC$26*AE64+AD64</f>
        <v>0</v>
      </c>
      <c r="AG64" s="983">
        <f>+AI63</f>
        <v>0</v>
      </c>
      <c r="AH64" s="985">
        <f>+AG$29</f>
        <v>0</v>
      </c>
      <c r="AI64" s="985">
        <f t="shared" si="12"/>
        <v>0</v>
      </c>
      <c r="AJ64" s="986">
        <f>+AG$26*AI64+AH64</f>
        <v>0</v>
      </c>
      <c r="AK64" s="987">
        <f t="shared" si="3"/>
        <v>0</v>
      </c>
      <c r="AL64" s="983"/>
      <c r="AM64" s="988">
        <f>+AK64</f>
        <v>0</v>
      </c>
    </row>
    <row r="65" spans="1:39">
      <c r="A65" s="362">
        <f t="shared" si="0"/>
        <v>54</v>
      </c>
      <c r="C65" s="426" t="str">
        <f t="shared" si="4"/>
        <v>W Increased ROE</v>
      </c>
      <c r="D65" s="1042"/>
      <c r="E65" s="985"/>
      <c r="F65" s="985">
        <v>0</v>
      </c>
      <c r="G65" s="985">
        <f t="shared" si="5"/>
        <v>0</v>
      </c>
      <c r="H65" s="984">
        <f>+E$27*G65+F65</f>
        <v>0</v>
      </c>
      <c r="I65" s="983">
        <f>+I64</f>
        <v>0</v>
      </c>
      <c r="J65" s="985">
        <f t="shared" si="6"/>
        <v>0</v>
      </c>
      <c r="K65" s="985">
        <f t="shared" si="1"/>
        <v>0</v>
      </c>
      <c r="L65" s="986">
        <f>+I$27*K65+J65</f>
        <v>0</v>
      </c>
      <c r="M65" s="983">
        <f>+M64</f>
        <v>0</v>
      </c>
      <c r="N65" s="985">
        <f t="shared" si="8"/>
        <v>0</v>
      </c>
      <c r="O65" s="985">
        <f t="shared" si="2"/>
        <v>0</v>
      </c>
      <c r="P65" s="986">
        <f>+M$27*O65+N65</f>
        <v>0</v>
      </c>
      <c r="Q65" s="983">
        <f>+Q64</f>
        <v>0</v>
      </c>
      <c r="R65" s="985">
        <f>+R64</f>
        <v>0</v>
      </c>
      <c r="S65" s="985">
        <f t="shared" si="7"/>
        <v>0</v>
      </c>
      <c r="T65" s="986">
        <f>+Q$27*S65+R65</f>
        <v>0</v>
      </c>
      <c r="U65" s="983">
        <f>+U64</f>
        <v>0</v>
      </c>
      <c r="V65" s="985">
        <f>+V64</f>
        <v>0</v>
      </c>
      <c r="W65" s="985">
        <f t="shared" si="9"/>
        <v>0</v>
      </c>
      <c r="X65" s="986">
        <f>+U$27*W65+V65</f>
        <v>0</v>
      </c>
      <c r="Y65" s="983">
        <f>+Y64</f>
        <v>0</v>
      </c>
      <c r="Z65" s="985">
        <f>+Z64</f>
        <v>0</v>
      </c>
      <c r="AA65" s="985">
        <f t="shared" si="10"/>
        <v>0</v>
      </c>
      <c r="AB65" s="986">
        <f>+Y$27*AA65+Z65</f>
        <v>0</v>
      </c>
      <c r="AC65" s="983">
        <f>+AC64</f>
        <v>0</v>
      </c>
      <c r="AD65" s="985">
        <f>+AD64</f>
        <v>0</v>
      </c>
      <c r="AE65" s="985">
        <f t="shared" si="11"/>
        <v>0</v>
      </c>
      <c r="AF65" s="986">
        <f>+AC$27*AE65+AD65</f>
        <v>0</v>
      </c>
      <c r="AG65" s="983">
        <f>+AG64</f>
        <v>0</v>
      </c>
      <c r="AH65" s="985">
        <f>+AH64</f>
        <v>0</v>
      </c>
      <c r="AI65" s="985">
        <f t="shared" si="12"/>
        <v>0</v>
      </c>
      <c r="AJ65" s="986">
        <f>+AG$27*AI65+AH65</f>
        <v>0</v>
      </c>
      <c r="AK65" s="987">
        <f t="shared" si="3"/>
        <v>0</v>
      </c>
      <c r="AL65" s="983">
        <f>+AK65</f>
        <v>0</v>
      </c>
      <c r="AM65" s="988"/>
    </row>
    <row r="66" spans="1:39">
      <c r="A66" s="362">
        <f t="shared" si="0"/>
        <v>55</v>
      </c>
      <c r="C66" s="426" t="str">
        <f t="shared" si="4"/>
        <v>W 10.55 % ROE</v>
      </c>
      <c r="D66" s="1042"/>
      <c r="E66" s="985"/>
      <c r="F66" s="985">
        <v>0</v>
      </c>
      <c r="G66" s="985">
        <f t="shared" si="5"/>
        <v>0</v>
      </c>
      <c r="H66" s="984">
        <f>+E$26*G66+F66</f>
        <v>0</v>
      </c>
      <c r="I66" s="983">
        <f>+K65</f>
        <v>0</v>
      </c>
      <c r="J66" s="985">
        <f t="shared" si="6"/>
        <v>0</v>
      </c>
      <c r="K66" s="985">
        <f t="shared" si="1"/>
        <v>0</v>
      </c>
      <c r="L66" s="986">
        <f>+I$26*K66+J66</f>
        <v>0</v>
      </c>
      <c r="M66" s="983">
        <f>+O65</f>
        <v>0</v>
      </c>
      <c r="N66" s="985">
        <f t="shared" si="8"/>
        <v>0</v>
      </c>
      <c r="O66" s="985">
        <f t="shared" si="2"/>
        <v>0</v>
      </c>
      <c r="P66" s="986">
        <f>+M$26*O66+N66</f>
        <v>0</v>
      </c>
      <c r="Q66" s="983">
        <f>+S65</f>
        <v>0</v>
      </c>
      <c r="R66" s="985">
        <f>+Q$29</f>
        <v>0</v>
      </c>
      <c r="S66" s="985">
        <f t="shared" si="7"/>
        <v>0</v>
      </c>
      <c r="T66" s="986">
        <f>+Q$26*S66+R66</f>
        <v>0</v>
      </c>
      <c r="U66" s="983">
        <f>+W65</f>
        <v>0</v>
      </c>
      <c r="V66" s="985">
        <f>+U$29</f>
        <v>0</v>
      </c>
      <c r="W66" s="985">
        <f t="shared" si="9"/>
        <v>0</v>
      </c>
      <c r="X66" s="986">
        <f>+U$26*W66+V66</f>
        <v>0</v>
      </c>
      <c r="Y66" s="983">
        <f>+AA65</f>
        <v>0</v>
      </c>
      <c r="Z66" s="985">
        <f>+Y$29</f>
        <v>0</v>
      </c>
      <c r="AA66" s="985">
        <f t="shared" si="10"/>
        <v>0</v>
      </c>
      <c r="AB66" s="986">
        <f>+Y$26*AA66+Z66</f>
        <v>0</v>
      </c>
      <c r="AC66" s="983">
        <f>+AE65</f>
        <v>0</v>
      </c>
      <c r="AD66" s="985">
        <f>+AC$29</f>
        <v>0</v>
      </c>
      <c r="AE66" s="985">
        <f t="shared" si="11"/>
        <v>0</v>
      </c>
      <c r="AF66" s="986">
        <f>+AC$26*AE66+AD66</f>
        <v>0</v>
      </c>
      <c r="AG66" s="983">
        <f>+AI65</f>
        <v>0</v>
      </c>
      <c r="AH66" s="985">
        <f>+AG$29</f>
        <v>0</v>
      </c>
      <c r="AI66" s="985">
        <f t="shared" si="12"/>
        <v>0</v>
      </c>
      <c r="AJ66" s="986">
        <f>+AG$26*AI66+AH66</f>
        <v>0</v>
      </c>
      <c r="AK66" s="987">
        <f t="shared" si="3"/>
        <v>0</v>
      </c>
      <c r="AL66" s="983"/>
      <c r="AM66" s="988">
        <f>+AK66</f>
        <v>0</v>
      </c>
    </row>
    <row r="67" spans="1:39">
      <c r="A67" s="362">
        <f t="shared" si="0"/>
        <v>56</v>
      </c>
      <c r="C67" s="426" t="str">
        <f t="shared" si="4"/>
        <v>W Increased ROE</v>
      </c>
      <c r="D67" s="1042"/>
      <c r="E67" s="985"/>
      <c r="F67" s="985">
        <v>0</v>
      </c>
      <c r="G67" s="985">
        <f t="shared" si="5"/>
        <v>0</v>
      </c>
      <c r="H67" s="984">
        <f>+E$27*G67+F67</f>
        <v>0</v>
      </c>
      <c r="I67" s="983">
        <f>+I66</f>
        <v>0</v>
      </c>
      <c r="J67" s="985">
        <f t="shared" si="6"/>
        <v>0</v>
      </c>
      <c r="K67" s="985">
        <f t="shared" si="1"/>
        <v>0</v>
      </c>
      <c r="L67" s="986">
        <f>+I$27*K67+J67</f>
        <v>0</v>
      </c>
      <c r="M67" s="983">
        <f>+M66</f>
        <v>0</v>
      </c>
      <c r="N67" s="985">
        <f t="shared" si="8"/>
        <v>0</v>
      </c>
      <c r="O67" s="985">
        <f t="shared" si="2"/>
        <v>0</v>
      </c>
      <c r="P67" s="986">
        <f>+M$27*O67+N67</f>
        <v>0</v>
      </c>
      <c r="Q67" s="983">
        <f>+Q66</f>
        <v>0</v>
      </c>
      <c r="R67" s="985">
        <f>+R66</f>
        <v>0</v>
      </c>
      <c r="S67" s="985">
        <f t="shared" si="7"/>
        <v>0</v>
      </c>
      <c r="T67" s="986">
        <f>+Q$27*S67+R67</f>
        <v>0</v>
      </c>
      <c r="U67" s="983">
        <f>+U66</f>
        <v>0</v>
      </c>
      <c r="V67" s="985">
        <f>+V66</f>
        <v>0</v>
      </c>
      <c r="W67" s="985">
        <f t="shared" si="9"/>
        <v>0</v>
      </c>
      <c r="X67" s="986">
        <f>+U$27*W67+V67</f>
        <v>0</v>
      </c>
      <c r="Y67" s="983">
        <f>+Y66</f>
        <v>0</v>
      </c>
      <c r="Z67" s="985">
        <f>+Z66</f>
        <v>0</v>
      </c>
      <c r="AA67" s="985">
        <f t="shared" si="10"/>
        <v>0</v>
      </c>
      <c r="AB67" s="986">
        <f>+Y$27*AA67+Z67</f>
        <v>0</v>
      </c>
      <c r="AC67" s="983">
        <f>+AC66</f>
        <v>0</v>
      </c>
      <c r="AD67" s="985">
        <f>+AD66</f>
        <v>0</v>
      </c>
      <c r="AE67" s="985">
        <f t="shared" si="11"/>
        <v>0</v>
      </c>
      <c r="AF67" s="986">
        <f>+AC$27*AE67+AD67</f>
        <v>0</v>
      </c>
      <c r="AG67" s="983">
        <f>+AG66</f>
        <v>0</v>
      </c>
      <c r="AH67" s="985">
        <f>+AH66</f>
        <v>0</v>
      </c>
      <c r="AI67" s="985">
        <f t="shared" si="12"/>
        <v>0</v>
      </c>
      <c r="AJ67" s="986">
        <f>+AG$27*AI67+AH67</f>
        <v>0</v>
      </c>
      <c r="AK67" s="987">
        <f t="shared" si="3"/>
        <v>0</v>
      </c>
      <c r="AL67" s="983">
        <f>+AK67</f>
        <v>0</v>
      </c>
      <c r="AM67" s="988"/>
    </row>
    <row r="68" spans="1:39">
      <c r="A68" s="362">
        <f t="shared" si="0"/>
        <v>57</v>
      </c>
      <c r="C68" s="426" t="str">
        <f t="shared" si="4"/>
        <v>W 10.55 % ROE</v>
      </c>
      <c r="D68" s="1042"/>
      <c r="E68" s="985"/>
      <c r="F68" s="985">
        <v>0</v>
      </c>
      <c r="G68" s="985">
        <f t="shared" si="5"/>
        <v>0</v>
      </c>
      <c r="H68" s="984">
        <f>+E$26*G68+F68</f>
        <v>0</v>
      </c>
      <c r="I68" s="983">
        <f>+K67</f>
        <v>0</v>
      </c>
      <c r="J68" s="985">
        <f t="shared" si="6"/>
        <v>0</v>
      </c>
      <c r="K68" s="985">
        <f t="shared" si="1"/>
        <v>0</v>
      </c>
      <c r="L68" s="986">
        <f>+I$26*K68+J68</f>
        <v>0</v>
      </c>
      <c r="M68" s="983">
        <f>+O67</f>
        <v>0</v>
      </c>
      <c r="N68" s="985">
        <f t="shared" si="8"/>
        <v>0</v>
      </c>
      <c r="O68" s="985">
        <f t="shared" si="2"/>
        <v>0</v>
      </c>
      <c r="P68" s="986">
        <f>+M$26*O68+N68</f>
        <v>0</v>
      </c>
      <c r="Q68" s="983">
        <f>+S67</f>
        <v>0</v>
      </c>
      <c r="R68" s="985">
        <f>+Q$29</f>
        <v>0</v>
      </c>
      <c r="S68" s="985">
        <f t="shared" si="7"/>
        <v>0</v>
      </c>
      <c r="T68" s="986">
        <f>+Q$26*S68+R68</f>
        <v>0</v>
      </c>
      <c r="U68" s="983">
        <f>+W67</f>
        <v>0</v>
      </c>
      <c r="V68" s="985">
        <f>+U$29</f>
        <v>0</v>
      </c>
      <c r="W68" s="985">
        <f t="shared" si="9"/>
        <v>0</v>
      </c>
      <c r="X68" s="986">
        <f>+U$26*W68+V68</f>
        <v>0</v>
      </c>
      <c r="Y68" s="983">
        <f>+AA67</f>
        <v>0</v>
      </c>
      <c r="Z68" s="985">
        <f>+Y$29</f>
        <v>0</v>
      </c>
      <c r="AA68" s="985">
        <f t="shared" si="10"/>
        <v>0</v>
      </c>
      <c r="AB68" s="986">
        <f>+Y$26*AA68+Z68</f>
        <v>0</v>
      </c>
      <c r="AC68" s="983">
        <f>+AE67</f>
        <v>0</v>
      </c>
      <c r="AD68" s="985">
        <f>+AC$29</f>
        <v>0</v>
      </c>
      <c r="AE68" s="985">
        <f t="shared" si="11"/>
        <v>0</v>
      </c>
      <c r="AF68" s="986">
        <f>+AC$26*AE68+AD68</f>
        <v>0</v>
      </c>
      <c r="AG68" s="983">
        <f>+AI67</f>
        <v>0</v>
      </c>
      <c r="AH68" s="985">
        <f>+AG$29</f>
        <v>0</v>
      </c>
      <c r="AI68" s="985">
        <f t="shared" si="12"/>
        <v>0</v>
      </c>
      <c r="AJ68" s="986">
        <f>+AG$26*AI68+AH68</f>
        <v>0</v>
      </c>
      <c r="AK68" s="987">
        <f t="shared" si="3"/>
        <v>0</v>
      </c>
      <c r="AL68" s="983"/>
      <c r="AM68" s="988">
        <f>+AK68</f>
        <v>0</v>
      </c>
    </row>
    <row r="69" spans="1:39">
      <c r="A69" s="362">
        <f t="shared" si="0"/>
        <v>58</v>
      </c>
      <c r="C69" s="426" t="str">
        <f t="shared" si="4"/>
        <v>W Increased ROE</v>
      </c>
      <c r="D69" s="1042"/>
      <c r="E69" s="985"/>
      <c r="F69" s="985">
        <v>0</v>
      </c>
      <c r="G69" s="985">
        <f t="shared" si="5"/>
        <v>0</v>
      </c>
      <c r="H69" s="984">
        <f>+E$27*G69+F69</f>
        <v>0</v>
      </c>
      <c r="I69" s="983">
        <f>+I68</f>
        <v>0</v>
      </c>
      <c r="J69" s="985">
        <f t="shared" si="6"/>
        <v>0</v>
      </c>
      <c r="K69" s="985">
        <f t="shared" si="1"/>
        <v>0</v>
      </c>
      <c r="L69" s="986">
        <f>+I$27*K69+J69</f>
        <v>0</v>
      </c>
      <c r="M69" s="983">
        <f>+M68</f>
        <v>0</v>
      </c>
      <c r="N69" s="985">
        <f t="shared" si="8"/>
        <v>0</v>
      </c>
      <c r="O69" s="985">
        <f t="shared" si="2"/>
        <v>0</v>
      </c>
      <c r="P69" s="986">
        <f>+M$27*O69+N69</f>
        <v>0</v>
      </c>
      <c r="Q69" s="983">
        <f>+Q68</f>
        <v>0</v>
      </c>
      <c r="R69" s="985">
        <f>+R68</f>
        <v>0</v>
      </c>
      <c r="S69" s="985">
        <f t="shared" si="7"/>
        <v>0</v>
      </c>
      <c r="T69" s="986">
        <f>+Q$27*S69+R69</f>
        <v>0</v>
      </c>
      <c r="U69" s="983">
        <f>+U68</f>
        <v>0</v>
      </c>
      <c r="V69" s="985">
        <f>+V68</f>
        <v>0</v>
      </c>
      <c r="W69" s="985">
        <f t="shared" si="9"/>
        <v>0</v>
      </c>
      <c r="X69" s="986">
        <f>+U$27*W69+V69</f>
        <v>0</v>
      </c>
      <c r="Y69" s="983">
        <f>+Y68</f>
        <v>0</v>
      </c>
      <c r="Z69" s="985">
        <f>+Z68</f>
        <v>0</v>
      </c>
      <c r="AA69" s="985">
        <f t="shared" si="10"/>
        <v>0</v>
      </c>
      <c r="AB69" s="986">
        <f>+Y$27*AA69+Z69</f>
        <v>0</v>
      </c>
      <c r="AC69" s="983">
        <f>+AC68</f>
        <v>0</v>
      </c>
      <c r="AD69" s="985">
        <f>+AD68</f>
        <v>0</v>
      </c>
      <c r="AE69" s="985">
        <f t="shared" si="11"/>
        <v>0</v>
      </c>
      <c r="AF69" s="986">
        <f>+AC$27*AE69+AD69</f>
        <v>0</v>
      </c>
      <c r="AG69" s="983">
        <f>+AG68</f>
        <v>0</v>
      </c>
      <c r="AH69" s="985">
        <f>+AH68</f>
        <v>0</v>
      </c>
      <c r="AI69" s="985">
        <f t="shared" si="12"/>
        <v>0</v>
      </c>
      <c r="AJ69" s="986">
        <f>+AG$27*AI69+AH69</f>
        <v>0</v>
      </c>
      <c r="AK69" s="987">
        <f t="shared" si="3"/>
        <v>0</v>
      </c>
      <c r="AL69" s="983">
        <f>+AK69</f>
        <v>0</v>
      </c>
      <c r="AM69" s="988"/>
    </row>
    <row r="70" spans="1:39">
      <c r="A70" s="362">
        <f t="shared" si="0"/>
        <v>59</v>
      </c>
      <c r="C70" s="426" t="str">
        <f t="shared" si="4"/>
        <v>W 10.55 % ROE</v>
      </c>
      <c r="D70" s="1042"/>
      <c r="E70" s="985"/>
      <c r="F70" s="985">
        <v>0</v>
      </c>
      <c r="G70" s="985">
        <f t="shared" si="5"/>
        <v>0</v>
      </c>
      <c r="H70" s="984">
        <f>+E$26*G70+F70</f>
        <v>0</v>
      </c>
      <c r="I70" s="983">
        <f>+K69</f>
        <v>0</v>
      </c>
      <c r="J70" s="985">
        <f t="shared" si="6"/>
        <v>0</v>
      </c>
      <c r="K70" s="985">
        <f t="shared" si="1"/>
        <v>0</v>
      </c>
      <c r="L70" s="986">
        <f>+I$26*K70+J70</f>
        <v>0</v>
      </c>
      <c r="M70" s="983">
        <f>+O69</f>
        <v>0</v>
      </c>
      <c r="N70" s="985">
        <f t="shared" si="8"/>
        <v>0</v>
      </c>
      <c r="O70" s="985">
        <f t="shared" si="2"/>
        <v>0</v>
      </c>
      <c r="P70" s="986">
        <f>+M$26*O70+N70</f>
        <v>0</v>
      </c>
      <c r="Q70" s="983">
        <f>+S69</f>
        <v>0</v>
      </c>
      <c r="R70" s="985">
        <f>+Q$29</f>
        <v>0</v>
      </c>
      <c r="S70" s="985">
        <f t="shared" si="7"/>
        <v>0</v>
      </c>
      <c r="T70" s="986">
        <f>+Q$26*S70+R70</f>
        <v>0</v>
      </c>
      <c r="U70" s="983">
        <f>+W69</f>
        <v>0</v>
      </c>
      <c r="V70" s="985">
        <f>+U$29</f>
        <v>0</v>
      </c>
      <c r="W70" s="985">
        <f t="shared" si="9"/>
        <v>0</v>
      </c>
      <c r="X70" s="986">
        <f>+U$26*W70+V70</f>
        <v>0</v>
      </c>
      <c r="Y70" s="983">
        <f>+AA69</f>
        <v>0</v>
      </c>
      <c r="Z70" s="985">
        <f>+Y$29</f>
        <v>0</v>
      </c>
      <c r="AA70" s="985">
        <f t="shared" si="10"/>
        <v>0</v>
      </c>
      <c r="AB70" s="986">
        <f>+Y$26*AA70+Z70</f>
        <v>0</v>
      </c>
      <c r="AC70" s="983">
        <f>+AE69</f>
        <v>0</v>
      </c>
      <c r="AD70" s="985">
        <f>+AC$29</f>
        <v>0</v>
      </c>
      <c r="AE70" s="985">
        <f t="shared" si="11"/>
        <v>0</v>
      </c>
      <c r="AF70" s="986">
        <f>+AC$26*AE70+AD70</f>
        <v>0</v>
      </c>
      <c r="AG70" s="983">
        <f>+AI69</f>
        <v>0</v>
      </c>
      <c r="AH70" s="985">
        <f>+AG$29</f>
        <v>0</v>
      </c>
      <c r="AI70" s="985">
        <f t="shared" si="12"/>
        <v>0</v>
      </c>
      <c r="AJ70" s="986">
        <f>+AG$26*AI70+AH70</f>
        <v>0</v>
      </c>
      <c r="AK70" s="987">
        <f t="shared" si="3"/>
        <v>0</v>
      </c>
      <c r="AL70" s="983"/>
      <c r="AM70" s="988">
        <f>+AK70</f>
        <v>0</v>
      </c>
    </row>
    <row r="71" spans="1:39">
      <c r="A71" s="362">
        <f t="shared" si="0"/>
        <v>60</v>
      </c>
      <c r="C71" s="426" t="str">
        <f t="shared" si="4"/>
        <v>W Increased ROE</v>
      </c>
      <c r="D71" s="1042"/>
      <c r="E71" s="985"/>
      <c r="F71" s="985">
        <v>0</v>
      </c>
      <c r="G71" s="985">
        <f t="shared" si="5"/>
        <v>0</v>
      </c>
      <c r="H71" s="984">
        <f>+E$27*G71+F71</f>
        <v>0</v>
      </c>
      <c r="I71" s="983">
        <f>+I70</f>
        <v>0</v>
      </c>
      <c r="J71" s="985">
        <f t="shared" si="6"/>
        <v>0</v>
      </c>
      <c r="K71" s="985">
        <f t="shared" si="1"/>
        <v>0</v>
      </c>
      <c r="L71" s="986">
        <f>+I$27*K71+J71</f>
        <v>0</v>
      </c>
      <c r="M71" s="983">
        <f>+M70</f>
        <v>0</v>
      </c>
      <c r="N71" s="985">
        <f t="shared" si="8"/>
        <v>0</v>
      </c>
      <c r="O71" s="985">
        <f t="shared" si="2"/>
        <v>0</v>
      </c>
      <c r="P71" s="986">
        <f>+M$27*O71+N71</f>
        <v>0</v>
      </c>
      <c r="Q71" s="983">
        <f>+Q70</f>
        <v>0</v>
      </c>
      <c r="R71" s="985">
        <f>+R70</f>
        <v>0</v>
      </c>
      <c r="S71" s="985">
        <f t="shared" si="7"/>
        <v>0</v>
      </c>
      <c r="T71" s="986">
        <f>+Q$27*S71+R71</f>
        <v>0</v>
      </c>
      <c r="U71" s="983">
        <f>+U70</f>
        <v>0</v>
      </c>
      <c r="V71" s="985">
        <f>+V70</f>
        <v>0</v>
      </c>
      <c r="W71" s="985">
        <f t="shared" si="9"/>
        <v>0</v>
      </c>
      <c r="X71" s="986">
        <f>+U$27*W71+V71</f>
        <v>0</v>
      </c>
      <c r="Y71" s="983">
        <f>+Y70</f>
        <v>0</v>
      </c>
      <c r="Z71" s="985">
        <f>+Z70</f>
        <v>0</v>
      </c>
      <c r="AA71" s="985">
        <f t="shared" si="10"/>
        <v>0</v>
      </c>
      <c r="AB71" s="986">
        <f>+Y$27*AA71+Z71</f>
        <v>0</v>
      </c>
      <c r="AC71" s="983">
        <f>+AC70</f>
        <v>0</v>
      </c>
      <c r="AD71" s="985">
        <f>+AD70</f>
        <v>0</v>
      </c>
      <c r="AE71" s="985">
        <f t="shared" si="11"/>
        <v>0</v>
      </c>
      <c r="AF71" s="986">
        <f>+AC$27*AE71+AD71</f>
        <v>0</v>
      </c>
      <c r="AG71" s="983">
        <f>+AG70</f>
        <v>0</v>
      </c>
      <c r="AH71" s="985">
        <f>+AH70</f>
        <v>0</v>
      </c>
      <c r="AI71" s="985">
        <f t="shared" si="12"/>
        <v>0</v>
      </c>
      <c r="AJ71" s="986">
        <f>+AG$27*AI71+AH71</f>
        <v>0</v>
      </c>
      <c r="AK71" s="987">
        <f t="shared" si="3"/>
        <v>0</v>
      </c>
      <c r="AL71" s="983">
        <f>+AK71</f>
        <v>0</v>
      </c>
      <c r="AM71" s="988"/>
    </row>
    <row r="72" spans="1:39">
      <c r="A72" s="362">
        <f t="shared" si="0"/>
        <v>61</v>
      </c>
      <c r="C72" s="426"/>
      <c r="D72" s="428" t="s">
        <v>419</v>
      </c>
      <c r="E72" s="989"/>
      <c r="F72" s="990"/>
      <c r="G72" s="990"/>
      <c r="H72" s="990"/>
      <c r="I72" s="989" t="s">
        <v>419</v>
      </c>
      <c r="J72" s="985">
        <f t="shared" si="6"/>
        <v>0</v>
      </c>
      <c r="K72" s="990" t="s">
        <v>420</v>
      </c>
      <c r="L72" s="991" t="s">
        <v>419</v>
      </c>
      <c r="M72" s="990" t="s">
        <v>419</v>
      </c>
      <c r="N72" s="990" t="s">
        <v>419</v>
      </c>
      <c r="O72" s="990" t="s">
        <v>420</v>
      </c>
      <c r="P72" s="991" t="s">
        <v>419</v>
      </c>
      <c r="Q72" s="990" t="s">
        <v>419</v>
      </c>
      <c r="R72" s="990" t="s">
        <v>419</v>
      </c>
      <c r="S72" s="990" t="s">
        <v>420</v>
      </c>
      <c r="T72" s="991" t="s">
        <v>419</v>
      </c>
      <c r="U72" s="990" t="s">
        <v>419</v>
      </c>
      <c r="V72" s="990" t="s">
        <v>419</v>
      </c>
      <c r="W72" s="990" t="s">
        <v>420</v>
      </c>
      <c r="X72" s="991" t="s">
        <v>419</v>
      </c>
      <c r="Y72" s="990" t="s">
        <v>419</v>
      </c>
      <c r="Z72" s="990" t="s">
        <v>419</v>
      </c>
      <c r="AA72" s="990" t="s">
        <v>420</v>
      </c>
      <c r="AB72" s="991" t="s">
        <v>419</v>
      </c>
      <c r="AC72" s="990" t="s">
        <v>419</v>
      </c>
      <c r="AD72" s="990" t="s">
        <v>419</v>
      </c>
      <c r="AE72" s="990" t="s">
        <v>420</v>
      </c>
      <c r="AF72" s="991" t="s">
        <v>419</v>
      </c>
      <c r="AG72" s="990" t="s">
        <v>419</v>
      </c>
      <c r="AH72" s="990" t="s">
        <v>419</v>
      </c>
      <c r="AI72" s="990" t="s">
        <v>420</v>
      </c>
      <c r="AJ72" s="991" t="s">
        <v>419</v>
      </c>
      <c r="AK72" s="987"/>
      <c r="AL72" s="983"/>
      <c r="AM72" s="988">
        <f>+AK72</f>
        <v>0</v>
      </c>
    </row>
    <row r="73" spans="1:39" ht="13.5" thickBot="1">
      <c r="A73" s="362">
        <f t="shared" si="0"/>
        <v>62</v>
      </c>
      <c r="C73" s="429"/>
      <c r="D73" s="430" t="s">
        <v>419</v>
      </c>
      <c r="E73" s="992"/>
      <c r="F73" s="993"/>
      <c r="G73" s="993"/>
      <c r="H73" s="993"/>
      <c r="I73" s="992" t="s">
        <v>419</v>
      </c>
      <c r="J73" s="993" t="s">
        <v>420</v>
      </c>
      <c r="K73" s="993" t="s">
        <v>420</v>
      </c>
      <c r="L73" s="994" t="s">
        <v>419</v>
      </c>
      <c r="M73" s="993" t="s">
        <v>419</v>
      </c>
      <c r="N73" s="993" t="s">
        <v>420</v>
      </c>
      <c r="O73" s="993" t="s">
        <v>420</v>
      </c>
      <c r="P73" s="994" t="s">
        <v>419</v>
      </c>
      <c r="Q73" s="993" t="s">
        <v>419</v>
      </c>
      <c r="R73" s="993" t="s">
        <v>420</v>
      </c>
      <c r="S73" s="993" t="s">
        <v>420</v>
      </c>
      <c r="T73" s="994" t="s">
        <v>419</v>
      </c>
      <c r="U73" s="993" t="s">
        <v>419</v>
      </c>
      <c r="V73" s="993" t="s">
        <v>420</v>
      </c>
      <c r="W73" s="993" t="s">
        <v>420</v>
      </c>
      <c r="X73" s="994" t="s">
        <v>419</v>
      </c>
      <c r="Y73" s="993" t="s">
        <v>419</v>
      </c>
      <c r="Z73" s="993" t="s">
        <v>420</v>
      </c>
      <c r="AA73" s="993" t="s">
        <v>420</v>
      </c>
      <c r="AB73" s="994" t="s">
        <v>419</v>
      </c>
      <c r="AC73" s="993" t="s">
        <v>419</v>
      </c>
      <c r="AD73" s="993" t="s">
        <v>420</v>
      </c>
      <c r="AE73" s="993" t="s">
        <v>420</v>
      </c>
      <c r="AF73" s="994" t="s">
        <v>419</v>
      </c>
      <c r="AG73" s="993" t="s">
        <v>419</v>
      </c>
      <c r="AH73" s="993" t="s">
        <v>420</v>
      </c>
      <c r="AI73" s="993" t="s">
        <v>420</v>
      </c>
      <c r="AJ73" s="994" t="s">
        <v>419</v>
      </c>
      <c r="AK73" s="995"/>
      <c r="AL73" s="996">
        <f>+AK73</f>
        <v>0</v>
      </c>
      <c r="AM73" s="997"/>
    </row>
    <row r="74" spans="1:39">
      <c r="C74" s="431"/>
      <c r="D74" s="432"/>
      <c r="E74" s="432"/>
      <c r="F74" s="431"/>
      <c r="G74" s="431"/>
      <c r="H74" s="431"/>
      <c r="I74" s="431"/>
      <c r="J74" s="431"/>
      <c r="K74" s="431"/>
      <c r="L74" s="433"/>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4"/>
      <c r="AM74" s="434"/>
    </row>
    <row r="75" spans="1:39">
      <c r="B75" s="368" t="s">
        <v>717</v>
      </c>
    </row>
    <row r="76" spans="1:39">
      <c r="B76" s="435" t="s">
        <v>718</v>
      </c>
      <c r="N76" s="370" t="s">
        <v>719</v>
      </c>
      <c r="AL76" s="436"/>
    </row>
    <row r="77" spans="1:39">
      <c r="B77" s="368" t="s">
        <v>720</v>
      </c>
      <c r="N77" s="368" t="s">
        <v>721</v>
      </c>
    </row>
    <row r="78" spans="1:39">
      <c r="B78" s="368" t="s">
        <v>722</v>
      </c>
      <c r="N78" s="368" t="s">
        <v>723</v>
      </c>
    </row>
    <row r="79" spans="1:39">
      <c r="B79" s="368" t="s">
        <v>724</v>
      </c>
      <c r="N79" s="368" t="s">
        <v>725</v>
      </c>
    </row>
    <row r="80" spans="1:39">
      <c r="B80" s="368" t="s">
        <v>726</v>
      </c>
      <c r="N80" s="368" t="s">
        <v>727</v>
      </c>
    </row>
    <row r="81" spans="2:40">
      <c r="N81" s="368"/>
    </row>
    <row r="82" spans="2:40">
      <c r="B82" s="368" t="s">
        <v>116</v>
      </c>
      <c r="AN82" s="901"/>
    </row>
    <row r="307" spans="3:8">
      <c r="C307" s="367"/>
      <c r="D307" s="366"/>
      <c r="E307" s="366"/>
      <c r="F307" s="367"/>
      <c r="G307" s="367"/>
      <c r="H307" s="367"/>
    </row>
    <row r="308" spans="3:8">
      <c r="C308" s="367"/>
      <c r="D308" s="366"/>
      <c r="E308" s="366"/>
      <c r="F308" s="367"/>
      <c r="G308" s="367"/>
      <c r="H308" s="367"/>
    </row>
    <row r="309" spans="3:8">
      <c r="C309" s="367"/>
      <c r="D309" s="366"/>
      <c r="E309" s="366"/>
      <c r="F309" s="367"/>
      <c r="G309" s="367"/>
      <c r="H309" s="367"/>
    </row>
    <row r="310" spans="3:8">
      <c r="C310" s="367"/>
      <c r="D310" s="366"/>
      <c r="E310" s="366"/>
      <c r="F310" s="367"/>
      <c r="G310" s="367"/>
      <c r="H310" s="367"/>
    </row>
    <row r="311" spans="3:8">
      <c r="C311" s="367"/>
      <c r="D311" s="366"/>
      <c r="E311" s="366"/>
      <c r="F311" s="367"/>
      <c r="G311" s="367"/>
      <c r="H311" s="367"/>
    </row>
    <row r="312" spans="3:8">
      <c r="C312" s="367"/>
      <c r="D312" s="366"/>
      <c r="E312" s="366"/>
      <c r="F312" s="367"/>
      <c r="G312" s="367"/>
      <c r="H312" s="367"/>
    </row>
    <row r="313" spans="3:8">
      <c r="C313" s="367"/>
      <c r="D313" s="366"/>
      <c r="E313" s="366"/>
      <c r="F313" s="367"/>
      <c r="G313" s="367"/>
      <c r="H313" s="367"/>
    </row>
    <row r="314" spans="3:8">
      <c r="C314" s="367"/>
      <c r="D314" s="366"/>
      <c r="E314" s="366"/>
      <c r="F314" s="367"/>
      <c r="G314" s="367"/>
      <c r="H314" s="367"/>
    </row>
    <row r="315" spans="3:8">
      <c r="C315" s="367"/>
      <c r="D315" s="366"/>
      <c r="E315" s="366"/>
      <c r="F315" s="367"/>
      <c r="G315" s="367"/>
      <c r="H315" s="367"/>
    </row>
  </sheetData>
  <mergeCells count="5">
    <mergeCell ref="A1:AO1"/>
    <mergeCell ref="A2:AN2"/>
    <mergeCell ref="E21:H21"/>
    <mergeCell ref="I21:L21"/>
    <mergeCell ref="M21:P21"/>
  </mergeCells>
  <phoneticPr fontId="83" type="noConversion"/>
  <printOptions horizontalCentered="1"/>
  <pageMargins left="0.25" right="0.25" top="0.75" bottom="0.25" header="0.4" footer="0.5"/>
  <pageSetup scale="31" fitToHeight="0" orientation="portrait" r:id="rId1"/>
  <headerFooter alignWithMargins="0">
    <oddHeader>&amp;RPage  &amp;P of &amp;N</oddHeader>
  </headerFooter>
</worksheet>
</file>

<file path=xl/worksheets/sheet11.xml><?xml version="1.0" encoding="utf-8"?>
<worksheet xmlns="http://schemas.openxmlformats.org/spreadsheetml/2006/main" xmlns:r="http://schemas.openxmlformats.org/officeDocument/2006/relationships">
  <sheetPr>
    <pageSetUpPr fitToPage="1"/>
  </sheetPr>
  <dimension ref="A1:R51"/>
  <sheetViews>
    <sheetView tabSelected="1" topLeftCell="E1" zoomScaleNormal="100" zoomScaleSheetLayoutView="80" workbookViewId="0">
      <selection activeCell="L16" sqref="L16"/>
    </sheetView>
  </sheetViews>
  <sheetFormatPr defaultColWidth="9.140625" defaultRowHeight="12.75"/>
  <cols>
    <col min="1" max="1" width="4.5703125" style="801" customWidth="1"/>
    <col min="2" max="2" width="3.42578125" style="802" customWidth="1"/>
    <col min="3" max="3" width="9.140625" style="802"/>
    <col min="4" max="4" width="12.42578125" style="802" customWidth="1"/>
    <col min="5" max="5" width="9.140625" style="802"/>
    <col min="6" max="6" width="50.140625" style="802" customWidth="1"/>
    <col min="7" max="7" width="10.140625" style="802" customWidth="1"/>
    <col min="8" max="8" width="24" style="802" customWidth="1"/>
    <col min="9" max="9" width="2.28515625" style="802" customWidth="1"/>
    <col min="10" max="10" width="16.28515625" style="802" bestFit="1" customWidth="1"/>
    <col min="11" max="11" width="16.140625" style="802" bestFit="1" customWidth="1"/>
    <col min="12" max="12" width="16.5703125" style="802" bestFit="1" customWidth="1"/>
    <col min="13" max="13" width="16.28515625" style="802" bestFit="1" customWidth="1"/>
    <col min="14" max="16384" width="9.140625" style="802"/>
  </cols>
  <sheetData>
    <row r="1" spans="1:18" ht="18">
      <c r="A1" s="1354" t="str">
        <f>'[1]Appendix A'!A4</f>
        <v>South Carolina Electric &amp; Gas Company (SCEG)</v>
      </c>
      <c r="B1" s="1354"/>
      <c r="C1" s="1354"/>
      <c r="D1" s="1354"/>
      <c r="E1" s="1354"/>
      <c r="F1" s="1354"/>
      <c r="G1" s="1354"/>
      <c r="H1" s="1354"/>
      <c r="I1" s="1354"/>
      <c r="J1" s="1354"/>
      <c r="K1" s="1354"/>
      <c r="L1" s="1354"/>
      <c r="M1" s="848"/>
      <c r="N1" s="848"/>
      <c r="O1" s="848"/>
      <c r="P1" s="848"/>
      <c r="Q1" s="848"/>
      <c r="R1" s="848"/>
    </row>
    <row r="2" spans="1:18">
      <c r="A2" s="849"/>
      <c r="B2" s="850"/>
      <c r="C2" s="801"/>
      <c r="D2" s="801"/>
    </row>
    <row r="3" spans="1:18" ht="18.75">
      <c r="A3" s="1355" t="s">
        <v>143</v>
      </c>
      <c r="B3" s="1355"/>
      <c r="C3" s="1355"/>
      <c r="D3" s="1355"/>
      <c r="E3" s="1355"/>
      <c r="F3" s="1355"/>
      <c r="G3" s="1355"/>
      <c r="H3" s="1355"/>
      <c r="I3" s="1355"/>
      <c r="J3" s="1355"/>
      <c r="K3" s="1355"/>
      <c r="L3" s="1355"/>
      <c r="M3" s="851"/>
      <c r="N3" s="851"/>
      <c r="O3" s="851"/>
      <c r="P3" s="851"/>
      <c r="Q3" s="851"/>
      <c r="R3" s="851"/>
    </row>
    <row r="4" spans="1:18">
      <c r="A4" s="852"/>
      <c r="M4" s="901"/>
    </row>
    <row r="5" spans="1:18">
      <c r="M5" s="901"/>
    </row>
    <row r="6" spans="1:18">
      <c r="J6" s="854" t="s">
        <v>177</v>
      </c>
      <c r="K6" s="854" t="s">
        <v>177</v>
      </c>
      <c r="L6" s="854" t="s">
        <v>179</v>
      </c>
      <c r="M6" s="901"/>
    </row>
    <row r="7" spans="1:18">
      <c r="J7" s="854" t="s">
        <v>178</v>
      </c>
      <c r="K7" s="854" t="s">
        <v>178</v>
      </c>
      <c r="L7" s="854" t="s">
        <v>694</v>
      </c>
    </row>
    <row r="8" spans="1:18">
      <c r="H8" s="853" t="s">
        <v>865</v>
      </c>
      <c r="J8" s="900">
        <v>2015</v>
      </c>
      <c r="K8" s="900">
        <v>2016</v>
      </c>
      <c r="L8" s="853" t="s">
        <v>513</v>
      </c>
    </row>
    <row r="9" spans="1:18" ht="12.75" customHeight="1">
      <c r="J9" s="854"/>
      <c r="K9" s="854"/>
      <c r="L9" s="855"/>
    </row>
    <row r="10" spans="1:18">
      <c r="B10" s="860" t="str">
        <f>'Appendix H-1'!B186</f>
        <v>Common Stock</v>
      </c>
      <c r="H10" s="858"/>
      <c r="J10" s="875"/>
      <c r="K10" s="875"/>
      <c r="L10" s="859"/>
    </row>
    <row r="11" spans="1:18">
      <c r="A11" s="801">
        <v>1</v>
      </c>
      <c r="C11" s="857" t="str">
        <f>'Appendix H-1'!C187</f>
        <v>Proprietary Capital</v>
      </c>
      <c r="G11" s="801" t="s">
        <v>333</v>
      </c>
      <c r="H11" s="858" t="s">
        <v>95</v>
      </c>
      <c r="J11" s="1239">
        <v>5023037910</v>
      </c>
      <c r="K11" s="1239">
        <v>5338576131</v>
      </c>
      <c r="L11" s="1001">
        <f>AVERAGE(J11:K11)</f>
        <v>5180807020.5</v>
      </c>
      <c r="M11" s="474"/>
    </row>
    <row r="12" spans="1:18">
      <c r="A12" s="801">
        <f>A11+1</f>
        <v>2</v>
      </c>
      <c r="C12" s="867" t="str">
        <f>'Appendix H-1'!C188</f>
        <v xml:space="preserve">    Remove Preferred Stock (Acct. 204)</v>
      </c>
      <c r="H12" s="861" t="str">
        <f>"(Line "&amp;A22&amp;")"</f>
        <v>(Line 10)</v>
      </c>
      <c r="J12" s="923">
        <f>J22</f>
        <v>100000</v>
      </c>
      <c r="K12" s="923">
        <f>K22</f>
        <v>100000</v>
      </c>
      <c r="L12" s="1001">
        <f>AVERAGE(J12:K12)</f>
        <v>100000</v>
      </c>
    </row>
    <row r="13" spans="1:18">
      <c r="A13" s="801">
        <f>A12+1</f>
        <v>3</v>
      </c>
      <c r="C13" s="867" t="str">
        <f>'Appendix H-1'!C189</f>
        <v xml:space="preserve">    Remove Accumulated Other Comprehensive Income</v>
      </c>
      <c r="H13" s="862" t="s">
        <v>96</v>
      </c>
      <c r="J13" s="1240">
        <v>-2770003</v>
      </c>
      <c r="K13" s="1240">
        <v>-2973265</v>
      </c>
      <c r="L13" s="1001">
        <f>AVERAGE(J13:K13)</f>
        <v>-2871634</v>
      </c>
    </row>
    <row r="14" spans="1:18">
      <c r="A14" s="801">
        <f>A13+1</f>
        <v>4</v>
      </c>
      <c r="C14" s="863" t="str">
        <f>'Appendix H-1'!C190</f>
        <v xml:space="preserve">    Remove Account 216.1</v>
      </c>
      <c r="D14" s="864"/>
      <c r="E14" s="864"/>
      <c r="F14" s="864"/>
      <c r="G14" s="864"/>
      <c r="H14" s="865" t="s">
        <v>97</v>
      </c>
      <c r="I14" s="864"/>
      <c r="J14" s="1241">
        <v>0</v>
      </c>
      <c r="K14" s="1241">
        <v>0</v>
      </c>
      <c r="L14" s="1002">
        <f>AVERAGE(J14:K14)</f>
        <v>0</v>
      </c>
    </row>
    <row r="15" spans="1:18">
      <c r="A15" s="801">
        <f>A14+1</f>
        <v>5</v>
      </c>
      <c r="C15" s="856" t="str">
        <f>'Appendix H-1'!C191</f>
        <v>Common Stock</v>
      </c>
      <c r="H15" s="862" t="str">
        <f>"(Lines "&amp;A11&amp;" - "&amp;A12&amp;" - "&amp;A13&amp;" - "&amp;A14&amp;")"</f>
        <v>(Lines 1 - 2 - 3 - 4)</v>
      </c>
      <c r="J15" s="923">
        <f>J11-J12-J13-J14</f>
        <v>5025707913</v>
      </c>
      <c r="K15" s="923">
        <f>K11-K12-K13-K14</f>
        <v>5341449396</v>
      </c>
      <c r="L15" s="923">
        <f>L11-L12-L13-L14</f>
        <v>5183578654.5</v>
      </c>
      <c r="M15" s="1083">
        <f>'Appendix H-1'!H204</f>
        <v>0.52292433211763523</v>
      </c>
    </row>
    <row r="16" spans="1:18">
      <c r="H16" s="858"/>
      <c r="J16" s="875"/>
      <c r="K16" s="923"/>
      <c r="L16" s="1001"/>
    </row>
    <row r="17" spans="1:13">
      <c r="B17" s="860" t="str">
        <f>'Appendix H-1'!B193</f>
        <v>Capitalization</v>
      </c>
      <c r="H17" s="858"/>
      <c r="J17" s="875"/>
      <c r="K17" s="923"/>
      <c r="L17" s="1001"/>
    </row>
    <row r="18" spans="1:13">
      <c r="A18" s="801">
        <f>A15+1</f>
        <v>6</v>
      </c>
      <c r="C18" s="802" t="str">
        <f>'Appendix H-1'!C194</f>
        <v>Long Term Debt -- Net Proceeds</v>
      </c>
      <c r="H18" s="866" t="s">
        <v>842</v>
      </c>
      <c r="J18" s="1239">
        <v>4531186151</v>
      </c>
      <c r="K18" s="1239">
        <v>4929316431</v>
      </c>
      <c r="L18" s="1001">
        <f>AVERAGE(J18:K18)</f>
        <v>4730251291</v>
      </c>
    </row>
    <row r="19" spans="1:13">
      <c r="A19" s="801">
        <f>A18+1</f>
        <v>7</v>
      </c>
      <c r="C19" s="802" t="str">
        <f>'Appendix H-1'!C195</f>
        <v xml:space="preserve">      Remove Unamortized Premium on Long-Term Debt</v>
      </c>
      <c r="H19" s="862" t="s">
        <v>98</v>
      </c>
      <c r="J19" s="1240">
        <v>24981816</v>
      </c>
      <c r="K19" s="1240">
        <v>24319529</v>
      </c>
      <c r="L19" s="1001">
        <f>AVERAGE(J19:K19)</f>
        <v>24650672.5</v>
      </c>
    </row>
    <row r="20" spans="1:13">
      <c r="A20" s="801">
        <f t="shared" ref="A20:A24" si="0">A19+1</f>
        <v>8</v>
      </c>
      <c r="C20" s="864" t="str">
        <f>'Appendix H-1'!C196</f>
        <v xml:space="preserve">      Remove (Less) Unamortized Discounts on Long-Term Debt</v>
      </c>
      <c r="D20" s="864"/>
      <c r="E20" s="864"/>
      <c r="F20" s="864"/>
      <c r="G20" s="864"/>
      <c r="H20" s="865" t="s">
        <v>99</v>
      </c>
      <c r="I20" s="864"/>
      <c r="J20" s="1241">
        <v>22751632</v>
      </c>
      <c r="K20" s="1241">
        <v>24038677</v>
      </c>
      <c r="L20" s="1002">
        <f>AVERAGE(J20:K20)</f>
        <v>23395154.5</v>
      </c>
    </row>
    <row r="21" spans="1:13">
      <c r="A21" s="801">
        <f t="shared" si="0"/>
        <v>9</v>
      </c>
      <c r="C21" s="802" t="str">
        <f>'Appendix H-1'!C197</f>
        <v>Gross Proceeds of LTD Issuances</v>
      </c>
      <c r="H21" s="862" t="str">
        <f>"(Lines "&amp;A18&amp;" - "&amp;A19&amp;" + "&amp;A20&amp;")"</f>
        <v>(Lines 6 - 7 + 8)</v>
      </c>
      <c r="J21" s="923">
        <f>J18-J19+J20</f>
        <v>4528955967</v>
      </c>
      <c r="K21" s="923">
        <f>K18-K19+K20</f>
        <v>4929035579</v>
      </c>
      <c r="L21" s="923">
        <f>L18-L19+L20</f>
        <v>4728995773</v>
      </c>
    </row>
    <row r="22" spans="1:13">
      <c r="A22" s="801">
        <f t="shared" si="0"/>
        <v>10</v>
      </c>
      <c r="C22" s="802" t="str">
        <f>'Appendix H-1'!C198</f>
        <v>Preferred Stock</v>
      </c>
      <c r="H22" s="866" t="s">
        <v>100</v>
      </c>
      <c r="J22" s="1239">
        <v>100000</v>
      </c>
      <c r="K22" s="1239">
        <v>100000</v>
      </c>
      <c r="L22" s="1001">
        <f>AVERAGE(J22:K22)</f>
        <v>100000</v>
      </c>
    </row>
    <row r="23" spans="1:13">
      <c r="A23" s="801">
        <f t="shared" si="0"/>
        <v>11</v>
      </c>
      <c r="C23" s="864" t="str">
        <f>'Appendix H-1'!C199</f>
        <v>Common Stock</v>
      </c>
      <c r="D23" s="864"/>
      <c r="E23" s="864"/>
      <c r="F23" s="864"/>
      <c r="G23" s="864"/>
      <c r="H23" s="865" t="str">
        <f>"(Line "&amp;A15&amp;")"</f>
        <v>(Line 5)</v>
      </c>
      <c r="I23" s="864"/>
      <c r="J23" s="924">
        <f>J15</f>
        <v>5025707913</v>
      </c>
      <c r="K23" s="924">
        <f>K15</f>
        <v>5341449396</v>
      </c>
      <c r="L23" s="924">
        <f>L15</f>
        <v>5183578654.5</v>
      </c>
    </row>
    <row r="24" spans="1:13">
      <c r="A24" s="801">
        <f t="shared" si="0"/>
        <v>12</v>
      </c>
      <c r="C24" s="802" t="str">
        <f>'Appendix H-1'!C200</f>
        <v>Total  Capitalization</v>
      </c>
      <c r="H24" s="862" t="str">
        <f>"(Sum Lines "&amp;A21&amp;" to "&amp;A23&amp;")"</f>
        <v>(Sum Lines 9 to 11)</v>
      </c>
      <c r="J24" s="925">
        <f>SUM(J21:J23)</f>
        <v>9554763880</v>
      </c>
      <c r="K24" s="925">
        <f>SUM(K21:K23)</f>
        <v>10270584975</v>
      </c>
      <c r="L24" s="925">
        <f>SUM(L21:L23)</f>
        <v>9912674427.5</v>
      </c>
    </row>
    <row r="26" spans="1:13">
      <c r="C26" s="301" t="s">
        <v>147</v>
      </c>
    </row>
    <row r="28" spans="1:13">
      <c r="A28" s="43" t="s">
        <v>149</v>
      </c>
      <c r="B28" s="312"/>
      <c r="C28" s="312"/>
      <c r="D28" s="312"/>
      <c r="E28" s="312"/>
      <c r="F28" s="312"/>
      <c r="G28" s="312"/>
      <c r="H28" s="312"/>
      <c r="I28" s="312"/>
      <c r="J28" s="312"/>
      <c r="K28" s="312"/>
      <c r="L28" s="312"/>
      <c r="M28" s="312"/>
    </row>
    <row r="29" spans="1:13">
      <c r="A29" s="319"/>
      <c r="B29" s="312"/>
      <c r="C29" s="312"/>
      <c r="D29" s="312"/>
      <c r="E29" s="312"/>
      <c r="F29" s="312"/>
      <c r="G29" s="312"/>
      <c r="H29" s="312"/>
      <c r="I29" s="312"/>
      <c r="J29" s="312"/>
      <c r="K29" s="328"/>
      <c r="L29" s="349" t="s">
        <v>150</v>
      </c>
    </row>
    <row r="30" spans="1:13">
      <c r="A30" s="457"/>
      <c r="B30" s="576" t="s">
        <v>151</v>
      </c>
      <c r="C30" s="441"/>
      <c r="D30" s="347"/>
      <c r="E30" s="348"/>
      <c r="F30" s="348"/>
      <c r="G30" s="315"/>
      <c r="H30" s="482"/>
      <c r="I30" s="315"/>
      <c r="J30" s="878" t="s">
        <v>152</v>
      </c>
      <c r="K30" s="878" t="s">
        <v>153</v>
      </c>
      <c r="L30" s="878" t="s">
        <v>154</v>
      </c>
    </row>
    <row r="31" spans="1:13">
      <c r="A31" s="457">
        <f>A24+1</f>
        <v>13</v>
      </c>
      <c r="B31" s="496"/>
      <c r="C31" s="480" t="s">
        <v>155</v>
      </c>
      <c r="D31" s="480"/>
      <c r="E31" s="526"/>
      <c r="F31" s="879"/>
      <c r="G31" s="880" t="s">
        <v>156</v>
      </c>
      <c r="H31" s="1242" t="s">
        <v>886</v>
      </c>
      <c r="I31" s="881"/>
      <c r="J31" s="933">
        <v>-1977696</v>
      </c>
      <c r="K31" s="933">
        <v>3636576</v>
      </c>
      <c r="L31" s="926">
        <f>J31+K31</f>
        <v>1658880</v>
      </c>
    </row>
    <row r="32" spans="1:13">
      <c r="A32" s="457">
        <f>A31+1</f>
        <v>14</v>
      </c>
      <c r="B32" s="312"/>
      <c r="C32" s="447" t="s">
        <v>163</v>
      </c>
      <c r="D32" s="312"/>
      <c r="E32" s="312"/>
      <c r="F32" s="312"/>
      <c r="G32" s="312"/>
      <c r="H32" s="862" t="str">
        <f>"(Line "&amp;A31&amp;")"</f>
        <v>(Line 13)</v>
      </c>
      <c r="I32" s="312"/>
      <c r="J32" s="474">
        <f>J31</f>
        <v>-1977696</v>
      </c>
      <c r="K32" s="927">
        <f>K31</f>
        <v>3636576</v>
      </c>
      <c r="L32" s="352">
        <f>L31</f>
        <v>1658880</v>
      </c>
    </row>
    <row r="33" spans="1:13">
      <c r="A33" s="319"/>
      <c r="B33" s="312"/>
      <c r="C33" s="441"/>
      <c r="D33" s="312"/>
      <c r="E33" s="312"/>
      <c r="F33" s="312"/>
      <c r="G33" s="312"/>
      <c r="H33" s="312"/>
      <c r="I33" s="312"/>
      <c r="J33" s="928"/>
      <c r="K33" s="928"/>
      <c r="L33" s="929"/>
    </row>
    <row r="34" spans="1:13">
      <c r="A34" s="319"/>
      <c r="B34" s="312"/>
      <c r="C34" s="441"/>
      <c r="D34" s="312"/>
      <c r="E34" s="312"/>
      <c r="F34" s="312"/>
      <c r="G34" s="312"/>
      <c r="H34" s="312"/>
      <c r="I34" s="312"/>
      <c r="J34" s="928"/>
      <c r="K34" s="928"/>
      <c r="L34" s="348" t="s">
        <v>157</v>
      </c>
    </row>
    <row r="35" spans="1:13">
      <c r="A35" s="319"/>
      <c r="B35" s="882" t="s">
        <v>185</v>
      </c>
      <c r="C35" s="312"/>
      <c r="D35" s="312"/>
      <c r="E35" s="312"/>
      <c r="F35" s="312"/>
      <c r="G35" s="312"/>
      <c r="H35" s="312"/>
      <c r="I35" s="312"/>
      <c r="J35" s="930" t="s">
        <v>152</v>
      </c>
      <c r="K35" s="930" t="s">
        <v>153</v>
      </c>
      <c r="L35" s="930" t="s">
        <v>154</v>
      </c>
    </row>
    <row r="36" spans="1:13">
      <c r="A36" s="458">
        <f>A32+1</f>
        <v>15</v>
      </c>
      <c r="B36" s="459"/>
      <c r="C36" s="816" t="s">
        <v>158</v>
      </c>
      <c r="D36" s="315"/>
      <c r="E36" s="315"/>
      <c r="F36" s="315"/>
      <c r="G36" s="883" t="s">
        <v>159</v>
      </c>
      <c r="H36" s="747"/>
      <c r="I36" s="884"/>
      <c r="J36" s="749">
        <v>0</v>
      </c>
      <c r="K36" s="932">
        <v>0</v>
      </c>
      <c r="L36" s="351">
        <f>J36+K36</f>
        <v>0</v>
      </c>
    </row>
    <row r="37" spans="1:13">
      <c r="A37" s="459">
        <f t="shared" ref="A37:A43" si="1">A36+1</f>
        <v>16</v>
      </c>
      <c r="B37" s="459"/>
      <c r="C37" s="816" t="s">
        <v>160</v>
      </c>
      <c r="D37" s="315"/>
      <c r="E37" s="315"/>
      <c r="F37" s="315"/>
      <c r="G37" s="883" t="s">
        <v>159</v>
      </c>
      <c r="H37" s="747"/>
      <c r="I37" s="884"/>
      <c r="J37" s="932"/>
      <c r="K37" s="931"/>
      <c r="L37" s="351">
        <f t="shared" ref="L37:L42" si="2">J37+K37</f>
        <v>0</v>
      </c>
    </row>
    <row r="38" spans="1:13">
      <c r="A38" s="459">
        <f t="shared" si="1"/>
        <v>17</v>
      </c>
      <c r="B38" s="459"/>
      <c r="C38" s="816" t="s">
        <v>161</v>
      </c>
      <c r="D38" s="315"/>
      <c r="E38" s="315"/>
      <c r="F38" s="315"/>
      <c r="G38" s="883" t="s">
        <v>159</v>
      </c>
      <c r="H38" s="747"/>
      <c r="I38" s="884"/>
      <c r="J38" s="932"/>
      <c r="K38" s="932"/>
      <c r="L38" s="351">
        <f t="shared" si="2"/>
        <v>0</v>
      </c>
    </row>
    <row r="39" spans="1:13">
      <c r="A39" s="459">
        <f t="shared" si="1"/>
        <v>18</v>
      </c>
      <c r="B39" s="312"/>
      <c r="C39" s="816" t="s">
        <v>162</v>
      </c>
      <c r="D39" s="315"/>
      <c r="E39" s="315"/>
      <c r="F39" s="315"/>
      <c r="G39" s="883" t="s">
        <v>159</v>
      </c>
      <c r="H39" s="885"/>
      <c r="I39" s="885"/>
      <c r="J39" s="749"/>
      <c r="K39" s="749"/>
      <c r="L39" s="351">
        <f t="shared" si="2"/>
        <v>0</v>
      </c>
    </row>
    <row r="40" spans="1:13">
      <c r="A40" s="459">
        <f t="shared" si="1"/>
        <v>19</v>
      </c>
      <c r="B40" s="312"/>
      <c r="C40" s="886"/>
      <c r="D40" s="884"/>
      <c r="E40" s="884"/>
      <c r="F40" s="884"/>
      <c r="G40" s="884"/>
      <c r="H40" s="884"/>
      <c r="I40" s="884"/>
      <c r="J40" s="932"/>
      <c r="K40" s="932"/>
      <c r="L40" s="351">
        <f t="shared" si="2"/>
        <v>0</v>
      </c>
    </row>
    <row r="41" spans="1:13">
      <c r="A41" s="459">
        <f t="shared" si="1"/>
        <v>20</v>
      </c>
      <c r="B41" s="312"/>
      <c r="C41" s="886"/>
      <c r="D41" s="884"/>
      <c r="E41" s="884"/>
      <c r="F41" s="884"/>
      <c r="G41" s="884"/>
      <c r="H41" s="884"/>
      <c r="I41" s="884"/>
      <c r="J41" s="932"/>
      <c r="K41" s="932"/>
      <c r="L41" s="351">
        <f t="shared" si="2"/>
        <v>0</v>
      </c>
    </row>
    <row r="42" spans="1:13">
      <c r="A42" s="459">
        <f t="shared" si="1"/>
        <v>21</v>
      </c>
      <c r="B42" s="312"/>
      <c r="C42" s="887"/>
      <c r="D42" s="888"/>
      <c r="E42" s="888"/>
      <c r="F42" s="888"/>
      <c r="G42" s="888"/>
      <c r="H42" s="888"/>
      <c r="I42" s="888"/>
      <c r="J42" s="933"/>
      <c r="K42" s="933"/>
      <c r="L42" s="527">
        <f t="shared" si="2"/>
        <v>0</v>
      </c>
    </row>
    <row r="43" spans="1:13">
      <c r="A43" s="459">
        <f t="shared" si="1"/>
        <v>22</v>
      </c>
      <c r="B43" s="312"/>
      <c r="C43" s="882" t="s">
        <v>184</v>
      </c>
      <c r="D43" s="312"/>
      <c r="E43" s="312"/>
      <c r="F43" s="312"/>
      <c r="G43" s="312"/>
      <c r="H43" s="482" t="str">
        <f>"(Sum Lines "&amp;A36&amp;" to "&amp;A42&amp;")"</f>
        <v>(Sum Lines 15 to 21)</v>
      </c>
      <c r="I43" s="312"/>
      <c r="J43" s="929">
        <f>SUM(J36:J42)</f>
        <v>0</v>
      </c>
      <c r="K43" s="929">
        <f>SUM(K36:K42)</f>
        <v>0</v>
      </c>
      <c r="L43" s="929">
        <f>SUM(L36:L42)</f>
        <v>0</v>
      </c>
    </row>
    <row r="44" spans="1:13">
      <c r="A44" s="319"/>
      <c r="B44" s="312"/>
      <c r="C44" s="312"/>
      <c r="D44" s="312"/>
      <c r="E44" s="312"/>
      <c r="F44" s="312"/>
      <c r="G44" s="312"/>
      <c r="H44" s="312"/>
      <c r="I44" s="312"/>
      <c r="J44" s="929"/>
      <c r="K44" s="929"/>
      <c r="L44" s="929"/>
      <c r="M44" s="343"/>
    </row>
    <row r="45" spans="1:13">
      <c r="A45" s="319"/>
      <c r="B45" s="312"/>
      <c r="C45" s="312"/>
      <c r="D45" s="312"/>
      <c r="E45" s="312"/>
      <c r="F45" s="312"/>
      <c r="G45" s="312"/>
      <c r="H45" s="312"/>
      <c r="I45" s="312"/>
      <c r="J45" s="312"/>
      <c r="K45" s="312"/>
      <c r="L45" s="312"/>
      <c r="M45" s="343"/>
    </row>
    <row r="46" spans="1:13">
      <c r="A46" s="319"/>
      <c r="B46" s="567" t="s">
        <v>325</v>
      </c>
      <c r="C46" s="330"/>
      <c r="D46" s="312"/>
      <c r="E46" s="312"/>
      <c r="F46" s="312"/>
      <c r="G46" s="312"/>
      <c r="H46" s="312"/>
      <c r="I46" s="312"/>
      <c r="J46" s="312"/>
      <c r="K46" s="312"/>
      <c r="L46" s="312"/>
      <c r="M46" s="343"/>
    </row>
    <row r="47" spans="1:13">
      <c r="A47" s="319"/>
      <c r="B47" s="458">
        <v>1</v>
      </c>
      <c r="C47" s="330" t="s">
        <v>164</v>
      </c>
      <c r="D47" s="312"/>
      <c r="E47" s="312"/>
      <c r="F47" s="312"/>
      <c r="G47" s="312"/>
      <c r="H47" s="312"/>
      <c r="I47" s="312"/>
      <c r="J47" s="312"/>
      <c r="K47" s="312"/>
      <c r="L47" s="312"/>
      <c r="M47" s="343"/>
    </row>
    <row r="48" spans="1:13">
      <c r="A48" s="319"/>
      <c r="B48" s="458"/>
      <c r="C48" s="330" t="s">
        <v>167</v>
      </c>
      <c r="D48" s="312"/>
      <c r="E48" s="312"/>
      <c r="F48" s="312"/>
      <c r="G48" s="312"/>
      <c r="H48" s="312"/>
      <c r="I48" s="312"/>
      <c r="J48" s="312"/>
      <c r="K48" s="312"/>
      <c r="L48" s="312"/>
      <c r="M48" s="343"/>
    </row>
    <row r="49" spans="1:13">
      <c r="A49" s="319"/>
      <c r="B49" s="458"/>
      <c r="C49" s="330" t="s">
        <v>168</v>
      </c>
      <c r="D49" s="312"/>
      <c r="E49" s="312"/>
      <c r="F49" s="312"/>
      <c r="G49" s="312"/>
      <c r="H49" s="312"/>
      <c r="I49" s="312"/>
      <c r="J49" s="312"/>
      <c r="K49" s="312"/>
      <c r="L49" s="312"/>
      <c r="M49" s="312"/>
    </row>
    <row r="50" spans="1:13">
      <c r="A50" s="319"/>
      <c r="B50" s="458">
        <v>2</v>
      </c>
      <c r="C50" s="347" t="s">
        <v>836</v>
      </c>
      <c r="D50" s="312"/>
      <c r="E50" s="312"/>
      <c r="F50" s="312"/>
      <c r="G50" s="312"/>
      <c r="H50" s="312"/>
      <c r="I50" s="312"/>
      <c r="J50" s="312"/>
      <c r="K50" s="312"/>
      <c r="L50" s="312"/>
      <c r="M50" s="312"/>
    </row>
    <row r="51" spans="1:13">
      <c r="A51" s="319"/>
      <c r="B51" s="312"/>
      <c r="C51" s="347" t="s">
        <v>837</v>
      </c>
      <c r="D51" s="312"/>
      <c r="E51" s="312"/>
      <c r="F51" s="312"/>
      <c r="G51" s="312"/>
      <c r="H51" s="312"/>
      <c r="I51" s="312"/>
      <c r="J51" s="312"/>
      <c r="K51" s="312"/>
      <c r="L51" s="312"/>
      <c r="M51" s="312"/>
    </row>
  </sheetData>
  <mergeCells count="2">
    <mergeCell ref="A1:L1"/>
    <mergeCell ref="A3:L3"/>
  </mergeCells>
  <phoneticPr fontId="83" type="noConversion"/>
  <pageMargins left="0.7" right="0.7" top="0.75" bottom="0.75" header="0.3" footer="0.3"/>
  <pageSetup scale="48" orientation="portrait" r:id="rId1"/>
  <headerFooter>
    <oddHeader>&amp;RPage &amp;P of &amp;N</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I150"/>
  <sheetViews>
    <sheetView zoomScaleNormal="100" zoomScaleSheetLayoutView="130" workbookViewId="0">
      <selection activeCell="B150" sqref="B150"/>
    </sheetView>
  </sheetViews>
  <sheetFormatPr defaultColWidth="9.140625" defaultRowHeight="12.75"/>
  <cols>
    <col min="1" max="1" width="2.140625" style="508" customWidth="1"/>
    <col min="2" max="2" width="51" style="315" customWidth="1"/>
    <col min="3" max="3" width="18.28515625" style="315" bestFit="1" customWidth="1"/>
    <col min="4" max="4" width="15.85546875" style="315" bestFit="1" customWidth="1"/>
    <col min="5" max="5" width="18.28515625" style="315" bestFit="1" customWidth="1"/>
    <col min="6" max="6" width="14.42578125" style="315" bestFit="1" customWidth="1"/>
    <col min="7" max="7" width="13.28515625" style="315" bestFit="1" customWidth="1"/>
    <col min="8" max="8" width="45.28515625" style="315" customWidth="1"/>
    <col min="9" max="16384" width="9.140625" style="315"/>
  </cols>
  <sheetData>
    <row r="1" spans="1:8" ht="15.75">
      <c r="A1" s="1266" t="str">
        <f>'Appendix H-1'!A6</f>
        <v>South Carolina Electric &amp; Gas Company (SCEG)</v>
      </c>
      <c r="B1" s="1267"/>
      <c r="C1" s="1267"/>
      <c r="D1" s="1267"/>
      <c r="E1" s="1267"/>
      <c r="F1" s="1267"/>
      <c r="G1" s="1267"/>
    </row>
    <row r="2" spans="1:8" ht="15.75">
      <c r="A2" s="631"/>
      <c r="B2" s="632"/>
      <c r="C2" s="7"/>
      <c r="D2" s="7"/>
      <c r="E2" s="7"/>
      <c r="F2" s="7"/>
      <c r="G2" s="7"/>
    </row>
    <row r="3" spans="1:8" ht="15">
      <c r="A3" s="8"/>
      <c r="B3" s="1268" t="s">
        <v>545</v>
      </c>
      <c r="C3" s="1268"/>
      <c r="D3" s="1268"/>
      <c r="E3" s="1268"/>
      <c r="F3" s="1268"/>
      <c r="G3" s="1268"/>
    </row>
    <row r="4" spans="1:8">
      <c r="H4" s="28"/>
    </row>
    <row r="5" spans="1:8">
      <c r="C5" s="1273" t="s">
        <v>863</v>
      </c>
      <c r="D5" s="1273"/>
      <c r="E5" s="1273"/>
      <c r="H5" s="28"/>
    </row>
    <row r="6" spans="1:8">
      <c r="C6" s="22" t="s">
        <v>369</v>
      </c>
      <c r="D6" s="44"/>
      <c r="E6" s="22"/>
      <c r="F6" s="22"/>
    </row>
    <row r="7" spans="1:8">
      <c r="C7" s="22" t="s">
        <v>358</v>
      </c>
      <c r="D7" s="22" t="s">
        <v>365</v>
      </c>
      <c r="E7" s="22" t="s">
        <v>367</v>
      </c>
      <c r="F7" s="22"/>
    </row>
    <row r="8" spans="1:8">
      <c r="C8" s="306" t="s">
        <v>366</v>
      </c>
      <c r="D8" s="306" t="s">
        <v>366</v>
      </c>
      <c r="E8" s="306" t="s">
        <v>366</v>
      </c>
      <c r="F8" s="306" t="s">
        <v>667</v>
      </c>
    </row>
    <row r="11" spans="1:8">
      <c r="B11" s="297" t="s">
        <v>360</v>
      </c>
      <c r="C11" s="474">
        <f>E94</f>
        <v>-190592076</v>
      </c>
      <c r="D11" s="474">
        <f>F94</f>
        <v>-12465100</v>
      </c>
      <c r="E11" s="474">
        <f>G94</f>
        <v>-32498053</v>
      </c>
      <c r="F11" s="474">
        <f>SUM(C11:E11)</f>
        <v>-235555229</v>
      </c>
    </row>
    <row r="12" spans="1:8">
      <c r="B12" s="297" t="s">
        <v>361</v>
      </c>
      <c r="C12" s="474">
        <f>E138</f>
        <v>0</v>
      </c>
      <c r="D12" s="474">
        <f>F138</f>
        <v>-7867880</v>
      </c>
      <c r="E12" s="474">
        <f>G138</f>
        <v>-52558007</v>
      </c>
      <c r="F12" s="474">
        <f>SUM(C12:E12)</f>
        <v>-60425887</v>
      </c>
    </row>
    <row r="13" spans="1:8">
      <c r="B13" s="297" t="s">
        <v>359</v>
      </c>
      <c r="C13" s="474">
        <f>E59</f>
        <v>0</v>
      </c>
      <c r="D13" s="474">
        <f>F59</f>
        <v>0</v>
      </c>
      <c r="E13" s="474">
        <f>G59</f>
        <v>62070700</v>
      </c>
      <c r="F13" s="474">
        <f>SUM(C13:E13)</f>
        <v>62070700</v>
      </c>
    </row>
    <row r="14" spans="1:8">
      <c r="B14" s="297" t="s">
        <v>338</v>
      </c>
      <c r="C14" s="474">
        <f>SUM(C11:C13)</f>
        <v>-190592076</v>
      </c>
      <c r="D14" s="474">
        <f>SUM(D11:D13)</f>
        <v>-20332980</v>
      </c>
      <c r="E14" s="474">
        <f>SUM(E11:E13)</f>
        <v>-22985360</v>
      </c>
      <c r="F14" s="474">
        <f>SUM(C14:E14)</f>
        <v>-233910416</v>
      </c>
    </row>
    <row r="15" spans="1:8">
      <c r="B15" s="297" t="s">
        <v>561</v>
      </c>
      <c r="E15" s="627">
        <f>+'Appendix H-1'!H17</f>
        <v>5.9187768577029835E-2</v>
      </c>
    </row>
    <row r="16" spans="1:8">
      <c r="B16" s="297" t="s">
        <v>196</v>
      </c>
      <c r="D16" s="627">
        <f>+'Appendix H-1'!H33</f>
        <v>0.13153506818414223</v>
      </c>
    </row>
    <row r="17" spans="2:9">
      <c r="B17" s="297" t="s">
        <v>609</v>
      </c>
      <c r="C17" s="628">
        <v>1</v>
      </c>
      <c r="D17" s="627"/>
    </row>
    <row r="18" spans="2:9">
      <c r="B18" s="297" t="s">
        <v>864</v>
      </c>
      <c r="C18" s="474">
        <f>C14*C17</f>
        <v>-190592076</v>
      </c>
      <c r="D18" s="474">
        <f>D14*D16</f>
        <v>-2674499.9106868003</v>
      </c>
      <c r="E18" s="474">
        <f>E14*E15</f>
        <v>-1360452.1683397186</v>
      </c>
      <c r="F18" s="474">
        <f>SUM(C18:E18)</f>
        <v>-194627028.07902652</v>
      </c>
    </row>
    <row r="21" spans="2:9">
      <c r="B21" s="1132" t="s">
        <v>873</v>
      </c>
    </row>
    <row r="22" spans="2:9" ht="27.75" customHeight="1">
      <c r="B22" s="1272" t="s">
        <v>669</v>
      </c>
      <c r="C22" s="1271"/>
      <c r="D22" s="1271"/>
      <c r="E22" s="1271"/>
      <c r="F22" s="1271"/>
      <c r="G22" s="1271"/>
    </row>
    <row r="23" spans="2:9">
      <c r="B23" s="308" t="s">
        <v>668</v>
      </c>
      <c r="D23" s="474">
        <f>D59+D94+D138</f>
        <v>-1376764188</v>
      </c>
      <c r="E23" s="474"/>
      <c r="F23" s="333"/>
    </row>
    <row r="24" spans="2:9">
      <c r="D24" s="474"/>
      <c r="E24" s="474"/>
    </row>
    <row r="25" spans="2:9">
      <c r="B25" s="737" t="s">
        <v>812</v>
      </c>
      <c r="E25" s="474">
        <f>F14+D23</f>
        <v>-1610674604</v>
      </c>
      <c r="F25" s="474"/>
      <c r="I25" s="1008"/>
    </row>
    <row r="26" spans="2:9">
      <c r="E26" s="474"/>
      <c r="F26" s="474"/>
    </row>
    <row r="27" spans="2:9" ht="9.75" customHeight="1">
      <c r="E27" s="474"/>
    </row>
    <row r="28" spans="2:9">
      <c r="B28" s="1269" t="str">
        <f>+B3</f>
        <v>Attachment 1 - Accumulated Deferred Income Taxes (ADIT) Worksheet</v>
      </c>
      <c r="C28" s="1269"/>
      <c r="D28" s="1269"/>
      <c r="E28" s="1269"/>
      <c r="F28" s="1269"/>
      <c r="G28" s="1269"/>
    </row>
    <row r="29" spans="2:9">
      <c r="H29" s="28"/>
    </row>
    <row r="30" spans="2:9">
      <c r="B30" s="22" t="s">
        <v>214</v>
      </c>
      <c r="C30" s="309" t="s">
        <v>307</v>
      </c>
      <c r="D30" s="22" t="s">
        <v>195</v>
      </c>
      <c r="E30" s="22" t="s">
        <v>215</v>
      </c>
      <c r="F30" s="22" t="s">
        <v>213</v>
      </c>
      <c r="G30" s="22" t="s">
        <v>484</v>
      </c>
      <c r="H30" s="22" t="s">
        <v>216</v>
      </c>
    </row>
    <row r="31" spans="2:9">
      <c r="B31" s="297" t="s">
        <v>359</v>
      </c>
      <c r="D31" s="22" t="s">
        <v>591</v>
      </c>
      <c r="E31" s="22" t="s">
        <v>369</v>
      </c>
      <c r="F31" s="44"/>
      <c r="G31" s="22"/>
    </row>
    <row r="32" spans="2:9">
      <c r="D32" s="22" t="s">
        <v>368</v>
      </c>
      <c r="E32" s="22" t="s">
        <v>358</v>
      </c>
      <c r="F32" s="22" t="s">
        <v>365</v>
      </c>
      <c r="G32" s="22" t="s">
        <v>367</v>
      </c>
    </row>
    <row r="33" spans="1:8">
      <c r="C33" s="306" t="s">
        <v>306</v>
      </c>
      <c r="D33" s="306" t="s">
        <v>366</v>
      </c>
      <c r="E33" s="306" t="s">
        <v>366</v>
      </c>
      <c r="F33" s="306" t="s">
        <v>366</v>
      </c>
      <c r="G33" s="306" t="s">
        <v>366</v>
      </c>
      <c r="H33" s="307" t="s">
        <v>612</v>
      </c>
    </row>
    <row r="34" spans="1:8" s="1008" customFormat="1" ht="25.5">
      <c r="A34" s="1209"/>
      <c r="B34" s="1248" t="s">
        <v>765</v>
      </c>
      <c r="C34" s="1255">
        <v>34947826</v>
      </c>
      <c r="D34" s="1255">
        <f t="shared" ref="D34:D39" si="0">C34</f>
        <v>34947826</v>
      </c>
      <c r="E34" s="1255"/>
      <c r="F34" s="1255"/>
      <c r="G34" s="1255"/>
      <c r="H34" s="1249" t="s">
        <v>766</v>
      </c>
    </row>
    <row r="35" spans="1:8" s="1008" customFormat="1" ht="51">
      <c r="A35" s="1209"/>
      <c r="B35" s="1248" t="s">
        <v>565</v>
      </c>
      <c r="C35" s="1253">
        <v>234000</v>
      </c>
      <c r="D35" s="1255">
        <f t="shared" si="0"/>
        <v>234000</v>
      </c>
      <c r="E35" s="1255"/>
      <c r="F35" s="1255"/>
      <c r="G35" s="1255"/>
      <c r="H35" s="1249" t="s">
        <v>615</v>
      </c>
    </row>
    <row r="36" spans="1:8" s="1008" customFormat="1" ht="25.5">
      <c r="A36" s="1209"/>
      <c r="B36" s="1247" t="s">
        <v>890</v>
      </c>
      <c r="C36" s="1257">
        <v>4466400</v>
      </c>
      <c r="D36" s="1256">
        <f>C36</f>
        <v>4466400</v>
      </c>
      <c r="E36" s="1256"/>
      <c r="F36" s="1256"/>
      <c r="G36" s="1256"/>
      <c r="H36" s="1254" t="s">
        <v>894</v>
      </c>
    </row>
    <row r="37" spans="1:8" s="1008" customFormat="1" ht="60" customHeight="1">
      <c r="A37" s="1209"/>
      <c r="B37" s="1247" t="s">
        <v>840</v>
      </c>
      <c r="C37" s="1257">
        <v>-128400</v>
      </c>
      <c r="D37" s="1257">
        <f t="shared" si="0"/>
        <v>-128400</v>
      </c>
      <c r="E37" s="1256"/>
      <c r="F37" s="1256"/>
      <c r="G37" s="1255"/>
      <c r="H37" s="1249" t="s">
        <v>856</v>
      </c>
    </row>
    <row r="38" spans="1:8" s="1008" customFormat="1" ht="60" customHeight="1">
      <c r="A38" s="1209"/>
      <c r="B38" s="1247" t="s">
        <v>876</v>
      </c>
      <c r="C38" s="1257">
        <v>108604000</v>
      </c>
      <c r="D38" s="1256">
        <f t="shared" si="0"/>
        <v>108604000</v>
      </c>
      <c r="E38" s="1256"/>
      <c r="F38" s="1256"/>
      <c r="G38" s="1256"/>
      <c r="H38" s="1249" t="s">
        <v>884</v>
      </c>
    </row>
    <row r="39" spans="1:8" s="1008" customFormat="1" ht="38.25">
      <c r="A39" s="1209"/>
      <c r="B39" s="1248" t="s">
        <v>566</v>
      </c>
      <c r="C39" s="1253">
        <v>2411500</v>
      </c>
      <c r="D39" s="1255">
        <f t="shared" si="0"/>
        <v>2411500</v>
      </c>
      <c r="E39" s="1255"/>
      <c r="F39" s="1255"/>
      <c r="G39" s="1255"/>
      <c r="H39" s="1249" t="s">
        <v>699</v>
      </c>
    </row>
    <row r="40" spans="1:8" s="1008" customFormat="1" ht="25.5">
      <c r="A40" s="1209"/>
      <c r="B40" s="1260" t="s">
        <v>606</v>
      </c>
      <c r="C40" s="1255"/>
      <c r="D40" s="1255"/>
      <c r="E40" s="1255"/>
      <c r="F40" s="1255"/>
      <c r="G40" s="1255"/>
      <c r="H40" s="1249" t="s">
        <v>613</v>
      </c>
    </row>
    <row r="41" spans="1:8" s="1008" customFormat="1" ht="38.25">
      <c r="A41" s="1209"/>
      <c r="B41" s="1248" t="s">
        <v>596</v>
      </c>
      <c r="C41" s="1258">
        <v>1069500</v>
      </c>
      <c r="D41" s="1255">
        <f t="shared" ref="D41:D56" si="1">C41</f>
        <v>1069500</v>
      </c>
      <c r="E41" s="1255"/>
      <c r="F41" s="1255"/>
      <c r="G41" s="1255"/>
      <c r="H41" s="1249" t="s">
        <v>700</v>
      </c>
    </row>
    <row r="42" spans="1:8" s="1008" customFormat="1" ht="25.5">
      <c r="A42" s="1209"/>
      <c r="B42" s="1248" t="s">
        <v>607</v>
      </c>
      <c r="C42" s="1258">
        <v>2655000</v>
      </c>
      <c r="D42" s="1255"/>
      <c r="E42" s="1255"/>
      <c r="F42" s="1255"/>
      <c r="G42" s="1255">
        <f>C42</f>
        <v>2655000</v>
      </c>
      <c r="H42" s="1249" t="s">
        <v>616</v>
      </c>
    </row>
    <row r="43" spans="1:8" s="1008" customFormat="1" ht="25.5">
      <c r="A43" s="1209"/>
      <c r="B43" s="1248" t="s">
        <v>597</v>
      </c>
      <c r="C43" s="1258">
        <v>53324500</v>
      </c>
      <c r="D43" s="1255"/>
      <c r="E43" s="1255"/>
      <c r="F43" s="1255"/>
      <c r="G43" s="1255">
        <f>C43</f>
        <v>53324500</v>
      </c>
      <c r="H43" s="1249" t="s">
        <v>616</v>
      </c>
    </row>
    <row r="44" spans="1:8" s="1008" customFormat="1" ht="38.25">
      <c r="A44" s="1209"/>
      <c r="B44" s="1247" t="s">
        <v>598</v>
      </c>
      <c r="C44" s="1259">
        <v>9546200</v>
      </c>
      <c r="D44" s="1256">
        <f t="shared" si="1"/>
        <v>9546200</v>
      </c>
      <c r="E44" s="1256"/>
      <c r="F44" s="1256"/>
      <c r="G44" s="1256"/>
      <c r="H44" s="1254" t="s">
        <v>657</v>
      </c>
    </row>
    <row r="45" spans="1:8" s="1008" customFormat="1" ht="51">
      <c r="A45" s="1209"/>
      <c r="B45" s="1248" t="s">
        <v>599</v>
      </c>
      <c r="C45" s="1258">
        <v>-7537800</v>
      </c>
      <c r="D45" s="1255">
        <f>C45</f>
        <v>-7537800</v>
      </c>
      <c r="E45" s="1255"/>
      <c r="F45" s="1255"/>
      <c r="G45" s="1255"/>
      <c r="H45" s="1249" t="s">
        <v>658</v>
      </c>
    </row>
    <row r="46" spans="1:8" s="1008" customFormat="1" ht="25.5">
      <c r="A46" s="1209"/>
      <c r="B46" s="1248" t="s">
        <v>600</v>
      </c>
      <c r="C46" s="1258">
        <v>334200</v>
      </c>
      <c r="D46" s="1255"/>
      <c r="E46" s="1255"/>
      <c r="F46" s="1255"/>
      <c r="G46" s="1255">
        <f t="shared" ref="G46:G50" si="2">C46</f>
        <v>334200</v>
      </c>
      <c r="H46" s="1249" t="s">
        <v>617</v>
      </c>
    </row>
    <row r="47" spans="1:8" s="1008" customFormat="1" ht="25.5">
      <c r="A47" s="1209"/>
      <c r="B47" s="1248" t="s">
        <v>601</v>
      </c>
      <c r="C47" s="1258">
        <v>894500</v>
      </c>
      <c r="D47" s="1255"/>
      <c r="E47" s="1255"/>
      <c r="F47" s="1255"/>
      <c r="G47" s="1255">
        <f t="shared" si="2"/>
        <v>894500</v>
      </c>
      <c r="H47" s="1249" t="s">
        <v>617</v>
      </c>
    </row>
    <row r="48" spans="1:8" s="1008" customFormat="1" ht="25.5">
      <c r="A48" s="1209"/>
      <c r="B48" s="1248" t="s">
        <v>602</v>
      </c>
      <c r="C48" s="1258">
        <v>2904400</v>
      </c>
      <c r="D48" s="1255"/>
      <c r="E48" s="1255"/>
      <c r="F48" s="1255"/>
      <c r="G48" s="1255">
        <f t="shared" si="2"/>
        <v>2904400</v>
      </c>
      <c r="H48" s="1249" t="s">
        <v>617</v>
      </c>
    </row>
    <row r="49" spans="1:8" s="1008" customFormat="1" ht="25.5">
      <c r="A49" s="1209"/>
      <c r="B49" s="1248" t="s">
        <v>608</v>
      </c>
      <c r="C49" s="1258">
        <v>256800</v>
      </c>
      <c r="D49" s="1255"/>
      <c r="E49" s="1255"/>
      <c r="F49" s="1255"/>
      <c r="G49" s="1255">
        <f t="shared" si="2"/>
        <v>256800</v>
      </c>
      <c r="H49" s="1249" t="s">
        <v>617</v>
      </c>
    </row>
    <row r="50" spans="1:8" s="1008" customFormat="1" ht="25.5">
      <c r="A50" s="1209"/>
      <c r="B50" s="1248" t="s">
        <v>603</v>
      </c>
      <c r="C50" s="1258">
        <v>1701300</v>
      </c>
      <c r="D50" s="1255"/>
      <c r="E50" s="1255"/>
      <c r="F50" s="1255"/>
      <c r="G50" s="1255">
        <f t="shared" si="2"/>
        <v>1701300</v>
      </c>
      <c r="H50" s="1249" t="s">
        <v>617</v>
      </c>
    </row>
    <row r="51" spans="1:8" s="1008" customFormat="1" ht="51">
      <c r="A51" s="1209"/>
      <c r="B51" s="1248" t="s">
        <v>604</v>
      </c>
      <c r="C51" s="1258">
        <v>-4267700</v>
      </c>
      <c r="D51" s="1258">
        <f t="shared" si="1"/>
        <v>-4267700</v>
      </c>
      <c r="E51" s="1255"/>
      <c r="F51" s="1255"/>
      <c r="G51" s="1255"/>
      <c r="H51" s="1249" t="s">
        <v>701</v>
      </c>
    </row>
    <row r="52" spans="1:8" s="1008" customFormat="1" ht="45" customHeight="1">
      <c r="A52" s="1209"/>
      <c r="B52" s="1247" t="s">
        <v>895</v>
      </c>
      <c r="C52" s="1258">
        <v>0</v>
      </c>
      <c r="D52" s="1258">
        <f>C52</f>
        <v>0</v>
      </c>
      <c r="E52" s="1256"/>
      <c r="F52" s="1256"/>
      <c r="G52" s="1256"/>
      <c r="H52" s="1254" t="s">
        <v>896</v>
      </c>
    </row>
    <row r="53" spans="1:8" s="1008" customFormat="1" ht="45" customHeight="1">
      <c r="A53" s="1209"/>
      <c r="B53" s="1247" t="s">
        <v>901</v>
      </c>
      <c r="C53" s="1259">
        <v>101400</v>
      </c>
      <c r="D53" s="1256">
        <f>C53</f>
        <v>101400</v>
      </c>
      <c r="E53" s="1256"/>
      <c r="F53" s="1256"/>
      <c r="G53" s="1256"/>
      <c r="H53" s="1254" t="s">
        <v>905</v>
      </c>
    </row>
    <row r="54" spans="1:8" s="1008" customFormat="1" ht="38.25">
      <c r="A54" s="1209"/>
      <c r="B54" s="1248" t="s">
        <v>605</v>
      </c>
      <c r="C54" s="1258">
        <v>0</v>
      </c>
      <c r="D54" s="1258">
        <f t="shared" si="1"/>
        <v>0</v>
      </c>
      <c r="E54" s="1255"/>
      <c r="F54" s="1255"/>
      <c r="G54" s="1255"/>
      <c r="H54" s="1249" t="s">
        <v>702</v>
      </c>
    </row>
    <row r="55" spans="1:8" s="1008" customFormat="1" ht="38.25">
      <c r="A55" s="1209"/>
      <c r="B55" s="1248" t="s">
        <v>594</v>
      </c>
      <c r="C55" s="1258">
        <v>11162400</v>
      </c>
      <c r="D55" s="1255">
        <f t="shared" si="1"/>
        <v>11162400</v>
      </c>
      <c r="E55" s="1255"/>
      <c r="F55" s="1255"/>
      <c r="G55" s="1255"/>
      <c r="H55" s="1249" t="s">
        <v>618</v>
      </c>
    </row>
    <row r="56" spans="1:8" s="1008" customFormat="1" ht="38.25">
      <c r="A56" s="1209"/>
      <c r="B56" s="1248" t="s">
        <v>595</v>
      </c>
      <c r="C56" s="1258">
        <v>1678600</v>
      </c>
      <c r="D56" s="1255">
        <f t="shared" si="1"/>
        <v>1678600</v>
      </c>
      <c r="E56" s="1255"/>
      <c r="F56" s="1255"/>
      <c r="G56" s="1255"/>
      <c r="H56" s="1249" t="s">
        <v>618</v>
      </c>
    </row>
    <row r="57" spans="1:8">
      <c r="B57" s="1139" t="s">
        <v>373</v>
      </c>
      <c r="C57" s="976">
        <f>SUM(C34:C56)</f>
        <v>224358626</v>
      </c>
      <c r="D57" s="976">
        <f>SUM(D34:D56)</f>
        <v>162287926</v>
      </c>
      <c r="E57" s="976">
        <f>SUM(E34:E56)</f>
        <v>0</v>
      </c>
      <c r="F57" s="976">
        <f>SUM(F34:F56)</f>
        <v>0</v>
      </c>
      <c r="G57" s="976">
        <f>SUM(G34:G56)</f>
        <v>62070700</v>
      </c>
      <c r="H57" s="630"/>
    </row>
    <row r="58" spans="1:8">
      <c r="B58" s="1139" t="s">
        <v>555</v>
      </c>
      <c r="C58" s="976">
        <f>-SUM(D58:G58)</f>
        <v>-12841000</v>
      </c>
      <c r="D58" s="976">
        <f>D55+D56</f>
        <v>12841000</v>
      </c>
      <c r="E58" s="976">
        <v>0</v>
      </c>
      <c r="F58" s="976">
        <v>0</v>
      </c>
      <c r="G58" s="976">
        <v>0</v>
      </c>
      <c r="H58" s="806"/>
    </row>
    <row r="59" spans="1:8">
      <c r="B59" s="1139" t="s">
        <v>306</v>
      </c>
      <c r="C59" s="976">
        <f>SUM(C57:C58)</f>
        <v>211517626</v>
      </c>
      <c r="D59" s="976">
        <f>+D57-D58</f>
        <v>149446926</v>
      </c>
      <c r="E59" s="976">
        <f>+E57-E58</f>
        <v>0</v>
      </c>
      <c r="F59" s="976">
        <f>+F57-F58</f>
        <v>0</v>
      </c>
      <c r="G59" s="976">
        <f>+G57-G58</f>
        <v>62070700</v>
      </c>
      <c r="H59" s="630"/>
    </row>
    <row r="60" spans="1:8">
      <c r="B60" s="1140"/>
      <c r="F60" s="316"/>
      <c r="G60" s="316"/>
    </row>
    <row r="61" spans="1:8">
      <c r="B61" s="449" t="s">
        <v>370</v>
      </c>
      <c r="C61" s="333"/>
      <c r="F61" s="334"/>
      <c r="G61" s="316"/>
    </row>
    <row r="62" spans="1:8">
      <c r="B62" s="1270" t="s">
        <v>52</v>
      </c>
      <c r="C62" s="1271"/>
      <c r="D62" s="1271"/>
      <c r="E62" s="1271"/>
      <c r="F62" s="1271"/>
      <c r="G62" s="1271"/>
    </row>
    <row r="63" spans="1:8">
      <c r="B63" s="445" t="s">
        <v>51</v>
      </c>
      <c r="F63" s="316"/>
      <c r="G63" s="316"/>
    </row>
    <row r="64" spans="1:8">
      <c r="B64" s="445" t="s">
        <v>53</v>
      </c>
      <c r="F64" s="316"/>
      <c r="G64" s="316"/>
    </row>
    <row r="65" spans="1:8">
      <c r="B65" s="445" t="s">
        <v>54</v>
      </c>
      <c r="F65" s="316"/>
      <c r="G65" s="316"/>
    </row>
    <row r="66" spans="1:8" ht="15" customHeight="1">
      <c r="B66" s="1274" t="s">
        <v>610</v>
      </c>
      <c r="C66" s="1275"/>
      <c r="D66" s="1275"/>
      <c r="E66" s="1275"/>
      <c r="F66" s="1275"/>
      <c r="G66" s="1275"/>
    </row>
    <row r="67" spans="1:8">
      <c r="B67" s="1275"/>
      <c r="C67" s="1275"/>
      <c r="D67" s="1275"/>
      <c r="E67" s="1275"/>
      <c r="F67" s="1275"/>
      <c r="G67" s="1275"/>
    </row>
    <row r="68" spans="1:8">
      <c r="B68" s="445"/>
      <c r="F68" s="316"/>
      <c r="G68" s="316"/>
    </row>
    <row r="69" spans="1:8">
      <c r="B69" s="1269" t="str">
        <f>+B28</f>
        <v>Attachment 1 - Accumulated Deferred Income Taxes (ADIT) Worksheet</v>
      </c>
      <c r="C69" s="1269"/>
      <c r="D69" s="1269"/>
      <c r="E69" s="1269"/>
      <c r="F69" s="1269"/>
      <c r="G69" s="1269"/>
    </row>
    <row r="70" spans="1:8">
      <c r="H70" s="28"/>
    </row>
    <row r="71" spans="1:8">
      <c r="B71" s="1138" t="s">
        <v>214</v>
      </c>
      <c r="C71" s="309" t="s">
        <v>307</v>
      </c>
      <c r="D71" s="1138" t="s">
        <v>195</v>
      </c>
      <c r="E71" s="1138" t="s">
        <v>215</v>
      </c>
      <c r="F71" s="1138" t="s">
        <v>213</v>
      </c>
      <c r="G71" s="1138" t="s">
        <v>484</v>
      </c>
      <c r="H71" s="1138" t="s">
        <v>216</v>
      </c>
    </row>
    <row r="72" spans="1:8">
      <c r="B72" s="297" t="s">
        <v>360</v>
      </c>
      <c r="D72" s="1138" t="s">
        <v>591</v>
      </c>
      <c r="E72" s="1138" t="s">
        <v>369</v>
      </c>
      <c r="F72" s="44"/>
      <c r="G72" s="1138"/>
    </row>
    <row r="73" spans="1:8">
      <c r="B73" s="1140"/>
      <c r="D73" s="1138" t="s">
        <v>368</v>
      </c>
      <c r="E73" s="1138" t="s">
        <v>358</v>
      </c>
      <c r="F73" s="1138" t="s">
        <v>365</v>
      </c>
      <c r="G73" s="1138" t="s">
        <v>367</v>
      </c>
    </row>
    <row r="74" spans="1:8">
      <c r="C74" s="306" t="s">
        <v>306</v>
      </c>
      <c r="D74" s="306" t="s">
        <v>366</v>
      </c>
      <c r="E74" s="306" t="s">
        <v>366</v>
      </c>
      <c r="F74" s="306" t="s">
        <v>366</v>
      </c>
      <c r="G74" s="306" t="s">
        <v>366</v>
      </c>
      <c r="H74" s="307" t="s">
        <v>612</v>
      </c>
    </row>
    <row r="75" spans="1:8" s="1008" customFormat="1" ht="38.25">
      <c r="A75" s="1209"/>
      <c r="B75" s="1247" t="s">
        <v>639</v>
      </c>
      <c r="C75" s="1253">
        <f>-1164817161+-2704739</f>
        <v>-1167521900</v>
      </c>
      <c r="D75" s="1253">
        <f>C75-E75-G75</f>
        <v>-965276909</v>
      </c>
      <c r="E75" s="1253">
        <v>-173204182</v>
      </c>
      <c r="F75" s="1255"/>
      <c r="G75" s="1253">
        <v>-29040809</v>
      </c>
      <c r="H75" s="1249" t="s">
        <v>897</v>
      </c>
    </row>
    <row r="76" spans="1:8" s="1008" customFormat="1" ht="38.25">
      <c r="A76" s="1209"/>
      <c r="B76" s="1247" t="s">
        <v>567</v>
      </c>
      <c r="C76" s="1253">
        <f>-139311243+-729457</f>
        <v>-140040700</v>
      </c>
      <c r="D76" s="1253">
        <f>C76-E76-G76</f>
        <v>-119195562</v>
      </c>
      <c r="E76" s="1253">
        <v>-17387894</v>
      </c>
      <c r="F76" s="1255"/>
      <c r="G76" s="1253">
        <v>-3457244</v>
      </c>
      <c r="H76" s="1249" t="s">
        <v>898</v>
      </c>
    </row>
    <row r="77" spans="1:8" s="1008" customFormat="1" ht="25.5">
      <c r="A77" s="1209"/>
      <c r="B77" s="1248" t="s">
        <v>888</v>
      </c>
      <c r="C77" s="1253">
        <f>153666700</f>
        <v>153666700</v>
      </c>
      <c r="D77" s="1253">
        <f>C77</f>
        <v>153666700</v>
      </c>
      <c r="E77" s="1253"/>
      <c r="F77" s="1255"/>
      <c r="G77" s="1253"/>
      <c r="H77" s="1249" t="s">
        <v>899</v>
      </c>
    </row>
    <row r="78" spans="1:8" s="1008" customFormat="1" ht="38.25">
      <c r="A78" s="1209"/>
      <c r="B78" s="1247" t="s">
        <v>891</v>
      </c>
      <c r="C78" s="1253">
        <v>42761000</v>
      </c>
      <c r="D78" s="1253">
        <f>C78</f>
        <v>42761000</v>
      </c>
      <c r="E78" s="1256"/>
      <c r="F78" s="1256"/>
      <c r="G78" s="1256"/>
      <c r="H78" s="1250" t="s">
        <v>620</v>
      </c>
    </row>
    <row r="79" spans="1:8" s="1008" customFormat="1" ht="38.25">
      <c r="A79" s="1209"/>
      <c r="B79" s="1247" t="s">
        <v>893</v>
      </c>
      <c r="C79" s="1253">
        <v>-7261800</v>
      </c>
      <c r="D79" s="1253">
        <f>C79</f>
        <v>-7261800</v>
      </c>
      <c r="E79" s="1256"/>
      <c r="F79" s="1256"/>
      <c r="G79" s="1256"/>
      <c r="H79" s="1250" t="s">
        <v>620</v>
      </c>
    </row>
    <row r="80" spans="1:8" s="1008" customFormat="1" ht="38.25" customHeight="1">
      <c r="A80" s="1209"/>
      <c r="B80" s="1247" t="s">
        <v>990</v>
      </c>
      <c r="C80" s="1253">
        <v>-408202400</v>
      </c>
      <c r="D80" s="1253">
        <f>C80</f>
        <v>-408202400</v>
      </c>
      <c r="E80" s="1256"/>
      <c r="F80" s="1256"/>
      <c r="G80" s="1256"/>
      <c r="H80" s="1250" t="s">
        <v>620</v>
      </c>
    </row>
    <row r="81" spans="1:8" s="1008" customFormat="1" ht="38.25">
      <c r="A81" s="1209"/>
      <c r="B81" s="1248" t="s">
        <v>887</v>
      </c>
      <c r="C81" s="1253">
        <v>-4842400</v>
      </c>
      <c r="D81" s="1253"/>
      <c r="E81" s="1255"/>
      <c r="F81" s="1253">
        <f>C81</f>
        <v>-4842400</v>
      </c>
      <c r="G81" s="1255"/>
      <c r="H81" s="1249" t="s">
        <v>619</v>
      </c>
    </row>
    <row r="82" spans="1:8" s="1008" customFormat="1" ht="51">
      <c r="A82" s="1209"/>
      <c r="B82" s="1248" t="s">
        <v>56</v>
      </c>
      <c r="C82" s="1253">
        <v>-7622700</v>
      </c>
      <c r="D82" s="1253"/>
      <c r="E82" s="1255"/>
      <c r="F82" s="1253">
        <f>C82</f>
        <v>-7622700</v>
      </c>
      <c r="G82" s="1255"/>
      <c r="H82" s="1249" t="s">
        <v>703</v>
      </c>
    </row>
    <row r="83" spans="1:8" s="1008" customFormat="1" ht="60" customHeight="1">
      <c r="A83" s="1209"/>
      <c r="B83" s="1248" t="s">
        <v>875</v>
      </c>
      <c r="C83" s="1253">
        <v>-10028400</v>
      </c>
      <c r="D83" s="1253">
        <f t="shared" ref="D83:D89" si="3">C83</f>
        <v>-10028400</v>
      </c>
      <c r="E83" s="1255"/>
      <c r="F83" s="1255"/>
      <c r="G83" s="1255"/>
      <c r="H83" s="1251" t="s">
        <v>874</v>
      </c>
    </row>
    <row r="84" spans="1:8" s="1008" customFormat="1" ht="51" customHeight="1">
      <c r="A84" s="1209"/>
      <c r="B84" s="1248" t="s">
        <v>904</v>
      </c>
      <c r="C84" s="1253">
        <v>-4976800</v>
      </c>
      <c r="D84" s="1253">
        <f>C84</f>
        <v>-4976800</v>
      </c>
      <c r="E84" s="1255"/>
      <c r="F84" s="1255"/>
      <c r="G84" s="1255"/>
      <c r="H84" s="1252" t="s">
        <v>620</v>
      </c>
    </row>
    <row r="85" spans="1:8" s="1008" customFormat="1" ht="51">
      <c r="A85" s="1209"/>
      <c r="B85" s="1247" t="s">
        <v>841</v>
      </c>
      <c r="C85" s="1253">
        <v>-2632200</v>
      </c>
      <c r="D85" s="1253">
        <f t="shared" si="3"/>
        <v>-2632200</v>
      </c>
      <c r="E85" s="1256"/>
      <c r="F85" s="1256"/>
      <c r="G85" s="1255"/>
      <c r="H85" s="1249" t="s">
        <v>857</v>
      </c>
    </row>
    <row r="86" spans="1:8" s="1008" customFormat="1" ht="51">
      <c r="A86" s="1209"/>
      <c r="B86" s="1247" t="s">
        <v>877</v>
      </c>
      <c r="C86" s="1253">
        <v>10742270</v>
      </c>
      <c r="D86" s="1253">
        <f t="shared" si="3"/>
        <v>10742270</v>
      </c>
      <c r="E86" s="1256"/>
      <c r="F86" s="1256"/>
      <c r="G86" s="1256"/>
      <c r="H86" s="1249" t="s">
        <v>883</v>
      </c>
    </row>
    <row r="87" spans="1:8" s="1008" customFormat="1" ht="38.25">
      <c r="A87" s="1209"/>
      <c r="B87" s="1248" t="s">
        <v>568</v>
      </c>
      <c r="C87" s="1253">
        <v>-194100</v>
      </c>
      <c r="D87" s="1253">
        <f t="shared" si="3"/>
        <v>-194100</v>
      </c>
      <c r="E87" s="1255"/>
      <c r="F87" s="1255"/>
      <c r="G87" s="1255"/>
      <c r="H87" s="1249" t="s">
        <v>620</v>
      </c>
    </row>
    <row r="88" spans="1:8" s="1008" customFormat="1" ht="38.25">
      <c r="A88" s="1209"/>
      <c r="B88" s="1248" t="s">
        <v>592</v>
      </c>
      <c r="C88" s="1253">
        <f>-174145568+-68600728+65</f>
        <v>-242746231</v>
      </c>
      <c r="D88" s="1253">
        <f t="shared" si="3"/>
        <v>-242746231</v>
      </c>
      <c r="E88" s="1255"/>
      <c r="F88" s="1255"/>
      <c r="G88" s="1255"/>
      <c r="H88" s="1249" t="s">
        <v>621</v>
      </c>
    </row>
    <row r="89" spans="1:8" s="1008" customFormat="1" ht="38.25">
      <c r="A89" s="1209"/>
      <c r="B89" s="1248" t="s">
        <v>593</v>
      </c>
      <c r="C89" s="1253">
        <f>-27258970+-10315899</f>
        <v>-37574869</v>
      </c>
      <c r="D89" s="1253">
        <f t="shared" si="3"/>
        <v>-37574869</v>
      </c>
      <c r="E89" s="1255"/>
      <c r="F89" s="1255"/>
      <c r="G89" s="1255"/>
      <c r="H89" s="1249" t="s">
        <v>621</v>
      </c>
    </row>
    <row r="90" spans="1:8">
      <c r="B90" s="629"/>
      <c r="C90" s="976"/>
      <c r="D90" s="976"/>
      <c r="E90" s="976"/>
      <c r="F90" s="976"/>
      <c r="G90" s="976"/>
      <c r="H90" s="629"/>
    </row>
    <row r="91" spans="1:8">
      <c r="B91" s="1139" t="s">
        <v>559</v>
      </c>
      <c r="C91" s="976">
        <f>SUM(D91:G91)</f>
        <v>-1826474530</v>
      </c>
      <c r="D91" s="976">
        <f>SUM(D75:D90)</f>
        <v>-1590919301</v>
      </c>
      <c r="E91" s="976">
        <f>SUM(E75:E90)</f>
        <v>-190592076</v>
      </c>
      <c r="F91" s="976">
        <f>SUM(F75:F90)</f>
        <v>-12465100</v>
      </c>
      <c r="G91" s="976">
        <f>SUM(G75:G90)</f>
        <v>-32498053</v>
      </c>
      <c r="H91" s="629"/>
    </row>
    <row r="92" spans="1:8">
      <c r="B92" s="1139" t="s">
        <v>555</v>
      </c>
      <c r="C92" s="976">
        <f>SUM(D92:G92)</f>
        <v>-280321100</v>
      </c>
      <c r="D92" s="976">
        <f>D88+D89</f>
        <v>-280321100</v>
      </c>
      <c r="E92" s="976">
        <v>0</v>
      </c>
      <c r="F92" s="976">
        <v>0</v>
      </c>
      <c r="G92" s="976">
        <v>0</v>
      </c>
      <c r="H92" s="629"/>
    </row>
    <row r="93" spans="1:8">
      <c r="B93" s="1139" t="s">
        <v>556</v>
      </c>
      <c r="C93" s="976">
        <f>SUM(D93:G93)</f>
        <v>0</v>
      </c>
      <c r="D93" s="976">
        <v>0</v>
      </c>
      <c r="E93" s="976">
        <v>0</v>
      </c>
      <c r="F93" s="976">
        <v>0</v>
      </c>
      <c r="G93" s="976">
        <v>0</v>
      </c>
      <c r="H93" s="629"/>
    </row>
    <row r="94" spans="1:8">
      <c r="B94" s="1139" t="s">
        <v>306</v>
      </c>
      <c r="C94" s="976">
        <f>SUM(D94:G94)</f>
        <v>-1546153430</v>
      </c>
      <c r="D94" s="976">
        <f>+D91-D92-D93</f>
        <v>-1310598201</v>
      </c>
      <c r="E94" s="976">
        <f>+E91-E92-E93</f>
        <v>-190592076</v>
      </c>
      <c r="F94" s="976">
        <f>+F91-F92-F93</f>
        <v>-12465100</v>
      </c>
      <c r="G94" s="976">
        <f>+G91-G92-G93</f>
        <v>-32498053</v>
      </c>
      <c r="H94" s="629"/>
    </row>
    <row r="95" spans="1:8">
      <c r="B95" s="1140"/>
      <c r="F95" s="316"/>
      <c r="G95" s="316"/>
    </row>
    <row r="96" spans="1:8">
      <c r="B96" s="449" t="s">
        <v>372</v>
      </c>
      <c r="F96" s="316"/>
      <c r="G96" s="316"/>
    </row>
    <row r="97" spans="1:8" ht="24" customHeight="1">
      <c r="B97" s="1270" t="s">
        <v>52</v>
      </c>
      <c r="C97" s="1271"/>
      <c r="D97" s="1271"/>
      <c r="E97" s="1271"/>
      <c r="F97" s="1271"/>
      <c r="G97" s="1271"/>
    </row>
    <row r="98" spans="1:8">
      <c r="B98" s="445" t="s">
        <v>51</v>
      </c>
      <c r="F98" s="316"/>
      <c r="G98" s="316"/>
    </row>
    <row r="99" spans="1:8">
      <c r="B99" s="445" t="s">
        <v>53</v>
      </c>
      <c r="F99" s="316"/>
      <c r="G99" s="316"/>
    </row>
    <row r="100" spans="1:8">
      <c r="B100" s="445" t="s">
        <v>54</v>
      </c>
      <c r="F100" s="316"/>
      <c r="G100" s="316"/>
    </row>
    <row r="101" spans="1:8" ht="13.15" customHeight="1">
      <c r="B101" s="1274" t="s">
        <v>610</v>
      </c>
      <c r="C101" s="1275"/>
      <c r="D101" s="1275"/>
      <c r="E101" s="1275"/>
      <c r="F101" s="1275"/>
      <c r="G101" s="1275"/>
    </row>
    <row r="102" spans="1:8">
      <c r="B102" s="1275"/>
      <c r="C102" s="1275"/>
      <c r="D102" s="1275"/>
      <c r="E102" s="1275"/>
      <c r="F102" s="1275"/>
      <c r="G102" s="1275"/>
    </row>
    <row r="103" spans="1:8">
      <c r="B103" s="445"/>
      <c r="F103" s="316"/>
      <c r="G103" s="316"/>
    </row>
    <row r="104" spans="1:8">
      <c r="B104" s="445"/>
      <c r="F104" s="316"/>
      <c r="G104" s="316"/>
    </row>
    <row r="105" spans="1:8">
      <c r="B105" s="1269" t="str">
        <f>+B3</f>
        <v>Attachment 1 - Accumulated Deferred Income Taxes (ADIT) Worksheet</v>
      </c>
      <c r="C105" s="1269"/>
      <c r="D105" s="1269"/>
      <c r="E105" s="1269"/>
      <c r="F105" s="1269"/>
      <c r="G105" s="1269"/>
    </row>
    <row r="106" spans="1:8">
      <c r="H106" s="28"/>
    </row>
    <row r="107" spans="1:8">
      <c r="B107" s="1138" t="s">
        <v>214</v>
      </c>
      <c r="C107" s="309" t="s">
        <v>307</v>
      </c>
      <c r="D107" s="1138" t="s">
        <v>195</v>
      </c>
      <c r="E107" s="1138" t="s">
        <v>215</v>
      </c>
      <c r="F107" s="1138" t="s">
        <v>213</v>
      </c>
      <c r="G107" s="1138" t="s">
        <v>484</v>
      </c>
      <c r="H107" s="1138" t="s">
        <v>216</v>
      </c>
    </row>
    <row r="108" spans="1:8">
      <c r="B108" s="297" t="s">
        <v>361</v>
      </c>
      <c r="C108" s="315" t="s">
        <v>188</v>
      </c>
      <c r="D108" s="1138" t="s">
        <v>591</v>
      </c>
      <c r="E108" s="1138" t="s">
        <v>369</v>
      </c>
      <c r="F108" s="44"/>
      <c r="G108" s="1138"/>
    </row>
    <row r="109" spans="1:8">
      <c r="D109" s="1138" t="s">
        <v>368</v>
      </c>
      <c r="E109" s="1138" t="s">
        <v>358</v>
      </c>
      <c r="F109" s="1138" t="s">
        <v>365</v>
      </c>
      <c r="G109" s="1138" t="s">
        <v>367</v>
      </c>
    </row>
    <row r="110" spans="1:8">
      <c r="C110" s="306" t="s">
        <v>306</v>
      </c>
      <c r="D110" s="306" t="s">
        <v>366</v>
      </c>
      <c r="E110" s="306" t="s">
        <v>366</v>
      </c>
      <c r="F110" s="306" t="s">
        <v>366</v>
      </c>
      <c r="G110" s="306" t="s">
        <v>366</v>
      </c>
      <c r="H110" s="307" t="s">
        <v>612</v>
      </c>
    </row>
    <row r="111" spans="1:8" s="1008" customFormat="1" ht="25.5">
      <c r="A111" s="1209"/>
      <c r="B111" s="1248" t="s">
        <v>569</v>
      </c>
      <c r="C111" s="1253">
        <v>22207800</v>
      </c>
      <c r="D111" s="1253">
        <f>C111</f>
        <v>22207800</v>
      </c>
      <c r="E111" s="1253"/>
      <c r="F111" s="1253"/>
      <c r="G111" s="1253"/>
      <c r="H111" s="1249" t="s">
        <v>622</v>
      </c>
    </row>
    <row r="112" spans="1:8" s="1008" customFormat="1" ht="25.5">
      <c r="A112" s="1209"/>
      <c r="B112" s="1248" t="s">
        <v>11</v>
      </c>
      <c r="C112" s="1253">
        <v>-5193100</v>
      </c>
      <c r="D112" s="1253"/>
      <c r="E112" s="1253"/>
      <c r="F112" s="1253">
        <f>C112</f>
        <v>-5193100</v>
      </c>
      <c r="G112" s="1253"/>
      <c r="H112" s="1249" t="s">
        <v>623</v>
      </c>
    </row>
    <row r="113" spans="1:8" s="1008" customFormat="1" ht="25.5">
      <c r="A113" s="1209"/>
      <c r="B113" s="1248" t="s">
        <v>570</v>
      </c>
      <c r="C113" s="1253">
        <v>-121889700</v>
      </c>
      <c r="D113" s="1253"/>
      <c r="E113" s="1253"/>
      <c r="F113" s="1253"/>
      <c r="G113" s="1253">
        <f>C113</f>
        <v>-121889700</v>
      </c>
      <c r="H113" s="1249" t="s">
        <v>624</v>
      </c>
    </row>
    <row r="114" spans="1:8" s="1008" customFormat="1" ht="51">
      <c r="A114" s="1209"/>
      <c r="B114" s="1248" t="s">
        <v>55</v>
      </c>
      <c r="C114" s="1253">
        <v>-22808700</v>
      </c>
      <c r="D114" s="1253">
        <f>C114</f>
        <v>-22808700</v>
      </c>
      <c r="E114" s="1253"/>
      <c r="F114" s="1253"/>
      <c r="G114" s="1253"/>
      <c r="H114" s="1249" t="s">
        <v>58</v>
      </c>
    </row>
    <row r="115" spans="1:8" s="1008" customFormat="1" ht="25.5">
      <c r="A115" s="1209"/>
      <c r="B115" s="1248" t="s">
        <v>654</v>
      </c>
      <c r="C115" s="1253">
        <v>-1358307</v>
      </c>
      <c r="D115" s="1253"/>
      <c r="E115" s="1253"/>
      <c r="F115" s="1253"/>
      <c r="G115" s="1253">
        <f>C115</f>
        <v>-1358307</v>
      </c>
      <c r="H115" s="1249" t="s">
        <v>656</v>
      </c>
    </row>
    <row r="116" spans="1:8" s="1008" customFormat="1" ht="25.5">
      <c r="A116" s="1209"/>
      <c r="B116" s="1248" t="s">
        <v>655</v>
      </c>
      <c r="C116" s="1253">
        <v>-2674780</v>
      </c>
      <c r="D116" s="1253"/>
      <c r="E116" s="1253"/>
      <c r="F116" s="1253">
        <f>C116</f>
        <v>-2674780</v>
      </c>
      <c r="G116" s="1253"/>
      <c r="H116" s="1249" t="s">
        <v>656</v>
      </c>
    </row>
    <row r="117" spans="1:8" s="1008" customFormat="1" ht="25.5" customHeight="1">
      <c r="A117" s="1209"/>
      <c r="B117" s="1248" t="s">
        <v>57</v>
      </c>
      <c r="C117" s="1253">
        <v>-21750813</v>
      </c>
      <c r="D117" s="1253">
        <f>C117</f>
        <v>-21750813</v>
      </c>
      <c r="E117" s="1253"/>
      <c r="F117" s="1253"/>
      <c r="G117" s="1253"/>
      <c r="H117" s="1249" t="s">
        <v>656</v>
      </c>
    </row>
    <row r="118" spans="1:8" s="1008" customFormat="1" ht="25.5">
      <c r="A118" s="1209"/>
      <c r="B118" s="1248" t="s">
        <v>571</v>
      </c>
      <c r="C118" s="1253">
        <v>70690000</v>
      </c>
      <c r="D118" s="1253"/>
      <c r="E118" s="1253"/>
      <c r="F118" s="1253"/>
      <c r="G118" s="1253">
        <f>C118</f>
        <v>70690000</v>
      </c>
      <c r="H118" s="1249" t="s">
        <v>659</v>
      </c>
    </row>
    <row r="119" spans="1:8" s="1008" customFormat="1" ht="38.25">
      <c r="A119" s="1209"/>
      <c r="B119" s="1248" t="s">
        <v>638</v>
      </c>
      <c r="C119" s="1253">
        <v>-92000</v>
      </c>
      <c r="D119" s="1253">
        <f t="shared" ref="D119:D134" si="4">C119</f>
        <v>-92000</v>
      </c>
      <c r="E119" s="1253"/>
      <c r="F119" s="1253"/>
      <c r="G119" s="1253"/>
      <c r="H119" s="1249" t="s">
        <v>704</v>
      </c>
    </row>
    <row r="120" spans="1:8" s="1008" customFormat="1" ht="51">
      <c r="A120" s="1209"/>
      <c r="B120" s="1248" t="s">
        <v>572</v>
      </c>
      <c r="C120" s="1253">
        <v>-9546200</v>
      </c>
      <c r="D120" s="1253">
        <f t="shared" si="4"/>
        <v>-9546200</v>
      </c>
      <c r="E120" s="1253"/>
      <c r="F120" s="1253"/>
      <c r="G120" s="1253"/>
      <c r="H120" s="1249" t="s">
        <v>660</v>
      </c>
    </row>
    <row r="121" spans="1:8" s="1008" customFormat="1" ht="38.25">
      <c r="A121" s="1209"/>
      <c r="B121" s="1248" t="s">
        <v>763</v>
      </c>
      <c r="C121" s="1253">
        <v>-401000</v>
      </c>
      <c r="D121" s="1253">
        <f t="shared" si="4"/>
        <v>-401000</v>
      </c>
      <c r="E121" s="1253"/>
      <c r="F121" s="1253"/>
      <c r="G121" s="1253"/>
      <c r="H121" s="1249" t="s">
        <v>48</v>
      </c>
    </row>
    <row r="122" spans="1:8" s="1008" customFormat="1" ht="38.25">
      <c r="A122" s="1209"/>
      <c r="B122" s="1247" t="s">
        <v>764</v>
      </c>
      <c r="C122" s="1253">
        <v>-1794000</v>
      </c>
      <c r="D122" s="1253">
        <f t="shared" si="4"/>
        <v>-1794000</v>
      </c>
      <c r="E122" s="1253"/>
      <c r="F122" s="1253"/>
      <c r="G122" s="1253"/>
      <c r="H122" s="1254" t="s">
        <v>49</v>
      </c>
    </row>
    <row r="123" spans="1:8" s="1008" customFormat="1" ht="38.25">
      <c r="A123" s="1209"/>
      <c r="B123" s="1247" t="s">
        <v>878</v>
      </c>
      <c r="C123" s="1253">
        <v>-6527900</v>
      </c>
      <c r="D123" s="1253">
        <f t="shared" si="4"/>
        <v>-6527900</v>
      </c>
      <c r="E123" s="1253"/>
      <c r="F123" s="1253"/>
      <c r="G123" s="1253"/>
      <c r="H123" s="1249" t="s">
        <v>885</v>
      </c>
    </row>
    <row r="124" spans="1:8" s="1008" customFormat="1" ht="38.25">
      <c r="A124" s="1209"/>
      <c r="B124" s="1247" t="s">
        <v>879</v>
      </c>
      <c r="C124" s="1253">
        <v>-1565800</v>
      </c>
      <c r="D124" s="1253">
        <f t="shared" si="4"/>
        <v>-1565800</v>
      </c>
      <c r="E124" s="1253"/>
      <c r="F124" s="1253"/>
      <c r="G124" s="1253"/>
      <c r="H124" s="1254" t="s">
        <v>49</v>
      </c>
    </row>
    <row r="125" spans="1:8" s="1008" customFormat="1" ht="38.25">
      <c r="A125" s="1209"/>
      <c r="B125" s="1247" t="s">
        <v>892</v>
      </c>
      <c r="C125" s="1253">
        <v>-994500</v>
      </c>
      <c r="D125" s="1253">
        <f>C125</f>
        <v>-994500</v>
      </c>
      <c r="E125" s="1253"/>
      <c r="F125" s="1253"/>
      <c r="G125" s="1253"/>
      <c r="H125" s="1254" t="s">
        <v>900</v>
      </c>
    </row>
    <row r="126" spans="1:8" s="1008" customFormat="1" ht="38.25">
      <c r="A126" s="1209"/>
      <c r="B126" s="1247" t="s">
        <v>906</v>
      </c>
      <c r="C126" s="1253">
        <v>394700</v>
      </c>
      <c r="D126" s="1253">
        <f>C126</f>
        <v>394700</v>
      </c>
      <c r="E126" s="1253"/>
      <c r="F126" s="1253"/>
      <c r="G126" s="1253"/>
      <c r="H126" s="1254" t="s">
        <v>907</v>
      </c>
    </row>
    <row r="127" spans="1:8" s="1008" customFormat="1" ht="38.25">
      <c r="A127" s="1209"/>
      <c r="B127" s="1247" t="s">
        <v>985</v>
      </c>
      <c r="C127" s="1253">
        <v>569400</v>
      </c>
      <c r="D127" s="1253">
        <f>C127</f>
        <v>569400</v>
      </c>
      <c r="E127" s="1253"/>
      <c r="F127" s="1253"/>
      <c r="G127" s="1253"/>
      <c r="H127" s="1254" t="s">
        <v>987</v>
      </c>
    </row>
    <row r="128" spans="1:8" s="1008" customFormat="1" ht="38.25">
      <c r="A128" s="1209"/>
      <c r="B128" s="1247" t="s">
        <v>986</v>
      </c>
      <c r="C128" s="1253">
        <v>-1213000</v>
      </c>
      <c r="D128" s="1253">
        <f>C128</f>
        <v>-1213000</v>
      </c>
      <c r="E128" s="1253"/>
      <c r="F128" s="1253"/>
      <c r="G128" s="1253"/>
      <c r="H128" s="1254" t="s">
        <v>988</v>
      </c>
    </row>
    <row r="129" spans="1:8" s="1008" customFormat="1" ht="38.25">
      <c r="A129" s="1209"/>
      <c r="B129" s="1247" t="s">
        <v>984</v>
      </c>
      <c r="C129" s="1253">
        <v>-4084600</v>
      </c>
      <c r="D129" s="1253">
        <f>C129</f>
        <v>-4084600</v>
      </c>
      <c r="E129" s="1253"/>
      <c r="F129" s="1253"/>
      <c r="G129" s="1253"/>
      <c r="H129" s="1254" t="s">
        <v>989</v>
      </c>
    </row>
    <row r="130" spans="1:8" s="1008" customFormat="1" ht="38.25">
      <c r="A130" s="1209"/>
      <c r="B130" s="1247" t="s">
        <v>880</v>
      </c>
      <c r="C130" s="1253">
        <v>-44576800</v>
      </c>
      <c r="D130" s="1253">
        <f t="shared" si="4"/>
        <v>-44576800</v>
      </c>
      <c r="E130" s="1253"/>
      <c r="F130" s="1253"/>
      <c r="G130" s="1253"/>
      <c r="H130" s="1249" t="s">
        <v>885</v>
      </c>
    </row>
    <row r="131" spans="1:8" s="1008" customFormat="1" ht="38.25">
      <c r="A131" s="1209"/>
      <c r="B131" s="1247" t="s">
        <v>902</v>
      </c>
      <c r="C131" s="1253">
        <v>-213400</v>
      </c>
      <c r="D131" s="1253">
        <f>C131</f>
        <v>-213400</v>
      </c>
      <c r="E131" s="1253"/>
      <c r="F131" s="1253"/>
      <c r="G131" s="1253"/>
      <c r="H131" s="1249" t="s">
        <v>885</v>
      </c>
    </row>
    <row r="132" spans="1:8" s="1008" customFormat="1" ht="38.25">
      <c r="A132" s="1209"/>
      <c r="B132" s="1247" t="s">
        <v>903</v>
      </c>
      <c r="C132" s="1253">
        <v>-546100</v>
      </c>
      <c r="D132" s="1253">
        <f>C132</f>
        <v>-546100</v>
      </c>
      <c r="E132" s="1253"/>
      <c r="F132" s="1253"/>
      <c r="G132" s="1253"/>
      <c r="H132" s="1249" t="s">
        <v>885</v>
      </c>
    </row>
    <row r="133" spans="1:8" s="1008" customFormat="1" ht="54" customHeight="1">
      <c r="A133" s="1209"/>
      <c r="B133" s="1247" t="s">
        <v>881</v>
      </c>
      <c r="C133" s="1253">
        <v>-122670000</v>
      </c>
      <c r="D133" s="1253">
        <f t="shared" si="4"/>
        <v>-122670000</v>
      </c>
      <c r="E133" s="1253"/>
      <c r="F133" s="1253"/>
      <c r="G133" s="1253"/>
      <c r="H133" s="1249" t="s">
        <v>882</v>
      </c>
    </row>
    <row r="134" spans="1:8" s="1008" customFormat="1" ht="25.5">
      <c r="A134" s="1209"/>
      <c r="B134" s="1248" t="s">
        <v>993</v>
      </c>
      <c r="C134" s="1253">
        <v>-4653500</v>
      </c>
      <c r="D134" s="1253">
        <f t="shared" si="4"/>
        <v>-4653500</v>
      </c>
      <c r="E134" s="1255"/>
      <c r="F134" s="1255"/>
      <c r="G134" s="1255"/>
      <c r="H134" s="1249" t="s">
        <v>994</v>
      </c>
    </row>
    <row r="135" spans="1:8">
      <c r="B135" s="1139" t="s">
        <v>560</v>
      </c>
      <c r="C135" s="976">
        <f>SUM(D135:G135)</f>
        <v>-280692300</v>
      </c>
      <c r="D135" s="976">
        <f>SUM(D111:D134)</f>
        <v>-220266413</v>
      </c>
      <c r="E135" s="976">
        <f>SUM(E111:E134)</f>
        <v>0</v>
      </c>
      <c r="F135" s="976">
        <f>SUM(F111:F134)</f>
        <v>-7867880</v>
      </c>
      <c r="G135" s="976">
        <f>SUM(G111:G134)</f>
        <v>-52558007</v>
      </c>
      <c r="H135" s="629"/>
    </row>
    <row r="136" spans="1:8">
      <c r="B136" s="1139" t="s">
        <v>555</v>
      </c>
      <c r="C136" s="976">
        <f>SUM(D136:G136)</f>
        <v>-4653500</v>
      </c>
      <c r="D136" s="976">
        <f>D134</f>
        <v>-4653500</v>
      </c>
      <c r="E136" s="976">
        <v>0</v>
      </c>
      <c r="F136" s="976">
        <v>0</v>
      </c>
      <c r="G136" s="976">
        <v>0</v>
      </c>
      <c r="H136" s="629"/>
    </row>
    <row r="137" spans="1:8">
      <c r="B137" s="1139" t="s">
        <v>556</v>
      </c>
      <c r="C137" s="976">
        <f>SUM(D137:G137)</f>
        <v>0</v>
      </c>
      <c r="D137" s="976">
        <v>0</v>
      </c>
      <c r="E137" s="976">
        <v>0</v>
      </c>
      <c r="F137" s="976">
        <v>0</v>
      </c>
      <c r="G137" s="976">
        <v>0</v>
      </c>
      <c r="H137" s="629"/>
    </row>
    <row r="138" spans="1:8">
      <c r="B138" s="1139" t="s">
        <v>306</v>
      </c>
      <c r="C138" s="976">
        <f>SUM(D138:G138)</f>
        <v>-276038800</v>
      </c>
      <c r="D138" s="976">
        <f>+D135-D136-D137</f>
        <v>-215612913</v>
      </c>
      <c r="E138" s="976">
        <f>+E135-E136-E137</f>
        <v>0</v>
      </c>
      <c r="F138" s="976">
        <f>+F135-F136-F137</f>
        <v>-7867880</v>
      </c>
      <c r="G138" s="976">
        <f>+G135-G136-G137</f>
        <v>-52558007</v>
      </c>
      <c r="H138" s="629"/>
    </row>
    <row r="139" spans="1:8">
      <c r="B139" s="1140"/>
      <c r="D139" s="333"/>
      <c r="E139" s="333"/>
      <c r="F139" s="333"/>
      <c r="G139" s="333"/>
    </row>
    <row r="140" spans="1:8">
      <c r="B140" s="449" t="s">
        <v>371</v>
      </c>
      <c r="F140" s="316"/>
      <c r="G140" s="316"/>
    </row>
    <row r="141" spans="1:8" ht="25.5" customHeight="1">
      <c r="B141" s="1270" t="s">
        <v>52</v>
      </c>
      <c r="C141" s="1271"/>
      <c r="D141" s="1271"/>
      <c r="E141" s="1271"/>
      <c r="F141" s="1271"/>
      <c r="G141" s="1271"/>
    </row>
    <row r="142" spans="1:8">
      <c r="B142" s="445" t="s">
        <v>51</v>
      </c>
      <c r="F142" s="316"/>
      <c r="G142" s="316"/>
    </row>
    <row r="143" spans="1:8">
      <c r="B143" s="445" t="s">
        <v>53</v>
      </c>
      <c r="F143" s="316"/>
      <c r="G143" s="316"/>
    </row>
    <row r="144" spans="1:8">
      <c r="B144" s="445" t="s">
        <v>54</v>
      </c>
      <c r="F144" s="316"/>
      <c r="G144" s="316"/>
    </row>
    <row r="145" spans="1:7" ht="13.15" customHeight="1">
      <c r="B145" s="1274" t="s">
        <v>610</v>
      </c>
      <c r="C145" s="1275"/>
      <c r="D145" s="1275"/>
      <c r="E145" s="1275"/>
      <c r="F145" s="1275"/>
      <c r="G145" s="1275"/>
    </row>
    <row r="146" spans="1:7">
      <c r="B146" s="1275"/>
      <c r="C146" s="1275"/>
      <c r="D146" s="1275"/>
      <c r="E146" s="1275"/>
      <c r="F146" s="1275"/>
      <c r="G146" s="1275"/>
    </row>
    <row r="147" spans="1:7">
      <c r="B147" s="335"/>
    </row>
    <row r="148" spans="1:7">
      <c r="A148" s="338"/>
    </row>
    <row r="150" spans="1:7">
      <c r="B150" s="337"/>
    </row>
  </sheetData>
  <mergeCells count="13">
    <mergeCell ref="B145:G146"/>
    <mergeCell ref="B101:G102"/>
    <mergeCell ref="B66:G67"/>
    <mergeCell ref="B105:G105"/>
    <mergeCell ref="B141:G141"/>
    <mergeCell ref="B97:G97"/>
    <mergeCell ref="A1:G1"/>
    <mergeCell ref="B3:G3"/>
    <mergeCell ref="B28:G28"/>
    <mergeCell ref="B69:G69"/>
    <mergeCell ref="B62:G62"/>
    <mergeCell ref="B22:G22"/>
    <mergeCell ref="C5:E5"/>
  </mergeCells>
  <phoneticPr fontId="0" type="noConversion"/>
  <printOptions horizontalCentered="1"/>
  <pageMargins left="0.25" right="0.25" top="0.75" bottom="0.75" header="0.3" footer="0.3"/>
  <pageSetup scale="58" fitToHeight="0" orientation="portrait" cellComments="asDisplayed" r:id="rId1"/>
  <headerFooter alignWithMargins="0">
    <oddHeader>&amp;RPage &amp;P of &amp;N</oddHeader>
  </headerFooter>
  <rowBreaks count="3" manualBreakCount="3">
    <brk id="27" max="7" man="1"/>
    <brk id="67" max="7" man="1"/>
    <brk id="102" max="7" man="1"/>
  </rowBreaks>
</worksheet>
</file>

<file path=xl/worksheets/sheet3.xml><?xml version="1.0" encoding="utf-8"?>
<worksheet xmlns="http://schemas.openxmlformats.org/spreadsheetml/2006/main" xmlns:r="http://schemas.openxmlformats.org/officeDocument/2006/relationships">
  <sheetPr>
    <pageSetUpPr fitToPage="1"/>
  </sheetPr>
  <dimension ref="A1:S65"/>
  <sheetViews>
    <sheetView zoomScaleNormal="100" zoomScaleSheetLayoutView="120" workbookViewId="0">
      <selection activeCell="C47" sqref="C47"/>
    </sheetView>
  </sheetViews>
  <sheetFormatPr defaultColWidth="9.140625" defaultRowHeight="12.75"/>
  <cols>
    <col min="1" max="2" width="4.7109375" style="312" customWidth="1"/>
    <col min="3" max="3" width="46.85546875" style="312" bestFit="1" customWidth="1"/>
    <col min="4" max="4" width="10.140625" style="312" bestFit="1" customWidth="1"/>
    <col min="5" max="5" width="12.7109375" style="935" bestFit="1" customWidth="1"/>
    <col min="6" max="6" width="15.28515625" style="312" customWidth="1"/>
    <col min="7" max="7" width="12.28515625" style="929" bestFit="1" customWidth="1"/>
    <col min="8" max="16384" width="9.140625" style="312"/>
  </cols>
  <sheetData>
    <row r="1" spans="1:8" ht="15.75">
      <c r="A1" s="1279" t="str">
        <f>'Appendix H-1'!A6</f>
        <v>South Carolina Electric &amp; Gas Company (SCEG)</v>
      </c>
      <c r="B1" s="1279"/>
      <c r="C1" s="1279"/>
      <c r="D1" s="1279"/>
      <c r="E1" s="1279"/>
      <c r="F1" s="1279"/>
      <c r="G1" s="1279"/>
    </row>
    <row r="2" spans="1:8" ht="15.75">
      <c r="A2" s="637"/>
      <c r="B2" s="5"/>
      <c r="C2" s="5"/>
      <c r="D2" s="5"/>
      <c r="E2" s="934"/>
      <c r="F2" s="5"/>
      <c r="G2" s="941"/>
    </row>
    <row r="3" spans="1:8" ht="15">
      <c r="A3" s="1276" t="s">
        <v>30</v>
      </c>
      <c r="B3" s="1277"/>
      <c r="C3" s="1277"/>
      <c r="D3" s="1277"/>
      <c r="E3" s="1277"/>
      <c r="F3" s="1278"/>
      <c r="G3" s="1278"/>
    </row>
    <row r="5" spans="1:8">
      <c r="D5" s="32"/>
    </row>
    <row r="7" spans="1:8">
      <c r="D7" s="936" t="s">
        <v>375</v>
      </c>
      <c r="E7" s="1095"/>
      <c r="F7" s="22"/>
      <c r="G7" s="936" t="s">
        <v>383</v>
      </c>
      <c r="H7" s="22"/>
    </row>
    <row r="8" spans="1:8">
      <c r="A8" s="20" t="s">
        <v>223</v>
      </c>
      <c r="B8" s="20"/>
      <c r="D8" s="936" t="s">
        <v>376</v>
      </c>
      <c r="E8" s="1095" t="s">
        <v>384</v>
      </c>
      <c r="F8" s="22" t="s">
        <v>328</v>
      </c>
      <c r="G8" s="936" t="s">
        <v>384</v>
      </c>
      <c r="H8" s="22"/>
    </row>
    <row r="9" spans="1:8">
      <c r="A9" s="20"/>
      <c r="B9" s="20"/>
      <c r="D9" s="22"/>
      <c r="E9" s="937"/>
      <c r="F9" s="22"/>
      <c r="G9" s="936"/>
      <c r="H9" s="22"/>
    </row>
    <row r="10" spans="1:8">
      <c r="A10" s="20"/>
      <c r="B10" s="20"/>
      <c r="D10" s="22"/>
      <c r="E10" s="937"/>
      <c r="F10" s="22"/>
      <c r="G10" s="936"/>
      <c r="H10" s="22"/>
    </row>
    <row r="11" spans="1:8">
      <c r="D11" s="22"/>
      <c r="E11" s="937"/>
      <c r="G11" s="936"/>
      <c r="H11" s="27"/>
    </row>
    <row r="12" spans="1:8">
      <c r="B12" s="20" t="s">
        <v>374</v>
      </c>
      <c r="D12" s="22"/>
      <c r="E12" s="938"/>
      <c r="F12" s="31" t="s">
        <v>196</v>
      </c>
      <c r="G12" s="936"/>
      <c r="H12" s="27"/>
    </row>
    <row r="13" spans="1:8">
      <c r="D13" s="22"/>
      <c r="E13" s="938"/>
      <c r="F13" s="22"/>
      <c r="G13" s="936"/>
      <c r="H13" s="27"/>
    </row>
    <row r="14" spans="1:8" ht="12.75" customHeight="1">
      <c r="C14" s="633" t="s">
        <v>576</v>
      </c>
      <c r="D14" s="455" t="s">
        <v>627</v>
      </c>
      <c r="E14" s="1218">
        <v>158134174</v>
      </c>
      <c r="F14" s="633"/>
      <c r="G14" s="942"/>
    </row>
    <row r="15" spans="1:8" ht="12.75" customHeight="1">
      <c r="C15" s="633" t="s">
        <v>577</v>
      </c>
      <c r="D15" s="455" t="s">
        <v>628</v>
      </c>
      <c r="E15" s="1218">
        <v>8274507</v>
      </c>
      <c r="F15" s="633"/>
      <c r="G15" s="942"/>
      <c r="H15" s="321"/>
    </row>
    <row r="16" spans="1:8" ht="12.75" customHeight="1">
      <c r="C16" s="315"/>
      <c r="D16" s="633"/>
      <c r="E16" s="939"/>
      <c r="F16" s="633"/>
      <c r="G16" s="942"/>
      <c r="H16" s="321"/>
    </row>
    <row r="17" spans="2:8" ht="12.75" customHeight="1">
      <c r="C17" s="315"/>
      <c r="D17" s="633"/>
      <c r="E17" s="939"/>
      <c r="F17" s="633"/>
      <c r="G17" s="942"/>
      <c r="H17" s="321"/>
    </row>
    <row r="18" spans="2:8" ht="12.75" customHeight="1">
      <c r="C18" s="315"/>
      <c r="D18" s="633"/>
      <c r="E18" s="939"/>
      <c r="F18" s="633"/>
      <c r="G18" s="942"/>
      <c r="H18" s="321"/>
    </row>
    <row r="19" spans="2:8" ht="12.75" customHeight="1">
      <c r="C19" s="315"/>
      <c r="D19" s="633"/>
      <c r="E19" s="939"/>
      <c r="F19" s="633"/>
      <c r="G19" s="942"/>
      <c r="H19" s="321"/>
    </row>
    <row r="20" spans="2:8" ht="12.75" customHeight="1">
      <c r="C20" s="315"/>
      <c r="D20" s="633"/>
      <c r="E20" s="939"/>
      <c r="F20" s="633"/>
      <c r="G20" s="942"/>
      <c r="H20" s="321"/>
    </row>
    <row r="21" spans="2:8" ht="12.75" customHeight="1">
      <c r="C21" s="315"/>
      <c r="D21" s="633"/>
      <c r="E21" s="939"/>
      <c r="F21" s="633"/>
      <c r="G21" s="942"/>
      <c r="H21" s="321"/>
    </row>
    <row r="22" spans="2:8" ht="12.75" customHeight="1">
      <c r="B22" s="20" t="s">
        <v>379</v>
      </c>
      <c r="C22" s="315"/>
      <c r="D22" s="633"/>
      <c r="E22" s="939">
        <f>SUM(E14:E21)</f>
        <v>166408681</v>
      </c>
      <c r="F22" s="635">
        <f>+'Appendix H-1'!H33</f>
        <v>0.13153506818414223</v>
      </c>
      <c r="G22" s="939">
        <f>+F22*E22</f>
        <v>21888577.201768175</v>
      </c>
      <c r="H22" s="321"/>
    </row>
    <row r="23" spans="2:8" ht="12.75" customHeight="1">
      <c r="C23" s="315"/>
      <c r="D23" s="633"/>
      <c r="E23" s="939"/>
      <c r="F23" s="633"/>
      <c r="G23" s="942"/>
      <c r="H23" s="321"/>
    </row>
    <row r="24" spans="2:8" ht="12.75" customHeight="1">
      <c r="C24" s="315"/>
      <c r="D24" s="633"/>
      <c r="E24" s="939"/>
      <c r="F24" s="633"/>
      <c r="G24" s="942"/>
      <c r="H24" s="321"/>
    </row>
    <row r="25" spans="2:8" ht="12.75" customHeight="1">
      <c r="B25" s="20" t="s">
        <v>377</v>
      </c>
      <c r="C25" s="315"/>
      <c r="D25" s="633"/>
      <c r="E25" s="939"/>
      <c r="F25" s="30" t="s">
        <v>561</v>
      </c>
      <c r="G25" s="942"/>
      <c r="H25" s="321"/>
    </row>
    <row r="26" spans="2:8" ht="12.75" customHeight="1">
      <c r="B26" s="20"/>
      <c r="C26" s="315"/>
      <c r="D26" s="633"/>
      <c r="E26" s="551"/>
      <c r="F26" s="315"/>
      <c r="G26" s="942"/>
      <c r="H26" s="321"/>
    </row>
    <row r="27" spans="2:8" ht="12.75" customHeight="1">
      <c r="C27" s="315"/>
      <c r="D27" s="633"/>
      <c r="E27" s="939"/>
      <c r="F27" s="633"/>
      <c r="G27" s="942"/>
      <c r="H27" s="321"/>
    </row>
    <row r="28" spans="2:8" ht="12.75" customHeight="1">
      <c r="C28" s="315" t="s">
        <v>578</v>
      </c>
      <c r="D28" s="455" t="s">
        <v>629</v>
      </c>
      <c r="E28" s="1218">
        <v>90848</v>
      </c>
      <c r="F28" s="636"/>
      <c r="G28" s="943"/>
      <c r="H28" s="324"/>
    </row>
    <row r="29" spans="2:8">
      <c r="C29" s="315" t="s">
        <v>580</v>
      </c>
      <c r="D29" s="455" t="s">
        <v>630</v>
      </c>
      <c r="E29" s="1218">
        <v>12887390</v>
      </c>
      <c r="F29" s="315"/>
      <c r="G29" s="474"/>
    </row>
    <row r="30" spans="2:8">
      <c r="C30" s="315" t="s">
        <v>579</v>
      </c>
      <c r="D30" s="455" t="s">
        <v>631</v>
      </c>
      <c r="E30" s="1218">
        <v>188281</v>
      </c>
      <c r="F30" s="315"/>
      <c r="G30" s="474"/>
    </row>
    <row r="31" spans="2:8">
      <c r="C31" s="315"/>
      <c r="D31" s="315"/>
      <c r="E31" s="551"/>
      <c r="F31" s="315"/>
      <c r="G31" s="474"/>
    </row>
    <row r="32" spans="2:8">
      <c r="C32" s="315"/>
      <c r="D32" s="315"/>
      <c r="E32" s="551"/>
      <c r="F32" s="315"/>
      <c r="G32" s="474"/>
    </row>
    <row r="33" spans="2:7">
      <c r="B33" s="20" t="s">
        <v>380</v>
      </c>
      <c r="C33" s="315"/>
      <c r="D33" s="315"/>
      <c r="E33" s="939">
        <f>SUM(E28:E32)</f>
        <v>13166519</v>
      </c>
      <c r="F33" s="635">
        <f>+'Appendix H-1'!H17</f>
        <v>5.9187768577029835E-2</v>
      </c>
      <c r="G33" s="939">
        <f>+F33*E33</f>
        <v>779296.87953706633</v>
      </c>
    </row>
    <row r="34" spans="2:7">
      <c r="B34" s="20"/>
      <c r="C34" s="634"/>
      <c r="D34" s="315"/>
      <c r="E34" s="551"/>
      <c r="F34" s="315"/>
      <c r="G34" s="474"/>
    </row>
    <row r="35" spans="2:7">
      <c r="C35" s="315"/>
      <c r="D35" s="315"/>
      <c r="E35" s="551"/>
      <c r="F35" s="315"/>
      <c r="G35" s="474"/>
    </row>
    <row r="36" spans="2:7">
      <c r="B36" s="20" t="s">
        <v>378</v>
      </c>
      <c r="C36" s="315"/>
      <c r="D36" s="315"/>
      <c r="E36" s="551"/>
      <c r="F36" s="358" t="s">
        <v>196</v>
      </c>
      <c r="G36" s="474"/>
    </row>
    <row r="37" spans="2:7">
      <c r="C37" s="315"/>
      <c r="D37" s="315"/>
      <c r="E37" s="551"/>
      <c r="F37" s="315"/>
      <c r="G37" s="474"/>
    </row>
    <row r="38" spans="2:7">
      <c r="C38" s="636" t="s">
        <v>581</v>
      </c>
      <c r="D38" s="455" t="s">
        <v>632</v>
      </c>
      <c r="E38" s="1219">
        <v>13743589</v>
      </c>
      <c r="F38" s="315"/>
      <c r="G38" s="474"/>
    </row>
    <row r="39" spans="2:7">
      <c r="C39" s="315"/>
      <c r="D39" s="315"/>
      <c r="E39" s="939"/>
      <c r="F39" s="315"/>
      <c r="G39" s="474"/>
    </row>
    <row r="40" spans="2:7">
      <c r="C40" s="315"/>
      <c r="D40" s="315"/>
      <c r="E40" s="551"/>
      <c r="F40" s="315"/>
      <c r="G40" s="474"/>
    </row>
    <row r="41" spans="2:7">
      <c r="C41" s="315"/>
      <c r="D41" s="315"/>
      <c r="E41" s="551"/>
      <c r="F41" s="315"/>
      <c r="G41" s="474"/>
    </row>
    <row r="42" spans="2:7">
      <c r="B42" s="20" t="s">
        <v>381</v>
      </c>
      <c r="C42" s="315"/>
      <c r="D42" s="315"/>
      <c r="E42" s="939">
        <f>SUM(E38:E41)</f>
        <v>13743589</v>
      </c>
      <c r="F42" s="635">
        <f>+'Appendix H-1'!H33</f>
        <v>0.13153506818414223</v>
      </c>
      <c r="G42" s="939">
        <f>+F42*E42</f>
        <v>1807763.9162098272</v>
      </c>
    </row>
    <row r="43" spans="2:7">
      <c r="C43" s="315"/>
      <c r="D43" s="315"/>
      <c r="E43" s="551"/>
      <c r="F43" s="315"/>
      <c r="G43" s="474"/>
    </row>
    <row r="44" spans="2:7">
      <c r="B44" s="20" t="s">
        <v>386</v>
      </c>
      <c r="C44" s="315"/>
      <c r="D44" s="315"/>
      <c r="E44" s="551"/>
      <c r="F44" s="315"/>
      <c r="G44" s="939">
        <f>+G42+G33+G22</f>
        <v>24475637.997515067</v>
      </c>
    </row>
    <row r="45" spans="2:7">
      <c r="C45" s="350"/>
      <c r="D45" s="315"/>
      <c r="E45" s="551"/>
      <c r="F45" s="315"/>
      <c r="G45" s="474"/>
    </row>
    <row r="46" spans="2:7">
      <c r="C46" s="350"/>
      <c r="D46" s="315"/>
      <c r="E46" s="551"/>
      <c r="F46" s="315"/>
      <c r="G46" s="474"/>
    </row>
    <row r="47" spans="2:7">
      <c r="C47" s="350"/>
      <c r="D47" s="315"/>
      <c r="E47" s="551"/>
      <c r="F47" s="315"/>
      <c r="G47" s="474"/>
    </row>
    <row r="48" spans="2:7">
      <c r="C48" s="297" t="s">
        <v>382</v>
      </c>
      <c r="D48" s="315"/>
      <c r="E48" s="551"/>
      <c r="F48" s="315"/>
      <c r="G48" s="474"/>
    </row>
    <row r="49" spans="3:19">
      <c r="C49" s="315"/>
      <c r="D49" s="315"/>
      <c r="E49" s="551"/>
      <c r="F49" s="315"/>
      <c r="G49" s="474"/>
    </row>
    <row r="50" spans="3:19">
      <c r="C50" s="315" t="s">
        <v>582</v>
      </c>
      <c r="D50" s="455" t="s">
        <v>633</v>
      </c>
      <c r="E50" s="1218">
        <v>7318334</v>
      </c>
      <c r="F50" s="291"/>
      <c r="G50" s="944"/>
      <c r="H50" s="291"/>
      <c r="I50" s="291"/>
      <c r="J50" s="291"/>
      <c r="K50" s="315"/>
      <c r="L50" s="315"/>
      <c r="M50" s="315"/>
      <c r="N50" s="315"/>
      <c r="O50" s="315"/>
      <c r="P50" s="315"/>
      <c r="Q50" s="315"/>
      <c r="R50" s="315"/>
      <c r="S50" s="315"/>
    </row>
    <row r="51" spans="3:19">
      <c r="C51" s="315" t="s">
        <v>635</v>
      </c>
      <c r="D51" s="455" t="s">
        <v>637</v>
      </c>
      <c r="E51" s="1218">
        <v>-144978100</v>
      </c>
      <c r="F51" s="291"/>
      <c r="G51" s="944"/>
      <c r="H51" s="291"/>
      <c r="I51" s="291"/>
      <c r="J51" s="291"/>
      <c r="K51" s="315"/>
      <c r="L51" s="315"/>
      <c r="M51" s="315"/>
      <c r="N51" s="315"/>
      <c r="O51" s="315"/>
      <c r="P51" s="315"/>
      <c r="Q51" s="315"/>
      <c r="R51" s="315"/>
      <c r="S51" s="315"/>
    </row>
    <row r="52" spans="3:19">
      <c r="C52" s="315" t="s">
        <v>636</v>
      </c>
      <c r="D52" s="455" t="s">
        <v>634</v>
      </c>
      <c r="E52" s="1218">
        <v>-18767040</v>
      </c>
      <c r="F52" s="291"/>
      <c r="G52" s="944"/>
      <c r="H52" s="291"/>
      <c r="I52" s="291"/>
      <c r="J52" s="291"/>
      <c r="K52" s="315"/>
      <c r="L52" s="315"/>
      <c r="M52" s="315"/>
      <c r="N52" s="315"/>
      <c r="O52" s="315"/>
      <c r="P52" s="315"/>
      <c r="Q52" s="315"/>
      <c r="R52" s="315"/>
      <c r="S52" s="315"/>
    </row>
    <row r="53" spans="3:19">
      <c r="C53" s="315"/>
      <c r="D53" s="315"/>
      <c r="E53" s="551"/>
      <c r="F53" s="291"/>
      <c r="G53" s="944"/>
      <c r="H53" s="291"/>
      <c r="I53" s="291"/>
      <c r="J53" s="291"/>
      <c r="K53" s="315"/>
      <c r="L53" s="315"/>
      <c r="M53" s="315"/>
      <c r="N53" s="315"/>
      <c r="O53" s="315"/>
      <c r="P53" s="315"/>
      <c r="Q53" s="315"/>
      <c r="R53" s="315"/>
      <c r="S53" s="315"/>
    </row>
    <row r="54" spans="3:19">
      <c r="C54" s="315"/>
      <c r="D54" s="315"/>
      <c r="E54" s="939"/>
      <c r="F54" s="291"/>
      <c r="G54" s="944"/>
      <c r="H54" s="291"/>
      <c r="I54" s="291"/>
      <c r="J54" s="291"/>
      <c r="K54" s="315"/>
      <c r="L54" s="315"/>
      <c r="M54" s="315"/>
      <c r="N54" s="315"/>
      <c r="O54" s="315"/>
      <c r="P54" s="315"/>
      <c r="Q54" s="315"/>
      <c r="R54" s="315"/>
      <c r="S54" s="315"/>
    </row>
    <row r="55" spans="3:19">
      <c r="C55" s="633"/>
      <c r="D55" s="315"/>
      <c r="E55" s="551"/>
      <c r="F55" s="315"/>
      <c r="G55" s="474"/>
      <c r="H55" s="315"/>
      <c r="I55" s="315"/>
      <c r="J55" s="315"/>
      <c r="K55" s="315"/>
      <c r="L55" s="315"/>
      <c r="M55" s="315"/>
      <c r="N55" s="315"/>
      <c r="O55" s="315"/>
      <c r="P55" s="315"/>
      <c r="Q55" s="315"/>
      <c r="R55" s="315"/>
      <c r="S55" s="315"/>
    </row>
    <row r="56" spans="3:19">
      <c r="C56" s="633"/>
      <c r="D56" s="315"/>
      <c r="E56" s="551"/>
      <c r="F56" s="315"/>
      <c r="G56" s="474"/>
    </row>
    <row r="57" spans="3:19">
      <c r="C57" s="315"/>
      <c r="D57" s="315"/>
      <c r="E57" s="551"/>
      <c r="F57" s="315"/>
      <c r="G57" s="474"/>
    </row>
    <row r="58" spans="3:19">
      <c r="C58" s="315"/>
      <c r="D58" s="315"/>
      <c r="E58" s="527"/>
      <c r="F58" s="315"/>
      <c r="G58" s="474"/>
    </row>
    <row r="59" spans="3:19">
      <c r="C59" s="315"/>
      <c r="D59" s="315"/>
      <c r="E59" s="551"/>
      <c r="F59" s="315"/>
      <c r="G59" s="474"/>
    </row>
    <row r="60" spans="3:19" ht="13.5" thickBot="1">
      <c r="C60" s="315" t="s">
        <v>542</v>
      </c>
      <c r="D60" s="315"/>
      <c r="E60" s="940">
        <f>E22+E33+E42+SUM(E50:E58)</f>
        <v>36891983</v>
      </c>
      <c r="F60" s="315"/>
      <c r="G60" s="474"/>
    </row>
    <row r="61" spans="3:19" ht="13.5" thickTop="1">
      <c r="C61" s="315"/>
      <c r="D61" s="315"/>
      <c r="E61" s="551"/>
      <c r="F61" s="315"/>
      <c r="G61" s="474"/>
    </row>
    <row r="62" spans="3:19">
      <c r="C62" s="315"/>
      <c r="D62" s="315"/>
      <c r="E62" s="551"/>
      <c r="F62" s="315"/>
      <c r="G62" s="474"/>
    </row>
    <row r="63" spans="3:19">
      <c r="C63" s="633"/>
      <c r="D63" s="315"/>
      <c r="E63" s="551"/>
      <c r="F63" s="315"/>
      <c r="G63" s="474"/>
    </row>
    <row r="64" spans="3:19">
      <c r="C64" s="315"/>
      <c r="D64" s="315"/>
      <c r="E64" s="551"/>
      <c r="F64" s="315"/>
      <c r="G64" s="474"/>
    </row>
    <row r="65" spans="3:7">
      <c r="C65" s="315"/>
      <c r="D65" s="315"/>
      <c r="E65" s="551"/>
      <c r="F65" s="316"/>
      <c r="G65" s="474"/>
    </row>
  </sheetData>
  <mergeCells count="2">
    <mergeCell ref="A3:G3"/>
    <mergeCell ref="A1:G1"/>
  </mergeCells>
  <phoneticPr fontId="0" type="noConversion"/>
  <pageMargins left="0.75" right="0.75" top="1" bottom="1" header="0.5" footer="0.5"/>
  <pageSetup scale="84" orientation="portrait" r:id="rId1"/>
  <headerFooter alignWithMargins="0">
    <oddHeader>&amp;RPage &amp;P of &amp;N</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O51"/>
  <sheetViews>
    <sheetView zoomScaleNormal="100" zoomScaleSheetLayoutView="120" workbookViewId="0">
      <selection activeCell="C8" sqref="C8"/>
    </sheetView>
  </sheetViews>
  <sheetFormatPr defaultColWidth="9.140625" defaultRowHeight="12.75"/>
  <cols>
    <col min="1" max="1" width="4.7109375" style="312" customWidth="1"/>
    <col min="2" max="2" width="77.5703125" style="312" customWidth="1"/>
    <col min="3" max="3" width="26.42578125" style="312" customWidth="1"/>
    <col min="4" max="4" width="14" style="318" bestFit="1" customWidth="1"/>
    <col min="5" max="5" width="14.7109375" style="312" bestFit="1" customWidth="1"/>
    <col min="6" max="6" width="11.28515625" style="870" bestFit="1" customWidth="1"/>
    <col min="7" max="21" width="9.140625" style="312"/>
    <col min="22" max="22" width="10.85546875" style="312" customWidth="1"/>
    <col min="23" max="16384" width="9.140625" style="312"/>
  </cols>
  <sheetData>
    <row r="1" spans="1:6" ht="15.75">
      <c r="A1" s="1279" t="str">
        <f>'Appendix H-1'!A6</f>
        <v>South Carolina Electric &amp; Gas Company (SCEG)</v>
      </c>
      <c r="B1" s="1279"/>
      <c r="C1" s="1279"/>
      <c r="D1" s="1279"/>
      <c r="E1" s="639"/>
      <c r="F1" s="869"/>
    </row>
    <row r="2" spans="1:6" ht="15.75">
      <c r="A2" s="1"/>
      <c r="B2" s="5"/>
      <c r="C2" s="5"/>
      <c r="D2" s="638"/>
      <c r="E2" s="5"/>
    </row>
    <row r="3" spans="1:6" ht="15">
      <c r="A3" s="1276" t="s">
        <v>546</v>
      </c>
      <c r="B3" s="1277"/>
      <c r="C3" s="1277"/>
      <c r="D3" s="1277"/>
      <c r="E3" s="5"/>
    </row>
    <row r="4" spans="1:6">
      <c r="C4" s="319"/>
      <c r="E4" s="876" t="s">
        <v>358</v>
      </c>
    </row>
    <row r="5" spans="1:6" s="640" customFormat="1" ht="25.5">
      <c r="B5" s="758"/>
      <c r="C5" s="332"/>
      <c r="D5" s="759" t="s">
        <v>13</v>
      </c>
      <c r="E5" s="759" t="s">
        <v>23</v>
      </c>
      <c r="F5" s="871"/>
    </row>
    <row r="6" spans="1:6">
      <c r="B6" s="292" t="s">
        <v>584</v>
      </c>
    </row>
    <row r="7" spans="1:6">
      <c r="A7" s="312">
        <v>1</v>
      </c>
      <c r="B7" s="317" t="s">
        <v>15</v>
      </c>
      <c r="C7" s="441"/>
      <c r="D7" s="945">
        <v>116212</v>
      </c>
      <c r="E7" s="946">
        <f>D7</f>
        <v>116212</v>
      </c>
    </row>
    <row r="8" spans="1:6">
      <c r="A8" s="312">
        <f>A7+1</f>
        <v>2</v>
      </c>
      <c r="B8" s="320" t="s">
        <v>81</v>
      </c>
      <c r="D8" s="945">
        <v>129212</v>
      </c>
      <c r="E8" s="946"/>
    </row>
    <row r="9" spans="1:6">
      <c r="A9" s="312">
        <f>A8+1</f>
        <v>3</v>
      </c>
      <c r="B9" s="317" t="s">
        <v>82</v>
      </c>
      <c r="D9" s="945">
        <v>6791</v>
      </c>
      <c r="E9" s="946"/>
    </row>
    <row r="10" spans="1:6">
      <c r="A10" s="312">
        <f>A9+1</f>
        <v>4</v>
      </c>
      <c r="B10" s="330" t="s">
        <v>83</v>
      </c>
      <c r="C10" s="328"/>
      <c r="D10" s="945">
        <v>17680</v>
      </c>
      <c r="E10" s="946"/>
    </row>
    <row r="11" spans="1:6">
      <c r="A11" s="312">
        <f t="shared" ref="A11:A12" si="0">A10+1</f>
        <v>5</v>
      </c>
      <c r="B11" s="1058"/>
      <c r="C11" s="881"/>
      <c r="D11" s="947"/>
      <c r="E11" s="948"/>
    </row>
    <row r="12" spans="1:6">
      <c r="A12" s="312">
        <f t="shared" si="0"/>
        <v>6</v>
      </c>
      <c r="B12" s="320" t="s">
        <v>585</v>
      </c>
      <c r="C12" s="319" t="str">
        <f>"(Sum Lines "&amp;A7&amp;" - "&amp;A11&amp;")"</f>
        <v>(Sum Lines 1 - 5)</v>
      </c>
      <c r="D12" s="946">
        <f>SUM(D7:D11)</f>
        <v>269895</v>
      </c>
      <c r="E12" s="946">
        <f>SUM(E7:E11)</f>
        <v>116212</v>
      </c>
      <c r="F12" s="902"/>
    </row>
    <row r="13" spans="1:6">
      <c r="B13" s="320"/>
      <c r="C13" s="319"/>
      <c r="D13" s="946"/>
      <c r="E13" s="641"/>
    </row>
    <row r="14" spans="1:6">
      <c r="B14" s="292" t="s">
        <v>543</v>
      </c>
      <c r="C14" s="319"/>
      <c r="D14" s="979"/>
      <c r="E14" s="923"/>
    </row>
    <row r="15" spans="1:6">
      <c r="A15" s="312">
        <f>A12+1</f>
        <v>7</v>
      </c>
      <c r="B15" s="320" t="s">
        <v>26</v>
      </c>
      <c r="C15" s="319"/>
      <c r="D15" s="1211">
        <f>3987252+1150501</f>
        <v>5137753</v>
      </c>
      <c r="E15" s="667">
        <f>D15*'Appendix H-1'!$H$17</f>
        <v>304092.13556994079</v>
      </c>
    </row>
    <row r="16" spans="1:6">
      <c r="A16" s="312">
        <f t="shared" ref="A16:A28" si="1">A15+1</f>
        <v>8</v>
      </c>
      <c r="B16" s="320" t="s">
        <v>16</v>
      </c>
      <c r="C16" s="319"/>
      <c r="D16" s="945">
        <v>566712</v>
      </c>
      <c r="E16" s="923"/>
    </row>
    <row r="17" spans="1:15">
      <c r="A17" s="312">
        <f t="shared" si="1"/>
        <v>9</v>
      </c>
      <c r="B17" s="320" t="s">
        <v>20</v>
      </c>
      <c r="C17" s="319"/>
      <c r="D17" s="945">
        <v>6252990</v>
      </c>
      <c r="E17" s="946">
        <f>D17*'Appendix H-1'!$H$33</f>
        <v>822487.46600475954</v>
      </c>
    </row>
    <row r="18" spans="1:15">
      <c r="A18" s="312">
        <f t="shared" si="1"/>
        <v>10</v>
      </c>
      <c r="B18" s="320" t="s">
        <v>17</v>
      </c>
      <c r="C18" s="319"/>
      <c r="D18" s="945">
        <v>0</v>
      </c>
      <c r="E18" s="946"/>
    </row>
    <row r="19" spans="1:15">
      <c r="A19" s="312">
        <f t="shared" si="1"/>
        <v>11</v>
      </c>
      <c r="B19" s="320" t="s">
        <v>18</v>
      </c>
      <c r="C19" s="316"/>
      <c r="D19" s="945">
        <v>6948684</v>
      </c>
      <c r="E19" s="946">
        <f>D19*'Appendix H-1'!$H$33</f>
        <v>913995.6237300582</v>
      </c>
    </row>
    <row r="20" spans="1:15">
      <c r="A20" s="312">
        <f t="shared" si="1"/>
        <v>12</v>
      </c>
      <c r="B20" s="320" t="s">
        <v>21</v>
      </c>
      <c r="C20" s="316"/>
      <c r="D20" s="945">
        <v>163681</v>
      </c>
      <c r="E20" s="946">
        <f>D20</f>
        <v>163681</v>
      </c>
      <c r="F20" s="1057"/>
    </row>
    <row r="21" spans="1:15">
      <c r="A21" s="312">
        <f t="shared" si="1"/>
        <v>13</v>
      </c>
      <c r="B21" s="320" t="s">
        <v>25</v>
      </c>
      <c r="C21" s="316"/>
      <c r="D21" s="945">
        <v>219313</v>
      </c>
      <c r="E21" s="946"/>
      <c r="F21" s="872"/>
    </row>
    <row r="22" spans="1:15">
      <c r="A22" s="312">
        <f t="shared" si="1"/>
        <v>14</v>
      </c>
      <c r="B22" s="320" t="s">
        <v>174</v>
      </c>
      <c r="C22" s="316"/>
      <c r="D22" s="945">
        <v>10623</v>
      </c>
      <c r="E22" s="946"/>
      <c r="F22" s="872"/>
    </row>
    <row r="23" spans="1:15">
      <c r="A23" s="312">
        <f t="shared" si="1"/>
        <v>15</v>
      </c>
      <c r="B23" s="347" t="s">
        <v>175</v>
      </c>
      <c r="C23" s="349"/>
      <c r="D23" s="945">
        <v>230860</v>
      </c>
      <c r="E23" s="946">
        <f>D23*'Appendix H-1'!$H$33</f>
        <v>30366.185840991075</v>
      </c>
    </row>
    <row r="24" spans="1:15" ht="12.75" customHeight="1">
      <c r="A24" s="312">
        <f t="shared" si="1"/>
        <v>16</v>
      </c>
      <c r="B24" s="1043"/>
      <c r="C24" s="349"/>
      <c r="D24" s="945"/>
      <c r="E24" s="946"/>
      <c r="F24" s="1044"/>
      <c r="G24" s="1044"/>
      <c r="H24" s="1044"/>
      <c r="I24" s="1044"/>
      <c r="J24" s="1044"/>
      <c r="K24" s="1044"/>
      <c r="L24" s="1044"/>
      <c r="M24" s="1044"/>
      <c r="N24" s="1044"/>
      <c r="O24" s="1044"/>
    </row>
    <row r="25" spans="1:15" ht="12.75" customHeight="1">
      <c r="A25" s="312">
        <f t="shared" si="1"/>
        <v>17</v>
      </c>
      <c r="B25" s="898"/>
      <c r="C25" s="349"/>
      <c r="D25" s="945"/>
      <c r="E25" s="946"/>
      <c r="F25" s="1044"/>
      <c r="G25" s="1044"/>
      <c r="H25" s="1044"/>
      <c r="I25" s="1044"/>
      <c r="J25" s="1044"/>
      <c r="K25" s="1044"/>
    </row>
    <row r="26" spans="1:15" ht="12.75" customHeight="1">
      <c r="A26" s="312">
        <f t="shared" si="1"/>
        <v>18</v>
      </c>
      <c r="B26" s="898"/>
      <c r="C26" s="349"/>
      <c r="D26" s="945"/>
      <c r="E26" s="946"/>
      <c r="F26" s="1044"/>
      <c r="G26" s="1044"/>
      <c r="H26" s="1044"/>
      <c r="I26" s="1044"/>
      <c r="J26" s="1044"/>
      <c r="K26" s="1044"/>
    </row>
    <row r="27" spans="1:15" ht="12.75" customHeight="1">
      <c r="A27" s="312">
        <f t="shared" si="1"/>
        <v>19</v>
      </c>
      <c r="B27" s="1028"/>
      <c r="C27" s="331"/>
      <c r="D27" s="947"/>
      <c r="E27" s="980"/>
      <c r="F27" s="1044"/>
      <c r="G27" s="1044"/>
      <c r="H27" s="1044"/>
      <c r="I27" s="1044"/>
      <c r="J27" s="1044"/>
      <c r="K27" s="1044"/>
    </row>
    <row r="28" spans="1:15">
      <c r="A28" s="312">
        <f t="shared" si="1"/>
        <v>20</v>
      </c>
      <c r="B28" s="320" t="s">
        <v>544</v>
      </c>
      <c r="C28" s="319" t="str">
        <f>"(Sum Lines "&amp;A15&amp;" - "&amp;A27&amp;")"</f>
        <v>(Sum Lines 7 - 19)</v>
      </c>
      <c r="D28" s="946">
        <f>SUM(D15:D27)</f>
        <v>19530616</v>
      </c>
      <c r="E28" s="641">
        <f>SUM(E15:E27)</f>
        <v>2234622.4111457495</v>
      </c>
      <c r="F28" s="902"/>
    </row>
    <row r="29" spans="1:15">
      <c r="B29" s="320"/>
      <c r="C29" s="319"/>
      <c r="D29" s="946"/>
      <c r="E29" s="641"/>
      <c r="F29" s="873"/>
    </row>
    <row r="30" spans="1:15">
      <c r="B30" s="292" t="s">
        <v>3</v>
      </c>
      <c r="C30" s="319"/>
      <c r="D30" s="667"/>
      <c r="E30" s="641"/>
      <c r="F30" s="873"/>
    </row>
    <row r="31" spans="1:15">
      <c r="A31" s="312">
        <f>A28+1</f>
        <v>21</v>
      </c>
      <c r="B31" s="317" t="s">
        <v>821</v>
      </c>
      <c r="C31" s="332"/>
      <c r="D31" s="1210">
        <v>84297</v>
      </c>
      <c r="E31" s="949">
        <f>D31</f>
        <v>84297</v>
      </c>
      <c r="F31" s="872"/>
    </row>
    <row r="32" spans="1:15">
      <c r="A32" s="312">
        <f>A31+1</f>
        <v>22</v>
      </c>
      <c r="B32" s="317" t="s">
        <v>822</v>
      </c>
      <c r="C32" s="332"/>
      <c r="D32" s="945">
        <v>4477</v>
      </c>
      <c r="E32" s="946"/>
    </row>
    <row r="33" spans="1:6">
      <c r="A33" s="312">
        <f>A32+1</f>
        <v>23</v>
      </c>
      <c r="B33" s="317" t="s">
        <v>14</v>
      </c>
      <c r="C33" s="316"/>
      <c r="D33" s="945">
        <v>6971187</v>
      </c>
      <c r="E33" s="946"/>
    </row>
    <row r="34" spans="1:6">
      <c r="A34" s="312">
        <f>A33+1</f>
        <v>24</v>
      </c>
      <c r="B34" s="317" t="s">
        <v>84</v>
      </c>
      <c r="C34" s="316"/>
      <c r="D34" s="945">
        <v>779484</v>
      </c>
      <c r="E34" s="946"/>
    </row>
    <row r="35" spans="1:6">
      <c r="A35" s="312">
        <f>A34+1</f>
        <v>25</v>
      </c>
      <c r="B35" s="329" t="s">
        <v>19</v>
      </c>
      <c r="C35" s="331"/>
      <c r="D35" s="947">
        <v>0</v>
      </c>
      <c r="E35" s="951">
        <f>D35</f>
        <v>0</v>
      </c>
    </row>
    <row r="36" spans="1:6">
      <c r="A36" s="312">
        <f>A35+1</f>
        <v>26</v>
      </c>
      <c r="B36" s="330" t="s">
        <v>663</v>
      </c>
      <c r="C36" s="319" t="str">
        <f>"(Sum Lines "&amp;A31&amp;" - "&amp;A35&amp;")"</f>
        <v>(Sum Lines 21 - 25)</v>
      </c>
      <c r="D36" s="950">
        <f>SUM(D31:D35)</f>
        <v>7839445</v>
      </c>
      <c r="E36" s="641">
        <f>SUM(E31:E35)</f>
        <v>84297</v>
      </c>
      <c r="F36" s="902"/>
    </row>
    <row r="37" spans="1:6">
      <c r="B37" s="320"/>
      <c r="D37" s="667"/>
      <c r="E37" s="641"/>
    </row>
    <row r="38" spans="1:6" ht="13.5" thickBot="1">
      <c r="A38" s="312">
        <f>A36+1</f>
        <v>27</v>
      </c>
      <c r="B38" s="320" t="s">
        <v>667</v>
      </c>
      <c r="C38" s="319" t="str">
        <f>"(Line "&amp;A12&amp;" + "&amp;A28&amp;" + "&amp;A36&amp;")"</f>
        <v>(Line 6 + 20 + 26)</v>
      </c>
      <c r="D38" s="981">
        <f>D36+D28+D12</f>
        <v>27639956</v>
      </c>
      <c r="E38" s="981">
        <f>E36+E28+E12</f>
        <v>2435131.4111457495</v>
      </c>
    </row>
    <row r="39" spans="1:6" ht="13.5" thickTop="1">
      <c r="B39" s="320"/>
      <c r="D39" s="322"/>
    </row>
    <row r="40" spans="1:6">
      <c r="B40" s="293" t="s">
        <v>24</v>
      </c>
      <c r="D40" s="325"/>
    </row>
    <row r="41" spans="1:6" ht="82.15" customHeight="1">
      <c r="A41" s="323">
        <f>A38+1</f>
        <v>28</v>
      </c>
      <c r="B41" s="1082" t="s">
        <v>852</v>
      </c>
      <c r="D41" s="322"/>
    </row>
    <row r="42" spans="1:6">
      <c r="A42" s="323"/>
      <c r="B42" s="320"/>
    </row>
    <row r="43" spans="1:6" ht="140.25" customHeight="1">
      <c r="A43" s="323">
        <f>A41+1</f>
        <v>29</v>
      </c>
      <c r="B43" s="757" t="s">
        <v>125</v>
      </c>
      <c r="F43" s="877"/>
    </row>
    <row r="44" spans="1:6">
      <c r="A44" s="323"/>
      <c r="B44" s="320"/>
    </row>
    <row r="45" spans="1:6" ht="66" customHeight="1">
      <c r="A45" s="323">
        <f>A43+1</f>
        <v>30</v>
      </c>
      <c r="B45" s="326" t="s">
        <v>22</v>
      </c>
      <c r="D45" s="322"/>
    </row>
    <row r="46" spans="1:6">
      <c r="A46" s="323"/>
      <c r="B46" s="320"/>
    </row>
    <row r="47" spans="1:6">
      <c r="B47" s="315"/>
      <c r="C47" s="315"/>
      <c r="D47" s="325"/>
    </row>
    <row r="48" spans="1:6">
      <c r="B48" s="354"/>
      <c r="C48" s="315"/>
      <c r="D48" s="325"/>
    </row>
    <row r="49" spans="2:4">
      <c r="D49" s="327"/>
    </row>
    <row r="50" spans="2:4">
      <c r="B50" s="336"/>
    </row>
    <row r="51" spans="2:4">
      <c r="B51" s="336"/>
    </row>
  </sheetData>
  <mergeCells count="2">
    <mergeCell ref="A3:D3"/>
    <mergeCell ref="A1:D1"/>
  </mergeCells>
  <phoneticPr fontId="0" type="noConversion"/>
  <pageMargins left="0.5" right="0.5" top="1" bottom="1" header="0.5" footer="0.5"/>
  <pageSetup scale="70" orientation="portrait" r:id="rId1"/>
  <headerFooter alignWithMargins="0">
    <oddHeader>&amp;RPage &amp;P of &amp;N</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J316"/>
  <sheetViews>
    <sheetView zoomScaleNormal="100" zoomScaleSheetLayoutView="70" workbookViewId="0">
      <selection activeCell="G30" sqref="G30"/>
    </sheetView>
  </sheetViews>
  <sheetFormatPr defaultColWidth="9.140625" defaultRowHeight="12.75"/>
  <cols>
    <col min="1" max="1" width="9.28515625" style="312" bestFit="1" customWidth="1"/>
    <col min="2" max="2" width="3" style="312" customWidth="1"/>
    <col min="3" max="3" width="8.140625" style="312" customWidth="1"/>
    <col min="4" max="4" width="40.7109375" style="312" customWidth="1"/>
    <col min="5" max="5" width="29.28515625" style="312" customWidth="1"/>
    <col min="6" max="6" width="21" style="312" customWidth="1"/>
    <col min="7" max="7" width="27.28515625" style="312" customWidth="1"/>
    <col min="8" max="8" width="3.28515625" style="312" customWidth="1"/>
    <col min="9" max="9" width="13.7109375" style="312" customWidth="1"/>
    <col min="10" max="16384" width="9.140625" style="312"/>
  </cols>
  <sheetData>
    <row r="1" spans="1:10" ht="18">
      <c r="A1" s="1280" t="str">
        <f>'Appendix H-1'!A6</f>
        <v>South Carolina Electric &amp; Gas Company (SCEG)</v>
      </c>
      <c r="B1" s="1280"/>
      <c r="C1" s="1280"/>
      <c r="D1" s="1280"/>
      <c r="E1" s="1280"/>
      <c r="F1" s="1280"/>
      <c r="G1" s="1280"/>
    </row>
    <row r="2" spans="1:10">
      <c r="A2" s="29"/>
      <c r="B2" s="1052"/>
      <c r="C2" s="1052"/>
      <c r="D2" s="1052"/>
      <c r="E2" s="1052"/>
      <c r="F2" s="1052"/>
      <c r="G2" s="1052"/>
    </row>
    <row r="3" spans="1:10" ht="18">
      <c r="A3" s="1281" t="s">
        <v>832</v>
      </c>
      <c r="B3" s="1281"/>
      <c r="C3" s="1281"/>
      <c r="D3" s="1281"/>
      <c r="E3" s="1281"/>
      <c r="F3" s="1281"/>
      <c r="G3" s="1281"/>
      <c r="I3" s="640"/>
      <c r="J3" s="1023"/>
    </row>
    <row r="4" spans="1:10" ht="18">
      <c r="A4" s="1051"/>
      <c r="B4" s="1051"/>
      <c r="C4" s="1051"/>
      <c r="D4" s="1051"/>
      <c r="E4" s="1051"/>
      <c r="F4" s="1051"/>
      <c r="G4" s="1051"/>
      <c r="I4" s="640"/>
      <c r="J4" s="1023"/>
    </row>
    <row r="5" spans="1:10" ht="18">
      <c r="A5" s="1051"/>
      <c r="B5" s="301" t="s">
        <v>833</v>
      </c>
      <c r="C5" s="1051"/>
      <c r="D5" s="1051"/>
      <c r="E5" s="1051"/>
      <c r="F5" s="1051"/>
      <c r="G5" s="1051"/>
      <c r="I5" s="640"/>
      <c r="J5" s="1023"/>
    </row>
    <row r="6" spans="1:10">
      <c r="B6" s="301" t="s">
        <v>853</v>
      </c>
      <c r="J6" s="1023"/>
    </row>
    <row r="7" spans="1:10">
      <c r="B7" s="301" t="s">
        <v>834</v>
      </c>
      <c r="J7" s="1023"/>
    </row>
    <row r="8" spans="1:10">
      <c r="B8" s="301" t="s">
        <v>835</v>
      </c>
      <c r="J8" s="1023"/>
    </row>
    <row r="9" spans="1:10">
      <c r="B9" s="301"/>
      <c r="J9" s="1023"/>
    </row>
    <row r="10" spans="1:10" s="315" customFormat="1">
      <c r="A10" s="319"/>
      <c r="B10" s="319"/>
      <c r="C10" s="312"/>
      <c r="D10" s="312"/>
      <c r="E10" s="312"/>
      <c r="F10" s="312"/>
      <c r="G10" s="312"/>
      <c r="H10" s="312"/>
    </row>
    <row r="11" spans="1:10" s="315" customFormat="1">
      <c r="A11" s="642" t="s">
        <v>537</v>
      </c>
      <c r="B11" s="643"/>
      <c r="C11" s="643"/>
      <c r="D11" s="643"/>
      <c r="E11" s="643"/>
      <c r="F11" s="643"/>
      <c r="G11" s="643"/>
      <c r="H11" s="643"/>
      <c r="I11" s="643"/>
    </row>
    <row r="12" spans="1:10">
      <c r="I12" s="640"/>
    </row>
    <row r="13" spans="1:10">
      <c r="A13" s="319">
        <f>+'Appendix H-1'!A250</f>
        <v>150</v>
      </c>
      <c r="C13" s="317" t="str">
        <f>+'Appendix H-1'!C250</f>
        <v>Rate Base</v>
      </c>
      <c r="D13" s="317"/>
      <c r="F13" s="317"/>
      <c r="G13" s="608" t="str">
        <f>+'Appendix H-1'!F250</f>
        <v>(Line 61 * 147)</v>
      </c>
      <c r="H13" s="317"/>
      <c r="I13" s="641">
        <f>'Appendix H-1'!H250</f>
        <v>672713220.92528105</v>
      </c>
    </row>
    <row r="14" spans="1:10">
      <c r="G14" s="317"/>
      <c r="I14" s="640"/>
    </row>
    <row r="15" spans="1:10">
      <c r="G15" s="317"/>
    </row>
    <row r="16" spans="1:10">
      <c r="A16" s="457"/>
      <c r="B16" s="317"/>
      <c r="C16" s="529" t="str">
        <f>'Appendix H-1'!B175</f>
        <v>Long Term Interest</v>
      </c>
      <c r="D16" s="565"/>
      <c r="E16" s="330"/>
      <c r="F16" s="320"/>
      <c r="G16" s="644"/>
      <c r="H16" s="568"/>
    </row>
    <row r="17" spans="1:10">
      <c r="A17" s="457">
        <f>'Appendix H-1'!A176</f>
        <v>101</v>
      </c>
      <c r="B17" s="317"/>
      <c r="C17" s="317"/>
      <c r="D17" s="568" t="str">
        <f>'Appendix H-1'!C176</f>
        <v>Long Term Interest Expense (Acct. 427 and 430) from p. 257(i)</v>
      </c>
      <c r="E17" s="330"/>
      <c r="F17" s="320"/>
      <c r="G17" s="644" t="str">
        <f>'Appendix H-1'!F176</f>
        <v>p257.1.33(i)</v>
      </c>
      <c r="H17" s="568"/>
      <c r="I17" s="482">
        <f>'Appendix H-1'!H176</f>
        <v>253679997</v>
      </c>
      <c r="J17" s="944"/>
    </row>
    <row r="18" spans="1:10">
      <c r="A18" s="457">
        <f>'Appendix H-1'!A177</f>
        <v>102</v>
      </c>
      <c r="B18" s="317"/>
      <c r="C18" s="317"/>
      <c r="D18" s="568" t="str">
        <f>'Appendix H-1'!C177</f>
        <v xml:space="preserve">    Total Excluded Hedge (Gain)/Loss Amounts</v>
      </c>
      <c r="E18" s="330"/>
      <c r="F18" s="817"/>
      <c r="G18" s="644" t="str">
        <f>'Appendix H-1'!F177</f>
        <v>Attachment 8</v>
      </c>
      <c r="H18" s="568"/>
      <c r="I18" s="482">
        <f>'Appendix H-1'!H177</f>
        <v>0</v>
      </c>
      <c r="J18" s="944"/>
    </row>
    <row r="19" spans="1:10">
      <c r="A19" s="457">
        <f>'Appendix H-1'!A178</f>
        <v>103</v>
      </c>
      <c r="B19" s="317"/>
      <c r="C19" s="317"/>
      <c r="D19" s="568" t="str">
        <f>'Appendix H-1'!C178</f>
        <v xml:space="preserve">    Amort. Of Debt Discount and Expense (Acct. 428)</v>
      </c>
      <c r="E19" s="330"/>
      <c r="F19" s="817"/>
      <c r="G19" s="644" t="str">
        <f>'Appendix H-1'!F178</f>
        <v>p117.63c</v>
      </c>
      <c r="H19" s="568"/>
      <c r="I19" s="482">
        <f>'Appendix H-1'!H178</f>
        <v>2940265</v>
      </c>
      <c r="J19" s="944"/>
    </row>
    <row r="20" spans="1:10">
      <c r="A20" s="457">
        <f>'Appendix H-1'!A179</f>
        <v>104</v>
      </c>
      <c r="B20" s="317"/>
      <c r="C20" s="317"/>
      <c r="D20" s="568" t="str">
        <f>'Appendix H-1'!C179</f>
        <v xml:space="preserve">    Amortization Of Loss on Reacquired Debt (Acct 428.1)</v>
      </c>
      <c r="E20" s="330"/>
      <c r="F20" s="817"/>
      <c r="G20" s="644" t="str">
        <f>'Appendix H-1'!F179</f>
        <v>p117.64c</v>
      </c>
      <c r="H20" s="568"/>
      <c r="I20" s="482">
        <f>'Appendix H-1'!H179</f>
        <v>1142386</v>
      </c>
      <c r="J20" s="944"/>
    </row>
    <row r="21" spans="1:10">
      <c r="A21" s="457">
        <f>'Appendix H-1'!A180</f>
        <v>105</v>
      </c>
      <c r="B21" s="317"/>
      <c r="C21" s="317"/>
      <c r="D21" s="568" t="str">
        <f>'Appendix H-1'!C180</f>
        <v xml:space="preserve">    (Less) Amort. Of Premium on Debt-Credit (Acct. 429)</v>
      </c>
      <c r="E21" s="330"/>
      <c r="F21" s="817"/>
      <c r="G21" s="644" t="str">
        <f>'Appendix H-1'!F180</f>
        <v>p117.65c</v>
      </c>
      <c r="H21" s="568"/>
      <c r="I21" s="482">
        <f>'Appendix H-1'!H180</f>
        <v>662287</v>
      </c>
      <c r="J21" s="944"/>
    </row>
    <row r="22" spans="1:10">
      <c r="A22" s="457">
        <f>'Appendix H-1'!A181</f>
        <v>106</v>
      </c>
      <c r="B22" s="317"/>
      <c r="C22" s="317"/>
      <c r="D22" s="602" t="str">
        <f>'Appendix H-1'!C181</f>
        <v xml:space="preserve">    (Less) Amortization Of Gain on Reacquired Debt (Acct. 429.1)</v>
      </c>
      <c r="E22" s="329"/>
      <c r="F22" s="645"/>
      <c r="G22" s="646" t="str">
        <f>'Appendix H-1'!F181</f>
        <v>p117.66c</v>
      </c>
      <c r="H22" s="602"/>
      <c r="I22" s="471">
        <f>'Appendix H-1'!H181</f>
        <v>0</v>
      </c>
      <c r="J22" s="944"/>
    </row>
    <row r="23" spans="1:10">
      <c r="A23" s="457">
        <f>'Appendix H-1'!A182</f>
        <v>107</v>
      </c>
      <c r="B23" s="317"/>
      <c r="C23" s="317"/>
      <c r="D23" s="568" t="str">
        <f>'Appendix H-1'!C182</f>
        <v>Long Term Interest</v>
      </c>
      <c r="E23" s="330"/>
      <c r="F23" s="565"/>
      <c r="G23" s="644" t="str">
        <f>'Appendix H-1'!F182</f>
        <v>(Line 101 - 102 + 103 + 104 - 105 - 106)</v>
      </c>
      <c r="H23" s="568"/>
      <c r="I23" s="482">
        <f>I17-I18+I19+I20-I21-I22</f>
        <v>257100361</v>
      </c>
      <c r="J23" s="291"/>
    </row>
    <row r="24" spans="1:10">
      <c r="A24" s="457"/>
      <c r="B24" s="317"/>
      <c r="C24" s="317"/>
      <c r="D24" s="565"/>
      <c r="E24" s="330"/>
      <c r="F24" s="320"/>
      <c r="G24" s="644"/>
      <c r="H24" s="568"/>
      <c r="I24" s="482"/>
      <c r="J24" s="291"/>
    </row>
    <row r="25" spans="1:10">
      <c r="A25" s="456">
        <f>'Appendix H-1'!A184</f>
        <v>108</v>
      </c>
      <c r="B25" s="317"/>
      <c r="C25" s="608" t="str">
        <f>'Appendix H-1'!B184</f>
        <v>Preferred Dividends</v>
      </c>
      <c r="D25" s="647"/>
      <c r="E25" s="320"/>
      <c r="F25" s="319" t="str">
        <f>'Appendix H-1'!E184</f>
        <v>(Note S)</v>
      </c>
      <c r="G25" s="608" t="str">
        <f>'Appendix H-1'!F184</f>
        <v>p118.29c</v>
      </c>
      <c r="H25" s="601"/>
      <c r="I25" s="482">
        <f>'Appendix H-1'!H184</f>
        <v>0</v>
      </c>
      <c r="J25" s="291"/>
    </row>
    <row r="26" spans="1:10">
      <c r="A26" s="456"/>
      <c r="B26" s="317"/>
      <c r="C26" s="478"/>
      <c r="D26" s="478"/>
      <c r="E26" s="320"/>
      <c r="F26" s="456"/>
      <c r="G26" s="608"/>
      <c r="H26" s="601"/>
      <c r="I26" s="922"/>
      <c r="J26" s="291"/>
    </row>
    <row r="27" spans="1:10">
      <c r="A27" s="456"/>
      <c r="B27" s="317"/>
      <c r="C27" s="478" t="str">
        <f>'Appendix H-1'!B186</f>
        <v>Common Stock</v>
      </c>
      <c r="D27" s="582"/>
      <c r="E27" s="320"/>
      <c r="F27" s="319"/>
      <c r="G27" s="608"/>
      <c r="H27" s="601"/>
      <c r="I27" s="922"/>
      <c r="J27" s="291"/>
    </row>
    <row r="28" spans="1:10">
      <c r="A28" s="456">
        <f>'Appendix H-1'!A187</f>
        <v>109</v>
      </c>
      <c r="B28" s="317"/>
      <c r="C28" s="317"/>
      <c r="D28" s="608" t="str">
        <f>'Appendix H-1'!C187</f>
        <v>Proprietary Capital</v>
      </c>
      <c r="E28" s="601"/>
      <c r="F28" s="555"/>
      <c r="G28" s="608" t="str">
        <f>'Appendix H-1'!F187</f>
        <v>Attachment 8</v>
      </c>
      <c r="H28" s="601"/>
      <c r="I28" s="482">
        <f>'Appendix H-1'!H187</f>
        <v>5180807020.5</v>
      </c>
      <c r="J28" s="890"/>
    </row>
    <row r="29" spans="1:10">
      <c r="A29" s="457">
        <f>'Appendix H-1'!A188</f>
        <v>110</v>
      </c>
      <c r="B29" s="317"/>
      <c r="C29" s="317"/>
      <c r="D29" s="529" t="str">
        <f>'Appendix H-1'!C188</f>
        <v xml:space="preserve">    Remove Preferred Stock (Acct. 204)</v>
      </c>
      <c r="E29" s="922"/>
      <c r="F29" s="454" t="str">
        <f>'Appendix H-1'!E188</f>
        <v>(Note S)</v>
      </c>
      <c r="G29" s="529" t="str">
        <f>'Appendix H-1'!F188</f>
        <v>(Line 118)</v>
      </c>
      <c r="H29" s="601"/>
      <c r="I29" s="482">
        <f>'Appendix H-1'!H188</f>
        <v>100000</v>
      </c>
      <c r="J29" s="890"/>
    </row>
    <row r="30" spans="1:10">
      <c r="A30" s="456">
        <f>'Appendix H-1'!A189</f>
        <v>111</v>
      </c>
      <c r="B30" s="317"/>
      <c r="C30" s="317"/>
      <c r="D30" s="529" t="str">
        <f>'Appendix H-1'!C189</f>
        <v xml:space="preserve">    Remove Accumulated Other Comprehensive Income</v>
      </c>
      <c r="E30" s="454"/>
      <c r="F30" s="454"/>
      <c r="G30" s="608" t="str">
        <f>'Appendix H-1'!F189</f>
        <v>Attachment 8</v>
      </c>
      <c r="H30" s="601"/>
      <c r="I30" s="482">
        <f>'Appendix H-1'!H189</f>
        <v>-2871634</v>
      </c>
      <c r="J30" s="291"/>
    </row>
    <row r="31" spans="1:10">
      <c r="A31" s="456">
        <f>'Appendix H-1'!A190</f>
        <v>112</v>
      </c>
      <c r="B31" s="317"/>
      <c r="C31" s="317"/>
      <c r="D31" s="648" t="str">
        <f>'Appendix H-1'!C190</f>
        <v xml:space="preserve">    Remove Account 216.1</v>
      </c>
      <c r="E31" s="471"/>
      <c r="F31" s="526"/>
      <c r="G31" s="648" t="str">
        <f>'Appendix H-1'!F190</f>
        <v>Attachment 8</v>
      </c>
      <c r="H31" s="602"/>
      <c r="I31" s="471">
        <f>'Appendix H-1'!H190</f>
        <v>0</v>
      </c>
      <c r="J31" s="890"/>
    </row>
    <row r="32" spans="1:10">
      <c r="A32" s="456">
        <f>'Appendix H-1'!A191</f>
        <v>113</v>
      </c>
      <c r="B32" s="317"/>
      <c r="C32" s="317"/>
      <c r="D32" s="529" t="str">
        <f>'Appendix H-1'!C191</f>
        <v>Common Stock</v>
      </c>
      <c r="E32" s="482"/>
      <c r="F32" s="571"/>
      <c r="G32" s="1079" t="str">
        <f>'Appendix H-1'!F191</f>
        <v>(Lines 109 - 110 - 111 - 112)</v>
      </c>
      <c r="H32" s="606"/>
      <c r="I32" s="922">
        <f>+I28-I29-I30-I31</f>
        <v>5183578654.5</v>
      </c>
      <c r="J32" s="890"/>
    </row>
    <row r="33" spans="1:10">
      <c r="A33" s="456"/>
      <c r="B33" s="317"/>
      <c r="C33" s="478"/>
      <c r="D33" s="478"/>
      <c r="E33" s="320"/>
      <c r="F33" s="456"/>
      <c r="G33" s="608"/>
      <c r="H33" s="320"/>
      <c r="I33" s="922"/>
      <c r="J33" s="291"/>
    </row>
    <row r="34" spans="1:10">
      <c r="A34" s="456"/>
      <c r="B34" s="317"/>
      <c r="C34" s="478" t="str">
        <f>'Appendix H-1'!B193</f>
        <v>Capitalization</v>
      </c>
      <c r="D34" s="582"/>
      <c r="E34" s="320"/>
      <c r="F34" s="319"/>
      <c r="G34" s="608"/>
      <c r="H34" s="320"/>
      <c r="I34" s="922"/>
      <c r="J34" s="291"/>
    </row>
    <row r="35" spans="1:10">
      <c r="A35" s="456">
        <f>'Appendix H-1'!A194</f>
        <v>114</v>
      </c>
      <c r="B35" s="317"/>
      <c r="C35" s="317"/>
      <c r="D35" s="607" t="str">
        <f>'Appendix H-1'!C194</f>
        <v>Long Term Debt -- Net Proceeds</v>
      </c>
      <c r="E35" s="320"/>
      <c r="F35" s="456"/>
      <c r="G35" s="608" t="str">
        <f>'Appendix H-1'!F194</f>
        <v>Attachment 8</v>
      </c>
      <c r="H35" s="320"/>
      <c r="I35" s="482">
        <f>'Appendix H-1'!H194</f>
        <v>4730251291</v>
      </c>
      <c r="J35" s="890"/>
    </row>
    <row r="36" spans="1:10">
      <c r="A36" s="456">
        <f>'Appendix H-1'!A195</f>
        <v>115</v>
      </c>
      <c r="B36" s="317"/>
      <c r="C36" s="317"/>
      <c r="D36" s="478" t="str">
        <f>'Appendix H-1'!C195</f>
        <v xml:space="preserve">      Remove Unamortized Premium on Long-Term Debt</v>
      </c>
      <c r="E36" s="328"/>
      <c r="F36" s="1053"/>
      <c r="G36" s="644" t="str">
        <f>'Appendix H-1'!F195</f>
        <v>Attachment 8</v>
      </c>
      <c r="H36" s="330"/>
      <c r="I36" s="482">
        <f>'Appendix H-1'!H195</f>
        <v>24650672.5</v>
      </c>
      <c r="J36" s="291"/>
    </row>
    <row r="37" spans="1:10">
      <c r="A37" s="456">
        <f>'Appendix H-1'!A196</f>
        <v>116</v>
      </c>
      <c r="B37" s="317"/>
      <c r="C37" s="317"/>
      <c r="D37" s="612" t="str">
        <f>'Appendix H-1'!C196</f>
        <v xml:space="preserve">      Remove (Less) Unamortized Discounts on Long-Term Debt</v>
      </c>
      <c r="E37" s="329"/>
      <c r="F37" s="501"/>
      <c r="G37" s="646" t="str">
        <f>'Appendix H-1'!F196</f>
        <v>Attachment 8</v>
      </c>
      <c r="H37" s="480"/>
      <c r="I37" s="471">
        <f>'Appendix H-1'!H196</f>
        <v>23395154.5</v>
      </c>
      <c r="J37" s="291"/>
    </row>
    <row r="38" spans="1:10">
      <c r="A38" s="456">
        <f>'Appendix H-1'!A197</f>
        <v>117</v>
      </c>
      <c r="B38" s="317"/>
      <c r="C38" s="317"/>
      <c r="D38" s="478" t="str">
        <f>'Appendix H-1'!C197</f>
        <v>Gross Proceeds of LTD Issuances</v>
      </c>
      <c r="E38" s="320"/>
      <c r="F38" s="456"/>
      <c r="G38" s="644" t="str">
        <f>'Appendix H-1'!F197</f>
        <v>(Lines 114 - 115 + 116)</v>
      </c>
      <c r="H38" s="320"/>
      <c r="I38" s="482">
        <f>I35-I36+I37</f>
        <v>4728995773</v>
      </c>
      <c r="J38" s="291"/>
    </row>
    <row r="39" spans="1:10">
      <c r="A39" s="456">
        <f>'Appendix H-1'!A198</f>
        <v>118</v>
      </c>
      <c r="B39" s="317"/>
      <c r="C39" s="317"/>
      <c r="D39" s="478" t="str">
        <f>'Appendix H-1'!C198</f>
        <v>Preferred Stock</v>
      </c>
      <c r="E39" s="330"/>
      <c r="F39" s="458" t="str">
        <f>'Appendix H-1'!E198</f>
        <v>(Note S)</v>
      </c>
      <c r="G39" s="644" t="str">
        <f>'Appendix H-1'!F198</f>
        <v>Attachment 8</v>
      </c>
      <c r="H39" s="330"/>
      <c r="I39" s="482">
        <f>'Appendix H-1'!H198</f>
        <v>100000</v>
      </c>
      <c r="J39" s="890"/>
    </row>
    <row r="40" spans="1:10">
      <c r="A40" s="456">
        <f>'Appendix H-1'!A199</f>
        <v>119</v>
      </c>
      <c r="B40" s="317"/>
      <c r="C40" s="317"/>
      <c r="D40" s="612" t="str">
        <f>'Appendix H-1'!C199</f>
        <v>Common Stock</v>
      </c>
      <c r="E40" s="329"/>
      <c r="F40" s="1054"/>
      <c r="G40" s="646" t="str">
        <f>'Appendix H-1'!F199</f>
        <v>(Line 113)</v>
      </c>
      <c r="H40" s="602"/>
      <c r="I40" s="471">
        <f>'Appendix H-1'!H199</f>
        <v>5183578654.5</v>
      </c>
      <c r="J40" s="291"/>
    </row>
    <row r="41" spans="1:10">
      <c r="A41" s="456">
        <f>'Appendix H-1'!A200</f>
        <v>120</v>
      </c>
      <c r="B41" s="317"/>
      <c r="C41" s="317"/>
      <c r="D41" s="478" t="str">
        <f>'Appendix H-1'!C200</f>
        <v>Total  Capitalization</v>
      </c>
      <c r="E41" s="330"/>
      <c r="F41" s="614"/>
      <c r="G41" s="644" t="str">
        <f>'Appendix H-1'!F200</f>
        <v>(Sum Lines 117 to 119)</v>
      </c>
      <c r="H41" s="568"/>
      <c r="I41" s="482">
        <f>SUM(I38:I40)</f>
        <v>9912674427.5</v>
      </c>
      <c r="J41" s="291"/>
    </row>
    <row r="42" spans="1:10">
      <c r="A42" s="456"/>
      <c r="B42" s="317"/>
      <c r="C42" s="317"/>
      <c r="D42" s="478"/>
      <c r="E42" s="320"/>
      <c r="F42" s="605"/>
      <c r="G42" s="317"/>
      <c r="H42" s="601"/>
      <c r="I42" s="454"/>
      <c r="J42" s="291"/>
    </row>
    <row r="43" spans="1:10">
      <c r="A43" s="457">
        <f>'Appendix H-1'!A202</f>
        <v>121</v>
      </c>
      <c r="B43" s="317"/>
      <c r="C43" s="317"/>
      <c r="D43" s="478" t="str">
        <f>'Appendix H-1'!C202</f>
        <v>Debt %</v>
      </c>
      <c r="E43" s="607" t="str">
        <f>'Appendix H-1'!D202</f>
        <v>Total Long Term Debt</v>
      </c>
      <c r="F43" s="458" t="str">
        <f>'Appendix H-1'!E202</f>
        <v>(Note R)</v>
      </c>
      <c r="G43" s="608" t="str">
        <f>'Appendix H-1'!F202</f>
        <v>(Line 117 / 120)</v>
      </c>
      <c r="H43" s="601"/>
      <c r="I43" s="754">
        <f>IF(I41&gt;0,I38/I41,0)</f>
        <v>0.47706557978749875</v>
      </c>
      <c r="J43" s="890"/>
    </row>
    <row r="44" spans="1:10">
      <c r="A44" s="457">
        <f>'Appendix H-1'!A203</f>
        <v>122</v>
      </c>
      <c r="B44" s="317"/>
      <c r="C44" s="317"/>
      <c r="D44" s="478" t="str">
        <f>'Appendix H-1'!C203</f>
        <v>Preferred %</v>
      </c>
      <c r="E44" s="607" t="str">
        <f>'Appendix H-1'!D203</f>
        <v>Preferred Stock</v>
      </c>
      <c r="F44" s="458" t="str">
        <f>'Appendix H-1'!E203</f>
        <v>(Note R)</v>
      </c>
      <c r="G44" s="608" t="str">
        <f>'Appendix H-1'!F203</f>
        <v>(Line 118 / 120)</v>
      </c>
      <c r="H44" s="601"/>
      <c r="I44" s="754">
        <f>IF(I41&gt;0,I39/I41,0)</f>
        <v>1.008809486596043E-5</v>
      </c>
      <c r="J44" s="890"/>
    </row>
    <row r="45" spans="1:10">
      <c r="A45" s="457">
        <f>'Appendix H-1'!A204</f>
        <v>123</v>
      </c>
      <c r="B45" s="317"/>
      <c r="C45" s="317"/>
      <c r="D45" s="478" t="str">
        <f>'Appendix H-1'!C204</f>
        <v>Common %</v>
      </c>
      <c r="E45" s="607" t="str">
        <f>'Appendix H-1'!D204</f>
        <v>Common Stock</v>
      </c>
      <c r="F45" s="458" t="str">
        <f>'Appendix H-1'!E204</f>
        <v>(Notes Q and R)</v>
      </c>
      <c r="G45" s="608" t="str">
        <f>'Appendix H-1'!F204</f>
        <v>(Line 119 / 120)</v>
      </c>
      <c r="H45" s="601"/>
      <c r="I45" s="754">
        <f>IF(I41&gt;0,I40/I41,0)</f>
        <v>0.52292433211763523</v>
      </c>
      <c r="J45" s="890"/>
    </row>
    <row r="46" spans="1:10">
      <c r="A46" s="457"/>
      <c r="B46" s="317"/>
      <c r="C46" s="317"/>
      <c r="D46" s="478"/>
      <c r="E46" s="607"/>
      <c r="F46" s="458"/>
      <c r="G46" s="317"/>
      <c r="H46" s="601"/>
      <c r="I46" s="454"/>
      <c r="J46" s="291"/>
    </row>
    <row r="47" spans="1:10">
      <c r="A47" s="457">
        <f>'Appendix H-1'!A206</f>
        <v>124</v>
      </c>
      <c r="B47" s="317"/>
      <c r="C47" s="317"/>
      <c r="D47" s="608" t="str">
        <f>'Appendix H-1'!C206</f>
        <v>Debt Cost</v>
      </c>
      <c r="E47" s="607" t="str">
        <f>'Appendix H-1'!D206</f>
        <v>Total Long Term Debt</v>
      </c>
      <c r="F47" s="458"/>
      <c r="G47" s="608" t="str">
        <f>'Appendix H-1'!F206</f>
        <v>(Line 107 / 114)</v>
      </c>
      <c r="H47" s="601"/>
      <c r="I47" s="1036">
        <f>IF(I37&gt;0,I23/I35,0)</f>
        <v>5.4352368443759284E-2</v>
      </c>
      <c r="J47" s="291"/>
    </row>
    <row r="48" spans="1:10">
      <c r="A48" s="457">
        <f>'Appendix H-1'!A207</f>
        <v>125</v>
      </c>
      <c r="B48" s="317"/>
      <c r="C48" s="317"/>
      <c r="D48" s="608" t="str">
        <f>'Appendix H-1'!C207</f>
        <v>Preferred Cost</v>
      </c>
      <c r="E48" s="607" t="str">
        <f>'Appendix H-1'!D207</f>
        <v>Preferred Stock</v>
      </c>
      <c r="F48" s="458" t="str">
        <f>'Appendix H-1'!E207</f>
        <v>(Note S)</v>
      </c>
      <c r="G48" s="608" t="str">
        <f>'Appendix H-1'!F207</f>
        <v>(Line -108 / 118)</v>
      </c>
      <c r="H48" s="601"/>
      <c r="I48" s="1036">
        <f>IF(I39&gt;0,-I25/I39,0)</f>
        <v>0</v>
      </c>
      <c r="J48" s="291"/>
    </row>
    <row r="49" spans="1:10">
      <c r="A49" s="457">
        <f>'Appendix H-1'!A208</f>
        <v>126</v>
      </c>
      <c r="B49" s="317"/>
      <c r="C49" s="317"/>
      <c r="D49" s="608" t="str">
        <f>'Appendix H-1'!C208</f>
        <v>Common Cost</v>
      </c>
      <c r="E49" s="607" t="str">
        <f>'Appendix H-1'!D208</f>
        <v>Common Stock</v>
      </c>
      <c r="F49" s="458" t="str">
        <f>'Appendix H-1'!E208</f>
        <v>(Note I)</v>
      </c>
      <c r="G49" s="649" t="s">
        <v>522</v>
      </c>
      <c r="H49" s="601"/>
      <c r="I49" s="1036">
        <f>'Appendix H-1'!H208+0.01</f>
        <v>0.11549999999999999</v>
      </c>
      <c r="J49" s="890"/>
    </row>
    <row r="50" spans="1:10">
      <c r="A50" s="457"/>
      <c r="B50" s="317"/>
      <c r="C50" s="317"/>
      <c r="D50" s="478"/>
      <c r="E50" s="607"/>
      <c r="F50" s="608"/>
      <c r="G50" s="317"/>
      <c r="H50" s="601"/>
      <c r="I50" s="1050"/>
      <c r="J50" s="291"/>
    </row>
    <row r="51" spans="1:10">
      <c r="A51" s="457">
        <f>'Appendix H-1'!A210</f>
        <v>127</v>
      </c>
      <c r="B51" s="317"/>
      <c r="C51" s="317"/>
      <c r="D51" s="478" t="str">
        <f>'Appendix H-1'!C210</f>
        <v>Weighted Cost of Debt</v>
      </c>
      <c r="E51" s="607" t="str">
        <f>'Appendix H-1'!D210</f>
        <v>Total Long Term Debt (WCLTD)</v>
      </c>
      <c r="F51" s="607"/>
      <c r="G51" s="608" t="str">
        <f>'Appendix H-1'!F210</f>
        <v>(Line 121 * 124)</v>
      </c>
      <c r="H51" s="609"/>
      <c r="I51" s="537">
        <f>I47*I43</f>
        <v>2.5929644164445775E-2</v>
      </c>
      <c r="J51" s="291"/>
    </row>
    <row r="52" spans="1:10">
      <c r="A52" s="457">
        <f>'Appendix H-1'!A211</f>
        <v>128</v>
      </c>
      <c r="B52" s="317"/>
      <c r="C52" s="317"/>
      <c r="D52" s="478" t="str">
        <f>'Appendix H-1'!C211</f>
        <v>Weighted Cost of Preferred</v>
      </c>
      <c r="E52" s="607" t="str">
        <f>'Appendix H-1'!D211</f>
        <v>Preferred Stock</v>
      </c>
      <c r="F52" s="607"/>
      <c r="G52" s="608" t="str">
        <f>'Appendix H-1'!F211</f>
        <v>(Line 122 * 125)</v>
      </c>
      <c r="H52" s="610"/>
      <c r="I52" s="537">
        <f>I48*I44</f>
        <v>0</v>
      </c>
      <c r="J52" s="291"/>
    </row>
    <row r="53" spans="1:10">
      <c r="A53" s="457">
        <f>'Appendix H-1'!A212</f>
        <v>129</v>
      </c>
      <c r="B53" s="317"/>
      <c r="C53" s="650"/>
      <c r="D53" s="612" t="str">
        <f>'Appendix H-1'!C212</f>
        <v>Weighted Cost of Common</v>
      </c>
      <c r="E53" s="612" t="str">
        <f>'Appendix H-1'!D212</f>
        <v>Common Stock</v>
      </c>
      <c r="F53" s="612"/>
      <c r="G53" s="646" t="str">
        <f>'Appendix H-1'!F212</f>
        <v>(Line 123 * 126)</v>
      </c>
      <c r="H53" s="613"/>
      <c r="I53" s="1055">
        <f>I49*I45</f>
        <v>6.0397760359586862E-2</v>
      </c>
      <c r="J53" s="291"/>
    </row>
    <row r="54" spans="1:10">
      <c r="A54" s="456">
        <f>'Appendix H-1'!A213</f>
        <v>130</v>
      </c>
      <c r="B54" s="317"/>
      <c r="C54" s="317" t="str">
        <f>'Appendix H-1'!B213</f>
        <v>Rate of Return ( R )</v>
      </c>
      <c r="D54" s="317"/>
      <c r="E54" s="1049"/>
      <c r="F54" s="614"/>
      <c r="G54" s="1080" t="str">
        <f>'Appendix H-1'!F213</f>
        <v>(Sum Lines 127 to 129)</v>
      </c>
      <c r="H54" s="615"/>
      <c r="I54" s="532">
        <f>SUM(I51:I53)</f>
        <v>8.6327404524032633E-2</v>
      </c>
      <c r="J54" s="291"/>
    </row>
    <row r="55" spans="1:10">
      <c r="A55" s="533"/>
      <c r="B55" s="317"/>
      <c r="C55" s="317"/>
      <c r="D55" s="317"/>
      <c r="E55" s="1049"/>
      <c r="F55" s="614"/>
      <c r="G55" s="651"/>
      <c r="H55" s="615"/>
      <c r="I55" s="532"/>
    </row>
    <row r="56" spans="1:10" ht="13.5" thickBot="1">
      <c r="A56" s="456">
        <f>'Appendix H-1'!A215</f>
        <v>131</v>
      </c>
      <c r="B56" s="317"/>
      <c r="C56" s="1037" t="str">
        <f>'Appendix H-1'!B215</f>
        <v>Investment Return = Rate Base * Rate of Return</v>
      </c>
      <c r="D56" s="1037"/>
      <c r="E56" s="1046"/>
      <c r="F56" s="603"/>
      <c r="G56" s="489" t="str">
        <f>"(Line "&amp;A13&amp;" * "&amp;A54&amp;")"</f>
        <v>(Line 150 * 130)</v>
      </c>
      <c r="H56" s="618"/>
      <c r="I56" s="489">
        <f>+I54*I13</f>
        <v>58073586.351481669</v>
      </c>
    </row>
    <row r="57" spans="1:10" ht="13.5" thickTop="1">
      <c r="A57" s="456"/>
      <c r="B57" s="456"/>
      <c r="C57" s="456"/>
      <c r="D57" s="605"/>
      <c r="E57" s="320"/>
      <c r="F57" s="319"/>
      <c r="G57" s="601"/>
      <c r="H57" s="601"/>
      <c r="I57" s="652"/>
    </row>
    <row r="58" spans="1:10">
      <c r="A58" s="653" t="s">
        <v>680</v>
      </c>
      <c r="B58" s="653"/>
      <c r="C58" s="654"/>
      <c r="D58" s="655"/>
      <c r="E58" s="1048"/>
      <c r="F58" s="656"/>
      <c r="G58" s="643"/>
      <c r="H58" s="643"/>
      <c r="I58" s="657"/>
    </row>
    <row r="59" spans="1:10">
      <c r="A59" s="497"/>
      <c r="B59" s="497"/>
      <c r="C59" s="456"/>
      <c r="D59" s="453"/>
      <c r="E59" s="1050"/>
      <c r="F59" s="555"/>
      <c r="G59" s="320"/>
      <c r="H59" s="320"/>
      <c r="I59" s="658"/>
    </row>
    <row r="60" spans="1:10">
      <c r="A60" s="456" t="s">
        <v>212</v>
      </c>
      <c r="B60" s="456"/>
      <c r="C60" s="619" t="str">
        <f>'Appendix H-1'!B220</f>
        <v>Income Tax Rates</v>
      </c>
      <c r="D60" s="320"/>
      <c r="E60" s="320"/>
      <c r="F60" s="555"/>
      <c r="G60" s="601"/>
      <c r="H60" s="620"/>
      <c r="I60" s="320"/>
    </row>
    <row r="61" spans="1:10">
      <c r="A61" s="456">
        <f>'Appendix H-1'!A221</f>
        <v>132</v>
      </c>
      <c r="B61" s="319"/>
      <c r="C61" s="456"/>
      <c r="D61" s="320" t="str">
        <f>'Appendix H-1'!C221</f>
        <v>FIT=Federal Income Tax Rate</v>
      </c>
      <c r="E61" s="320"/>
      <c r="F61" s="319"/>
      <c r="H61" s="540"/>
      <c r="I61" s="544">
        <f>'Appendix H-1'!H221</f>
        <v>0.35</v>
      </c>
    </row>
    <row r="62" spans="1:10">
      <c r="A62" s="456">
        <f>'Appendix H-1'!A222</f>
        <v>133</v>
      </c>
      <c r="B62" s="319"/>
      <c r="C62" s="456"/>
      <c r="D62" s="320" t="str">
        <f>'Appendix H-1'!C222</f>
        <v>SIT=State Income Tax Rate or Composite</v>
      </c>
      <c r="E62" s="1047"/>
      <c r="F62" s="319" t="str">
        <f>'Appendix H-1'!E222</f>
        <v>(Note H)</v>
      </c>
      <c r="H62" s="540"/>
      <c r="I62" s="544">
        <f>'Appendix H-1'!H222</f>
        <v>0.05</v>
      </c>
    </row>
    <row r="63" spans="1:10">
      <c r="A63" s="456">
        <f>'Appendix H-1'!A223</f>
        <v>134</v>
      </c>
      <c r="B63" s="319"/>
      <c r="C63" s="456"/>
      <c r="D63" s="320" t="str">
        <f>'Appendix H-1'!C223</f>
        <v>p</v>
      </c>
      <c r="E63" s="540" t="str">
        <f>'Appendix H-1'!D223</f>
        <v>(percent of federal income tax deductible for state purposes)</v>
      </c>
      <c r="F63" s="319"/>
      <c r="G63" s="312" t="str">
        <f>'Appendix H-1'!F223</f>
        <v>Per State Tax Code</v>
      </c>
      <c r="H63" s="540"/>
      <c r="I63" s="544">
        <v>0</v>
      </c>
    </row>
    <row r="64" spans="1:10">
      <c r="A64" s="456">
        <f>'Appendix H-1'!A224</f>
        <v>135</v>
      </c>
      <c r="B64" s="319"/>
      <c r="C64" s="456"/>
      <c r="D64" s="320" t="str">
        <f>'Appendix H-1'!C224</f>
        <v>T</v>
      </c>
      <c r="E64" s="621" t="str">
        <f>'Appendix H-1'!D224</f>
        <v>T=1 - {[(1 - SIT) * (1 - FIT)] / (1 - SIT * FIT * p)} =</v>
      </c>
      <c r="F64" s="319"/>
      <c r="H64" s="540"/>
      <c r="I64" s="543">
        <f>IF(I61&gt;0,1-(((1-I62)*(1-I61))/(1-I62*I61*I63)),0)</f>
        <v>0.38250000000000006</v>
      </c>
    </row>
    <row r="65" spans="1:10">
      <c r="A65" s="456">
        <f>'Appendix H-1'!A225</f>
        <v>136</v>
      </c>
      <c r="B65" s="319"/>
      <c r="C65" s="456"/>
      <c r="D65" s="320" t="str">
        <f>'Appendix H-1'!C225</f>
        <v>T/ (1-T)</v>
      </c>
      <c r="E65" s="1047"/>
      <c r="F65" s="319"/>
      <c r="G65" s="320"/>
      <c r="H65" s="540"/>
      <c r="I65" s="544">
        <f>+I64/(1-I64)</f>
        <v>0.61943319838056699</v>
      </c>
    </row>
    <row r="66" spans="1:10">
      <c r="A66" s="456"/>
      <c r="B66" s="456"/>
      <c r="C66" s="456"/>
      <c r="D66" s="320"/>
      <c r="E66" s="320"/>
      <c r="F66" s="622"/>
      <c r="G66" s="621"/>
      <c r="H66" s="620"/>
      <c r="I66" s="543"/>
    </row>
    <row r="67" spans="1:10">
      <c r="A67" s="456"/>
      <c r="B67" s="456"/>
      <c r="C67" s="619" t="s">
        <v>265</v>
      </c>
      <c r="D67" s="605"/>
      <c r="E67" s="320"/>
      <c r="F67" s="555" t="str">
        <f>'Appendix H-1'!E227</f>
        <v>(Note H)</v>
      </c>
      <c r="G67" s="601"/>
      <c r="H67" s="620"/>
      <c r="I67" s="545"/>
    </row>
    <row r="68" spans="1:10">
      <c r="A68" s="456">
        <f>'Appendix H-1'!A228</f>
        <v>137</v>
      </c>
      <c r="B68" s="319"/>
      <c r="C68" s="456"/>
      <c r="D68" s="605" t="str">
        <f>'Appendix H-1'!C228</f>
        <v>Amortized Investment Tax Credit</v>
      </c>
      <c r="E68" s="320"/>
      <c r="F68" s="454"/>
      <c r="G68" s="317" t="str">
        <f>'Appendix H-1'!F228</f>
        <v xml:space="preserve">p266.8f </v>
      </c>
      <c r="H68" s="620"/>
      <c r="I68" s="922">
        <f>'Appendix H-1'!H228</f>
        <v>1279600</v>
      </c>
      <c r="J68" s="291"/>
    </row>
    <row r="69" spans="1:10">
      <c r="A69" s="456">
        <f>'Appendix H-1'!A229</f>
        <v>138</v>
      </c>
      <c r="B69" s="319"/>
      <c r="C69" s="456"/>
      <c r="D69" s="605" t="str">
        <f>'Appendix H-1'!C229</f>
        <v>1/ (1-T)</v>
      </c>
      <c r="E69" s="320"/>
      <c r="F69" s="456"/>
      <c r="G69" s="317" t="str">
        <f>'Appendix H-1'!F229</f>
        <v>1/(1 - Line 135)</v>
      </c>
      <c r="H69" s="620"/>
      <c r="I69" s="545">
        <f>1/(1-I64)</f>
        <v>1.619433198380567</v>
      </c>
      <c r="J69" s="291"/>
    </row>
    <row r="70" spans="1:10">
      <c r="A70" s="456">
        <f>'Appendix H-1'!A230</f>
        <v>139</v>
      </c>
      <c r="B70" s="319"/>
      <c r="C70" s="458"/>
      <c r="D70" s="1056" t="str">
        <f>'Appendix H-1'!C230</f>
        <v>Net Plant Allocation Factor</v>
      </c>
      <c r="E70" s="481"/>
      <c r="F70" s="611"/>
      <c r="G70" s="650" t="str">
        <f>'Appendix H-1'!F230</f>
        <v>(Line 18)</v>
      </c>
      <c r="H70" s="623"/>
      <c r="I70" s="659">
        <f>'Appendix H-1'!H36</f>
        <v>0.15511822879158327</v>
      </c>
      <c r="J70" s="291"/>
    </row>
    <row r="71" spans="1:10">
      <c r="A71" s="456">
        <f>'Appendix H-1'!A231</f>
        <v>140</v>
      </c>
      <c r="B71" s="319"/>
      <c r="C71" s="456"/>
      <c r="D71" s="605" t="str">
        <f>'Appendix H-1'!C231</f>
        <v>ITC Adjustment Allocated to Transmission</v>
      </c>
      <c r="E71" s="463"/>
      <c r="F71" s="660"/>
      <c r="G71" s="317" t="str">
        <f>'Appendix H-1'!F231</f>
        <v>(Line -137 * 138 * 139)</v>
      </c>
      <c r="H71" s="661"/>
      <c r="I71" s="662">
        <f>-I68*I69*I70</f>
        <v>-321440.13856147364</v>
      </c>
      <c r="J71" s="291"/>
    </row>
    <row r="72" spans="1:10">
      <c r="A72" s="456"/>
      <c r="B72" s="456"/>
      <c r="C72" s="456"/>
      <c r="D72" s="567"/>
      <c r="E72" s="347"/>
      <c r="F72" s="663"/>
      <c r="G72" s="664"/>
      <c r="H72" s="623"/>
      <c r="I72" s="665"/>
    </row>
    <row r="73" spans="1:10">
      <c r="A73" s="456"/>
      <c r="B73" s="456"/>
      <c r="C73" s="456"/>
      <c r="D73" s="567"/>
      <c r="E73" s="347"/>
      <c r="F73" s="663"/>
      <c r="G73" s="664"/>
      <c r="H73" s="623"/>
      <c r="I73" s="666"/>
    </row>
    <row r="74" spans="1:10">
      <c r="A74" s="456"/>
      <c r="B74" s="456"/>
      <c r="C74" s="456"/>
      <c r="D74" s="320"/>
      <c r="E74" s="320"/>
      <c r="F74" s="622"/>
      <c r="G74" s="621"/>
      <c r="H74" s="620"/>
      <c r="I74" s="547"/>
    </row>
    <row r="75" spans="1:10">
      <c r="A75" s="456">
        <f>'Appendix H-1'!A233</f>
        <v>141</v>
      </c>
      <c r="B75" s="319"/>
      <c r="C75" s="301" t="str">
        <f>'Appendix H-1'!B233</f>
        <v xml:space="preserve">Income Tax Component = </v>
      </c>
      <c r="E75" s="320" t="str">
        <f>'Appendix H-1'!D233</f>
        <v>CIT=(T/1-T) * Investment Return * (1-(WCLTD/R)) =</v>
      </c>
      <c r="F75" s="555"/>
      <c r="G75" s="568" t="str">
        <f>'Appendix H-1'!F233</f>
        <v>[Line 136 * 131 * (1-(127 / 130))]</v>
      </c>
      <c r="H75" s="320"/>
      <c r="I75" s="667">
        <f>IF(I54=0,0,I65*I56*(1-I51/I54))</f>
        <v>25167801.222470261</v>
      </c>
    </row>
    <row r="76" spans="1:10">
      <c r="A76" s="456"/>
      <c r="B76" s="456"/>
      <c r="C76" s="456"/>
      <c r="D76" s="607"/>
      <c r="E76" s="347"/>
      <c r="F76" s="459"/>
      <c r="G76" s="568"/>
      <c r="H76" s="623"/>
      <c r="I76" s="604"/>
    </row>
    <row r="77" spans="1:10" ht="13.5" thickBot="1">
      <c r="A77" s="456">
        <f>'Appendix H-1'!A235</f>
        <v>142</v>
      </c>
      <c r="B77" s="319"/>
      <c r="C77" s="616" t="str">
        <f>'Appendix H-1'!B235</f>
        <v>Total Income Taxes</v>
      </c>
      <c r="D77" s="616"/>
      <c r="E77" s="1046"/>
      <c r="F77" s="624"/>
      <c r="G77" s="617" t="str">
        <f>'Appendix H-1'!F235</f>
        <v>(Line 140 + Line 141)</v>
      </c>
      <c r="H77" s="625"/>
      <c r="I77" s="550">
        <f>+I75+I71</f>
        <v>24846361.083908789</v>
      </c>
    </row>
    <row r="78" spans="1:10" ht="13.5" thickTop="1">
      <c r="A78" s="456"/>
      <c r="B78" s="456"/>
      <c r="C78" s="456"/>
      <c r="D78" s="621"/>
      <c r="E78" s="320"/>
      <c r="F78" s="319"/>
      <c r="G78" s="551"/>
      <c r="H78" s="626"/>
      <c r="I78" s="553"/>
    </row>
    <row r="308" spans="1:6">
      <c r="A308" s="343"/>
      <c r="B308" s="343"/>
      <c r="C308" s="343"/>
      <c r="D308" s="343"/>
      <c r="E308" s="343"/>
      <c r="F308" s="343"/>
    </row>
    <row r="309" spans="1:6">
      <c r="A309" s="343"/>
      <c r="B309" s="343"/>
      <c r="C309" s="343"/>
      <c r="D309" s="343"/>
      <c r="E309" s="343"/>
      <c r="F309" s="343"/>
    </row>
    <row r="310" spans="1:6">
      <c r="A310" s="343"/>
      <c r="B310" s="343"/>
      <c r="C310" s="343"/>
      <c r="D310" s="343"/>
      <c r="E310" s="343"/>
      <c r="F310" s="343"/>
    </row>
    <row r="311" spans="1:6">
      <c r="A311" s="343"/>
      <c r="B311" s="343"/>
      <c r="C311" s="343"/>
      <c r="D311" s="343"/>
      <c r="E311" s="343"/>
      <c r="F311" s="343"/>
    </row>
    <row r="312" spans="1:6">
      <c r="A312" s="343"/>
      <c r="B312" s="343"/>
      <c r="C312" s="343"/>
      <c r="D312" s="343"/>
      <c r="E312" s="343"/>
      <c r="F312" s="343"/>
    </row>
    <row r="313" spans="1:6">
      <c r="A313" s="343"/>
      <c r="B313" s="343"/>
      <c r="C313" s="343"/>
      <c r="D313" s="343"/>
      <c r="E313" s="343"/>
      <c r="F313" s="343"/>
    </row>
    <row r="314" spans="1:6">
      <c r="A314" s="343"/>
      <c r="B314" s="343"/>
      <c r="C314" s="343"/>
      <c r="D314" s="343"/>
      <c r="E314" s="343"/>
      <c r="F314" s="343"/>
    </row>
    <row r="315" spans="1:6">
      <c r="A315" s="343"/>
      <c r="B315" s="343"/>
      <c r="C315" s="343"/>
      <c r="D315" s="343"/>
      <c r="E315" s="343"/>
      <c r="F315" s="343"/>
    </row>
    <row r="316" spans="1:6">
      <c r="A316" s="343"/>
      <c r="B316" s="343"/>
      <c r="C316" s="343"/>
      <c r="D316" s="343"/>
      <c r="E316" s="343"/>
      <c r="F316" s="343"/>
    </row>
  </sheetData>
  <mergeCells count="2">
    <mergeCell ref="A1:G1"/>
    <mergeCell ref="A3:G3"/>
  </mergeCells>
  <printOptions horizontalCentered="1"/>
  <pageMargins left="0.5" right="0.5" top="1" bottom="0.5" header="0.5" footer="0.5"/>
  <pageSetup scale="61" fitToHeight="0" orientation="portrait" r:id="rId1"/>
  <headerFooter alignWithMargins="0">
    <oddHeader>&amp;RPage &amp;P of &amp;N</oddHead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AO314"/>
  <sheetViews>
    <sheetView topLeftCell="A16" workbookViewId="0">
      <selection activeCell="F35" sqref="F35"/>
    </sheetView>
  </sheetViews>
  <sheetFormatPr defaultRowHeight="12.75"/>
  <cols>
    <col min="1" max="1" width="15.140625" customWidth="1"/>
    <col min="2" max="2" width="13" style="21" customWidth="1"/>
    <col min="3" max="3" width="13.42578125" customWidth="1"/>
    <col min="4" max="4" width="10.5703125" bestFit="1" customWidth="1"/>
    <col min="5" max="5" width="9.85546875" bestFit="1" customWidth="1"/>
    <col min="6" max="6" width="9" style="33" bestFit="1" customWidth="1"/>
    <col min="7" max="7" width="10.42578125" bestFit="1" customWidth="1"/>
    <col min="8" max="8" width="10.5703125" bestFit="1" customWidth="1"/>
    <col min="9" max="9" width="9.85546875" bestFit="1" customWidth="1"/>
    <col min="10" max="10" width="9" style="33" bestFit="1" customWidth="1"/>
    <col min="11" max="11" width="10.42578125" bestFit="1" customWidth="1"/>
    <col min="12" max="12" width="10.5703125" bestFit="1" customWidth="1"/>
    <col min="13" max="13" width="9.85546875" bestFit="1" customWidth="1"/>
    <col min="14" max="14" width="9" bestFit="1" customWidth="1"/>
    <col min="15" max="15" width="12" hidden="1" customWidth="1"/>
    <col min="16" max="16" width="12.5703125" hidden="1" customWidth="1"/>
    <col min="17" max="17" width="11.28515625" hidden="1" customWidth="1"/>
    <col min="18" max="18" width="10.28515625" hidden="1" customWidth="1"/>
    <col min="19" max="19" width="12" hidden="1" customWidth="1"/>
    <col min="20" max="20" width="12.5703125" hidden="1" customWidth="1"/>
    <col min="21" max="21" width="11.28515625" hidden="1" customWidth="1"/>
    <col min="22" max="22" width="10.28515625" hidden="1" customWidth="1"/>
    <col min="23" max="23" width="12" hidden="1" customWidth="1"/>
    <col min="24" max="24" width="12.5703125" hidden="1" customWidth="1"/>
    <col min="25" max="25" width="11.28515625" hidden="1" customWidth="1"/>
    <col min="26" max="26" width="10.28515625" hidden="1" customWidth="1"/>
    <col min="27" max="27" width="12" hidden="1" customWidth="1"/>
    <col min="28" max="28" width="12.5703125" hidden="1" customWidth="1"/>
    <col min="29" max="29" width="11.28515625" hidden="1" customWidth="1"/>
    <col min="30" max="30" width="10.28515625" hidden="1" customWidth="1"/>
    <col min="31" max="31" width="12" hidden="1" customWidth="1"/>
    <col min="32" max="32" width="12.5703125" hidden="1" customWidth="1"/>
    <col min="33" max="33" width="11.28515625" hidden="1" customWidth="1"/>
    <col min="34" max="34" width="10.28515625" hidden="1" customWidth="1"/>
    <col min="35" max="35" width="12" hidden="1" customWidth="1"/>
    <col min="36" max="36" width="12.5703125" hidden="1" customWidth="1"/>
    <col min="37" max="37" width="11.28515625" hidden="1" customWidth="1"/>
    <col min="38" max="38" width="10.28515625" hidden="1" customWidth="1"/>
    <col min="39" max="39" width="13.7109375" bestFit="1" customWidth="1"/>
    <col min="40" max="40" width="15" bestFit="1" customWidth="1"/>
    <col min="41" max="41" width="12.5703125" bestFit="1" customWidth="1"/>
  </cols>
  <sheetData>
    <row r="1" spans="1:41">
      <c r="A1" s="1282" t="s">
        <v>521</v>
      </c>
      <c r="B1" s="1282"/>
      <c r="C1" s="1282"/>
      <c r="D1" s="1282"/>
      <c r="E1" s="1282"/>
      <c r="F1" s="1282"/>
      <c r="G1" s="1282"/>
      <c r="H1" s="1282"/>
      <c r="I1" s="1282"/>
      <c r="J1" s="1282"/>
      <c r="K1" s="1282"/>
      <c r="L1" s="1282"/>
      <c r="M1" s="1282"/>
      <c r="N1" s="1282"/>
      <c r="O1" s="1282"/>
      <c r="P1" s="1282"/>
      <c r="Q1" s="1282"/>
      <c r="R1" s="1282"/>
      <c r="S1" s="1282"/>
      <c r="T1" s="1282"/>
      <c r="U1" s="1282"/>
      <c r="V1" s="1282"/>
      <c r="W1" s="1282"/>
      <c r="X1" s="1282"/>
      <c r="Y1" s="1282"/>
      <c r="Z1" s="1282"/>
      <c r="AA1" s="1282"/>
      <c r="AB1" s="1282"/>
      <c r="AC1" s="1282"/>
      <c r="AD1" s="1282"/>
      <c r="AE1" s="1282"/>
      <c r="AF1" s="1282"/>
      <c r="AG1" s="1282"/>
      <c r="AH1" s="1282"/>
      <c r="AI1" s="1282"/>
      <c r="AJ1" s="1282"/>
      <c r="AK1" s="1282"/>
      <c r="AL1" s="1282"/>
      <c r="AM1" s="1282"/>
      <c r="AN1" s="1282"/>
      <c r="AO1" s="1282"/>
    </row>
    <row r="3" spans="1:41">
      <c r="A3" s="29" t="s">
        <v>520</v>
      </c>
    </row>
    <row r="6" spans="1:41">
      <c r="A6" t="s">
        <v>424</v>
      </c>
    </row>
    <row r="8" spans="1:41">
      <c r="A8" s="43" t="s">
        <v>401</v>
      </c>
    </row>
    <row r="9" spans="1:41">
      <c r="A9" s="43"/>
      <c r="B9" s="21" t="s">
        <v>423</v>
      </c>
    </row>
    <row r="10" spans="1:41">
      <c r="A10" s="21" t="s">
        <v>214</v>
      </c>
      <c r="B10" s="21">
        <f>+'Appendix H-1'!A271</f>
        <v>164</v>
      </c>
      <c r="C10" s="2" t="str">
        <f>+'Appendix H-1'!C271</f>
        <v>Net Plant Carrying Charge without New Investment Incentive without Depreciation</v>
      </c>
      <c r="D10" s="2"/>
      <c r="F10" s="41"/>
      <c r="L10" s="42" t="e">
        <f>+'Appendix H-1'!#REF!</f>
        <v>#REF!</v>
      </c>
    </row>
    <row r="11" spans="1:41">
      <c r="A11" s="21" t="s">
        <v>307</v>
      </c>
      <c r="B11" s="21">
        <f>+'Appendix H-1'!A281</f>
        <v>171</v>
      </c>
      <c r="C11" s="2" t="str">
        <f>+'Appendix H-1'!C281</f>
        <v>Net Plant Carrying Charge with 100 Basis Point New Investment Incentive without Depreciation</v>
      </c>
      <c r="D11" s="2"/>
      <c r="F11" s="41"/>
      <c r="L11" s="42" t="e">
        <f>+'Appendix H-1'!#REF!</f>
        <v>#REF!</v>
      </c>
    </row>
    <row r="12" spans="1:41">
      <c r="A12" s="21" t="s">
        <v>195</v>
      </c>
      <c r="C12" t="s">
        <v>403</v>
      </c>
      <c r="F12" s="41"/>
      <c r="L12" s="42" t="e">
        <f>+L11-L10</f>
        <v>#REF!</v>
      </c>
    </row>
    <row r="13" spans="1:41">
      <c r="F13" s="41"/>
      <c r="L13" s="42"/>
    </row>
    <row r="14" spans="1:41">
      <c r="A14" s="43" t="s">
        <v>400</v>
      </c>
      <c r="F14" s="41"/>
      <c r="L14" s="42"/>
    </row>
    <row r="15" spans="1:41">
      <c r="A15" s="43"/>
      <c r="F15" s="41"/>
      <c r="L15" s="42"/>
    </row>
    <row r="16" spans="1:41">
      <c r="A16" s="21" t="s">
        <v>215</v>
      </c>
      <c r="B16" s="21">
        <f>+'Appendix H-1'!A272</f>
        <v>165</v>
      </c>
      <c r="C16" s="2" t="str">
        <f>+'Appendix H-1'!C272</f>
        <v xml:space="preserve">Net Plant Carrying Charge without New Investment Incentive without Depreciation, Return, nor Income Taxes </v>
      </c>
      <c r="D16" s="2"/>
      <c r="F16" s="41"/>
      <c r="L16" s="42" t="e">
        <f>+'Appendix H-1'!#REF!</f>
        <v>#REF!</v>
      </c>
    </row>
    <row r="18" spans="1:41">
      <c r="A18" s="29" t="s">
        <v>538</v>
      </c>
    </row>
    <row r="19" spans="1:41">
      <c r="A19" s="29" t="s">
        <v>539</v>
      </c>
    </row>
    <row r="20" spans="1:41" ht="13.5" thickBot="1"/>
    <row r="21" spans="1:41">
      <c r="A21" s="215" t="s">
        <v>394</v>
      </c>
      <c r="B21" s="216"/>
      <c r="C21" s="217" t="s">
        <v>391</v>
      </c>
      <c r="D21" s="218" t="str">
        <f>+C21</f>
        <v>Project A</v>
      </c>
      <c r="E21" s="218" t="str">
        <f>+D21</f>
        <v>Project A</v>
      </c>
      <c r="F21" s="219" t="str">
        <f>+E21</f>
        <v>Project A</v>
      </c>
      <c r="G21" s="217" t="s">
        <v>411</v>
      </c>
      <c r="H21" s="218" t="s">
        <v>411</v>
      </c>
      <c r="I21" s="218" t="s">
        <v>411</v>
      </c>
      <c r="J21" s="219" t="s">
        <v>411</v>
      </c>
      <c r="K21" s="217" t="s">
        <v>412</v>
      </c>
      <c r="L21" s="218" t="str">
        <f>+K21</f>
        <v>Project C</v>
      </c>
      <c r="M21" s="218" t="str">
        <f>+L21</f>
        <v>Project C</v>
      </c>
      <c r="N21" s="220" t="str">
        <f>+M21</f>
        <v>Project C</v>
      </c>
      <c r="O21" s="217" t="s">
        <v>413</v>
      </c>
      <c r="P21" s="218" t="str">
        <f>+O21</f>
        <v>Project D</v>
      </c>
      <c r="Q21" s="218" t="str">
        <f>+P21</f>
        <v>Project D</v>
      </c>
      <c r="R21" s="220" t="str">
        <f>+Q21</f>
        <v>Project D</v>
      </c>
      <c r="S21" s="217" t="s">
        <v>414</v>
      </c>
      <c r="T21" s="218" t="str">
        <f>+S21</f>
        <v>Project E</v>
      </c>
      <c r="U21" s="218" t="str">
        <f>+T21</f>
        <v>Project E</v>
      </c>
      <c r="V21" s="220" t="str">
        <f>+U21</f>
        <v>Project E</v>
      </c>
      <c r="W21" s="217" t="s">
        <v>415</v>
      </c>
      <c r="X21" s="218" t="str">
        <f>+W21</f>
        <v>Project F</v>
      </c>
      <c r="Y21" s="218" t="str">
        <f>+X21</f>
        <v>Project F</v>
      </c>
      <c r="Z21" s="220" t="str">
        <f>+Y21</f>
        <v>Project F</v>
      </c>
      <c r="AA21" s="217" t="s">
        <v>416</v>
      </c>
      <c r="AB21" s="218" t="str">
        <f>+AA21</f>
        <v>Project G</v>
      </c>
      <c r="AC21" s="218" t="str">
        <f>+AB21</f>
        <v>Project G</v>
      </c>
      <c r="AD21" s="220" t="str">
        <f>+AC21</f>
        <v>Project G</v>
      </c>
      <c r="AE21" s="217" t="s">
        <v>417</v>
      </c>
      <c r="AF21" s="218" t="str">
        <f>+AE21</f>
        <v>Project H</v>
      </c>
      <c r="AG21" s="218" t="str">
        <f>+AF21</f>
        <v>Project H</v>
      </c>
      <c r="AH21" s="220" t="str">
        <f>+AG21</f>
        <v>Project H</v>
      </c>
      <c r="AI21" s="217" t="s">
        <v>418</v>
      </c>
      <c r="AJ21" s="218" t="str">
        <f>+AI21</f>
        <v>Project I</v>
      </c>
      <c r="AK21" s="218" t="str">
        <f>+AJ21</f>
        <v>Project I</v>
      </c>
      <c r="AL21" s="220" t="str">
        <f>+AK21</f>
        <v>Project I</v>
      </c>
      <c r="AM21" s="262"/>
      <c r="AN21" s="23"/>
      <c r="AO21" s="23"/>
    </row>
    <row r="22" spans="1:41">
      <c r="A22" s="196" t="s">
        <v>392</v>
      </c>
      <c r="B22" s="221"/>
      <c r="C22" s="222">
        <v>30</v>
      </c>
      <c r="D22" s="221"/>
      <c r="E22" s="221"/>
      <c r="F22" s="223"/>
      <c r="G22" s="222">
        <v>35</v>
      </c>
      <c r="H22" s="221"/>
      <c r="I22" s="221"/>
      <c r="J22" s="223"/>
      <c r="K22" s="222">
        <v>40</v>
      </c>
      <c r="L22" s="221"/>
      <c r="M22" s="221"/>
      <c r="N22" s="224"/>
      <c r="O22" s="222">
        <v>40</v>
      </c>
      <c r="P22" s="221"/>
      <c r="Q22" s="221"/>
      <c r="R22" s="224"/>
      <c r="S22" s="222">
        <v>40</v>
      </c>
      <c r="T22" s="221"/>
      <c r="U22" s="221"/>
      <c r="V22" s="224"/>
      <c r="W22" s="222">
        <v>40</v>
      </c>
      <c r="X22" s="221"/>
      <c r="Y22" s="221"/>
      <c r="Z22" s="224"/>
      <c r="AA22" s="222">
        <v>35</v>
      </c>
      <c r="AB22" s="221"/>
      <c r="AC22" s="221"/>
      <c r="AD22" s="224"/>
      <c r="AE22" s="222">
        <v>25</v>
      </c>
      <c r="AF22" s="221"/>
      <c r="AG22" s="221"/>
      <c r="AH22" s="224"/>
      <c r="AI22" s="222">
        <v>30</v>
      </c>
      <c r="AJ22" s="221"/>
      <c r="AK22" s="221"/>
      <c r="AL22" s="224"/>
      <c r="AM22" s="194"/>
      <c r="AN22" s="23"/>
      <c r="AO22" s="23"/>
    </row>
    <row r="23" spans="1:41">
      <c r="A23" s="196" t="s">
        <v>393</v>
      </c>
      <c r="B23" s="221"/>
      <c r="C23" s="222" t="s">
        <v>397</v>
      </c>
      <c r="D23" s="221"/>
      <c r="E23" s="221"/>
      <c r="F23" s="223"/>
      <c r="G23" s="222" t="s">
        <v>397</v>
      </c>
      <c r="H23" s="221"/>
      <c r="I23" s="221"/>
      <c r="J23" s="223"/>
      <c r="K23" s="222" t="s">
        <v>398</v>
      </c>
      <c r="L23" s="221"/>
      <c r="M23" s="221"/>
      <c r="N23" s="224"/>
      <c r="O23" s="222" t="s">
        <v>397</v>
      </c>
      <c r="P23" s="221"/>
      <c r="Q23" s="221"/>
      <c r="R23" s="224"/>
      <c r="S23" s="222" t="s">
        <v>397</v>
      </c>
      <c r="T23" s="221"/>
      <c r="U23" s="221"/>
      <c r="V23" s="224"/>
      <c r="W23" s="222" t="s">
        <v>397</v>
      </c>
      <c r="X23" s="221"/>
      <c r="Y23" s="221"/>
      <c r="Z23" s="224"/>
      <c r="AA23" s="222" t="s">
        <v>398</v>
      </c>
      <c r="AB23" s="221"/>
      <c r="AC23" s="221"/>
      <c r="AD23" s="224"/>
      <c r="AE23" s="222" t="s">
        <v>398</v>
      </c>
      <c r="AF23" s="221"/>
      <c r="AG23" s="221"/>
      <c r="AH23" s="224"/>
      <c r="AI23" s="222" t="s">
        <v>397</v>
      </c>
      <c r="AJ23" s="221"/>
      <c r="AK23" s="221"/>
      <c r="AL23" s="224"/>
      <c r="AM23" s="194"/>
      <c r="AN23" s="23"/>
      <c r="AO23" s="23"/>
    </row>
    <row r="24" spans="1:41">
      <c r="A24" s="196" t="s">
        <v>396</v>
      </c>
      <c r="B24" s="221"/>
      <c r="C24" s="222">
        <v>50</v>
      </c>
      <c r="D24" s="221"/>
      <c r="E24" s="221"/>
      <c r="F24" s="223"/>
      <c r="G24" s="222">
        <v>0</v>
      </c>
      <c r="H24" s="221"/>
      <c r="I24" s="221"/>
      <c r="J24" s="223"/>
      <c r="K24" s="222">
        <v>100</v>
      </c>
      <c r="L24" s="221"/>
      <c r="M24" s="221"/>
      <c r="N24" s="224"/>
      <c r="O24" s="222">
        <v>150</v>
      </c>
      <c r="P24" s="221"/>
      <c r="Q24" s="221"/>
      <c r="R24" s="224"/>
      <c r="S24" s="222">
        <v>100</v>
      </c>
      <c r="T24" s="221"/>
      <c r="U24" s="221"/>
      <c r="V24" s="224"/>
      <c r="W24" s="222">
        <v>50</v>
      </c>
      <c r="X24" s="221"/>
      <c r="Y24" s="221"/>
      <c r="Z24" s="224"/>
      <c r="AA24" s="222">
        <v>100</v>
      </c>
      <c r="AB24" s="221"/>
      <c r="AC24" s="221"/>
      <c r="AD24" s="224"/>
      <c r="AE24" s="222">
        <v>150</v>
      </c>
      <c r="AF24" s="221"/>
      <c r="AG24" s="221"/>
      <c r="AH24" s="224"/>
      <c r="AI24" s="222">
        <v>50</v>
      </c>
      <c r="AJ24" s="221"/>
      <c r="AK24" s="221"/>
      <c r="AL24" s="224"/>
      <c r="AM24" s="194"/>
      <c r="AN24" s="23"/>
      <c r="AO24" s="23"/>
    </row>
    <row r="25" spans="1:41">
      <c r="A25" s="196" t="s">
        <v>406</v>
      </c>
      <c r="B25" s="221"/>
      <c r="C25" s="196" t="e">
        <f>+$L10</f>
        <v>#REF!</v>
      </c>
      <c r="D25" s="25"/>
      <c r="E25" s="25"/>
      <c r="F25" s="225"/>
      <c r="G25" s="196" t="e">
        <f>+$L10</f>
        <v>#REF!</v>
      </c>
      <c r="H25" s="25"/>
      <c r="I25" s="25"/>
      <c r="J25" s="225"/>
      <c r="K25" s="222" t="e">
        <f>$L16</f>
        <v>#REF!</v>
      </c>
      <c r="L25" s="221"/>
      <c r="M25" s="221"/>
      <c r="N25" s="224"/>
      <c r="O25" s="196" t="e">
        <f>+$L10</f>
        <v>#REF!</v>
      </c>
      <c r="P25" s="25"/>
      <c r="Q25" s="25"/>
      <c r="R25" s="194"/>
      <c r="S25" s="196" t="e">
        <f>+$L10</f>
        <v>#REF!</v>
      </c>
      <c r="T25" s="25"/>
      <c r="U25" s="25"/>
      <c r="V25" s="194"/>
      <c r="W25" s="196" t="e">
        <f>+$L10</f>
        <v>#REF!</v>
      </c>
      <c r="X25" s="25"/>
      <c r="Y25" s="25"/>
      <c r="Z25" s="194"/>
      <c r="AA25" s="222" t="e">
        <f>$L16</f>
        <v>#REF!</v>
      </c>
      <c r="AB25" s="221"/>
      <c r="AC25" s="221"/>
      <c r="AD25" s="224"/>
      <c r="AE25" s="222" t="e">
        <f>$L16</f>
        <v>#REF!</v>
      </c>
      <c r="AF25" s="221"/>
      <c r="AG25" s="221"/>
      <c r="AH25" s="224"/>
      <c r="AI25" s="196" t="e">
        <f>+$L10</f>
        <v>#REF!</v>
      </c>
      <c r="AJ25" s="25"/>
      <c r="AK25" s="25"/>
      <c r="AL25" s="194"/>
      <c r="AM25" s="194"/>
      <c r="AN25" s="23"/>
      <c r="AO25" s="23"/>
    </row>
    <row r="26" spans="1:41">
      <c r="A26" s="196" t="s">
        <v>402</v>
      </c>
      <c r="B26" s="221"/>
      <c r="C26" s="196" t="e">
        <f>($L10+$L12/100*C24)</f>
        <v>#REF!</v>
      </c>
      <c r="D26" s="25"/>
      <c r="E26" s="25"/>
      <c r="F26" s="225"/>
      <c r="G26" s="196" t="e">
        <f>($L10+$L12/100*G24)</f>
        <v>#REF!</v>
      </c>
      <c r="H26" s="25"/>
      <c r="I26" s="25"/>
      <c r="J26" s="225"/>
      <c r="K26" s="196" t="e">
        <f>+L16</f>
        <v>#REF!</v>
      </c>
      <c r="L26" s="25"/>
      <c r="M26" s="25"/>
      <c r="N26" s="194"/>
      <c r="O26" s="196" t="e">
        <f>($L10+$L12/100*O24)</f>
        <v>#REF!</v>
      </c>
      <c r="P26" s="25"/>
      <c r="Q26" s="25"/>
      <c r="R26" s="194"/>
      <c r="S26" s="196" t="e">
        <f>($L10+$L12/100*S24)</f>
        <v>#REF!</v>
      </c>
      <c r="T26" s="25"/>
      <c r="U26" s="25"/>
      <c r="V26" s="194"/>
      <c r="W26" s="196" t="e">
        <f>($L10+$L12/100*W24)</f>
        <v>#REF!</v>
      </c>
      <c r="X26" s="25"/>
      <c r="Y26" s="25"/>
      <c r="Z26" s="194"/>
      <c r="AA26" s="196" t="e">
        <f>+L16</f>
        <v>#REF!</v>
      </c>
      <c r="AB26" s="25"/>
      <c r="AC26" s="25"/>
      <c r="AD26" s="194"/>
      <c r="AE26" s="196" t="e">
        <f>+L16</f>
        <v>#REF!</v>
      </c>
      <c r="AF26" s="25"/>
      <c r="AG26" s="25"/>
      <c r="AH26" s="194"/>
      <c r="AI26" s="196" t="e">
        <f>($L10+$L12/100*AI24)</f>
        <v>#REF!</v>
      </c>
      <c r="AJ26" s="25"/>
      <c r="AK26" s="25"/>
      <c r="AL26" s="194"/>
      <c r="AM26" s="194"/>
      <c r="AN26" s="23"/>
      <c r="AO26" s="23"/>
    </row>
    <row r="27" spans="1:41">
      <c r="A27" s="196" t="s">
        <v>404</v>
      </c>
      <c r="B27" s="221"/>
      <c r="C27" s="226">
        <v>20000000</v>
      </c>
      <c r="D27" s="227"/>
      <c r="E27" s="227"/>
      <c r="F27" s="225"/>
      <c r="G27" s="226">
        <v>30000000</v>
      </c>
      <c r="H27" s="227"/>
      <c r="I27" s="227"/>
      <c r="J27" s="225"/>
      <c r="K27" s="226">
        <v>20000000</v>
      </c>
      <c r="L27" s="227"/>
      <c r="M27" s="227"/>
      <c r="N27" s="225"/>
      <c r="O27" s="226">
        <v>30000000</v>
      </c>
      <c r="P27" s="227"/>
      <c r="Q27" s="227"/>
      <c r="R27" s="225"/>
      <c r="S27" s="226">
        <v>20000000</v>
      </c>
      <c r="T27" s="227"/>
      <c r="U27" s="227"/>
      <c r="V27" s="225"/>
      <c r="W27" s="226">
        <v>30000000</v>
      </c>
      <c r="X27" s="227"/>
      <c r="Y27" s="227"/>
      <c r="Z27" s="225"/>
      <c r="AA27" s="226">
        <v>20000000</v>
      </c>
      <c r="AB27" s="227"/>
      <c r="AC27" s="227"/>
      <c r="AD27" s="225"/>
      <c r="AE27" s="226">
        <v>30000000</v>
      </c>
      <c r="AF27" s="227"/>
      <c r="AG27" s="227"/>
      <c r="AH27" s="225"/>
      <c r="AI27" s="226">
        <v>20000000</v>
      </c>
      <c r="AJ27" s="227"/>
      <c r="AK27" s="227"/>
      <c r="AL27" s="225"/>
      <c r="AM27" s="194"/>
      <c r="AN27" s="23"/>
      <c r="AO27" s="23"/>
    </row>
    <row r="28" spans="1:41">
      <c r="A28" s="196" t="s">
        <v>405</v>
      </c>
      <c r="B28" s="221"/>
      <c r="C28" s="226">
        <f>+C27/C22</f>
        <v>666666.66666666663</v>
      </c>
      <c r="D28" s="227"/>
      <c r="E28" s="227"/>
      <c r="F28" s="225"/>
      <c r="G28" s="226">
        <f>+G27/G22</f>
        <v>857142.85714285716</v>
      </c>
      <c r="H28" s="227"/>
      <c r="I28" s="227"/>
      <c r="J28" s="225"/>
      <c r="K28" s="226">
        <f>+K27/K22</f>
        <v>500000</v>
      </c>
      <c r="L28" s="227"/>
      <c r="M28" s="227"/>
      <c r="N28" s="225"/>
      <c r="O28" s="226">
        <f>+O27/O22</f>
        <v>750000</v>
      </c>
      <c r="P28" s="227"/>
      <c r="Q28" s="227"/>
      <c r="R28" s="225"/>
      <c r="S28" s="226">
        <f>+S27/S22</f>
        <v>500000</v>
      </c>
      <c r="T28" s="227"/>
      <c r="U28" s="227"/>
      <c r="V28" s="225"/>
      <c r="W28" s="226">
        <f>+W27/W22</f>
        <v>750000</v>
      </c>
      <c r="X28" s="227"/>
      <c r="Y28" s="227"/>
      <c r="Z28" s="225"/>
      <c r="AA28" s="226">
        <f>+AA27/AA22</f>
        <v>571428.57142857148</v>
      </c>
      <c r="AB28" s="227"/>
      <c r="AC28" s="227"/>
      <c r="AD28" s="225"/>
      <c r="AE28" s="226">
        <f>+AE27/AE22</f>
        <v>1200000</v>
      </c>
      <c r="AF28" s="227"/>
      <c r="AG28" s="227"/>
      <c r="AH28" s="225"/>
      <c r="AI28" s="226">
        <f>+AI27/AI22</f>
        <v>666666.66666666663</v>
      </c>
      <c r="AJ28" s="227"/>
      <c r="AK28" s="227"/>
      <c r="AL28" s="225"/>
      <c r="AM28" s="194"/>
      <c r="AN28" s="23"/>
      <c r="AO28" s="23"/>
    </row>
    <row r="29" spans="1:41" s="2" customFormat="1">
      <c r="A29" s="255" t="s">
        <v>489</v>
      </c>
      <c r="B29" s="212"/>
      <c r="C29" s="256">
        <v>6</v>
      </c>
      <c r="D29" s="257"/>
      <c r="E29" s="257"/>
      <c r="F29" s="258"/>
      <c r="G29" s="256">
        <v>3</v>
      </c>
      <c r="H29" s="257"/>
      <c r="I29" s="257"/>
      <c r="J29" s="258"/>
      <c r="K29" s="256">
        <v>9</v>
      </c>
      <c r="L29" s="257"/>
      <c r="M29" s="257"/>
      <c r="N29" s="258"/>
      <c r="O29" s="256">
        <v>10</v>
      </c>
      <c r="P29" s="257"/>
      <c r="Q29" s="257"/>
      <c r="R29" s="258"/>
      <c r="S29" s="256">
        <v>2</v>
      </c>
      <c r="T29" s="257"/>
      <c r="U29" s="257"/>
      <c r="V29" s="258"/>
      <c r="W29" s="256">
        <v>4</v>
      </c>
      <c r="X29" s="257"/>
      <c r="Y29" s="257"/>
      <c r="Z29" s="258"/>
      <c r="AA29" s="256">
        <v>11</v>
      </c>
      <c r="AB29" s="257"/>
      <c r="AC29" s="257"/>
      <c r="AD29" s="258"/>
      <c r="AE29" s="256">
        <v>8</v>
      </c>
      <c r="AF29" s="257"/>
      <c r="AG29" s="257"/>
      <c r="AH29" s="258"/>
      <c r="AI29" s="256">
        <v>9</v>
      </c>
      <c r="AJ29" s="257"/>
      <c r="AK29" s="257"/>
      <c r="AL29" s="258"/>
      <c r="AM29" s="263"/>
      <c r="AN29" s="24"/>
      <c r="AO29" s="24"/>
    </row>
    <row r="30" spans="1:41" ht="13.5" thickBot="1">
      <c r="A30" s="201"/>
      <c r="B30" s="228"/>
      <c r="C30" s="229"/>
      <c r="D30" s="230"/>
      <c r="E30" s="230"/>
      <c r="F30" s="231"/>
      <c r="G30" s="229"/>
      <c r="H30" s="230"/>
      <c r="I30" s="230"/>
      <c r="J30" s="231"/>
      <c r="K30" s="229"/>
      <c r="L30" s="230"/>
      <c r="M30" s="230"/>
      <c r="N30" s="231"/>
      <c r="O30" s="229"/>
      <c r="P30" s="230"/>
      <c r="Q30" s="230"/>
      <c r="R30" s="231"/>
      <c r="S30" s="229"/>
      <c r="T30" s="230"/>
      <c r="U30" s="230"/>
      <c r="V30" s="231"/>
      <c r="W30" s="229"/>
      <c r="X30" s="230"/>
      <c r="Y30" s="230"/>
      <c r="Z30" s="231"/>
      <c r="AA30" s="229"/>
      <c r="AB30" s="230"/>
      <c r="AC30" s="230"/>
      <c r="AD30" s="231"/>
      <c r="AE30" s="229"/>
      <c r="AF30" s="230"/>
      <c r="AG30" s="230"/>
      <c r="AH30" s="231"/>
      <c r="AI30" s="229"/>
      <c r="AJ30" s="230"/>
      <c r="AK30" s="230"/>
      <c r="AL30" s="231"/>
      <c r="AM30" s="202"/>
      <c r="AN30" s="23"/>
      <c r="AO30" s="23"/>
    </row>
    <row r="31" spans="1:41">
      <c r="A31" s="215"/>
      <c r="B31" s="232" t="s">
        <v>395</v>
      </c>
      <c r="C31" s="218" t="s">
        <v>408</v>
      </c>
      <c r="D31" s="218" t="s">
        <v>409</v>
      </c>
      <c r="E31" s="218" t="s">
        <v>410</v>
      </c>
      <c r="F31" s="219" t="s">
        <v>407</v>
      </c>
      <c r="G31" s="218" t="s">
        <v>408</v>
      </c>
      <c r="H31" s="218" t="s">
        <v>409</v>
      </c>
      <c r="I31" s="218" t="s">
        <v>410</v>
      </c>
      <c r="J31" s="220" t="s">
        <v>407</v>
      </c>
      <c r="K31" s="217" t="s">
        <v>408</v>
      </c>
      <c r="L31" s="218" t="s">
        <v>409</v>
      </c>
      <c r="M31" s="218" t="s">
        <v>410</v>
      </c>
      <c r="N31" s="220" t="s">
        <v>407</v>
      </c>
      <c r="O31" s="217" t="s">
        <v>408</v>
      </c>
      <c r="P31" s="218" t="s">
        <v>409</v>
      </c>
      <c r="Q31" s="218" t="s">
        <v>410</v>
      </c>
      <c r="R31" s="220" t="s">
        <v>407</v>
      </c>
      <c r="S31" s="217" t="s">
        <v>408</v>
      </c>
      <c r="T31" s="218" t="s">
        <v>409</v>
      </c>
      <c r="U31" s="218" t="s">
        <v>410</v>
      </c>
      <c r="V31" s="220" t="s">
        <v>407</v>
      </c>
      <c r="W31" s="217" t="s">
        <v>408</v>
      </c>
      <c r="X31" s="218" t="s">
        <v>409</v>
      </c>
      <c r="Y31" s="218" t="s">
        <v>410</v>
      </c>
      <c r="Z31" s="220" t="s">
        <v>407</v>
      </c>
      <c r="AA31" s="217" t="s">
        <v>408</v>
      </c>
      <c r="AB31" s="218" t="s">
        <v>409</v>
      </c>
      <c r="AC31" s="218" t="s">
        <v>410</v>
      </c>
      <c r="AD31" s="220" t="s">
        <v>407</v>
      </c>
      <c r="AE31" s="217" t="s">
        <v>408</v>
      </c>
      <c r="AF31" s="218" t="s">
        <v>409</v>
      </c>
      <c r="AG31" s="218" t="s">
        <v>410</v>
      </c>
      <c r="AH31" s="220" t="s">
        <v>407</v>
      </c>
      <c r="AI31" s="217" t="s">
        <v>408</v>
      </c>
      <c r="AJ31" s="218" t="s">
        <v>409</v>
      </c>
      <c r="AK31" s="218" t="s">
        <v>410</v>
      </c>
      <c r="AL31" s="220" t="s">
        <v>407</v>
      </c>
      <c r="AM31" s="252" t="s">
        <v>306</v>
      </c>
      <c r="AN31" s="233" t="s">
        <v>421</v>
      </c>
      <c r="AO31" s="234" t="s">
        <v>422</v>
      </c>
    </row>
    <row r="32" spans="1:41">
      <c r="A32" s="196" t="s">
        <v>425</v>
      </c>
      <c r="B32" s="235">
        <v>2005</v>
      </c>
      <c r="C32" s="236">
        <f>+C27</f>
        <v>20000000</v>
      </c>
      <c r="D32" s="227">
        <f>+C$28/12*(12-C$29)</f>
        <v>333333.33333333331</v>
      </c>
      <c r="E32" s="236">
        <f t="shared" ref="E32:E63" si="0">+C32-D32</f>
        <v>19666666.666666668</v>
      </c>
      <c r="F32" s="225" t="e">
        <f>+C$25*E32+D32</f>
        <v>#REF!</v>
      </c>
      <c r="G32" s="25"/>
      <c r="H32" s="25"/>
      <c r="I32" s="25"/>
      <c r="J32" s="225"/>
      <c r="K32" s="196"/>
      <c r="L32" s="25"/>
      <c r="M32" s="25"/>
      <c r="N32" s="225"/>
      <c r="O32" s="196"/>
      <c r="P32" s="25"/>
      <c r="Q32" s="25"/>
      <c r="R32" s="225"/>
      <c r="S32" s="196"/>
      <c r="T32" s="25"/>
      <c r="U32" s="25"/>
      <c r="V32" s="225"/>
      <c r="W32" s="196"/>
      <c r="X32" s="25"/>
      <c r="Y32" s="25"/>
      <c r="Z32" s="225"/>
      <c r="AA32" s="196"/>
      <c r="AB32" s="25"/>
      <c r="AC32" s="25"/>
      <c r="AD32" s="225"/>
      <c r="AE32" s="196"/>
      <c r="AF32" s="25"/>
      <c r="AG32" s="25"/>
      <c r="AH32" s="225"/>
      <c r="AI32" s="196"/>
      <c r="AJ32" s="25"/>
      <c r="AK32" s="25"/>
      <c r="AL32" s="225"/>
      <c r="AM32" s="253" t="e">
        <f>+N32+J32+F32</f>
        <v>#REF!</v>
      </c>
      <c r="AN32" s="25"/>
      <c r="AO32" s="237" t="e">
        <f>+AM32</f>
        <v>#REF!</v>
      </c>
    </row>
    <row r="33" spans="1:41">
      <c r="A33" s="196" t="s">
        <v>399</v>
      </c>
      <c r="B33" s="235">
        <v>2005</v>
      </c>
      <c r="C33" s="236">
        <f>+C32</f>
        <v>20000000</v>
      </c>
      <c r="D33" s="227">
        <f>+D32</f>
        <v>333333.33333333331</v>
      </c>
      <c r="E33" s="236">
        <f t="shared" si="0"/>
        <v>19666666.666666668</v>
      </c>
      <c r="F33" s="225" t="e">
        <f>+C$26*E33+D33</f>
        <v>#REF!</v>
      </c>
      <c r="G33" s="25"/>
      <c r="H33" s="25"/>
      <c r="I33" s="25"/>
      <c r="J33" s="225"/>
      <c r="K33" s="196"/>
      <c r="L33" s="25"/>
      <c r="M33" s="25"/>
      <c r="N33" s="225"/>
      <c r="O33" s="196"/>
      <c r="P33" s="25"/>
      <c r="Q33" s="25"/>
      <c r="R33" s="225"/>
      <c r="S33" s="196"/>
      <c r="T33" s="25"/>
      <c r="U33" s="25"/>
      <c r="V33" s="225"/>
      <c r="W33" s="196"/>
      <c r="X33" s="25"/>
      <c r="Y33" s="25"/>
      <c r="Z33" s="225"/>
      <c r="AA33" s="196"/>
      <c r="AB33" s="25"/>
      <c r="AC33" s="25"/>
      <c r="AD33" s="225"/>
      <c r="AE33" s="196"/>
      <c r="AF33" s="25"/>
      <c r="AG33" s="25"/>
      <c r="AH33" s="225"/>
      <c r="AI33" s="196"/>
      <c r="AJ33" s="25"/>
      <c r="AK33" s="25"/>
      <c r="AL33" s="225"/>
      <c r="AM33" s="253" t="e">
        <f t="shared" ref="AM33:AM71" si="1">+N33+J33+F33</f>
        <v>#REF!</v>
      </c>
      <c r="AN33" s="238" t="e">
        <f>+AM33</f>
        <v>#REF!</v>
      </c>
      <c r="AO33" s="194"/>
    </row>
    <row r="34" spans="1:41">
      <c r="A34" s="196" t="s">
        <v>425</v>
      </c>
      <c r="B34" s="235">
        <f>+B32+1</f>
        <v>2006</v>
      </c>
      <c r="C34" s="236">
        <f>+E33</f>
        <v>19666666.666666668</v>
      </c>
      <c r="D34" s="236">
        <f>+C$28</f>
        <v>666666.66666666663</v>
      </c>
      <c r="E34" s="236">
        <f t="shared" si="0"/>
        <v>19000000</v>
      </c>
      <c r="F34" s="225" t="e">
        <f>+C$25*E34+D34</f>
        <v>#REF!</v>
      </c>
      <c r="G34" s="236">
        <f>+G$27</f>
        <v>30000000</v>
      </c>
      <c r="H34" s="227">
        <f>+G$28/12*(12-G$29)</f>
        <v>642857.14285714296</v>
      </c>
      <c r="I34" s="236">
        <f t="shared" ref="I34:I65" si="2">+G34-H34</f>
        <v>29357142.857142858</v>
      </c>
      <c r="J34" s="225" t="e">
        <f>+G$25*I34+H34</f>
        <v>#REF!</v>
      </c>
      <c r="K34" s="239">
        <f>+K$27</f>
        <v>20000000</v>
      </c>
      <c r="L34" s="227">
        <f>+K$28/12*(12-K$29)</f>
        <v>125000</v>
      </c>
      <c r="M34" s="236">
        <f t="shared" ref="M34:M65" si="3">+K34-L34</f>
        <v>19875000</v>
      </c>
      <c r="N34" s="225" t="e">
        <f>+K$25*M34+L34</f>
        <v>#REF!</v>
      </c>
      <c r="O34" s="239"/>
      <c r="P34" s="227"/>
      <c r="Q34" s="236"/>
      <c r="R34" s="225"/>
      <c r="S34" s="239"/>
      <c r="T34" s="227"/>
      <c r="U34" s="236"/>
      <c r="V34" s="225"/>
      <c r="W34" s="239"/>
      <c r="X34" s="227"/>
      <c r="Y34" s="236"/>
      <c r="Z34" s="225"/>
      <c r="AA34" s="239"/>
      <c r="AB34" s="227"/>
      <c r="AC34" s="236"/>
      <c r="AD34" s="225"/>
      <c r="AE34" s="239"/>
      <c r="AF34" s="227"/>
      <c r="AG34" s="236"/>
      <c r="AH34" s="225"/>
      <c r="AI34" s="239"/>
      <c r="AJ34" s="227"/>
      <c r="AK34" s="236"/>
      <c r="AL34" s="225"/>
      <c r="AM34" s="253" t="e">
        <f t="shared" si="1"/>
        <v>#REF!</v>
      </c>
      <c r="AN34" s="25"/>
      <c r="AO34" s="237" t="e">
        <f>+AM34</f>
        <v>#REF!</v>
      </c>
    </row>
    <row r="35" spans="1:41">
      <c r="A35" s="196" t="s">
        <v>399</v>
      </c>
      <c r="B35" s="235">
        <f t="shared" ref="B35:B71" si="4">+B33+1</f>
        <v>2006</v>
      </c>
      <c r="C35" s="236">
        <f>+C34</f>
        <v>19666666.666666668</v>
      </c>
      <c r="D35" s="236">
        <f>+D34</f>
        <v>666666.66666666663</v>
      </c>
      <c r="E35" s="236">
        <f t="shared" si="0"/>
        <v>19000000</v>
      </c>
      <c r="F35" s="225" t="e">
        <f>+C$26*E35+D35</f>
        <v>#REF!</v>
      </c>
      <c r="G35" s="236">
        <f>+G34</f>
        <v>30000000</v>
      </c>
      <c r="H35" s="227">
        <f>+H34</f>
        <v>642857.14285714296</v>
      </c>
      <c r="I35" s="236">
        <f t="shared" si="2"/>
        <v>29357142.857142858</v>
      </c>
      <c r="J35" s="225" t="e">
        <f>+G$26*I35+H35</f>
        <v>#REF!</v>
      </c>
      <c r="K35" s="239">
        <f>+K34</f>
        <v>20000000</v>
      </c>
      <c r="L35" s="227">
        <f>+L34</f>
        <v>125000</v>
      </c>
      <c r="M35" s="236">
        <f t="shared" si="3"/>
        <v>19875000</v>
      </c>
      <c r="N35" s="225" t="e">
        <f>+K$26*M35+L35</f>
        <v>#REF!</v>
      </c>
      <c r="O35" s="239"/>
      <c r="P35" s="227"/>
      <c r="Q35" s="236"/>
      <c r="R35" s="225"/>
      <c r="S35" s="239"/>
      <c r="T35" s="227"/>
      <c r="U35" s="236"/>
      <c r="V35" s="225"/>
      <c r="W35" s="239"/>
      <c r="X35" s="227"/>
      <c r="Y35" s="236"/>
      <c r="Z35" s="225"/>
      <c r="AA35" s="239"/>
      <c r="AB35" s="227"/>
      <c r="AC35" s="236"/>
      <c r="AD35" s="225"/>
      <c r="AE35" s="239"/>
      <c r="AF35" s="227"/>
      <c r="AG35" s="236"/>
      <c r="AH35" s="225"/>
      <c r="AI35" s="239"/>
      <c r="AJ35" s="227"/>
      <c r="AK35" s="236"/>
      <c r="AL35" s="225"/>
      <c r="AM35" s="253" t="e">
        <f t="shared" si="1"/>
        <v>#REF!</v>
      </c>
      <c r="AN35" s="238" t="e">
        <f>+AM35</f>
        <v>#REF!</v>
      </c>
      <c r="AO35" s="194"/>
    </row>
    <row r="36" spans="1:41">
      <c r="A36" s="196" t="s">
        <v>425</v>
      </c>
      <c r="B36" s="235">
        <f t="shared" si="4"/>
        <v>2007</v>
      </c>
      <c r="C36" s="236">
        <f>+E35</f>
        <v>19000000</v>
      </c>
      <c r="D36" s="236">
        <f>+C$28</f>
        <v>666666.66666666663</v>
      </c>
      <c r="E36" s="236">
        <f t="shared" si="0"/>
        <v>18333333.333333332</v>
      </c>
      <c r="F36" s="225" t="e">
        <f>+C$25*E36+D36</f>
        <v>#REF!</v>
      </c>
      <c r="G36" s="236">
        <f>+I35</f>
        <v>29357142.857142858</v>
      </c>
      <c r="H36" s="236">
        <f>+G$28</f>
        <v>857142.85714285716</v>
      </c>
      <c r="I36" s="236">
        <f t="shared" si="2"/>
        <v>28500000</v>
      </c>
      <c r="J36" s="225" t="e">
        <f>+G$25*I36+H36</f>
        <v>#REF!</v>
      </c>
      <c r="K36" s="239">
        <f>+M35</f>
        <v>19875000</v>
      </c>
      <c r="L36" s="236">
        <f>+K$28</f>
        <v>500000</v>
      </c>
      <c r="M36" s="236">
        <f t="shared" si="3"/>
        <v>19375000</v>
      </c>
      <c r="N36" s="225" t="e">
        <f>+K$25*M36+L36</f>
        <v>#REF!</v>
      </c>
      <c r="O36" s="239">
        <f>+O$27</f>
        <v>30000000</v>
      </c>
      <c r="P36" s="227">
        <f>+O$28/12*(12-O$29)</f>
        <v>125000</v>
      </c>
      <c r="Q36" s="236">
        <f t="shared" ref="Q36:Q67" si="5">+O36-P36</f>
        <v>29875000</v>
      </c>
      <c r="R36" s="225" t="e">
        <f>+O$25*Q36+P36</f>
        <v>#REF!</v>
      </c>
      <c r="S36" s="239">
        <f>+S$27</f>
        <v>20000000</v>
      </c>
      <c r="T36" s="227">
        <f>+S$28/12*(12-S$29)</f>
        <v>416666.66666666663</v>
      </c>
      <c r="U36" s="236">
        <f t="shared" ref="U36:U67" si="6">+S36-T36</f>
        <v>19583333.333333332</v>
      </c>
      <c r="V36" s="225" t="e">
        <f>+S$25*U36+T36</f>
        <v>#REF!</v>
      </c>
      <c r="W36" s="239"/>
      <c r="X36" s="236"/>
      <c r="Y36" s="236"/>
      <c r="Z36" s="225"/>
      <c r="AA36" s="239"/>
      <c r="AB36" s="236"/>
      <c r="AC36" s="236"/>
      <c r="AD36" s="225"/>
      <c r="AE36" s="239"/>
      <c r="AF36" s="236"/>
      <c r="AG36" s="236"/>
      <c r="AH36" s="225"/>
      <c r="AI36" s="239"/>
      <c r="AJ36" s="236"/>
      <c r="AK36" s="236"/>
      <c r="AL36" s="225"/>
      <c r="AM36" s="253" t="e">
        <f t="shared" si="1"/>
        <v>#REF!</v>
      </c>
      <c r="AN36" s="25"/>
      <c r="AO36" s="237" t="e">
        <f>+AM36</f>
        <v>#REF!</v>
      </c>
    </row>
    <row r="37" spans="1:41">
      <c r="A37" s="196" t="s">
        <v>399</v>
      </c>
      <c r="B37" s="235">
        <f t="shared" si="4"/>
        <v>2007</v>
      </c>
      <c r="C37" s="236">
        <f>+C36</f>
        <v>19000000</v>
      </c>
      <c r="D37" s="236">
        <f>+D36</f>
        <v>666666.66666666663</v>
      </c>
      <c r="E37" s="236">
        <f t="shared" si="0"/>
        <v>18333333.333333332</v>
      </c>
      <c r="F37" s="225" t="e">
        <f>+C$26*E37+D37</f>
        <v>#REF!</v>
      </c>
      <c r="G37" s="236">
        <f>+G36</f>
        <v>29357142.857142858</v>
      </c>
      <c r="H37" s="236">
        <f>+H36</f>
        <v>857142.85714285716</v>
      </c>
      <c r="I37" s="236">
        <f t="shared" si="2"/>
        <v>28500000</v>
      </c>
      <c r="J37" s="225" t="e">
        <f>+G$26*I37+H37</f>
        <v>#REF!</v>
      </c>
      <c r="K37" s="239">
        <f>+K36</f>
        <v>19875000</v>
      </c>
      <c r="L37" s="236">
        <f>+L36</f>
        <v>500000</v>
      </c>
      <c r="M37" s="236">
        <f t="shared" si="3"/>
        <v>19375000</v>
      </c>
      <c r="N37" s="225" t="e">
        <f>+K$26*M37+L37</f>
        <v>#REF!</v>
      </c>
      <c r="O37" s="239">
        <f>+O36</f>
        <v>30000000</v>
      </c>
      <c r="P37" s="227">
        <f>+P36</f>
        <v>125000</v>
      </c>
      <c r="Q37" s="236">
        <f t="shared" si="5"/>
        <v>29875000</v>
      </c>
      <c r="R37" s="225" t="e">
        <f>+O$26*Q37+P37</f>
        <v>#REF!</v>
      </c>
      <c r="S37" s="239">
        <f>+S36</f>
        <v>20000000</v>
      </c>
      <c r="T37" s="227">
        <f>+T36</f>
        <v>416666.66666666663</v>
      </c>
      <c r="U37" s="236">
        <f t="shared" si="6"/>
        <v>19583333.333333332</v>
      </c>
      <c r="V37" s="225" t="e">
        <f>+S$26*U37+T37</f>
        <v>#REF!</v>
      </c>
      <c r="W37" s="239"/>
      <c r="X37" s="236"/>
      <c r="Y37" s="236"/>
      <c r="Z37" s="225"/>
      <c r="AA37" s="239"/>
      <c r="AB37" s="236"/>
      <c r="AC37" s="236"/>
      <c r="AD37" s="225"/>
      <c r="AE37" s="239"/>
      <c r="AF37" s="236"/>
      <c r="AG37" s="236"/>
      <c r="AH37" s="225"/>
      <c r="AI37" s="239"/>
      <c r="AJ37" s="236"/>
      <c r="AK37" s="236"/>
      <c r="AL37" s="225"/>
      <c r="AM37" s="253" t="e">
        <f t="shared" si="1"/>
        <v>#REF!</v>
      </c>
      <c r="AN37" s="238" t="e">
        <f>+AM37</f>
        <v>#REF!</v>
      </c>
      <c r="AO37" s="194"/>
    </row>
    <row r="38" spans="1:41">
      <c r="A38" s="196" t="s">
        <v>425</v>
      </c>
      <c r="B38" s="235">
        <f t="shared" si="4"/>
        <v>2008</v>
      </c>
      <c r="C38" s="236">
        <f>+E37</f>
        <v>18333333.333333332</v>
      </c>
      <c r="D38" s="236">
        <f>+C$28</f>
        <v>666666.66666666663</v>
      </c>
      <c r="E38" s="236">
        <f t="shared" si="0"/>
        <v>17666666.666666664</v>
      </c>
      <c r="F38" s="225" t="e">
        <f>+C$25*E38+D38</f>
        <v>#REF!</v>
      </c>
      <c r="G38" s="236">
        <f>+I37</f>
        <v>28500000</v>
      </c>
      <c r="H38" s="236">
        <f>+G$28</f>
        <v>857142.85714285716</v>
      </c>
      <c r="I38" s="236">
        <f t="shared" si="2"/>
        <v>27642857.142857142</v>
      </c>
      <c r="J38" s="225" t="e">
        <f>+G$25*I38+H38</f>
        <v>#REF!</v>
      </c>
      <c r="K38" s="239">
        <f>+M37</f>
        <v>19375000</v>
      </c>
      <c r="L38" s="236">
        <f>+K$28</f>
        <v>500000</v>
      </c>
      <c r="M38" s="236">
        <f t="shared" si="3"/>
        <v>18875000</v>
      </c>
      <c r="N38" s="225" t="e">
        <f>+K$25*M38+L38</f>
        <v>#REF!</v>
      </c>
      <c r="O38" s="239">
        <f>+Q37</f>
        <v>29875000</v>
      </c>
      <c r="P38" s="236">
        <f>+O$28</f>
        <v>750000</v>
      </c>
      <c r="Q38" s="236">
        <f t="shared" si="5"/>
        <v>29125000</v>
      </c>
      <c r="R38" s="225" t="e">
        <f>+O$25*Q38+P38</f>
        <v>#REF!</v>
      </c>
      <c r="S38" s="239">
        <f>+U37</f>
        <v>19583333.333333332</v>
      </c>
      <c r="T38" s="236">
        <f>+S$28</f>
        <v>500000</v>
      </c>
      <c r="U38" s="236">
        <f t="shared" si="6"/>
        <v>19083333.333333332</v>
      </c>
      <c r="V38" s="225" t="e">
        <f>+S$25*U38+T38</f>
        <v>#REF!</v>
      </c>
      <c r="W38" s="239">
        <f>+W$27</f>
        <v>30000000</v>
      </c>
      <c r="X38" s="227">
        <f>+W$28/12*(12-W$29)</f>
        <v>500000</v>
      </c>
      <c r="Y38" s="236">
        <f t="shared" ref="Y38:Y69" si="7">+W38-X38</f>
        <v>29500000</v>
      </c>
      <c r="Z38" s="225" t="e">
        <f>+W$25*Y38+X38</f>
        <v>#REF!</v>
      </c>
      <c r="AA38" s="239">
        <f>+AA$27</f>
        <v>20000000</v>
      </c>
      <c r="AB38" s="227">
        <f>+AA$28/12*(12-AA$29)</f>
        <v>47619.047619047626</v>
      </c>
      <c r="AC38" s="236">
        <f t="shared" ref="AC38:AC69" si="8">+AA38-AB38</f>
        <v>19952380.952380951</v>
      </c>
      <c r="AD38" s="225" t="e">
        <f>+AA$25*AC38+AB38</f>
        <v>#REF!</v>
      </c>
      <c r="AE38" s="239"/>
      <c r="AF38" s="236"/>
      <c r="AG38" s="236"/>
      <c r="AH38" s="225"/>
      <c r="AI38" s="239"/>
      <c r="AJ38" s="236"/>
      <c r="AK38" s="236"/>
      <c r="AL38" s="225"/>
      <c r="AM38" s="253" t="e">
        <f t="shared" si="1"/>
        <v>#REF!</v>
      </c>
      <c r="AN38" s="25"/>
      <c r="AO38" s="237" t="e">
        <f>+AM38</f>
        <v>#REF!</v>
      </c>
    </row>
    <row r="39" spans="1:41">
      <c r="A39" s="196" t="s">
        <v>399</v>
      </c>
      <c r="B39" s="235">
        <f t="shared" si="4"/>
        <v>2008</v>
      </c>
      <c r="C39" s="236">
        <f>+C38</f>
        <v>18333333.333333332</v>
      </c>
      <c r="D39" s="236">
        <f>+D38</f>
        <v>666666.66666666663</v>
      </c>
      <c r="E39" s="236">
        <f t="shared" si="0"/>
        <v>17666666.666666664</v>
      </c>
      <c r="F39" s="225" t="e">
        <f>+C$26*E39+D39</f>
        <v>#REF!</v>
      </c>
      <c r="G39" s="236">
        <f>+G38</f>
        <v>28500000</v>
      </c>
      <c r="H39" s="236">
        <f>+H38</f>
        <v>857142.85714285716</v>
      </c>
      <c r="I39" s="236">
        <f t="shared" si="2"/>
        <v>27642857.142857142</v>
      </c>
      <c r="J39" s="225" t="e">
        <f>+G$26*I39+H39</f>
        <v>#REF!</v>
      </c>
      <c r="K39" s="239">
        <f>+K38</f>
        <v>19375000</v>
      </c>
      <c r="L39" s="236">
        <f>+L38</f>
        <v>500000</v>
      </c>
      <c r="M39" s="236">
        <f t="shared" si="3"/>
        <v>18875000</v>
      </c>
      <c r="N39" s="225" t="e">
        <f>+K$26*M39+L39</f>
        <v>#REF!</v>
      </c>
      <c r="O39" s="239">
        <f>+O38</f>
        <v>29875000</v>
      </c>
      <c r="P39" s="236">
        <f>+P38</f>
        <v>750000</v>
      </c>
      <c r="Q39" s="236">
        <f t="shared" si="5"/>
        <v>29125000</v>
      </c>
      <c r="R39" s="225" t="e">
        <f>+O$26*Q39+P39</f>
        <v>#REF!</v>
      </c>
      <c r="S39" s="239">
        <f>+S38</f>
        <v>19583333.333333332</v>
      </c>
      <c r="T39" s="236">
        <f>+T38</f>
        <v>500000</v>
      </c>
      <c r="U39" s="236">
        <f t="shared" si="6"/>
        <v>19083333.333333332</v>
      </c>
      <c r="V39" s="225" t="e">
        <f>+S$26*U39+T39</f>
        <v>#REF!</v>
      </c>
      <c r="W39" s="239">
        <f>+W38</f>
        <v>30000000</v>
      </c>
      <c r="X39" s="227">
        <f>+X38</f>
        <v>500000</v>
      </c>
      <c r="Y39" s="236">
        <f t="shared" si="7"/>
        <v>29500000</v>
      </c>
      <c r="Z39" s="225" t="e">
        <f>+W$26*Y39+X39</f>
        <v>#REF!</v>
      </c>
      <c r="AA39" s="239">
        <f>+AA38</f>
        <v>20000000</v>
      </c>
      <c r="AB39" s="227">
        <f>+AB38</f>
        <v>47619.047619047626</v>
      </c>
      <c r="AC39" s="236">
        <f t="shared" si="8"/>
        <v>19952380.952380951</v>
      </c>
      <c r="AD39" s="225" t="e">
        <f>+AA$26*AC39+AB39</f>
        <v>#REF!</v>
      </c>
      <c r="AE39" s="239"/>
      <c r="AF39" s="236"/>
      <c r="AG39" s="236"/>
      <c r="AH39" s="225"/>
      <c r="AI39" s="239"/>
      <c r="AJ39" s="236"/>
      <c r="AK39" s="236"/>
      <c r="AL39" s="225"/>
      <c r="AM39" s="253" t="e">
        <f t="shared" si="1"/>
        <v>#REF!</v>
      </c>
      <c r="AN39" s="238" t="e">
        <f>+AM39</f>
        <v>#REF!</v>
      </c>
      <c r="AO39" s="194"/>
    </row>
    <row r="40" spans="1:41">
      <c r="A40" s="196" t="s">
        <v>425</v>
      </c>
      <c r="B40" s="235">
        <f t="shared" si="4"/>
        <v>2009</v>
      </c>
      <c r="C40" s="236">
        <f>+E39</f>
        <v>17666666.666666664</v>
      </c>
      <c r="D40" s="236">
        <f>+C$28</f>
        <v>666666.66666666663</v>
      </c>
      <c r="E40" s="236">
        <f t="shared" si="0"/>
        <v>16999999.999999996</v>
      </c>
      <c r="F40" s="225" t="e">
        <f>+C$25*E40+D40</f>
        <v>#REF!</v>
      </c>
      <c r="G40" s="236">
        <f>+I39</f>
        <v>27642857.142857142</v>
      </c>
      <c r="H40" s="236">
        <f>+G$28</f>
        <v>857142.85714285716</v>
      </c>
      <c r="I40" s="236">
        <f t="shared" si="2"/>
        <v>26785714.285714284</v>
      </c>
      <c r="J40" s="225" t="e">
        <f>+G$25*I40+H40</f>
        <v>#REF!</v>
      </c>
      <c r="K40" s="239">
        <f>+M39</f>
        <v>18875000</v>
      </c>
      <c r="L40" s="236">
        <f>+K$28</f>
        <v>500000</v>
      </c>
      <c r="M40" s="236">
        <f t="shared" si="3"/>
        <v>18375000</v>
      </c>
      <c r="N40" s="225" t="e">
        <f>+K$25*M40+L40</f>
        <v>#REF!</v>
      </c>
      <c r="O40" s="239">
        <f>+Q39</f>
        <v>29125000</v>
      </c>
      <c r="P40" s="236">
        <f>+O$28</f>
        <v>750000</v>
      </c>
      <c r="Q40" s="236">
        <f t="shared" si="5"/>
        <v>28375000</v>
      </c>
      <c r="R40" s="225" t="e">
        <f>+O$25*Q40+P40</f>
        <v>#REF!</v>
      </c>
      <c r="S40" s="239">
        <f>+U39</f>
        <v>19083333.333333332</v>
      </c>
      <c r="T40" s="236">
        <f>+S$28</f>
        <v>500000</v>
      </c>
      <c r="U40" s="236">
        <f t="shared" si="6"/>
        <v>18583333.333333332</v>
      </c>
      <c r="V40" s="225" t="e">
        <f>+S$25*U40+T40</f>
        <v>#REF!</v>
      </c>
      <c r="W40" s="239">
        <f>+Y39</f>
        <v>29500000</v>
      </c>
      <c r="X40" s="236">
        <f>+W$28</f>
        <v>750000</v>
      </c>
      <c r="Y40" s="236">
        <f t="shared" si="7"/>
        <v>28750000</v>
      </c>
      <c r="Z40" s="225" t="e">
        <f>+W$25*Y40+X40</f>
        <v>#REF!</v>
      </c>
      <c r="AA40" s="239">
        <f>+AC39</f>
        <v>19952380.952380951</v>
      </c>
      <c r="AB40" s="236">
        <f>+AA$28</f>
        <v>571428.57142857148</v>
      </c>
      <c r="AC40" s="236">
        <f t="shared" si="8"/>
        <v>19380952.380952381</v>
      </c>
      <c r="AD40" s="225" t="e">
        <f>+AA$25*AC40+AB40</f>
        <v>#REF!</v>
      </c>
      <c r="AE40" s="239">
        <f>+AE$27</f>
        <v>30000000</v>
      </c>
      <c r="AF40" s="227">
        <f>+AE$28/12*(12-AE$29)</f>
        <v>400000</v>
      </c>
      <c r="AG40" s="236">
        <f t="shared" ref="AG40:AG71" si="9">+AE40-AF40</f>
        <v>29600000</v>
      </c>
      <c r="AH40" s="225" t="e">
        <f>+AE$25*AG40+AF40</f>
        <v>#REF!</v>
      </c>
      <c r="AI40" s="239">
        <f>+AI$27</f>
        <v>20000000</v>
      </c>
      <c r="AJ40" s="227">
        <f>+AI$28/12*(12-AI$29)</f>
        <v>166666.66666666666</v>
      </c>
      <c r="AK40" s="236">
        <f t="shared" ref="AK40:AK71" si="10">+AI40-AJ40</f>
        <v>19833333.333333332</v>
      </c>
      <c r="AL40" s="225" t="e">
        <f>+AI$25*AK40+AJ40</f>
        <v>#REF!</v>
      </c>
      <c r="AM40" s="253" t="e">
        <f t="shared" si="1"/>
        <v>#REF!</v>
      </c>
      <c r="AN40" s="25"/>
      <c r="AO40" s="237" t="e">
        <f>+AM40</f>
        <v>#REF!</v>
      </c>
    </row>
    <row r="41" spans="1:41">
      <c r="A41" s="196" t="s">
        <v>399</v>
      </c>
      <c r="B41" s="235">
        <f t="shared" si="4"/>
        <v>2009</v>
      </c>
      <c r="C41" s="236">
        <f>+C40</f>
        <v>17666666.666666664</v>
      </c>
      <c r="D41" s="236">
        <f>+D40</f>
        <v>666666.66666666663</v>
      </c>
      <c r="E41" s="236">
        <f t="shared" si="0"/>
        <v>16999999.999999996</v>
      </c>
      <c r="F41" s="225" t="e">
        <f>+C$26*E41+D41</f>
        <v>#REF!</v>
      </c>
      <c r="G41" s="236">
        <f>+G40</f>
        <v>27642857.142857142</v>
      </c>
      <c r="H41" s="236">
        <f>+H40</f>
        <v>857142.85714285716</v>
      </c>
      <c r="I41" s="236">
        <f t="shared" si="2"/>
        <v>26785714.285714284</v>
      </c>
      <c r="J41" s="225" t="e">
        <f>+G$26*I41+H41</f>
        <v>#REF!</v>
      </c>
      <c r="K41" s="239">
        <f>+K40</f>
        <v>18875000</v>
      </c>
      <c r="L41" s="236">
        <f>+L40</f>
        <v>500000</v>
      </c>
      <c r="M41" s="236">
        <f t="shared" si="3"/>
        <v>18375000</v>
      </c>
      <c r="N41" s="225" t="e">
        <f>+K$26*M41+L41</f>
        <v>#REF!</v>
      </c>
      <c r="O41" s="239">
        <f>+O40</f>
        <v>29125000</v>
      </c>
      <c r="P41" s="236">
        <f>+P40</f>
        <v>750000</v>
      </c>
      <c r="Q41" s="236">
        <f t="shared" si="5"/>
        <v>28375000</v>
      </c>
      <c r="R41" s="225" t="e">
        <f>+O$26*Q41+P41</f>
        <v>#REF!</v>
      </c>
      <c r="S41" s="239">
        <f>+S40</f>
        <v>19083333.333333332</v>
      </c>
      <c r="T41" s="236">
        <f>+T40</f>
        <v>500000</v>
      </c>
      <c r="U41" s="236">
        <f t="shared" si="6"/>
        <v>18583333.333333332</v>
      </c>
      <c r="V41" s="225" t="e">
        <f>+S$26*U41+T41</f>
        <v>#REF!</v>
      </c>
      <c r="W41" s="239">
        <f>+W40</f>
        <v>29500000</v>
      </c>
      <c r="X41" s="236">
        <f>+X40</f>
        <v>750000</v>
      </c>
      <c r="Y41" s="236">
        <f t="shared" si="7"/>
        <v>28750000</v>
      </c>
      <c r="Z41" s="225" t="e">
        <f>+W$26*Y41+X41</f>
        <v>#REF!</v>
      </c>
      <c r="AA41" s="239">
        <f>+AA40</f>
        <v>19952380.952380951</v>
      </c>
      <c r="AB41" s="236">
        <f>+AB40</f>
        <v>571428.57142857148</v>
      </c>
      <c r="AC41" s="236">
        <f t="shared" si="8"/>
        <v>19380952.380952381</v>
      </c>
      <c r="AD41" s="225" t="e">
        <f>+AA$26*AC41+AB41</f>
        <v>#REF!</v>
      </c>
      <c r="AE41" s="239">
        <f>+AE40</f>
        <v>30000000</v>
      </c>
      <c r="AF41" s="227">
        <f>+AF40</f>
        <v>400000</v>
      </c>
      <c r="AG41" s="236">
        <f t="shared" si="9"/>
        <v>29600000</v>
      </c>
      <c r="AH41" s="225" t="e">
        <f>+AE$26*AG41+AF41</f>
        <v>#REF!</v>
      </c>
      <c r="AI41" s="239">
        <f>+AI40</f>
        <v>20000000</v>
      </c>
      <c r="AJ41" s="227">
        <f>+AJ40</f>
        <v>166666.66666666666</v>
      </c>
      <c r="AK41" s="236">
        <f t="shared" si="10"/>
        <v>19833333.333333332</v>
      </c>
      <c r="AL41" s="225" t="e">
        <f>+AI$26*AK41+AJ41</f>
        <v>#REF!</v>
      </c>
      <c r="AM41" s="253" t="e">
        <f t="shared" si="1"/>
        <v>#REF!</v>
      </c>
      <c r="AN41" s="238" t="e">
        <f>+AM41</f>
        <v>#REF!</v>
      </c>
      <c r="AO41" s="194"/>
    </row>
    <row r="42" spans="1:41">
      <c r="A42" s="196" t="s">
        <v>425</v>
      </c>
      <c r="B42" s="235">
        <f t="shared" si="4"/>
        <v>2010</v>
      </c>
      <c r="C42" s="236">
        <f>+E41</f>
        <v>16999999.999999996</v>
      </c>
      <c r="D42" s="236">
        <f>+C$28</f>
        <v>666666.66666666663</v>
      </c>
      <c r="E42" s="236">
        <f t="shared" si="0"/>
        <v>16333333.33333333</v>
      </c>
      <c r="F42" s="225" t="e">
        <f>+C$25*E42+D42</f>
        <v>#REF!</v>
      </c>
      <c r="G42" s="236">
        <f>+I41</f>
        <v>26785714.285714284</v>
      </c>
      <c r="H42" s="236">
        <f>+G$28</f>
        <v>857142.85714285716</v>
      </c>
      <c r="I42" s="236">
        <f t="shared" si="2"/>
        <v>25928571.428571425</v>
      </c>
      <c r="J42" s="225" t="e">
        <f>+G$25*I42+H42</f>
        <v>#REF!</v>
      </c>
      <c r="K42" s="239">
        <f>+M41</f>
        <v>18375000</v>
      </c>
      <c r="L42" s="236">
        <f>+K$28</f>
        <v>500000</v>
      </c>
      <c r="M42" s="236">
        <f t="shared" si="3"/>
        <v>17875000</v>
      </c>
      <c r="N42" s="225" t="e">
        <f>+K$25*M42+L42</f>
        <v>#REF!</v>
      </c>
      <c r="O42" s="239">
        <f>+Q41</f>
        <v>28375000</v>
      </c>
      <c r="P42" s="236">
        <f>+O$28</f>
        <v>750000</v>
      </c>
      <c r="Q42" s="236">
        <f t="shared" si="5"/>
        <v>27625000</v>
      </c>
      <c r="R42" s="225" t="e">
        <f>+O$25*Q42+P42</f>
        <v>#REF!</v>
      </c>
      <c r="S42" s="239">
        <f>+U41</f>
        <v>18583333.333333332</v>
      </c>
      <c r="T42" s="236">
        <f>+S$28</f>
        <v>500000</v>
      </c>
      <c r="U42" s="236">
        <f t="shared" si="6"/>
        <v>18083333.333333332</v>
      </c>
      <c r="V42" s="225" t="e">
        <f>+S$25*U42+T42</f>
        <v>#REF!</v>
      </c>
      <c r="W42" s="239">
        <f>+Y41</f>
        <v>28750000</v>
      </c>
      <c r="X42" s="236">
        <f>+W$28</f>
        <v>750000</v>
      </c>
      <c r="Y42" s="236">
        <f t="shared" si="7"/>
        <v>28000000</v>
      </c>
      <c r="Z42" s="225" t="e">
        <f>+W$25*Y42+X42</f>
        <v>#REF!</v>
      </c>
      <c r="AA42" s="239">
        <f>+AC41</f>
        <v>19380952.380952381</v>
      </c>
      <c r="AB42" s="236">
        <f>+AA$28</f>
        <v>571428.57142857148</v>
      </c>
      <c r="AC42" s="236">
        <f t="shared" si="8"/>
        <v>18809523.80952381</v>
      </c>
      <c r="AD42" s="225" t="e">
        <f>+AA$25*AC42+AB42</f>
        <v>#REF!</v>
      </c>
      <c r="AE42" s="239">
        <f>+AG41</f>
        <v>29600000</v>
      </c>
      <c r="AF42" s="236">
        <f>+AE$28</f>
        <v>1200000</v>
      </c>
      <c r="AG42" s="236">
        <f t="shared" si="9"/>
        <v>28400000</v>
      </c>
      <c r="AH42" s="225" t="e">
        <f>+AE$25*AG42+AF42</f>
        <v>#REF!</v>
      </c>
      <c r="AI42" s="239">
        <f>+AK41</f>
        <v>19833333.333333332</v>
      </c>
      <c r="AJ42" s="236">
        <f>+AI$28</f>
        <v>666666.66666666663</v>
      </c>
      <c r="AK42" s="236">
        <f t="shared" si="10"/>
        <v>19166666.666666664</v>
      </c>
      <c r="AL42" s="225" t="e">
        <f>+AI$25*AK42+AJ42</f>
        <v>#REF!</v>
      </c>
      <c r="AM42" s="253" t="e">
        <f t="shared" si="1"/>
        <v>#REF!</v>
      </c>
      <c r="AN42" s="25"/>
      <c r="AO42" s="237" t="e">
        <f>+AM42</f>
        <v>#REF!</v>
      </c>
    </row>
    <row r="43" spans="1:41">
      <c r="A43" s="196" t="s">
        <v>399</v>
      </c>
      <c r="B43" s="235">
        <f t="shared" si="4"/>
        <v>2010</v>
      </c>
      <c r="C43" s="236">
        <f>+C42</f>
        <v>16999999.999999996</v>
      </c>
      <c r="D43" s="236">
        <f>+D42</f>
        <v>666666.66666666663</v>
      </c>
      <c r="E43" s="236">
        <f t="shared" si="0"/>
        <v>16333333.33333333</v>
      </c>
      <c r="F43" s="225" t="e">
        <f>+C$26*E43+D43</f>
        <v>#REF!</v>
      </c>
      <c r="G43" s="236">
        <f>+G42</f>
        <v>26785714.285714284</v>
      </c>
      <c r="H43" s="236">
        <f>+H42</f>
        <v>857142.85714285716</v>
      </c>
      <c r="I43" s="236">
        <f t="shared" si="2"/>
        <v>25928571.428571425</v>
      </c>
      <c r="J43" s="225" t="e">
        <f>+G$26*I43+H43</f>
        <v>#REF!</v>
      </c>
      <c r="K43" s="239">
        <f>+K42</f>
        <v>18375000</v>
      </c>
      <c r="L43" s="236">
        <f>+L42</f>
        <v>500000</v>
      </c>
      <c r="M43" s="236">
        <f t="shared" si="3"/>
        <v>17875000</v>
      </c>
      <c r="N43" s="225" t="e">
        <f>+K$26*M43+L43</f>
        <v>#REF!</v>
      </c>
      <c r="O43" s="239">
        <f>+O42</f>
        <v>28375000</v>
      </c>
      <c r="P43" s="236">
        <f>+P42</f>
        <v>750000</v>
      </c>
      <c r="Q43" s="236">
        <f t="shared" si="5"/>
        <v>27625000</v>
      </c>
      <c r="R43" s="225" t="e">
        <f>+O$26*Q43+P43</f>
        <v>#REF!</v>
      </c>
      <c r="S43" s="239">
        <f>+S42</f>
        <v>18583333.333333332</v>
      </c>
      <c r="T43" s="236">
        <f>+T42</f>
        <v>500000</v>
      </c>
      <c r="U43" s="236">
        <f t="shared" si="6"/>
        <v>18083333.333333332</v>
      </c>
      <c r="V43" s="225" t="e">
        <f>+S$26*U43+T43</f>
        <v>#REF!</v>
      </c>
      <c r="W43" s="239">
        <f>+W42</f>
        <v>28750000</v>
      </c>
      <c r="X43" s="236">
        <f>+X42</f>
        <v>750000</v>
      </c>
      <c r="Y43" s="236">
        <f t="shared" si="7"/>
        <v>28000000</v>
      </c>
      <c r="Z43" s="225" t="e">
        <f>+W$26*Y43+X43</f>
        <v>#REF!</v>
      </c>
      <c r="AA43" s="239">
        <f>+AA42</f>
        <v>19380952.380952381</v>
      </c>
      <c r="AB43" s="236">
        <f>+AB42</f>
        <v>571428.57142857148</v>
      </c>
      <c r="AC43" s="236">
        <f t="shared" si="8"/>
        <v>18809523.80952381</v>
      </c>
      <c r="AD43" s="225" t="e">
        <f>+AA$26*AC43+AB43</f>
        <v>#REF!</v>
      </c>
      <c r="AE43" s="239">
        <f>+AE42</f>
        <v>29600000</v>
      </c>
      <c r="AF43" s="236">
        <f>+AF42</f>
        <v>1200000</v>
      </c>
      <c r="AG43" s="236">
        <f t="shared" si="9"/>
        <v>28400000</v>
      </c>
      <c r="AH43" s="225" t="e">
        <f>+AE$26*AG43+AF43</f>
        <v>#REF!</v>
      </c>
      <c r="AI43" s="239">
        <f>+AI42</f>
        <v>19833333.333333332</v>
      </c>
      <c r="AJ43" s="236">
        <f>+AJ42</f>
        <v>666666.66666666663</v>
      </c>
      <c r="AK43" s="236">
        <f t="shared" si="10"/>
        <v>19166666.666666664</v>
      </c>
      <c r="AL43" s="225" t="e">
        <f>+AI$26*AK43+AJ43</f>
        <v>#REF!</v>
      </c>
      <c r="AM43" s="253" t="e">
        <f t="shared" si="1"/>
        <v>#REF!</v>
      </c>
      <c r="AN43" s="238" t="e">
        <f>+AM43</f>
        <v>#REF!</v>
      </c>
      <c r="AO43" s="194"/>
    </row>
    <row r="44" spans="1:41">
      <c r="A44" s="196" t="s">
        <v>425</v>
      </c>
      <c r="B44" s="235">
        <f t="shared" si="4"/>
        <v>2011</v>
      </c>
      <c r="C44" s="236">
        <f>+E43</f>
        <v>16333333.33333333</v>
      </c>
      <c r="D44" s="236">
        <f>+C$28</f>
        <v>666666.66666666663</v>
      </c>
      <c r="E44" s="236">
        <f t="shared" si="0"/>
        <v>15666666.666666664</v>
      </c>
      <c r="F44" s="225" t="e">
        <f>+C$25*E44+D44</f>
        <v>#REF!</v>
      </c>
      <c r="G44" s="236">
        <f>+I43</f>
        <v>25928571.428571425</v>
      </c>
      <c r="H44" s="236">
        <f>+G$28</f>
        <v>857142.85714285716</v>
      </c>
      <c r="I44" s="236">
        <f t="shared" si="2"/>
        <v>25071428.571428567</v>
      </c>
      <c r="J44" s="225" t="e">
        <f>+G$25*I44+H44</f>
        <v>#REF!</v>
      </c>
      <c r="K44" s="239">
        <f>+M43</f>
        <v>17875000</v>
      </c>
      <c r="L44" s="236">
        <f>+K$28</f>
        <v>500000</v>
      </c>
      <c r="M44" s="236">
        <f t="shared" si="3"/>
        <v>17375000</v>
      </c>
      <c r="N44" s="225" t="e">
        <f>+K$25*M44+L44</f>
        <v>#REF!</v>
      </c>
      <c r="O44" s="239">
        <f>+Q43</f>
        <v>27625000</v>
      </c>
      <c r="P44" s="236">
        <f>+O$28</f>
        <v>750000</v>
      </c>
      <c r="Q44" s="236">
        <f t="shared" si="5"/>
        <v>26875000</v>
      </c>
      <c r="R44" s="225" t="e">
        <f>+O$25*Q44+P44</f>
        <v>#REF!</v>
      </c>
      <c r="S44" s="239">
        <f>+U43</f>
        <v>18083333.333333332</v>
      </c>
      <c r="T44" s="236">
        <f>+S$28</f>
        <v>500000</v>
      </c>
      <c r="U44" s="236">
        <f t="shared" si="6"/>
        <v>17583333.333333332</v>
      </c>
      <c r="V44" s="225" t="e">
        <f>+S$25*U44+T44</f>
        <v>#REF!</v>
      </c>
      <c r="W44" s="239">
        <f>+Y43</f>
        <v>28000000</v>
      </c>
      <c r="X44" s="236">
        <f>+W$28</f>
        <v>750000</v>
      </c>
      <c r="Y44" s="236">
        <f t="shared" si="7"/>
        <v>27250000</v>
      </c>
      <c r="Z44" s="225" t="e">
        <f>+W$25*Y44+X44</f>
        <v>#REF!</v>
      </c>
      <c r="AA44" s="239">
        <f>+AC43</f>
        <v>18809523.80952381</v>
      </c>
      <c r="AB44" s="236">
        <f>+AA$28</f>
        <v>571428.57142857148</v>
      </c>
      <c r="AC44" s="236">
        <f t="shared" si="8"/>
        <v>18238095.238095239</v>
      </c>
      <c r="AD44" s="225" t="e">
        <f>+AA$25*AC44+AB44</f>
        <v>#REF!</v>
      </c>
      <c r="AE44" s="239">
        <f>+AG43</f>
        <v>28400000</v>
      </c>
      <c r="AF44" s="236">
        <f>+AE$28</f>
        <v>1200000</v>
      </c>
      <c r="AG44" s="236">
        <f t="shared" si="9"/>
        <v>27200000</v>
      </c>
      <c r="AH44" s="225" t="e">
        <f>+AE$25*AG44+AF44</f>
        <v>#REF!</v>
      </c>
      <c r="AI44" s="239">
        <f>+AK43</f>
        <v>19166666.666666664</v>
      </c>
      <c r="AJ44" s="236">
        <f>+AI$28</f>
        <v>666666.66666666663</v>
      </c>
      <c r="AK44" s="236">
        <f t="shared" si="10"/>
        <v>18499999.999999996</v>
      </c>
      <c r="AL44" s="225" t="e">
        <f>+AI$25*AK44+AJ44</f>
        <v>#REF!</v>
      </c>
      <c r="AM44" s="253" t="e">
        <f t="shared" si="1"/>
        <v>#REF!</v>
      </c>
      <c r="AN44" s="25"/>
      <c r="AO44" s="237" t="e">
        <f>+AM44</f>
        <v>#REF!</v>
      </c>
    </row>
    <row r="45" spans="1:41">
      <c r="A45" s="196" t="s">
        <v>399</v>
      </c>
      <c r="B45" s="235">
        <f t="shared" si="4"/>
        <v>2011</v>
      </c>
      <c r="C45" s="236">
        <f>+C44</f>
        <v>16333333.33333333</v>
      </c>
      <c r="D45" s="236">
        <f>+D44</f>
        <v>666666.66666666663</v>
      </c>
      <c r="E45" s="236">
        <f t="shared" si="0"/>
        <v>15666666.666666664</v>
      </c>
      <c r="F45" s="225" t="e">
        <f>+C$26*E45+D45</f>
        <v>#REF!</v>
      </c>
      <c r="G45" s="236">
        <f>+G44</f>
        <v>25928571.428571425</v>
      </c>
      <c r="H45" s="236">
        <f>+H44</f>
        <v>857142.85714285716</v>
      </c>
      <c r="I45" s="236">
        <f t="shared" si="2"/>
        <v>25071428.571428567</v>
      </c>
      <c r="J45" s="225" t="e">
        <f>+G$26*I45+H45</f>
        <v>#REF!</v>
      </c>
      <c r="K45" s="239">
        <f>+K44</f>
        <v>17875000</v>
      </c>
      <c r="L45" s="236">
        <f>+L44</f>
        <v>500000</v>
      </c>
      <c r="M45" s="236">
        <f t="shared" si="3"/>
        <v>17375000</v>
      </c>
      <c r="N45" s="225" t="e">
        <f>+K$26*M45+L45</f>
        <v>#REF!</v>
      </c>
      <c r="O45" s="239">
        <f>+O44</f>
        <v>27625000</v>
      </c>
      <c r="P45" s="236">
        <f>+P44</f>
        <v>750000</v>
      </c>
      <c r="Q45" s="236">
        <f t="shared" si="5"/>
        <v>26875000</v>
      </c>
      <c r="R45" s="225" t="e">
        <f>+O$26*Q45+P45</f>
        <v>#REF!</v>
      </c>
      <c r="S45" s="239">
        <f>+S44</f>
        <v>18083333.333333332</v>
      </c>
      <c r="T45" s="236">
        <f>+T44</f>
        <v>500000</v>
      </c>
      <c r="U45" s="236">
        <f t="shared" si="6"/>
        <v>17583333.333333332</v>
      </c>
      <c r="V45" s="225" t="e">
        <f>+S$26*U45+T45</f>
        <v>#REF!</v>
      </c>
      <c r="W45" s="239">
        <f>+W44</f>
        <v>28000000</v>
      </c>
      <c r="X45" s="236">
        <f>+X44</f>
        <v>750000</v>
      </c>
      <c r="Y45" s="236">
        <f t="shared" si="7"/>
        <v>27250000</v>
      </c>
      <c r="Z45" s="225" t="e">
        <f>+W$26*Y45+X45</f>
        <v>#REF!</v>
      </c>
      <c r="AA45" s="239">
        <f>+AA44</f>
        <v>18809523.80952381</v>
      </c>
      <c r="AB45" s="236">
        <f>+AB44</f>
        <v>571428.57142857148</v>
      </c>
      <c r="AC45" s="236">
        <f t="shared" si="8"/>
        <v>18238095.238095239</v>
      </c>
      <c r="AD45" s="225" t="e">
        <f>+AA$26*AC45+AB45</f>
        <v>#REF!</v>
      </c>
      <c r="AE45" s="239">
        <f>+AE44</f>
        <v>28400000</v>
      </c>
      <c r="AF45" s="236">
        <f>+AF44</f>
        <v>1200000</v>
      </c>
      <c r="AG45" s="236">
        <f t="shared" si="9"/>
        <v>27200000</v>
      </c>
      <c r="AH45" s="225" t="e">
        <f>+AE$26*AG45+AF45</f>
        <v>#REF!</v>
      </c>
      <c r="AI45" s="239">
        <f>+AI44</f>
        <v>19166666.666666664</v>
      </c>
      <c r="AJ45" s="236">
        <f>+AJ44</f>
        <v>666666.66666666663</v>
      </c>
      <c r="AK45" s="236">
        <f t="shared" si="10"/>
        <v>18499999.999999996</v>
      </c>
      <c r="AL45" s="225" t="e">
        <f>+AI$26*AK45+AJ45</f>
        <v>#REF!</v>
      </c>
      <c r="AM45" s="253" t="e">
        <f t="shared" si="1"/>
        <v>#REF!</v>
      </c>
      <c r="AN45" s="238" t="e">
        <f>+AM45</f>
        <v>#REF!</v>
      </c>
      <c r="AO45" s="194"/>
    </row>
    <row r="46" spans="1:41">
      <c r="A46" s="196" t="s">
        <v>425</v>
      </c>
      <c r="B46" s="235">
        <f t="shared" si="4"/>
        <v>2012</v>
      </c>
      <c r="C46" s="236">
        <f>+E45</f>
        <v>15666666.666666664</v>
      </c>
      <c r="D46" s="236">
        <f>+C$28</f>
        <v>666666.66666666663</v>
      </c>
      <c r="E46" s="236">
        <f t="shared" si="0"/>
        <v>14999999.999999998</v>
      </c>
      <c r="F46" s="225" t="e">
        <f>+C$25*E46+D46</f>
        <v>#REF!</v>
      </c>
      <c r="G46" s="236">
        <f>+I45</f>
        <v>25071428.571428567</v>
      </c>
      <c r="H46" s="236">
        <f>+G$28</f>
        <v>857142.85714285716</v>
      </c>
      <c r="I46" s="236">
        <f t="shared" si="2"/>
        <v>24214285.714285709</v>
      </c>
      <c r="J46" s="225" t="e">
        <f>+G$25*I46+H46</f>
        <v>#REF!</v>
      </c>
      <c r="K46" s="239">
        <f>+M45</f>
        <v>17375000</v>
      </c>
      <c r="L46" s="236">
        <f>+K$28</f>
        <v>500000</v>
      </c>
      <c r="M46" s="236">
        <f t="shared" si="3"/>
        <v>16875000</v>
      </c>
      <c r="N46" s="225" t="e">
        <f>+K$25*M46+L46</f>
        <v>#REF!</v>
      </c>
      <c r="O46" s="239">
        <f>+Q45</f>
        <v>26875000</v>
      </c>
      <c r="P46" s="236">
        <f>+O$28</f>
        <v>750000</v>
      </c>
      <c r="Q46" s="236">
        <f t="shared" si="5"/>
        <v>26125000</v>
      </c>
      <c r="R46" s="225" t="e">
        <f>+O$25*Q46+P46</f>
        <v>#REF!</v>
      </c>
      <c r="S46" s="239">
        <f>+U45</f>
        <v>17583333.333333332</v>
      </c>
      <c r="T46" s="236">
        <f>+S$28</f>
        <v>500000</v>
      </c>
      <c r="U46" s="236">
        <f t="shared" si="6"/>
        <v>17083333.333333332</v>
      </c>
      <c r="V46" s="225" t="e">
        <f>+S$25*U46+T46</f>
        <v>#REF!</v>
      </c>
      <c r="W46" s="239">
        <f>+Y45</f>
        <v>27250000</v>
      </c>
      <c r="X46" s="236">
        <f>+W$28</f>
        <v>750000</v>
      </c>
      <c r="Y46" s="236">
        <f t="shared" si="7"/>
        <v>26500000</v>
      </c>
      <c r="Z46" s="225" t="e">
        <f>+W$25*Y46+X46</f>
        <v>#REF!</v>
      </c>
      <c r="AA46" s="239">
        <f>+AC45</f>
        <v>18238095.238095239</v>
      </c>
      <c r="AB46" s="236">
        <f>+AA$28</f>
        <v>571428.57142857148</v>
      </c>
      <c r="AC46" s="236">
        <f t="shared" si="8"/>
        <v>17666666.666666668</v>
      </c>
      <c r="AD46" s="225" t="e">
        <f>+AA$25*AC46+AB46</f>
        <v>#REF!</v>
      </c>
      <c r="AE46" s="239">
        <f>+AG45</f>
        <v>27200000</v>
      </c>
      <c r="AF46" s="236">
        <f>+AE$28</f>
        <v>1200000</v>
      </c>
      <c r="AG46" s="236">
        <f t="shared" si="9"/>
        <v>26000000</v>
      </c>
      <c r="AH46" s="225" t="e">
        <f>+AE$25*AG46+AF46</f>
        <v>#REF!</v>
      </c>
      <c r="AI46" s="239">
        <f>+AK45</f>
        <v>18499999.999999996</v>
      </c>
      <c r="AJ46" s="236">
        <f>+AI$28</f>
        <v>666666.66666666663</v>
      </c>
      <c r="AK46" s="236">
        <f t="shared" si="10"/>
        <v>17833333.333333328</v>
      </c>
      <c r="AL46" s="225" t="e">
        <f>+AI$25*AK46+AJ46</f>
        <v>#REF!</v>
      </c>
      <c r="AM46" s="253" t="e">
        <f t="shared" si="1"/>
        <v>#REF!</v>
      </c>
      <c r="AN46" s="25"/>
      <c r="AO46" s="237" t="e">
        <f>+AM46</f>
        <v>#REF!</v>
      </c>
    </row>
    <row r="47" spans="1:41">
      <c r="A47" s="196" t="s">
        <v>399</v>
      </c>
      <c r="B47" s="235">
        <f t="shared" si="4"/>
        <v>2012</v>
      </c>
      <c r="C47" s="236">
        <f>+C46</f>
        <v>15666666.666666664</v>
      </c>
      <c r="D47" s="236">
        <f>+D46</f>
        <v>666666.66666666663</v>
      </c>
      <c r="E47" s="236">
        <f t="shared" si="0"/>
        <v>14999999.999999998</v>
      </c>
      <c r="F47" s="225" t="e">
        <f>+C$26*E47+D47</f>
        <v>#REF!</v>
      </c>
      <c r="G47" s="236">
        <f>+G46</f>
        <v>25071428.571428567</v>
      </c>
      <c r="H47" s="236">
        <f>+H46</f>
        <v>857142.85714285716</v>
      </c>
      <c r="I47" s="236">
        <f t="shared" si="2"/>
        <v>24214285.714285709</v>
      </c>
      <c r="J47" s="225" t="e">
        <f>+G$26*I47+H47</f>
        <v>#REF!</v>
      </c>
      <c r="K47" s="239">
        <f>+K46</f>
        <v>17375000</v>
      </c>
      <c r="L47" s="236">
        <f>+L46</f>
        <v>500000</v>
      </c>
      <c r="M47" s="236">
        <f t="shared" si="3"/>
        <v>16875000</v>
      </c>
      <c r="N47" s="225" t="e">
        <f>+K$26*M47+L47</f>
        <v>#REF!</v>
      </c>
      <c r="O47" s="239">
        <f>+O46</f>
        <v>26875000</v>
      </c>
      <c r="P47" s="236">
        <f>+P46</f>
        <v>750000</v>
      </c>
      <c r="Q47" s="236">
        <f t="shared" si="5"/>
        <v>26125000</v>
      </c>
      <c r="R47" s="225" t="e">
        <f>+O$26*Q47+P47</f>
        <v>#REF!</v>
      </c>
      <c r="S47" s="239">
        <f>+S46</f>
        <v>17583333.333333332</v>
      </c>
      <c r="T47" s="236">
        <f>+T46</f>
        <v>500000</v>
      </c>
      <c r="U47" s="236">
        <f t="shared" si="6"/>
        <v>17083333.333333332</v>
      </c>
      <c r="V47" s="225" t="e">
        <f>+S$26*U47+T47</f>
        <v>#REF!</v>
      </c>
      <c r="W47" s="239">
        <f>+W46</f>
        <v>27250000</v>
      </c>
      <c r="X47" s="236">
        <f>+X46</f>
        <v>750000</v>
      </c>
      <c r="Y47" s="236">
        <f t="shared" si="7"/>
        <v>26500000</v>
      </c>
      <c r="Z47" s="225" t="e">
        <f>+W$26*Y47+X47</f>
        <v>#REF!</v>
      </c>
      <c r="AA47" s="239">
        <f>+AA46</f>
        <v>18238095.238095239</v>
      </c>
      <c r="AB47" s="236">
        <f>+AB46</f>
        <v>571428.57142857148</v>
      </c>
      <c r="AC47" s="236">
        <f t="shared" si="8"/>
        <v>17666666.666666668</v>
      </c>
      <c r="AD47" s="225" t="e">
        <f>+AA$26*AC47+AB47</f>
        <v>#REF!</v>
      </c>
      <c r="AE47" s="239">
        <f>+AE46</f>
        <v>27200000</v>
      </c>
      <c r="AF47" s="236">
        <f>+AF46</f>
        <v>1200000</v>
      </c>
      <c r="AG47" s="236">
        <f t="shared" si="9"/>
        <v>26000000</v>
      </c>
      <c r="AH47" s="225" t="e">
        <f>+AE$26*AG47+AF47</f>
        <v>#REF!</v>
      </c>
      <c r="AI47" s="239">
        <f>+AI46</f>
        <v>18499999.999999996</v>
      </c>
      <c r="AJ47" s="236">
        <f>+AJ46</f>
        <v>666666.66666666663</v>
      </c>
      <c r="AK47" s="236">
        <f t="shared" si="10"/>
        <v>17833333.333333328</v>
      </c>
      <c r="AL47" s="225" t="e">
        <f>+AI$26*AK47+AJ47</f>
        <v>#REF!</v>
      </c>
      <c r="AM47" s="253" t="e">
        <f t="shared" si="1"/>
        <v>#REF!</v>
      </c>
      <c r="AN47" s="238" t="e">
        <f>+AM47</f>
        <v>#REF!</v>
      </c>
      <c r="AO47" s="194"/>
    </row>
    <row r="48" spans="1:41">
      <c r="A48" s="196" t="s">
        <v>425</v>
      </c>
      <c r="B48" s="235">
        <f t="shared" si="4"/>
        <v>2013</v>
      </c>
      <c r="C48" s="236">
        <f>+E47</f>
        <v>14999999.999999998</v>
      </c>
      <c r="D48" s="236">
        <f>+C$28</f>
        <v>666666.66666666663</v>
      </c>
      <c r="E48" s="236">
        <f t="shared" si="0"/>
        <v>14333333.333333332</v>
      </c>
      <c r="F48" s="225" t="e">
        <f>+C$25*E48+D48</f>
        <v>#REF!</v>
      </c>
      <c r="G48" s="236">
        <f>+I47</f>
        <v>24214285.714285709</v>
      </c>
      <c r="H48" s="236">
        <f>+G$28</f>
        <v>857142.85714285716</v>
      </c>
      <c r="I48" s="236">
        <f t="shared" si="2"/>
        <v>23357142.857142851</v>
      </c>
      <c r="J48" s="225" t="e">
        <f>+G$25*I48+H48</f>
        <v>#REF!</v>
      </c>
      <c r="K48" s="239">
        <f>+M47</f>
        <v>16875000</v>
      </c>
      <c r="L48" s="236">
        <f>+K$28</f>
        <v>500000</v>
      </c>
      <c r="M48" s="236">
        <f t="shared" si="3"/>
        <v>16375000</v>
      </c>
      <c r="N48" s="225" t="e">
        <f>+K$25*M48+L48</f>
        <v>#REF!</v>
      </c>
      <c r="O48" s="239">
        <f>+Q47</f>
        <v>26125000</v>
      </c>
      <c r="P48" s="236">
        <f>+O$28</f>
        <v>750000</v>
      </c>
      <c r="Q48" s="236">
        <f t="shared" si="5"/>
        <v>25375000</v>
      </c>
      <c r="R48" s="225" t="e">
        <f>+O$25*Q48+P48</f>
        <v>#REF!</v>
      </c>
      <c r="S48" s="239">
        <f>+U47</f>
        <v>17083333.333333332</v>
      </c>
      <c r="T48" s="236">
        <f>+S$28</f>
        <v>500000</v>
      </c>
      <c r="U48" s="236">
        <f t="shared" si="6"/>
        <v>16583333.333333332</v>
      </c>
      <c r="V48" s="225" t="e">
        <f>+S$25*U48+T48</f>
        <v>#REF!</v>
      </c>
      <c r="W48" s="239">
        <f>+Y47</f>
        <v>26500000</v>
      </c>
      <c r="X48" s="236">
        <f>+W$28</f>
        <v>750000</v>
      </c>
      <c r="Y48" s="236">
        <f t="shared" si="7"/>
        <v>25750000</v>
      </c>
      <c r="Z48" s="225" t="e">
        <f>+W$25*Y48+X48</f>
        <v>#REF!</v>
      </c>
      <c r="AA48" s="239">
        <f>+AC47</f>
        <v>17666666.666666668</v>
      </c>
      <c r="AB48" s="236">
        <f>+AA$28</f>
        <v>571428.57142857148</v>
      </c>
      <c r="AC48" s="236">
        <f t="shared" si="8"/>
        <v>17095238.095238097</v>
      </c>
      <c r="AD48" s="225" t="e">
        <f>+AA$25*AC48+AB48</f>
        <v>#REF!</v>
      </c>
      <c r="AE48" s="239">
        <f>+AG47</f>
        <v>26000000</v>
      </c>
      <c r="AF48" s="236">
        <f>+AE$28</f>
        <v>1200000</v>
      </c>
      <c r="AG48" s="236">
        <f t="shared" si="9"/>
        <v>24800000</v>
      </c>
      <c r="AH48" s="225" t="e">
        <f>+AE$25*AG48+AF48</f>
        <v>#REF!</v>
      </c>
      <c r="AI48" s="239">
        <f>+AK47</f>
        <v>17833333.333333328</v>
      </c>
      <c r="AJ48" s="236">
        <f>+AI$28</f>
        <v>666666.66666666663</v>
      </c>
      <c r="AK48" s="236">
        <f t="shared" si="10"/>
        <v>17166666.66666666</v>
      </c>
      <c r="AL48" s="225" t="e">
        <f>+AI$25*AK48+AJ48</f>
        <v>#REF!</v>
      </c>
      <c r="AM48" s="253" t="e">
        <f t="shared" si="1"/>
        <v>#REF!</v>
      </c>
      <c r="AN48" s="25"/>
      <c r="AO48" s="237" t="e">
        <f>+AM48</f>
        <v>#REF!</v>
      </c>
    </row>
    <row r="49" spans="1:41">
      <c r="A49" s="196" t="s">
        <v>399</v>
      </c>
      <c r="B49" s="235">
        <f t="shared" si="4"/>
        <v>2013</v>
      </c>
      <c r="C49" s="236">
        <f>+C48</f>
        <v>14999999.999999998</v>
      </c>
      <c r="D49" s="236">
        <f>+D48</f>
        <v>666666.66666666663</v>
      </c>
      <c r="E49" s="236">
        <f t="shared" si="0"/>
        <v>14333333.333333332</v>
      </c>
      <c r="F49" s="225" t="e">
        <f>+C$26*E49+D49</f>
        <v>#REF!</v>
      </c>
      <c r="G49" s="236">
        <f>+G48</f>
        <v>24214285.714285709</v>
      </c>
      <c r="H49" s="236">
        <f>+H48</f>
        <v>857142.85714285716</v>
      </c>
      <c r="I49" s="236">
        <f t="shared" si="2"/>
        <v>23357142.857142851</v>
      </c>
      <c r="J49" s="225" t="e">
        <f>+G$26*I49+H49</f>
        <v>#REF!</v>
      </c>
      <c r="K49" s="239">
        <f>+K48</f>
        <v>16875000</v>
      </c>
      <c r="L49" s="236">
        <f>+L48</f>
        <v>500000</v>
      </c>
      <c r="M49" s="236">
        <f t="shared" si="3"/>
        <v>16375000</v>
      </c>
      <c r="N49" s="225" t="e">
        <f>+K$26*M49+L49</f>
        <v>#REF!</v>
      </c>
      <c r="O49" s="239">
        <f>+O48</f>
        <v>26125000</v>
      </c>
      <c r="P49" s="236">
        <f>+P48</f>
        <v>750000</v>
      </c>
      <c r="Q49" s="236">
        <f t="shared" si="5"/>
        <v>25375000</v>
      </c>
      <c r="R49" s="225" t="e">
        <f>+O$26*Q49+P49</f>
        <v>#REF!</v>
      </c>
      <c r="S49" s="239">
        <f>+S48</f>
        <v>17083333.333333332</v>
      </c>
      <c r="T49" s="236">
        <f>+T48</f>
        <v>500000</v>
      </c>
      <c r="U49" s="236">
        <f t="shared" si="6"/>
        <v>16583333.333333332</v>
      </c>
      <c r="V49" s="225" t="e">
        <f>+S$26*U49+T49</f>
        <v>#REF!</v>
      </c>
      <c r="W49" s="239">
        <f>+W48</f>
        <v>26500000</v>
      </c>
      <c r="X49" s="236">
        <f>+X48</f>
        <v>750000</v>
      </c>
      <c r="Y49" s="236">
        <f t="shared" si="7"/>
        <v>25750000</v>
      </c>
      <c r="Z49" s="225" t="e">
        <f>+W$26*Y49+X49</f>
        <v>#REF!</v>
      </c>
      <c r="AA49" s="239">
        <f>+AA48</f>
        <v>17666666.666666668</v>
      </c>
      <c r="AB49" s="236">
        <f>+AB48</f>
        <v>571428.57142857148</v>
      </c>
      <c r="AC49" s="236">
        <f t="shared" si="8"/>
        <v>17095238.095238097</v>
      </c>
      <c r="AD49" s="225" t="e">
        <f>+AA$26*AC49+AB49</f>
        <v>#REF!</v>
      </c>
      <c r="AE49" s="239">
        <f>+AE48</f>
        <v>26000000</v>
      </c>
      <c r="AF49" s="236">
        <f>+AF48</f>
        <v>1200000</v>
      </c>
      <c r="AG49" s="236">
        <f t="shared" si="9"/>
        <v>24800000</v>
      </c>
      <c r="AH49" s="225" t="e">
        <f>+AE$26*AG49+AF49</f>
        <v>#REF!</v>
      </c>
      <c r="AI49" s="239">
        <f>+AI48</f>
        <v>17833333.333333328</v>
      </c>
      <c r="AJ49" s="236">
        <f>+AJ48</f>
        <v>666666.66666666663</v>
      </c>
      <c r="AK49" s="236">
        <f t="shared" si="10"/>
        <v>17166666.66666666</v>
      </c>
      <c r="AL49" s="225" t="e">
        <f>+AI$26*AK49+AJ49</f>
        <v>#REF!</v>
      </c>
      <c r="AM49" s="253" t="e">
        <f t="shared" si="1"/>
        <v>#REF!</v>
      </c>
      <c r="AN49" s="238" t="e">
        <f>+AM49</f>
        <v>#REF!</v>
      </c>
      <c r="AO49" s="194"/>
    </row>
    <row r="50" spans="1:41">
      <c r="A50" s="196" t="s">
        <v>425</v>
      </c>
      <c r="B50" s="235">
        <f t="shared" si="4"/>
        <v>2014</v>
      </c>
      <c r="C50" s="236">
        <f>+E49</f>
        <v>14333333.333333332</v>
      </c>
      <c r="D50" s="236">
        <f>+C$28</f>
        <v>666666.66666666663</v>
      </c>
      <c r="E50" s="236">
        <f t="shared" si="0"/>
        <v>13666666.666666666</v>
      </c>
      <c r="F50" s="225" t="e">
        <f>+C$25*E50+D50</f>
        <v>#REF!</v>
      </c>
      <c r="G50" s="236">
        <f>+I49</f>
        <v>23357142.857142851</v>
      </c>
      <c r="H50" s="236">
        <f>+G$28</f>
        <v>857142.85714285716</v>
      </c>
      <c r="I50" s="236">
        <f t="shared" si="2"/>
        <v>22499999.999999993</v>
      </c>
      <c r="J50" s="225" t="e">
        <f>+G$25*I50+H50</f>
        <v>#REF!</v>
      </c>
      <c r="K50" s="239">
        <f>+M49</f>
        <v>16375000</v>
      </c>
      <c r="L50" s="236">
        <f>+K$28</f>
        <v>500000</v>
      </c>
      <c r="M50" s="236">
        <f t="shared" si="3"/>
        <v>15875000</v>
      </c>
      <c r="N50" s="225" t="e">
        <f>+K$25*M50+L50</f>
        <v>#REF!</v>
      </c>
      <c r="O50" s="239">
        <f>+Q49</f>
        <v>25375000</v>
      </c>
      <c r="P50" s="236">
        <f>+O$28</f>
        <v>750000</v>
      </c>
      <c r="Q50" s="236">
        <f t="shared" si="5"/>
        <v>24625000</v>
      </c>
      <c r="R50" s="225" t="e">
        <f>+O$25*Q50+P50</f>
        <v>#REF!</v>
      </c>
      <c r="S50" s="239">
        <f>+U49</f>
        <v>16583333.333333332</v>
      </c>
      <c r="T50" s="236">
        <f>+S$28</f>
        <v>500000</v>
      </c>
      <c r="U50" s="236">
        <f t="shared" si="6"/>
        <v>16083333.333333332</v>
      </c>
      <c r="V50" s="225" t="e">
        <f>+S$25*U50+T50</f>
        <v>#REF!</v>
      </c>
      <c r="W50" s="239">
        <f>+Y49</f>
        <v>25750000</v>
      </c>
      <c r="X50" s="236">
        <f>+W$28</f>
        <v>750000</v>
      </c>
      <c r="Y50" s="236">
        <f t="shared" si="7"/>
        <v>25000000</v>
      </c>
      <c r="Z50" s="225" t="e">
        <f>+W$25*Y50+X50</f>
        <v>#REF!</v>
      </c>
      <c r="AA50" s="239">
        <f>+AC49</f>
        <v>17095238.095238097</v>
      </c>
      <c r="AB50" s="236">
        <f>+AA$28</f>
        <v>571428.57142857148</v>
      </c>
      <c r="AC50" s="236">
        <f t="shared" si="8"/>
        <v>16523809.523809526</v>
      </c>
      <c r="AD50" s="225" t="e">
        <f>+AA$25*AC50+AB50</f>
        <v>#REF!</v>
      </c>
      <c r="AE50" s="239">
        <f>+AG49</f>
        <v>24800000</v>
      </c>
      <c r="AF50" s="236">
        <f>+AE$28</f>
        <v>1200000</v>
      </c>
      <c r="AG50" s="236">
        <f t="shared" si="9"/>
        <v>23600000</v>
      </c>
      <c r="AH50" s="225" t="e">
        <f>+AE$25*AG50+AF50</f>
        <v>#REF!</v>
      </c>
      <c r="AI50" s="239">
        <f>+AK49</f>
        <v>17166666.66666666</v>
      </c>
      <c r="AJ50" s="236">
        <f>+AI$28</f>
        <v>666666.66666666663</v>
      </c>
      <c r="AK50" s="236">
        <f t="shared" si="10"/>
        <v>16499999.999999994</v>
      </c>
      <c r="AL50" s="225" t="e">
        <f>+AI$25*AK50+AJ50</f>
        <v>#REF!</v>
      </c>
      <c r="AM50" s="253" t="e">
        <f t="shared" si="1"/>
        <v>#REF!</v>
      </c>
      <c r="AN50" s="25"/>
      <c r="AO50" s="237" t="e">
        <f>+AM50</f>
        <v>#REF!</v>
      </c>
    </row>
    <row r="51" spans="1:41">
      <c r="A51" s="196" t="s">
        <v>399</v>
      </c>
      <c r="B51" s="235">
        <f t="shared" si="4"/>
        <v>2014</v>
      </c>
      <c r="C51" s="236">
        <f>+C50</f>
        <v>14333333.333333332</v>
      </c>
      <c r="D51" s="236">
        <f>+D50</f>
        <v>666666.66666666663</v>
      </c>
      <c r="E51" s="236">
        <f t="shared" si="0"/>
        <v>13666666.666666666</v>
      </c>
      <c r="F51" s="225" t="e">
        <f>+C$26*E51+D51</f>
        <v>#REF!</v>
      </c>
      <c r="G51" s="236">
        <f>+G50</f>
        <v>23357142.857142851</v>
      </c>
      <c r="H51" s="236">
        <f>+H50</f>
        <v>857142.85714285716</v>
      </c>
      <c r="I51" s="236">
        <f t="shared" si="2"/>
        <v>22499999.999999993</v>
      </c>
      <c r="J51" s="225" t="e">
        <f>+G$26*I51+H51</f>
        <v>#REF!</v>
      </c>
      <c r="K51" s="239">
        <f>+K50</f>
        <v>16375000</v>
      </c>
      <c r="L51" s="236">
        <f>+L50</f>
        <v>500000</v>
      </c>
      <c r="M51" s="236">
        <f t="shared" si="3"/>
        <v>15875000</v>
      </c>
      <c r="N51" s="225" t="e">
        <f>+K$26*M51+L51</f>
        <v>#REF!</v>
      </c>
      <c r="O51" s="239">
        <f>+O50</f>
        <v>25375000</v>
      </c>
      <c r="P51" s="236">
        <f>+P50</f>
        <v>750000</v>
      </c>
      <c r="Q51" s="236">
        <f t="shared" si="5"/>
        <v>24625000</v>
      </c>
      <c r="R51" s="225" t="e">
        <f>+O$26*Q51+P51</f>
        <v>#REF!</v>
      </c>
      <c r="S51" s="239">
        <f>+S50</f>
        <v>16583333.333333332</v>
      </c>
      <c r="T51" s="236">
        <f>+T50</f>
        <v>500000</v>
      </c>
      <c r="U51" s="236">
        <f t="shared" si="6"/>
        <v>16083333.333333332</v>
      </c>
      <c r="V51" s="225" t="e">
        <f>+S$26*U51+T51</f>
        <v>#REF!</v>
      </c>
      <c r="W51" s="239">
        <f>+W50</f>
        <v>25750000</v>
      </c>
      <c r="X51" s="236">
        <f>+X50</f>
        <v>750000</v>
      </c>
      <c r="Y51" s="236">
        <f t="shared" si="7"/>
        <v>25000000</v>
      </c>
      <c r="Z51" s="225" t="e">
        <f>+W$26*Y51+X51</f>
        <v>#REF!</v>
      </c>
      <c r="AA51" s="239">
        <f>+AA50</f>
        <v>17095238.095238097</v>
      </c>
      <c r="AB51" s="236">
        <f>+AB50</f>
        <v>571428.57142857148</v>
      </c>
      <c r="AC51" s="236">
        <f t="shared" si="8"/>
        <v>16523809.523809526</v>
      </c>
      <c r="AD51" s="225" t="e">
        <f>+AA$26*AC51+AB51</f>
        <v>#REF!</v>
      </c>
      <c r="AE51" s="239">
        <f>+AE50</f>
        <v>24800000</v>
      </c>
      <c r="AF51" s="236">
        <f>+AF50</f>
        <v>1200000</v>
      </c>
      <c r="AG51" s="236">
        <f t="shared" si="9"/>
        <v>23600000</v>
      </c>
      <c r="AH51" s="225" t="e">
        <f>+AE$26*AG51+AF51</f>
        <v>#REF!</v>
      </c>
      <c r="AI51" s="239">
        <f>+AI50</f>
        <v>17166666.66666666</v>
      </c>
      <c r="AJ51" s="236">
        <f>+AJ50</f>
        <v>666666.66666666663</v>
      </c>
      <c r="AK51" s="236">
        <f t="shared" si="10"/>
        <v>16499999.999999994</v>
      </c>
      <c r="AL51" s="225" t="e">
        <f>+AI$26*AK51+AJ51</f>
        <v>#REF!</v>
      </c>
      <c r="AM51" s="253" t="e">
        <f t="shared" si="1"/>
        <v>#REF!</v>
      </c>
      <c r="AN51" s="238" t="e">
        <f>+AM51</f>
        <v>#REF!</v>
      </c>
      <c r="AO51" s="194"/>
    </row>
    <row r="52" spans="1:41">
      <c r="A52" s="196" t="s">
        <v>425</v>
      </c>
      <c r="B52" s="235">
        <f t="shared" si="4"/>
        <v>2015</v>
      </c>
      <c r="C52" s="236">
        <f>+E51</f>
        <v>13666666.666666666</v>
      </c>
      <c r="D52" s="236">
        <f>+C$28</f>
        <v>666666.66666666663</v>
      </c>
      <c r="E52" s="236">
        <f t="shared" si="0"/>
        <v>13000000</v>
      </c>
      <c r="F52" s="225" t="e">
        <f>+C$25*E52+D52</f>
        <v>#REF!</v>
      </c>
      <c r="G52" s="236">
        <f>+I51</f>
        <v>22499999.999999993</v>
      </c>
      <c r="H52" s="236">
        <f>+G$28</f>
        <v>857142.85714285716</v>
      </c>
      <c r="I52" s="236">
        <f t="shared" si="2"/>
        <v>21642857.142857134</v>
      </c>
      <c r="J52" s="225" t="e">
        <f>+G$25*I52+H52</f>
        <v>#REF!</v>
      </c>
      <c r="K52" s="239">
        <f>+M51</f>
        <v>15875000</v>
      </c>
      <c r="L52" s="236">
        <f>+K$28</f>
        <v>500000</v>
      </c>
      <c r="M52" s="236">
        <f t="shared" si="3"/>
        <v>15375000</v>
      </c>
      <c r="N52" s="225" t="e">
        <f>+K$25*M52+L52</f>
        <v>#REF!</v>
      </c>
      <c r="O52" s="239">
        <f>+Q51</f>
        <v>24625000</v>
      </c>
      <c r="P52" s="236">
        <f>+O$28</f>
        <v>750000</v>
      </c>
      <c r="Q52" s="236">
        <f t="shared" si="5"/>
        <v>23875000</v>
      </c>
      <c r="R52" s="225" t="e">
        <f>+O$25*Q52+P52</f>
        <v>#REF!</v>
      </c>
      <c r="S52" s="239">
        <f>+U51</f>
        <v>16083333.333333332</v>
      </c>
      <c r="T52" s="236">
        <f>+S$28</f>
        <v>500000</v>
      </c>
      <c r="U52" s="236">
        <f t="shared" si="6"/>
        <v>15583333.333333332</v>
      </c>
      <c r="V52" s="225" t="e">
        <f>+S$25*U52+T52</f>
        <v>#REF!</v>
      </c>
      <c r="W52" s="239">
        <f>+Y51</f>
        <v>25000000</v>
      </c>
      <c r="X52" s="236">
        <f>+W$28</f>
        <v>750000</v>
      </c>
      <c r="Y52" s="236">
        <f t="shared" si="7"/>
        <v>24250000</v>
      </c>
      <c r="Z52" s="225" t="e">
        <f>+W$25*Y52+X52</f>
        <v>#REF!</v>
      </c>
      <c r="AA52" s="239">
        <f>+AC51</f>
        <v>16523809.523809526</v>
      </c>
      <c r="AB52" s="236">
        <f>+AA$28</f>
        <v>571428.57142857148</v>
      </c>
      <c r="AC52" s="236">
        <f t="shared" si="8"/>
        <v>15952380.952380955</v>
      </c>
      <c r="AD52" s="225" t="e">
        <f>+AA$25*AC52+AB52</f>
        <v>#REF!</v>
      </c>
      <c r="AE52" s="239">
        <f>+AG51</f>
        <v>23600000</v>
      </c>
      <c r="AF52" s="236">
        <f>+AE$28</f>
        <v>1200000</v>
      </c>
      <c r="AG52" s="236">
        <f t="shared" si="9"/>
        <v>22400000</v>
      </c>
      <c r="AH52" s="225" t="e">
        <f>+AE$25*AG52+AF52</f>
        <v>#REF!</v>
      </c>
      <c r="AI52" s="239">
        <f>+AK51</f>
        <v>16499999.999999994</v>
      </c>
      <c r="AJ52" s="236">
        <f>+AI$28</f>
        <v>666666.66666666663</v>
      </c>
      <c r="AK52" s="236">
        <f t="shared" si="10"/>
        <v>15833333.333333328</v>
      </c>
      <c r="AL52" s="225" t="e">
        <f>+AI$25*AK52+AJ52</f>
        <v>#REF!</v>
      </c>
      <c r="AM52" s="253" t="e">
        <f t="shared" si="1"/>
        <v>#REF!</v>
      </c>
      <c r="AN52" s="25"/>
      <c r="AO52" s="237" t="e">
        <f>+AM52</f>
        <v>#REF!</v>
      </c>
    </row>
    <row r="53" spans="1:41">
      <c r="A53" s="196" t="s">
        <v>399</v>
      </c>
      <c r="B53" s="235">
        <f t="shared" si="4"/>
        <v>2015</v>
      </c>
      <c r="C53" s="236">
        <f>+C52</f>
        <v>13666666.666666666</v>
      </c>
      <c r="D53" s="236">
        <f>+D52</f>
        <v>666666.66666666663</v>
      </c>
      <c r="E53" s="236">
        <f t="shared" si="0"/>
        <v>13000000</v>
      </c>
      <c r="F53" s="225" t="e">
        <f>+C$26*E53+D53</f>
        <v>#REF!</v>
      </c>
      <c r="G53" s="236">
        <f>+G52</f>
        <v>22499999.999999993</v>
      </c>
      <c r="H53" s="236">
        <f>+H52</f>
        <v>857142.85714285716</v>
      </c>
      <c r="I53" s="236">
        <f t="shared" si="2"/>
        <v>21642857.142857134</v>
      </c>
      <c r="J53" s="225" t="e">
        <f>+G$26*I53+H53</f>
        <v>#REF!</v>
      </c>
      <c r="K53" s="239">
        <f>+K52</f>
        <v>15875000</v>
      </c>
      <c r="L53" s="236">
        <f>+L52</f>
        <v>500000</v>
      </c>
      <c r="M53" s="236">
        <f t="shared" si="3"/>
        <v>15375000</v>
      </c>
      <c r="N53" s="225" t="e">
        <f>+K$26*M53+L53</f>
        <v>#REF!</v>
      </c>
      <c r="O53" s="239">
        <f>+O52</f>
        <v>24625000</v>
      </c>
      <c r="P53" s="236">
        <f>+P52</f>
        <v>750000</v>
      </c>
      <c r="Q53" s="236">
        <f t="shared" si="5"/>
        <v>23875000</v>
      </c>
      <c r="R53" s="225" t="e">
        <f>+O$26*Q53+P53</f>
        <v>#REF!</v>
      </c>
      <c r="S53" s="239">
        <f>+S52</f>
        <v>16083333.333333332</v>
      </c>
      <c r="T53" s="236">
        <f>+T52</f>
        <v>500000</v>
      </c>
      <c r="U53" s="236">
        <f t="shared" si="6"/>
        <v>15583333.333333332</v>
      </c>
      <c r="V53" s="225" t="e">
        <f>+S$26*U53+T53</f>
        <v>#REF!</v>
      </c>
      <c r="W53" s="239">
        <f>+W52</f>
        <v>25000000</v>
      </c>
      <c r="X53" s="236">
        <f>+X52</f>
        <v>750000</v>
      </c>
      <c r="Y53" s="236">
        <f t="shared" si="7"/>
        <v>24250000</v>
      </c>
      <c r="Z53" s="225" t="e">
        <f>+W$26*Y53+X53</f>
        <v>#REF!</v>
      </c>
      <c r="AA53" s="239">
        <f>+AA52</f>
        <v>16523809.523809526</v>
      </c>
      <c r="AB53" s="236">
        <f>+AB52</f>
        <v>571428.57142857148</v>
      </c>
      <c r="AC53" s="236">
        <f t="shared" si="8"/>
        <v>15952380.952380955</v>
      </c>
      <c r="AD53" s="225" t="e">
        <f>+AA$26*AC53+AB53</f>
        <v>#REF!</v>
      </c>
      <c r="AE53" s="239">
        <f>+AE52</f>
        <v>23600000</v>
      </c>
      <c r="AF53" s="236">
        <f>+AF52</f>
        <v>1200000</v>
      </c>
      <c r="AG53" s="236">
        <f t="shared" si="9"/>
        <v>22400000</v>
      </c>
      <c r="AH53" s="225" t="e">
        <f>+AE$26*AG53+AF53</f>
        <v>#REF!</v>
      </c>
      <c r="AI53" s="239">
        <f>+AI52</f>
        <v>16499999.999999994</v>
      </c>
      <c r="AJ53" s="236">
        <f>+AJ52</f>
        <v>666666.66666666663</v>
      </c>
      <c r="AK53" s="236">
        <f t="shared" si="10"/>
        <v>15833333.333333328</v>
      </c>
      <c r="AL53" s="225" t="e">
        <f>+AI$26*AK53+AJ53</f>
        <v>#REF!</v>
      </c>
      <c r="AM53" s="253" t="e">
        <f t="shared" si="1"/>
        <v>#REF!</v>
      </c>
      <c r="AN53" s="238" t="e">
        <f>+AM53</f>
        <v>#REF!</v>
      </c>
      <c r="AO53" s="194"/>
    </row>
    <row r="54" spans="1:41">
      <c r="A54" s="196" t="s">
        <v>425</v>
      </c>
      <c r="B54" s="235">
        <f t="shared" si="4"/>
        <v>2016</v>
      </c>
      <c r="C54" s="236">
        <f>+E53</f>
        <v>13000000</v>
      </c>
      <c r="D54" s="236">
        <f>+C$28</f>
        <v>666666.66666666663</v>
      </c>
      <c r="E54" s="236">
        <f t="shared" si="0"/>
        <v>12333333.333333334</v>
      </c>
      <c r="F54" s="225" t="e">
        <f>+C$25*E54+D54</f>
        <v>#REF!</v>
      </c>
      <c r="G54" s="236">
        <f>+I53</f>
        <v>21642857.142857134</v>
      </c>
      <c r="H54" s="236">
        <f>+G$28</f>
        <v>857142.85714285716</v>
      </c>
      <c r="I54" s="236">
        <f t="shared" si="2"/>
        <v>20785714.285714276</v>
      </c>
      <c r="J54" s="225" t="e">
        <f>+G$25*I54+H54</f>
        <v>#REF!</v>
      </c>
      <c r="K54" s="239">
        <f>+M53</f>
        <v>15375000</v>
      </c>
      <c r="L54" s="236">
        <f>+K$28</f>
        <v>500000</v>
      </c>
      <c r="M54" s="236">
        <f t="shared" si="3"/>
        <v>14875000</v>
      </c>
      <c r="N54" s="225" t="e">
        <f>+K$25*M54+L54</f>
        <v>#REF!</v>
      </c>
      <c r="O54" s="239">
        <f>+Q53</f>
        <v>23875000</v>
      </c>
      <c r="P54" s="236">
        <f>+O$28</f>
        <v>750000</v>
      </c>
      <c r="Q54" s="236">
        <f t="shared" si="5"/>
        <v>23125000</v>
      </c>
      <c r="R54" s="225" t="e">
        <f>+O$25*Q54+P54</f>
        <v>#REF!</v>
      </c>
      <c r="S54" s="239">
        <f>+U53</f>
        <v>15583333.333333332</v>
      </c>
      <c r="T54" s="236">
        <f>+S$28</f>
        <v>500000</v>
      </c>
      <c r="U54" s="236">
        <f t="shared" si="6"/>
        <v>15083333.333333332</v>
      </c>
      <c r="V54" s="225" t="e">
        <f>+S$25*U54+T54</f>
        <v>#REF!</v>
      </c>
      <c r="W54" s="239">
        <f>+Y53</f>
        <v>24250000</v>
      </c>
      <c r="X54" s="236">
        <f>+W$28</f>
        <v>750000</v>
      </c>
      <c r="Y54" s="236">
        <f t="shared" si="7"/>
        <v>23500000</v>
      </c>
      <c r="Z54" s="225" t="e">
        <f>+W$25*Y54+X54</f>
        <v>#REF!</v>
      </c>
      <c r="AA54" s="239">
        <f>+AC53</f>
        <v>15952380.952380955</v>
      </c>
      <c r="AB54" s="236">
        <f>+AA$28</f>
        <v>571428.57142857148</v>
      </c>
      <c r="AC54" s="236">
        <f t="shared" si="8"/>
        <v>15380952.380952384</v>
      </c>
      <c r="AD54" s="225" t="e">
        <f>+AA$25*AC54+AB54</f>
        <v>#REF!</v>
      </c>
      <c r="AE54" s="239">
        <f>+AG53</f>
        <v>22400000</v>
      </c>
      <c r="AF54" s="236">
        <f>+AE$28</f>
        <v>1200000</v>
      </c>
      <c r="AG54" s="236">
        <f t="shared" si="9"/>
        <v>21200000</v>
      </c>
      <c r="AH54" s="225" t="e">
        <f>+AE$25*AG54+AF54</f>
        <v>#REF!</v>
      </c>
      <c r="AI54" s="239">
        <f>+AK53</f>
        <v>15833333.333333328</v>
      </c>
      <c r="AJ54" s="236">
        <f>+AI$28</f>
        <v>666666.66666666663</v>
      </c>
      <c r="AK54" s="236">
        <f t="shared" si="10"/>
        <v>15166666.666666662</v>
      </c>
      <c r="AL54" s="225" t="e">
        <f>+AI$25*AK54+AJ54</f>
        <v>#REF!</v>
      </c>
      <c r="AM54" s="253" t="e">
        <f t="shared" si="1"/>
        <v>#REF!</v>
      </c>
      <c r="AN54" s="25"/>
      <c r="AO54" s="237" t="e">
        <f>+AM54</f>
        <v>#REF!</v>
      </c>
    </row>
    <row r="55" spans="1:41">
      <c r="A55" s="196" t="s">
        <v>399</v>
      </c>
      <c r="B55" s="235">
        <f t="shared" si="4"/>
        <v>2016</v>
      </c>
      <c r="C55" s="236">
        <f>+C54</f>
        <v>13000000</v>
      </c>
      <c r="D55" s="236">
        <f>+D54</f>
        <v>666666.66666666663</v>
      </c>
      <c r="E55" s="236">
        <f t="shared" si="0"/>
        <v>12333333.333333334</v>
      </c>
      <c r="F55" s="225" t="e">
        <f>+C$26*E55+D55</f>
        <v>#REF!</v>
      </c>
      <c r="G55" s="236">
        <f>+G54</f>
        <v>21642857.142857134</v>
      </c>
      <c r="H55" s="236">
        <f>+H54</f>
        <v>857142.85714285716</v>
      </c>
      <c r="I55" s="236">
        <f t="shared" si="2"/>
        <v>20785714.285714276</v>
      </c>
      <c r="J55" s="225" t="e">
        <f>+G$26*I55+H55</f>
        <v>#REF!</v>
      </c>
      <c r="K55" s="239">
        <f>+K54</f>
        <v>15375000</v>
      </c>
      <c r="L55" s="236">
        <f>+L54</f>
        <v>500000</v>
      </c>
      <c r="M55" s="236">
        <f t="shared" si="3"/>
        <v>14875000</v>
      </c>
      <c r="N55" s="225" t="e">
        <f>+K$26*M55+L55</f>
        <v>#REF!</v>
      </c>
      <c r="O55" s="239">
        <f>+O54</f>
        <v>23875000</v>
      </c>
      <c r="P55" s="236">
        <f>+P54</f>
        <v>750000</v>
      </c>
      <c r="Q55" s="236">
        <f t="shared" si="5"/>
        <v>23125000</v>
      </c>
      <c r="R55" s="225" t="e">
        <f>+O$26*Q55+P55</f>
        <v>#REF!</v>
      </c>
      <c r="S55" s="239">
        <f>+S54</f>
        <v>15583333.333333332</v>
      </c>
      <c r="T55" s="236">
        <f>+T54</f>
        <v>500000</v>
      </c>
      <c r="U55" s="236">
        <f t="shared" si="6"/>
        <v>15083333.333333332</v>
      </c>
      <c r="V55" s="225" t="e">
        <f>+S$26*U55+T55</f>
        <v>#REF!</v>
      </c>
      <c r="W55" s="239">
        <f>+W54</f>
        <v>24250000</v>
      </c>
      <c r="X55" s="236">
        <f>+X54</f>
        <v>750000</v>
      </c>
      <c r="Y55" s="236">
        <f t="shared" si="7"/>
        <v>23500000</v>
      </c>
      <c r="Z55" s="225" t="e">
        <f>+W$26*Y55+X55</f>
        <v>#REF!</v>
      </c>
      <c r="AA55" s="239">
        <f>+AA54</f>
        <v>15952380.952380955</v>
      </c>
      <c r="AB55" s="236">
        <f>+AB54</f>
        <v>571428.57142857148</v>
      </c>
      <c r="AC55" s="236">
        <f t="shared" si="8"/>
        <v>15380952.380952384</v>
      </c>
      <c r="AD55" s="225" t="e">
        <f>+AA$26*AC55+AB55</f>
        <v>#REF!</v>
      </c>
      <c r="AE55" s="239">
        <f>+AE54</f>
        <v>22400000</v>
      </c>
      <c r="AF55" s="236">
        <f>+AF54</f>
        <v>1200000</v>
      </c>
      <c r="AG55" s="236">
        <f t="shared" si="9"/>
        <v>21200000</v>
      </c>
      <c r="AH55" s="225" t="e">
        <f>+AE$26*AG55+AF55</f>
        <v>#REF!</v>
      </c>
      <c r="AI55" s="239">
        <f>+AI54</f>
        <v>15833333.333333328</v>
      </c>
      <c r="AJ55" s="236">
        <f>+AJ54</f>
        <v>666666.66666666663</v>
      </c>
      <c r="AK55" s="236">
        <f t="shared" si="10"/>
        <v>15166666.666666662</v>
      </c>
      <c r="AL55" s="225" t="e">
        <f>+AI$26*AK55+AJ55</f>
        <v>#REF!</v>
      </c>
      <c r="AM55" s="253" t="e">
        <f t="shared" si="1"/>
        <v>#REF!</v>
      </c>
      <c r="AN55" s="238" t="e">
        <f>+AM55</f>
        <v>#REF!</v>
      </c>
      <c r="AO55" s="194"/>
    </row>
    <row r="56" spans="1:41">
      <c r="A56" s="196" t="s">
        <v>425</v>
      </c>
      <c r="B56" s="235">
        <f t="shared" si="4"/>
        <v>2017</v>
      </c>
      <c r="C56" s="236">
        <f>+E55</f>
        <v>12333333.333333334</v>
      </c>
      <c r="D56" s="236">
        <f>+C$28</f>
        <v>666666.66666666663</v>
      </c>
      <c r="E56" s="236">
        <f t="shared" si="0"/>
        <v>11666666.666666668</v>
      </c>
      <c r="F56" s="225" t="e">
        <f>+C$25*E56+D56</f>
        <v>#REF!</v>
      </c>
      <c r="G56" s="236">
        <f>+I55</f>
        <v>20785714.285714276</v>
      </c>
      <c r="H56" s="236">
        <f>+G$28</f>
        <v>857142.85714285716</v>
      </c>
      <c r="I56" s="236">
        <f t="shared" si="2"/>
        <v>19928571.428571418</v>
      </c>
      <c r="J56" s="225" t="e">
        <f>+G$25*I56+H56</f>
        <v>#REF!</v>
      </c>
      <c r="K56" s="239">
        <f>+M55</f>
        <v>14875000</v>
      </c>
      <c r="L56" s="236">
        <f>+K$28</f>
        <v>500000</v>
      </c>
      <c r="M56" s="236">
        <f t="shared" si="3"/>
        <v>14375000</v>
      </c>
      <c r="N56" s="225" t="e">
        <f>+K$25*M56+L56</f>
        <v>#REF!</v>
      </c>
      <c r="O56" s="239">
        <f>+Q55</f>
        <v>23125000</v>
      </c>
      <c r="P56" s="236">
        <f>+O$28</f>
        <v>750000</v>
      </c>
      <c r="Q56" s="236">
        <f t="shared" si="5"/>
        <v>22375000</v>
      </c>
      <c r="R56" s="225" t="e">
        <f>+O$25*Q56+P56</f>
        <v>#REF!</v>
      </c>
      <c r="S56" s="239">
        <f>+U55</f>
        <v>15083333.333333332</v>
      </c>
      <c r="T56" s="236">
        <f>+S$28</f>
        <v>500000</v>
      </c>
      <c r="U56" s="236">
        <f t="shared" si="6"/>
        <v>14583333.333333332</v>
      </c>
      <c r="V56" s="225" t="e">
        <f>+S$25*U56+T56</f>
        <v>#REF!</v>
      </c>
      <c r="W56" s="239">
        <f>+Y55</f>
        <v>23500000</v>
      </c>
      <c r="X56" s="236">
        <f>+W$28</f>
        <v>750000</v>
      </c>
      <c r="Y56" s="236">
        <f t="shared" si="7"/>
        <v>22750000</v>
      </c>
      <c r="Z56" s="225" t="e">
        <f>+W$25*Y56+X56</f>
        <v>#REF!</v>
      </c>
      <c r="AA56" s="239">
        <f>+AC55</f>
        <v>15380952.380952384</v>
      </c>
      <c r="AB56" s="236">
        <f>+AA$28</f>
        <v>571428.57142857148</v>
      </c>
      <c r="AC56" s="236">
        <f t="shared" si="8"/>
        <v>14809523.809523813</v>
      </c>
      <c r="AD56" s="225" t="e">
        <f>+AA$25*AC56+AB56</f>
        <v>#REF!</v>
      </c>
      <c r="AE56" s="239">
        <f>+AG55</f>
        <v>21200000</v>
      </c>
      <c r="AF56" s="236">
        <f>+AE$28</f>
        <v>1200000</v>
      </c>
      <c r="AG56" s="236">
        <f t="shared" si="9"/>
        <v>20000000</v>
      </c>
      <c r="AH56" s="225" t="e">
        <f>+AE$25*AG56+AF56</f>
        <v>#REF!</v>
      </c>
      <c r="AI56" s="239">
        <f>+AK55</f>
        <v>15166666.666666662</v>
      </c>
      <c r="AJ56" s="236">
        <f>+AI$28</f>
        <v>666666.66666666663</v>
      </c>
      <c r="AK56" s="236">
        <f t="shared" si="10"/>
        <v>14499999.999999996</v>
      </c>
      <c r="AL56" s="225" t="e">
        <f>+AI$25*AK56+AJ56</f>
        <v>#REF!</v>
      </c>
      <c r="AM56" s="253" t="e">
        <f t="shared" si="1"/>
        <v>#REF!</v>
      </c>
      <c r="AN56" s="25"/>
      <c r="AO56" s="237" t="e">
        <f>+AM56</f>
        <v>#REF!</v>
      </c>
    </row>
    <row r="57" spans="1:41">
      <c r="A57" s="196" t="s">
        <v>399</v>
      </c>
      <c r="B57" s="235">
        <f t="shared" si="4"/>
        <v>2017</v>
      </c>
      <c r="C57" s="236">
        <f>+C56</f>
        <v>12333333.333333334</v>
      </c>
      <c r="D57" s="236">
        <f>+D56</f>
        <v>666666.66666666663</v>
      </c>
      <c r="E57" s="236">
        <f t="shared" si="0"/>
        <v>11666666.666666668</v>
      </c>
      <c r="F57" s="225" t="e">
        <f>+C$26*E57+D57</f>
        <v>#REF!</v>
      </c>
      <c r="G57" s="236">
        <f>+G56</f>
        <v>20785714.285714276</v>
      </c>
      <c r="H57" s="236">
        <f>+H56</f>
        <v>857142.85714285716</v>
      </c>
      <c r="I57" s="236">
        <f t="shared" si="2"/>
        <v>19928571.428571418</v>
      </c>
      <c r="J57" s="225" t="e">
        <f>+G$26*I57+H57</f>
        <v>#REF!</v>
      </c>
      <c r="K57" s="239">
        <f>+K56</f>
        <v>14875000</v>
      </c>
      <c r="L57" s="236">
        <f>+L56</f>
        <v>500000</v>
      </c>
      <c r="M57" s="236">
        <f t="shared" si="3"/>
        <v>14375000</v>
      </c>
      <c r="N57" s="225" t="e">
        <f>+K$26*M57+L57</f>
        <v>#REF!</v>
      </c>
      <c r="O57" s="239">
        <f>+O56</f>
        <v>23125000</v>
      </c>
      <c r="P57" s="236">
        <f>+P56</f>
        <v>750000</v>
      </c>
      <c r="Q57" s="236">
        <f t="shared" si="5"/>
        <v>22375000</v>
      </c>
      <c r="R57" s="225" t="e">
        <f>+O$26*Q57+P57</f>
        <v>#REF!</v>
      </c>
      <c r="S57" s="239">
        <f>+S56</f>
        <v>15083333.333333332</v>
      </c>
      <c r="T57" s="236">
        <f>+T56</f>
        <v>500000</v>
      </c>
      <c r="U57" s="236">
        <f t="shared" si="6"/>
        <v>14583333.333333332</v>
      </c>
      <c r="V57" s="225" t="e">
        <f>+S$26*U57+T57</f>
        <v>#REF!</v>
      </c>
      <c r="W57" s="239">
        <f>+W56</f>
        <v>23500000</v>
      </c>
      <c r="X57" s="236">
        <f>+X56</f>
        <v>750000</v>
      </c>
      <c r="Y57" s="236">
        <f t="shared" si="7"/>
        <v>22750000</v>
      </c>
      <c r="Z57" s="225" t="e">
        <f>+W$26*Y57+X57</f>
        <v>#REF!</v>
      </c>
      <c r="AA57" s="239">
        <f>+AA56</f>
        <v>15380952.380952384</v>
      </c>
      <c r="AB57" s="236">
        <f>+AB56</f>
        <v>571428.57142857148</v>
      </c>
      <c r="AC57" s="236">
        <f t="shared" si="8"/>
        <v>14809523.809523813</v>
      </c>
      <c r="AD57" s="225" t="e">
        <f>+AA$26*AC57+AB57</f>
        <v>#REF!</v>
      </c>
      <c r="AE57" s="239">
        <f>+AE56</f>
        <v>21200000</v>
      </c>
      <c r="AF57" s="236">
        <f>+AF56</f>
        <v>1200000</v>
      </c>
      <c r="AG57" s="236">
        <f t="shared" si="9"/>
        <v>20000000</v>
      </c>
      <c r="AH57" s="225" t="e">
        <f>+AE$26*AG57+AF57</f>
        <v>#REF!</v>
      </c>
      <c r="AI57" s="239">
        <f>+AI56</f>
        <v>15166666.666666662</v>
      </c>
      <c r="AJ57" s="236">
        <f>+AJ56</f>
        <v>666666.66666666663</v>
      </c>
      <c r="AK57" s="236">
        <f t="shared" si="10"/>
        <v>14499999.999999996</v>
      </c>
      <c r="AL57" s="225" t="e">
        <f>+AI$26*AK57+AJ57</f>
        <v>#REF!</v>
      </c>
      <c r="AM57" s="253" t="e">
        <f t="shared" si="1"/>
        <v>#REF!</v>
      </c>
      <c r="AN57" s="238" t="e">
        <f>+AM57</f>
        <v>#REF!</v>
      </c>
      <c r="AO57" s="194"/>
    </row>
    <row r="58" spans="1:41">
      <c r="A58" s="196" t="s">
        <v>425</v>
      </c>
      <c r="B58" s="235">
        <f t="shared" si="4"/>
        <v>2018</v>
      </c>
      <c r="C58" s="236">
        <f>+E57</f>
        <v>11666666.666666668</v>
      </c>
      <c r="D58" s="236">
        <f>+C$28</f>
        <v>666666.66666666663</v>
      </c>
      <c r="E58" s="236">
        <f t="shared" si="0"/>
        <v>11000000.000000002</v>
      </c>
      <c r="F58" s="225" t="e">
        <f>+C$25*E58+D58</f>
        <v>#REF!</v>
      </c>
      <c r="G58" s="236">
        <f>+I57</f>
        <v>19928571.428571418</v>
      </c>
      <c r="H58" s="236">
        <f>+G$28</f>
        <v>857142.85714285716</v>
      </c>
      <c r="I58" s="236">
        <f t="shared" si="2"/>
        <v>19071428.57142856</v>
      </c>
      <c r="J58" s="225" t="e">
        <f>+G$25*I58+H58</f>
        <v>#REF!</v>
      </c>
      <c r="K58" s="239">
        <f>+M57</f>
        <v>14375000</v>
      </c>
      <c r="L58" s="236">
        <f>+K$28</f>
        <v>500000</v>
      </c>
      <c r="M58" s="236">
        <f t="shared" si="3"/>
        <v>13875000</v>
      </c>
      <c r="N58" s="225" t="e">
        <f>+K$25*M58+L58</f>
        <v>#REF!</v>
      </c>
      <c r="O58" s="239">
        <f>+Q57</f>
        <v>22375000</v>
      </c>
      <c r="P58" s="236">
        <f>+O$28</f>
        <v>750000</v>
      </c>
      <c r="Q58" s="236">
        <f t="shared" si="5"/>
        <v>21625000</v>
      </c>
      <c r="R58" s="225" t="e">
        <f>+O$25*Q58+P58</f>
        <v>#REF!</v>
      </c>
      <c r="S58" s="239">
        <f>+U57</f>
        <v>14583333.333333332</v>
      </c>
      <c r="T58" s="236">
        <f>+S$28</f>
        <v>500000</v>
      </c>
      <c r="U58" s="236">
        <f t="shared" si="6"/>
        <v>14083333.333333332</v>
      </c>
      <c r="V58" s="225" t="e">
        <f>+S$25*U58+T58</f>
        <v>#REF!</v>
      </c>
      <c r="W58" s="239">
        <f>+Y57</f>
        <v>22750000</v>
      </c>
      <c r="X58" s="236">
        <f>+W$28</f>
        <v>750000</v>
      </c>
      <c r="Y58" s="236">
        <f t="shared" si="7"/>
        <v>22000000</v>
      </c>
      <c r="Z58" s="225" t="e">
        <f>+W$25*Y58+X58</f>
        <v>#REF!</v>
      </c>
      <c r="AA58" s="239">
        <f>+AC57</f>
        <v>14809523.809523813</v>
      </c>
      <c r="AB58" s="236">
        <f>+AA$28</f>
        <v>571428.57142857148</v>
      </c>
      <c r="AC58" s="236">
        <f t="shared" si="8"/>
        <v>14238095.238095243</v>
      </c>
      <c r="AD58" s="225" t="e">
        <f>+AA$25*AC58+AB58</f>
        <v>#REF!</v>
      </c>
      <c r="AE58" s="239">
        <f>+AG57</f>
        <v>20000000</v>
      </c>
      <c r="AF58" s="236">
        <f>+AE$28</f>
        <v>1200000</v>
      </c>
      <c r="AG58" s="236">
        <f t="shared" si="9"/>
        <v>18800000</v>
      </c>
      <c r="AH58" s="225" t="e">
        <f>+AE$25*AG58+AF58</f>
        <v>#REF!</v>
      </c>
      <c r="AI58" s="239">
        <f>+AK57</f>
        <v>14499999.999999996</v>
      </c>
      <c r="AJ58" s="236">
        <f>+AI$28</f>
        <v>666666.66666666663</v>
      </c>
      <c r="AK58" s="236">
        <f t="shared" si="10"/>
        <v>13833333.33333333</v>
      </c>
      <c r="AL58" s="225" t="e">
        <f>+AI$25*AK58+AJ58</f>
        <v>#REF!</v>
      </c>
      <c r="AM58" s="253" t="e">
        <f t="shared" si="1"/>
        <v>#REF!</v>
      </c>
      <c r="AN58" s="25"/>
      <c r="AO58" s="237" t="e">
        <f>+AM58</f>
        <v>#REF!</v>
      </c>
    </row>
    <row r="59" spans="1:41">
      <c r="A59" s="196" t="s">
        <v>399</v>
      </c>
      <c r="B59" s="235">
        <f t="shared" si="4"/>
        <v>2018</v>
      </c>
      <c r="C59" s="236">
        <f>+C58</f>
        <v>11666666.666666668</v>
      </c>
      <c r="D59" s="236">
        <f>+D58</f>
        <v>666666.66666666663</v>
      </c>
      <c r="E59" s="236">
        <f t="shared" si="0"/>
        <v>11000000.000000002</v>
      </c>
      <c r="F59" s="225" t="e">
        <f>+C$26*E59+D59</f>
        <v>#REF!</v>
      </c>
      <c r="G59" s="236">
        <f>+G58</f>
        <v>19928571.428571418</v>
      </c>
      <c r="H59" s="236">
        <f>+H58</f>
        <v>857142.85714285716</v>
      </c>
      <c r="I59" s="236">
        <f t="shared" si="2"/>
        <v>19071428.57142856</v>
      </c>
      <c r="J59" s="225" t="e">
        <f>+G$26*I59+H59</f>
        <v>#REF!</v>
      </c>
      <c r="K59" s="239">
        <f>+K58</f>
        <v>14375000</v>
      </c>
      <c r="L59" s="236">
        <f>+L58</f>
        <v>500000</v>
      </c>
      <c r="M59" s="236">
        <f t="shared" si="3"/>
        <v>13875000</v>
      </c>
      <c r="N59" s="225" t="e">
        <f>+K$26*M59+L59</f>
        <v>#REF!</v>
      </c>
      <c r="O59" s="239">
        <f>+O58</f>
        <v>22375000</v>
      </c>
      <c r="P59" s="236">
        <f>+P58</f>
        <v>750000</v>
      </c>
      <c r="Q59" s="236">
        <f t="shared" si="5"/>
        <v>21625000</v>
      </c>
      <c r="R59" s="225" t="e">
        <f>+O$26*Q59+P59</f>
        <v>#REF!</v>
      </c>
      <c r="S59" s="239">
        <f>+S58</f>
        <v>14583333.333333332</v>
      </c>
      <c r="T59" s="236">
        <f>+T58</f>
        <v>500000</v>
      </c>
      <c r="U59" s="236">
        <f t="shared" si="6"/>
        <v>14083333.333333332</v>
      </c>
      <c r="V59" s="225" t="e">
        <f>+S$26*U59+T59</f>
        <v>#REF!</v>
      </c>
      <c r="W59" s="239">
        <f>+W58</f>
        <v>22750000</v>
      </c>
      <c r="X59" s="236">
        <f>+X58</f>
        <v>750000</v>
      </c>
      <c r="Y59" s="236">
        <f t="shared" si="7"/>
        <v>22000000</v>
      </c>
      <c r="Z59" s="225" t="e">
        <f>+W$26*Y59+X59</f>
        <v>#REF!</v>
      </c>
      <c r="AA59" s="239">
        <f>+AA58</f>
        <v>14809523.809523813</v>
      </c>
      <c r="AB59" s="236">
        <f>+AB58</f>
        <v>571428.57142857148</v>
      </c>
      <c r="AC59" s="236">
        <f t="shared" si="8"/>
        <v>14238095.238095243</v>
      </c>
      <c r="AD59" s="225" t="e">
        <f>+AA$26*AC59+AB59</f>
        <v>#REF!</v>
      </c>
      <c r="AE59" s="239">
        <f>+AE58</f>
        <v>20000000</v>
      </c>
      <c r="AF59" s="236">
        <f>+AF58</f>
        <v>1200000</v>
      </c>
      <c r="AG59" s="236">
        <f t="shared" si="9"/>
        <v>18800000</v>
      </c>
      <c r="AH59" s="225" t="e">
        <f>+AE$26*AG59+AF59</f>
        <v>#REF!</v>
      </c>
      <c r="AI59" s="239">
        <f>+AI58</f>
        <v>14499999.999999996</v>
      </c>
      <c r="AJ59" s="236">
        <f>+AJ58</f>
        <v>666666.66666666663</v>
      </c>
      <c r="AK59" s="236">
        <f t="shared" si="10"/>
        <v>13833333.33333333</v>
      </c>
      <c r="AL59" s="225" t="e">
        <f>+AI$26*AK59+AJ59</f>
        <v>#REF!</v>
      </c>
      <c r="AM59" s="253" t="e">
        <f t="shared" si="1"/>
        <v>#REF!</v>
      </c>
      <c r="AN59" s="238" t="e">
        <f>+AM59</f>
        <v>#REF!</v>
      </c>
      <c r="AO59" s="194"/>
    </row>
    <row r="60" spans="1:41">
      <c r="A60" s="196" t="s">
        <v>425</v>
      </c>
      <c r="B60" s="235">
        <f t="shared" si="4"/>
        <v>2019</v>
      </c>
      <c r="C60" s="236">
        <f>+E59</f>
        <v>11000000.000000002</v>
      </c>
      <c r="D60" s="236">
        <f>+C$28</f>
        <v>666666.66666666663</v>
      </c>
      <c r="E60" s="236">
        <f t="shared" si="0"/>
        <v>10333333.333333336</v>
      </c>
      <c r="F60" s="225" t="e">
        <f>+C$25*E60+D60</f>
        <v>#REF!</v>
      </c>
      <c r="G60" s="236">
        <f>+I59</f>
        <v>19071428.57142856</v>
      </c>
      <c r="H60" s="236">
        <f>+G$28</f>
        <v>857142.85714285716</v>
      </c>
      <c r="I60" s="236">
        <f t="shared" si="2"/>
        <v>18214285.714285702</v>
      </c>
      <c r="J60" s="225" t="e">
        <f>+G$25*I60+H60</f>
        <v>#REF!</v>
      </c>
      <c r="K60" s="239">
        <f>+M59</f>
        <v>13875000</v>
      </c>
      <c r="L60" s="236">
        <f>+K$28</f>
        <v>500000</v>
      </c>
      <c r="M60" s="236">
        <f t="shared" si="3"/>
        <v>13375000</v>
      </c>
      <c r="N60" s="225" t="e">
        <f>+K$25*M60+L60</f>
        <v>#REF!</v>
      </c>
      <c r="O60" s="239">
        <f>+Q59</f>
        <v>21625000</v>
      </c>
      <c r="P60" s="236">
        <f>+O$28</f>
        <v>750000</v>
      </c>
      <c r="Q60" s="236">
        <f t="shared" si="5"/>
        <v>20875000</v>
      </c>
      <c r="R60" s="225" t="e">
        <f>+O$25*Q60+P60</f>
        <v>#REF!</v>
      </c>
      <c r="S60" s="239">
        <f>+U59</f>
        <v>14083333.333333332</v>
      </c>
      <c r="T60" s="236">
        <f>+S$28</f>
        <v>500000</v>
      </c>
      <c r="U60" s="236">
        <f t="shared" si="6"/>
        <v>13583333.333333332</v>
      </c>
      <c r="V60" s="225" t="e">
        <f>+S$25*U60+T60</f>
        <v>#REF!</v>
      </c>
      <c r="W60" s="239">
        <f>+Y59</f>
        <v>22000000</v>
      </c>
      <c r="X60" s="236">
        <f>+W$28</f>
        <v>750000</v>
      </c>
      <c r="Y60" s="236">
        <f t="shared" si="7"/>
        <v>21250000</v>
      </c>
      <c r="Z60" s="225" t="e">
        <f>+W$25*Y60+X60</f>
        <v>#REF!</v>
      </c>
      <c r="AA60" s="239">
        <f>+AC59</f>
        <v>14238095.238095243</v>
      </c>
      <c r="AB60" s="236">
        <f>+AA$28</f>
        <v>571428.57142857148</v>
      </c>
      <c r="AC60" s="236">
        <f t="shared" si="8"/>
        <v>13666666.666666672</v>
      </c>
      <c r="AD60" s="225" t="e">
        <f>+AA$25*AC60+AB60</f>
        <v>#REF!</v>
      </c>
      <c r="AE60" s="239">
        <f>+AG59</f>
        <v>18800000</v>
      </c>
      <c r="AF60" s="236">
        <f>+AE$28</f>
        <v>1200000</v>
      </c>
      <c r="AG60" s="236">
        <f t="shared" si="9"/>
        <v>17600000</v>
      </c>
      <c r="AH60" s="225" t="e">
        <f>+AE$25*AG60+AF60</f>
        <v>#REF!</v>
      </c>
      <c r="AI60" s="239">
        <f>+AK59</f>
        <v>13833333.33333333</v>
      </c>
      <c r="AJ60" s="236">
        <f>+AI$28</f>
        <v>666666.66666666663</v>
      </c>
      <c r="AK60" s="236">
        <f t="shared" si="10"/>
        <v>13166666.666666664</v>
      </c>
      <c r="AL60" s="225" t="e">
        <f>+AI$25*AK60+AJ60</f>
        <v>#REF!</v>
      </c>
      <c r="AM60" s="253" t="e">
        <f t="shared" si="1"/>
        <v>#REF!</v>
      </c>
      <c r="AN60" s="25"/>
      <c r="AO60" s="237" t="e">
        <f>+AM60</f>
        <v>#REF!</v>
      </c>
    </row>
    <row r="61" spans="1:41">
      <c r="A61" s="196" t="s">
        <v>399</v>
      </c>
      <c r="B61" s="235">
        <f t="shared" si="4"/>
        <v>2019</v>
      </c>
      <c r="C61" s="236">
        <f>+C60</f>
        <v>11000000.000000002</v>
      </c>
      <c r="D61" s="236">
        <f>+D60</f>
        <v>666666.66666666663</v>
      </c>
      <c r="E61" s="236">
        <f t="shared" si="0"/>
        <v>10333333.333333336</v>
      </c>
      <c r="F61" s="225" t="e">
        <f>+C$26*E61+D61</f>
        <v>#REF!</v>
      </c>
      <c r="G61" s="236">
        <f>+G60</f>
        <v>19071428.57142856</v>
      </c>
      <c r="H61" s="236">
        <f>+H60</f>
        <v>857142.85714285716</v>
      </c>
      <c r="I61" s="236">
        <f t="shared" si="2"/>
        <v>18214285.714285702</v>
      </c>
      <c r="J61" s="225" t="e">
        <f>+G$26*I61+H61</f>
        <v>#REF!</v>
      </c>
      <c r="K61" s="239">
        <f>+K60</f>
        <v>13875000</v>
      </c>
      <c r="L61" s="236">
        <f>+L60</f>
        <v>500000</v>
      </c>
      <c r="M61" s="236">
        <f t="shared" si="3"/>
        <v>13375000</v>
      </c>
      <c r="N61" s="225" t="e">
        <f>+K$26*M61+L61</f>
        <v>#REF!</v>
      </c>
      <c r="O61" s="239">
        <f>+O60</f>
        <v>21625000</v>
      </c>
      <c r="P61" s="236">
        <f>+P60</f>
        <v>750000</v>
      </c>
      <c r="Q61" s="236">
        <f t="shared" si="5"/>
        <v>20875000</v>
      </c>
      <c r="R61" s="225" t="e">
        <f>+O$26*Q61+P61</f>
        <v>#REF!</v>
      </c>
      <c r="S61" s="239">
        <f>+S60</f>
        <v>14083333.333333332</v>
      </c>
      <c r="T61" s="236">
        <f>+T60</f>
        <v>500000</v>
      </c>
      <c r="U61" s="236">
        <f t="shared" si="6"/>
        <v>13583333.333333332</v>
      </c>
      <c r="V61" s="225" t="e">
        <f>+S$26*U61+T61</f>
        <v>#REF!</v>
      </c>
      <c r="W61" s="239">
        <f>+W60</f>
        <v>22000000</v>
      </c>
      <c r="X61" s="236">
        <f>+X60</f>
        <v>750000</v>
      </c>
      <c r="Y61" s="236">
        <f t="shared" si="7"/>
        <v>21250000</v>
      </c>
      <c r="Z61" s="225" t="e">
        <f>+W$26*Y61+X61</f>
        <v>#REF!</v>
      </c>
      <c r="AA61" s="239">
        <f>+AA60</f>
        <v>14238095.238095243</v>
      </c>
      <c r="AB61" s="236">
        <f>+AB60</f>
        <v>571428.57142857148</v>
      </c>
      <c r="AC61" s="236">
        <f t="shared" si="8"/>
        <v>13666666.666666672</v>
      </c>
      <c r="AD61" s="225" t="e">
        <f>+AA$26*AC61+AB61</f>
        <v>#REF!</v>
      </c>
      <c r="AE61" s="239">
        <f>+AE60</f>
        <v>18800000</v>
      </c>
      <c r="AF61" s="236">
        <f>+AF60</f>
        <v>1200000</v>
      </c>
      <c r="AG61" s="236">
        <f t="shared" si="9"/>
        <v>17600000</v>
      </c>
      <c r="AH61" s="225" t="e">
        <f>+AE$26*AG61+AF61</f>
        <v>#REF!</v>
      </c>
      <c r="AI61" s="239">
        <f>+AI60</f>
        <v>13833333.33333333</v>
      </c>
      <c r="AJ61" s="236">
        <f>+AJ60</f>
        <v>666666.66666666663</v>
      </c>
      <c r="AK61" s="236">
        <f t="shared" si="10"/>
        <v>13166666.666666664</v>
      </c>
      <c r="AL61" s="225" t="e">
        <f>+AI$26*AK61+AJ61</f>
        <v>#REF!</v>
      </c>
      <c r="AM61" s="253" t="e">
        <f t="shared" si="1"/>
        <v>#REF!</v>
      </c>
      <c r="AN61" s="238" t="e">
        <f>+AM61</f>
        <v>#REF!</v>
      </c>
      <c r="AO61" s="194"/>
    </row>
    <row r="62" spans="1:41">
      <c r="A62" s="196" t="s">
        <v>425</v>
      </c>
      <c r="B62" s="235">
        <f t="shared" si="4"/>
        <v>2020</v>
      </c>
      <c r="C62" s="236">
        <f>+E61</f>
        <v>10333333.333333336</v>
      </c>
      <c r="D62" s="236">
        <f>+C$28</f>
        <v>666666.66666666663</v>
      </c>
      <c r="E62" s="236">
        <f t="shared" si="0"/>
        <v>9666666.6666666698</v>
      </c>
      <c r="F62" s="225" t="e">
        <f>+C$25*E62+D62</f>
        <v>#REF!</v>
      </c>
      <c r="G62" s="236">
        <f>+I61</f>
        <v>18214285.714285702</v>
      </c>
      <c r="H62" s="236">
        <f>+G$28</f>
        <v>857142.85714285716</v>
      </c>
      <c r="I62" s="236">
        <f t="shared" si="2"/>
        <v>17357142.857142843</v>
      </c>
      <c r="J62" s="225" t="e">
        <f>+G$25*I62+H62</f>
        <v>#REF!</v>
      </c>
      <c r="K62" s="239">
        <f>+M61</f>
        <v>13375000</v>
      </c>
      <c r="L62" s="236">
        <f>+K$28</f>
        <v>500000</v>
      </c>
      <c r="M62" s="236">
        <f t="shared" si="3"/>
        <v>12875000</v>
      </c>
      <c r="N62" s="225" t="e">
        <f>+K$25*M62+L62</f>
        <v>#REF!</v>
      </c>
      <c r="O62" s="239">
        <f>+Q61</f>
        <v>20875000</v>
      </c>
      <c r="P62" s="236">
        <f>+O$28</f>
        <v>750000</v>
      </c>
      <c r="Q62" s="236">
        <f t="shared" si="5"/>
        <v>20125000</v>
      </c>
      <c r="R62" s="225" t="e">
        <f>+O$25*Q62+P62</f>
        <v>#REF!</v>
      </c>
      <c r="S62" s="239">
        <f>+U61</f>
        <v>13583333.333333332</v>
      </c>
      <c r="T62" s="236">
        <f>+S$28</f>
        <v>500000</v>
      </c>
      <c r="U62" s="236">
        <f t="shared" si="6"/>
        <v>13083333.333333332</v>
      </c>
      <c r="V62" s="225" t="e">
        <f>+S$25*U62+T62</f>
        <v>#REF!</v>
      </c>
      <c r="W62" s="239">
        <f>+Y61</f>
        <v>21250000</v>
      </c>
      <c r="X62" s="236">
        <f>+W$28</f>
        <v>750000</v>
      </c>
      <c r="Y62" s="236">
        <f t="shared" si="7"/>
        <v>20500000</v>
      </c>
      <c r="Z62" s="225" t="e">
        <f>+W$25*Y62+X62</f>
        <v>#REF!</v>
      </c>
      <c r="AA62" s="239">
        <f>+AC61</f>
        <v>13666666.666666672</v>
      </c>
      <c r="AB62" s="236">
        <f>+AA$28</f>
        <v>571428.57142857148</v>
      </c>
      <c r="AC62" s="236">
        <f t="shared" si="8"/>
        <v>13095238.095238101</v>
      </c>
      <c r="AD62" s="225" t="e">
        <f>+AA$25*AC62+AB62</f>
        <v>#REF!</v>
      </c>
      <c r="AE62" s="239">
        <f>+AG61</f>
        <v>17600000</v>
      </c>
      <c r="AF62" s="236">
        <f>+AE$28</f>
        <v>1200000</v>
      </c>
      <c r="AG62" s="236">
        <f t="shared" si="9"/>
        <v>16400000</v>
      </c>
      <c r="AH62" s="225" t="e">
        <f>+AE$25*AG62+AF62</f>
        <v>#REF!</v>
      </c>
      <c r="AI62" s="239">
        <f>+AK61</f>
        <v>13166666.666666664</v>
      </c>
      <c r="AJ62" s="236">
        <f>+AI$28</f>
        <v>666666.66666666663</v>
      </c>
      <c r="AK62" s="236">
        <f t="shared" si="10"/>
        <v>12499999.999999998</v>
      </c>
      <c r="AL62" s="225" t="e">
        <f>+AI$25*AK62+AJ62</f>
        <v>#REF!</v>
      </c>
      <c r="AM62" s="253" t="e">
        <f t="shared" si="1"/>
        <v>#REF!</v>
      </c>
      <c r="AN62" s="25"/>
      <c r="AO62" s="237" t="e">
        <f>+AM62</f>
        <v>#REF!</v>
      </c>
    </row>
    <row r="63" spans="1:41">
      <c r="A63" s="196" t="s">
        <v>399</v>
      </c>
      <c r="B63" s="235">
        <f t="shared" si="4"/>
        <v>2020</v>
      </c>
      <c r="C63" s="236">
        <f>+C62</f>
        <v>10333333.333333336</v>
      </c>
      <c r="D63" s="236">
        <f>+D62</f>
        <v>666666.66666666663</v>
      </c>
      <c r="E63" s="236">
        <f t="shared" si="0"/>
        <v>9666666.6666666698</v>
      </c>
      <c r="F63" s="225" t="e">
        <f>+C$26*E63+D63</f>
        <v>#REF!</v>
      </c>
      <c r="G63" s="236">
        <f>+G62</f>
        <v>18214285.714285702</v>
      </c>
      <c r="H63" s="236">
        <f>+H62</f>
        <v>857142.85714285716</v>
      </c>
      <c r="I63" s="236">
        <f t="shared" si="2"/>
        <v>17357142.857142843</v>
      </c>
      <c r="J63" s="225" t="e">
        <f>+G$26*I63+H63</f>
        <v>#REF!</v>
      </c>
      <c r="K63" s="239">
        <f>+K62</f>
        <v>13375000</v>
      </c>
      <c r="L63" s="236">
        <f>+L62</f>
        <v>500000</v>
      </c>
      <c r="M63" s="236">
        <f t="shared" si="3"/>
        <v>12875000</v>
      </c>
      <c r="N63" s="225" t="e">
        <f>+K$26*M63+L63</f>
        <v>#REF!</v>
      </c>
      <c r="O63" s="239">
        <f>+O62</f>
        <v>20875000</v>
      </c>
      <c r="P63" s="236">
        <f>+P62</f>
        <v>750000</v>
      </c>
      <c r="Q63" s="236">
        <f t="shared" si="5"/>
        <v>20125000</v>
      </c>
      <c r="R63" s="225" t="e">
        <f>+O$26*Q63+P63</f>
        <v>#REF!</v>
      </c>
      <c r="S63" s="239">
        <f>+S62</f>
        <v>13583333.333333332</v>
      </c>
      <c r="T63" s="236">
        <f>+T62</f>
        <v>500000</v>
      </c>
      <c r="U63" s="236">
        <f t="shared" si="6"/>
        <v>13083333.333333332</v>
      </c>
      <c r="V63" s="225" t="e">
        <f>+S$26*U63+T63</f>
        <v>#REF!</v>
      </c>
      <c r="W63" s="239">
        <f>+W62</f>
        <v>21250000</v>
      </c>
      <c r="X63" s="236">
        <f>+X62</f>
        <v>750000</v>
      </c>
      <c r="Y63" s="236">
        <f t="shared" si="7"/>
        <v>20500000</v>
      </c>
      <c r="Z63" s="225" t="e">
        <f>+W$26*Y63+X63</f>
        <v>#REF!</v>
      </c>
      <c r="AA63" s="239">
        <f>+AA62</f>
        <v>13666666.666666672</v>
      </c>
      <c r="AB63" s="236">
        <f>+AB62</f>
        <v>571428.57142857148</v>
      </c>
      <c r="AC63" s="236">
        <f t="shared" si="8"/>
        <v>13095238.095238101</v>
      </c>
      <c r="AD63" s="225" t="e">
        <f>+AA$26*AC63+AB63</f>
        <v>#REF!</v>
      </c>
      <c r="AE63" s="239">
        <f>+AE62</f>
        <v>17600000</v>
      </c>
      <c r="AF63" s="236">
        <f>+AF62</f>
        <v>1200000</v>
      </c>
      <c r="AG63" s="236">
        <f t="shared" si="9"/>
        <v>16400000</v>
      </c>
      <c r="AH63" s="225" t="e">
        <f>+AE$26*AG63+AF63</f>
        <v>#REF!</v>
      </c>
      <c r="AI63" s="239">
        <f>+AI62</f>
        <v>13166666.666666664</v>
      </c>
      <c r="AJ63" s="236">
        <f>+AJ62</f>
        <v>666666.66666666663</v>
      </c>
      <c r="AK63" s="236">
        <f t="shared" si="10"/>
        <v>12499999.999999998</v>
      </c>
      <c r="AL63" s="225" t="e">
        <f>+AI$26*AK63+AJ63</f>
        <v>#REF!</v>
      </c>
      <c r="AM63" s="253" t="e">
        <f t="shared" si="1"/>
        <v>#REF!</v>
      </c>
      <c r="AN63" s="238" t="e">
        <f>+AM63</f>
        <v>#REF!</v>
      </c>
      <c r="AO63" s="194"/>
    </row>
    <row r="64" spans="1:41">
      <c r="A64" s="196" t="s">
        <v>425</v>
      </c>
      <c r="B64" s="235">
        <f t="shared" si="4"/>
        <v>2021</v>
      </c>
      <c r="C64" s="236">
        <f>+E63</f>
        <v>9666666.6666666698</v>
      </c>
      <c r="D64" s="236">
        <f>+C$28</f>
        <v>666666.66666666663</v>
      </c>
      <c r="E64" s="236">
        <f t="shared" ref="E64:E71" si="11">+C64-D64</f>
        <v>9000000.0000000037</v>
      </c>
      <c r="F64" s="225" t="e">
        <f>+C$25*E64+D64</f>
        <v>#REF!</v>
      </c>
      <c r="G64" s="236">
        <f>+I63</f>
        <v>17357142.857142843</v>
      </c>
      <c r="H64" s="236">
        <f>+G$28</f>
        <v>857142.85714285716</v>
      </c>
      <c r="I64" s="236">
        <f t="shared" si="2"/>
        <v>16499999.999999987</v>
      </c>
      <c r="J64" s="225" t="e">
        <f>+G$25*I64+H64</f>
        <v>#REF!</v>
      </c>
      <c r="K64" s="239">
        <f>+M63</f>
        <v>12875000</v>
      </c>
      <c r="L64" s="236">
        <f>+K$28</f>
        <v>500000</v>
      </c>
      <c r="M64" s="236">
        <f t="shared" si="3"/>
        <v>12375000</v>
      </c>
      <c r="N64" s="225" t="e">
        <f>+K$25*M64+L64</f>
        <v>#REF!</v>
      </c>
      <c r="O64" s="239">
        <f>+Q63</f>
        <v>20125000</v>
      </c>
      <c r="P64" s="236">
        <f>+O$28</f>
        <v>750000</v>
      </c>
      <c r="Q64" s="236">
        <f t="shared" si="5"/>
        <v>19375000</v>
      </c>
      <c r="R64" s="225" t="e">
        <f>+O$25*Q64+P64</f>
        <v>#REF!</v>
      </c>
      <c r="S64" s="239">
        <f>+U63</f>
        <v>13083333.333333332</v>
      </c>
      <c r="T64" s="236">
        <f>+S$28</f>
        <v>500000</v>
      </c>
      <c r="U64" s="236">
        <f t="shared" si="6"/>
        <v>12583333.333333332</v>
      </c>
      <c r="V64" s="225" t="e">
        <f>+S$25*U64+T64</f>
        <v>#REF!</v>
      </c>
      <c r="W64" s="239">
        <f>+Y63</f>
        <v>20500000</v>
      </c>
      <c r="X64" s="236">
        <f>+W$28</f>
        <v>750000</v>
      </c>
      <c r="Y64" s="236">
        <f t="shared" si="7"/>
        <v>19750000</v>
      </c>
      <c r="Z64" s="225" t="e">
        <f>+W$25*Y64+X64</f>
        <v>#REF!</v>
      </c>
      <c r="AA64" s="239">
        <f>+AC63</f>
        <v>13095238.095238101</v>
      </c>
      <c r="AB64" s="236">
        <f>+AA$28</f>
        <v>571428.57142857148</v>
      </c>
      <c r="AC64" s="236">
        <f t="shared" si="8"/>
        <v>12523809.52380953</v>
      </c>
      <c r="AD64" s="225" t="e">
        <f>+AA$25*AC64+AB64</f>
        <v>#REF!</v>
      </c>
      <c r="AE64" s="239">
        <f>+AG63</f>
        <v>16400000</v>
      </c>
      <c r="AF64" s="236">
        <f>+AE$28</f>
        <v>1200000</v>
      </c>
      <c r="AG64" s="236">
        <f t="shared" si="9"/>
        <v>15200000</v>
      </c>
      <c r="AH64" s="225" t="e">
        <f>+AE$25*AG64+AF64</f>
        <v>#REF!</v>
      </c>
      <c r="AI64" s="239">
        <f>+AK63</f>
        <v>12499999.999999998</v>
      </c>
      <c r="AJ64" s="236">
        <f>+AI$28</f>
        <v>666666.66666666663</v>
      </c>
      <c r="AK64" s="236">
        <f t="shared" si="10"/>
        <v>11833333.333333332</v>
      </c>
      <c r="AL64" s="225" t="e">
        <f>+AI$25*AK64+AJ64</f>
        <v>#REF!</v>
      </c>
      <c r="AM64" s="253" t="e">
        <f t="shared" si="1"/>
        <v>#REF!</v>
      </c>
      <c r="AN64" s="25"/>
      <c r="AO64" s="237" t="e">
        <f>+AM64</f>
        <v>#REF!</v>
      </c>
    </row>
    <row r="65" spans="1:41">
      <c r="A65" s="196" t="s">
        <v>399</v>
      </c>
      <c r="B65" s="235">
        <f t="shared" si="4"/>
        <v>2021</v>
      </c>
      <c r="C65" s="236">
        <f>+C64</f>
        <v>9666666.6666666698</v>
      </c>
      <c r="D65" s="236">
        <f>+D64</f>
        <v>666666.66666666663</v>
      </c>
      <c r="E65" s="236">
        <f t="shared" si="11"/>
        <v>9000000.0000000037</v>
      </c>
      <c r="F65" s="225" t="e">
        <f>+C$26*E65+D65</f>
        <v>#REF!</v>
      </c>
      <c r="G65" s="236">
        <f>+G64</f>
        <v>17357142.857142843</v>
      </c>
      <c r="H65" s="236">
        <f>+H64</f>
        <v>857142.85714285716</v>
      </c>
      <c r="I65" s="236">
        <f t="shared" si="2"/>
        <v>16499999.999999987</v>
      </c>
      <c r="J65" s="225" t="e">
        <f>+G$26*I65+H65</f>
        <v>#REF!</v>
      </c>
      <c r="K65" s="239">
        <f>+K64</f>
        <v>12875000</v>
      </c>
      <c r="L65" s="236">
        <f>+L64</f>
        <v>500000</v>
      </c>
      <c r="M65" s="236">
        <f t="shared" si="3"/>
        <v>12375000</v>
      </c>
      <c r="N65" s="225" t="e">
        <f>+K$26*M65+L65</f>
        <v>#REF!</v>
      </c>
      <c r="O65" s="239">
        <f>+O64</f>
        <v>20125000</v>
      </c>
      <c r="P65" s="236">
        <f>+P64</f>
        <v>750000</v>
      </c>
      <c r="Q65" s="236">
        <f t="shared" si="5"/>
        <v>19375000</v>
      </c>
      <c r="R65" s="225" t="e">
        <f>+O$26*Q65+P65</f>
        <v>#REF!</v>
      </c>
      <c r="S65" s="239">
        <f>+S64</f>
        <v>13083333.333333332</v>
      </c>
      <c r="T65" s="236">
        <f>+T64</f>
        <v>500000</v>
      </c>
      <c r="U65" s="236">
        <f t="shared" si="6"/>
        <v>12583333.333333332</v>
      </c>
      <c r="V65" s="225" t="e">
        <f>+S$26*U65+T65</f>
        <v>#REF!</v>
      </c>
      <c r="W65" s="239">
        <f>+W64</f>
        <v>20500000</v>
      </c>
      <c r="X65" s="236">
        <f>+X64</f>
        <v>750000</v>
      </c>
      <c r="Y65" s="236">
        <f t="shared" si="7"/>
        <v>19750000</v>
      </c>
      <c r="Z65" s="225" t="e">
        <f>+W$26*Y65+X65</f>
        <v>#REF!</v>
      </c>
      <c r="AA65" s="239">
        <f>+AA64</f>
        <v>13095238.095238101</v>
      </c>
      <c r="AB65" s="236">
        <f>+AB64</f>
        <v>571428.57142857148</v>
      </c>
      <c r="AC65" s="236">
        <f t="shared" si="8"/>
        <v>12523809.52380953</v>
      </c>
      <c r="AD65" s="225" t="e">
        <f>+AA$26*AC65+AB65</f>
        <v>#REF!</v>
      </c>
      <c r="AE65" s="239">
        <f>+AE64</f>
        <v>16400000</v>
      </c>
      <c r="AF65" s="236">
        <f>+AF64</f>
        <v>1200000</v>
      </c>
      <c r="AG65" s="236">
        <f t="shared" si="9"/>
        <v>15200000</v>
      </c>
      <c r="AH65" s="225" t="e">
        <f>+AE$26*AG65+AF65</f>
        <v>#REF!</v>
      </c>
      <c r="AI65" s="239">
        <f>+AI64</f>
        <v>12499999.999999998</v>
      </c>
      <c r="AJ65" s="236">
        <f>+AJ64</f>
        <v>666666.66666666663</v>
      </c>
      <c r="AK65" s="236">
        <f t="shared" si="10"/>
        <v>11833333.333333332</v>
      </c>
      <c r="AL65" s="225" t="e">
        <f>+AI$26*AK65+AJ65</f>
        <v>#REF!</v>
      </c>
      <c r="AM65" s="253" t="e">
        <f t="shared" si="1"/>
        <v>#REF!</v>
      </c>
      <c r="AN65" s="238" t="e">
        <f>+AM65</f>
        <v>#REF!</v>
      </c>
      <c r="AO65" s="194"/>
    </row>
    <row r="66" spans="1:41">
      <c r="A66" s="196" t="s">
        <v>425</v>
      </c>
      <c r="B66" s="235">
        <f t="shared" si="4"/>
        <v>2022</v>
      </c>
      <c r="C66" s="236">
        <f>+E65</f>
        <v>9000000.0000000037</v>
      </c>
      <c r="D66" s="236">
        <f>+C$28</f>
        <v>666666.66666666663</v>
      </c>
      <c r="E66" s="236">
        <f t="shared" si="11"/>
        <v>8333333.3333333367</v>
      </c>
      <c r="F66" s="225" t="e">
        <f>+C$25*E66+D66</f>
        <v>#REF!</v>
      </c>
      <c r="G66" s="236">
        <f>+I65</f>
        <v>16499999.999999987</v>
      </c>
      <c r="H66" s="236">
        <f>+G$28</f>
        <v>857142.85714285716</v>
      </c>
      <c r="I66" s="236">
        <f t="shared" ref="I66:I71" si="12">+G66-H66</f>
        <v>15642857.142857131</v>
      </c>
      <c r="J66" s="225" t="e">
        <f>+G$25*I66+H66</f>
        <v>#REF!</v>
      </c>
      <c r="K66" s="239">
        <f>+M65</f>
        <v>12375000</v>
      </c>
      <c r="L66" s="236">
        <f>+K$28</f>
        <v>500000</v>
      </c>
      <c r="M66" s="236">
        <f t="shared" ref="M66:M71" si="13">+K66-L66</f>
        <v>11875000</v>
      </c>
      <c r="N66" s="225" t="e">
        <f>+K$25*M66+L66</f>
        <v>#REF!</v>
      </c>
      <c r="O66" s="239">
        <f>+Q65</f>
        <v>19375000</v>
      </c>
      <c r="P66" s="236">
        <f>+O$28</f>
        <v>750000</v>
      </c>
      <c r="Q66" s="236">
        <f t="shared" si="5"/>
        <v>18625000</v>
      </c>
      <c r="R66" s="225" t="e">
        <f>+O$25*Q66+P66</f>
        <v>#REF!</v>
      </c>
      <c r="S66" s="239">
        <f>+U65</f>
        <v>12583333.333333332</v>
      </c>
      <c r="T66" s="236">
        <f>+S$28</f>
        <v>500000</v>
      </c>
      <c r="U66" s="236">
        <f t="shared" si="6"/>
        <v>12083333.333333332</v>
      </c>
      <c r="V66" s="225" t="e">
        <f>+S$25*U66+T66</f>
        <v>#REF!</v>
      </c>
      <c r="W66" s="239">
        <f>+Y65</f>
        <v>19750000</v>
      </c>
      <c r="X66" s="236">
        <f>+W$28</f>
        <v>750000</v>
      </c>
      <c r="Y66" s="236">
        <f t="shared" si="7"/>
        <v>19000000</v>
      </c>
      <c r="Z66" s="225" t="e">
        <f>+W$25*Y66+X66</f>
        <v>#REF!</v>
      </c>
      <c r="AA66" s="239">
        <f>+AC65</f>
        <v>12523809.52380953</v>
      </c>
      <c r="AB66" s="236">
        <f>+AA$28</f>
        <v>571428.57142857148</v>
      </c>
      <c r="AC66" s="236">
        <f t="shared" si="8"/>
        <v>11952380.952380959</v>
      </c>
      <c r="AD66" s="225" t="e">
        <f>+AA$25*AC66+AB66</f>
        <v>#REF!</v>
      </c>
      <c r="AE66" s="239">
        <f>+AG65</f>
        <v>15200000</v>
      </c>
      <c r="AF66" s="236">
        <f>+AE$28</f>
        <v>1200000</v>
      </c>
      <c r="AG66" s="236">
        <f t="shared" si="9"/>
        <v>14000000</v>
      </c>
      <c r="AH66" s="225" t="e">
        <f>+AE$25*AG66+AF66</f>
        <v>#REF!</v>
      </c>
      <c r="AI66" s="239">
        <f>+AK65</f>
        <v>11833333.333333332</v>
      </c>
      <c r="AJ66" s="236">
        <f>+AI$28</f>
        <v>666666.66666666663</v>
      </c>
      <c r="AK66" s="236">
        <f t="shared" si="10"/>
        <v>11166666.666666666</v>
      </c>
      <c r="AL66" s="225" t="e">
        <f>+AI$25*AK66+AJ66</f>
        <v>#REF!</v>
      </c>
      <c r="AM66" s="253" t="e">
        <f t="shared" si="1"/>
        <v>#REF!</v>
      </c>
      <c r="AN66" s="25"/>
      <c r="AO66" s="237" t="e">
        <f>+AM66</f>
        <v>#REF!</v>
      </c>
    </row>
    <row r="67" spans="1:41">
      <c r="A67" s="196" t="s">
        <v>399</v>
      </c>
      <c r="B67" s="235">
        <f t="shared" si="4"/>
        <v>2022</v>
      </c>
      <c r="C67" s="236">
        <f>+C66</f>
        <v>9000000.0000000037</v>
      </c>
      <c r="D67" s="236">
        <f>+D66</f>
        <v>666666.66666666663</v>
      </c>
      <c r="E67" s="236">
        <f t="shared" si="11"/>
        <v>8333333.3333333367</v>
      </c>
      <c r="F67" s="225" t="e">
        <f>+C$26*E67+D67</f>
        <v>#REF!</v>
      </c>
      <c r="G67" s="236">
        <f>+G66</f>
        <v>16499999.999999987</v>
      </c>
      <c r="H67" s="236">
        <f>+H66</f>
        <v>857142.85714285716</v>
      </c>
      <c r="I67" s="236">
        <f t="shared" si="12"/>
        <v>15642857.142857131</v>
      </c>
      <c r="J67" s="225" t="e">
        <f>+G$26*I67+H67</f>
        <v>#REF!</v>
      </c>
      <c r="K67" s="239">
        <f>+K66</f>
        <v>12375000</v>
      </c>
      <c r="L67" s="236">
        <f>+L66</f>
        <v>500000</v>
      </c>
      <c r="M67" s="236">
        <f t="shared" si="13"/>
        <v>11875000</v>
      </c>
      <c r="N67" s="225" t="e">
        <f>+K$26*M67+L67</f>
        <v>#REF!</v>
      </c>
      <c r="O67" s="239">
        <f>+O66</f>
        <v>19375000</v>
      </c>
      <c r="P67" s="236">
        <f>+P66</f>
        <v>750000</v>
      </c>
      <c r="Q67" s="236">
        <f t="shared" si="5"/>
        <v>18625000</v>
      </c>
      <c r="R67" s="225" t="e">
        <f>+O$26*Q67+P67</f>
        <v>#REF!</v>
      </c>
      <c r="S67" s="239">
        <f>+S66</f>
        <v>12583333.333333332</v>
      </c>
      <c r="T67" s="236">
        <f>+T66</f>
        <v>500000</v>
      </c>
      <c r="U67" s="236">
        <f t="shared" si="6"/>
        <v>12083333.333333332</v>
      </c>
      <c r="V67" s="225" t="e">
        <f>+S$26*U67+T67</f>
        <v>#REF!</v>
      </c>
      <c r="W67" s="239">
        <f>+W66</f>
        <v>19750000</v>
      </c>
      <c r="X67" s="236">
        <f>+X66</f>
        <v>750000</v>
      </c>
      <c r="Y67" s="236">
        <f t="shared" si="7"/>
        <v>19000000</v>
      </c>
      <c r="Z67" s="225" t="e">
        <f>+W$26*Y67+X67</f>
        <v>#REF!</v>
      </c>
      <c r="AA67" s="239">
        <f>+AA66</f>
        <v>12523809.52380953</v>
      </c>
      <c r="AB67" s="236">
        <f>+AB66</f>
        <v>571428.57142857148</v>
      </c>
      <c r="AC67" s="236">
        <f t="shared" si="8"/>
        <v>11952380.952380959</v>
      </c>
      <c r="AD67" s="225" t="e">
        <f>+AA$26*AC67+AB67</f>
        <v>#REF!</v>
      </c>
      <c r="AE67" s="239">
        <f>+AE66</f>
        <v>15200000</v>
      </c>
      <c r="AF67" s="236">
        <f>+AF66</f>
        <v>1200000</v>
      </c>
      <c r="AG67" s="236">
        <f t="shared" si="9"/>
        <v>14000000</v>
      </c>
      <c r="AH67" s="225" t="e">
        <f>+AE$26*AG67+AF67</f>
        <v>#REF!</v>
      </c>
      <c r="AI67" s="239">
        <f>+AI66</f>
        <v>11833333.333333332</v>
      </c>
      <c r="AJ67" s="236">
        <f>+AJ66</f>
        <v>666666.66666666663</v>
      </c>
      <c r="AK67" s="236">
        <f t="shared" si="10"/>
        <v>11166666.666666666</v>
      </c>
      <c r="AL67" s="225" t="e">
        <f>+AI$26*AK67+AJ67</f>
        <v>#REF!</v>
      </c>
      <c r="AM67" s="253" t="e">
        <f t="shared" si="1"/>
        <v>#REF!</v>
      </c>
      <c r="AN67" s="238" t="e">
        <f>+AM67</f>
        <v>#REF!</v>
      </c>
      <c r="AO67" s="194"/>
    </row>
    <row r="68" spans="1:41">
      <c r="A68" s="196" t="s">
        <v>425</v>
      </c>
      <c r="B68" s="235">
        <f t="shared" si="4"/>
        <v>2023</v>
      </c>
      <c r="C68" s="236">
        <f>+E67</f>
        <v>8333333.3333333367</v>
      </c>
      <c r="D68" s="236">
        <f>+C$28</f>
        <v>666666.66666666663</v>
      </c>
      <c r="E68" s="236">
        <f t="shared" si="11"/>
        <v>7666666.6666666698</v>
      </c>
      <c r="F68" s="225" t="e">
        <f>+C$25*E68+D68</f>
        <v>#REF!</v>
      </c>
      <c r="G68" s="236">
        <f>+I67</f>
        <v>15642857.142857131</v>
      </c>
      <c r="H68" s="236">
        <f>+G$28</f>
        <v>857142.85714285716</v>
      </c>
      <c r="I68" s="236">
        <f t="shared" si="12"/>
        <v>14785714.285714274</v>
      </c>
      <c r="J68" s="225" t="e">
        <f>+G$25*I68+H68</f>
        <v>#REF!</v>
      </c>
      <c r="K68" s="239">
        <f>+M67</f>
        <v>11875000</v>
      </c>
      <c r="L68" s="236">
        <f>+K$28</f>
        <v>500000</v>
      </c>
      <c r="M68" s="236">
        <f t="shared" si="13"/>
        <v>11375000</v>
      </c>
      <c r="N68" s="225" t="e">
        <f>+K$25*M68+L68</f>
        <v>#REF!</v>
      </c>
      <c r="O68" s="239">
        <f>+Q67</f>
        <v>18625000</v>
      </c>
      <c r="P68" s="236">
        <f>+O$28</f>
        <v>750000</v>
      </c>
      <c r="Q68" s="236">
        <f>+O68-P68</f>
        <v>17875000</v>
      </c>
      <c r="R68" s="225" t="e">
        <f>+O$25*Q68+P68</f>
        <v>#REF!</v>
      </c>
      <c r="S68" s="239">
        <f>+U67</f>
        <v>12083333.333333332</v>
      </c>
      <c r="T68" s="236">
        <f>+S$28</f>
        <v>500000</v>
      </c>
      <c r="U68" s="236">
        <f>+S68-T68</f>
        <v>11583333.333333332</v>
      </c>
      <c r="V68" s="225" t="e">
        <f>+S$25*U68+T68</f>
        <v>#REF!</v>
      </c>
      <c r="W68" s="239">
        <f>+Y67</f>
        <v>19000000</v>
      </c>
      <c r="X68" s="236">
        <f>+W$28</f>
        <v>750000</v>
      </c>
      <c r="Y68" s="236">
        <f t="shared" si="7"/>
        <v>18250000</v>
      </c>
      <c r="Z68" s="225" t="e">
        <f>+W$25*Y68+X68</f>
        <v>#REF!</v>
      </c>
      <c r="AA68" s="239">
        <f>+AC67</f>
        <v>11952380.952380959</v>
      </c>
      <c r="AB68" s="236">
        <f>+AA$28</f>
        <v>571428.57142857148</v>
      </c>
      <c r="AC68" s="236">
        <f t="shared" si="8"/>
        <v>11380952.380952388</v>
      </c>
      <c r="AD68" s="225" t="e">
        <f>+AA$25*AC68+AB68</f>
        <v>#REF!</v>
      </c>
      <c r="AE68" s="239">
        <f>+AG67</f>
        <v>14000000</v>
      </c>
      <c r="AF68" s="236">
        <f>+AE$28</f>
        <v>1200000</v>
      </c>
      <c r="AG68" s="236">
        <f t="shared" si="9"/>
        <v>12800000</v>
      </c>
      <c r="AH68" s="225" t="e">
        <f>+AE$25*AG68+AF68</f>
        <v>#REF!</v>
      </c>
      <c r="AI68" s="239">
        <f>+AK67</f>
        <v>11166666.666666666</v>
      </c>
      <c r="AJ68" s="236">
        <f>+AI$28</f>
        <v>666666.66666666663</v>
      </c>
      <c r="AK68" s="236">
        <f t="shared" si="10"/>
        <v>10500000</v>
      </c>
      <c r="AL68" s="225" t="e">
        <f>+AI$25*AK68+AJ68</f>
        <v>#REF!</v>
      </c>
      <c r="AM68" s="253" t="e">
        <f t="shared" si="1"/>
        <v>#REF!</v>
      </c>
      <c r="AN68" s="25"/>
      <c r="AO68" s="237" t="e">
        <f>+AM68</f>
        <v>#REF!</v>
      </c>
    </row>
    <row r="69" spans="1:41">
      <c r="A69" s="196" t="s">
        <v>399</v>
      </c>
      <c r="B69" s="235">
        <f t="shared" si="4"/>
        <v>2023</v>
      </c>
      <c r="C69" s="236">
        <f>+C68</f>
        <v>8333333.3333333367</v>
      </c>
      <c r="D69" s="236">
        <f>+D68</f>
        <v>666666.66666666663</v>
      </c>
      <c r="E69" s="236">
        <f t="shared" si="11"/>
        <v>7666666.6666666698</v>
      </c>
      <c r="F69" s="225" t="e">
        <f>+C$26*E69+D69</f>
        <v>#REF!</v>
      </c>
      <c r="G69" s="236">
        <f>+G68</f>
        <v>15642857.142857131</v>
      </c>
      <c r="H69" s="236">
        <f>+H68</f>
        <v>857142.85714285716</v>
      </c>
      <c r="I69" s="236">
        <f t="shared" si="12"/>
        <v>14785714.285714274</v>
      </c>
      <c r="J69" s="225" t="e">
        <f>+G$26*I69+H69</f>
        <v>#REF!</v>
      </c>
      <c r="K69" s="239">
        <f>+K68</f>
        <v>11875000</v>
      </c>
      <c r="L69" s="236">
        <f>+L68</f>
        <v>500000</v>
      </c>
      <c r="M69" s="236">
        <f t="shared" si="13"/>
        <v>11375000</v>
      </c>
      <c r="N69" s="225" t="e">
        <f>+K$26*M69+L69</f>
        <v>#REF!</v>
      </c>
      <c r="O69" s="239">
        <f>+O68</f>
        <v>18625000</v>
      </c>
      <c r="P69" s="236">
        <f>+P68</f>
        <v>750000</v>
      </c>
      <c r="Q69" s="236">
        <f>+O69-P69</f>
        <v>17875000</v>
      </c>
      <c r="R69" s="225" t="e">
        <f>+O$26*Q69+P69</f>
        <v>#REF!</v>
      </c>
      <c r="S69" s="239">
        <f>+S68</f>
        <v>12083333.333333332</v>
      </c>
      <c r="T69" s="236">
        <f>+T68</f>
        <v>500000</v>
      </c>
      <c r="U69" s="236">
        <f>+S69-T69</f>
        <v>11583333.333333332</v>
      </c>
      <c r="V69" s="225" t="e">
        <f>+S$26*U69+T69</f>
        <v>#REF!</v>
      </c>
      <c r="W69" s="239">
        <f>+W68</f>
        <v>19000000</v>
      </c>
      <c r="X69" s="236">
        <f>+X68</f>
        <v>750000</v>
      </c>
      <c r="Y69" s="236">
        <f t="shared" si="7"/>
        <v>18250000</v>
      </c>
      <c r="Z69" s="225" t="e">
        <f>+W$26*Y69+X69</f>
        <v>#REF!</v>
      </c>
      <c r="AA69" s="239">
        <f>+AA68</f>
        <v>11952380.952380959</v>
      </c>
      <c r="AB69" s="236">
        <f>+AB68</f>
        <v>571428.57142857148</v>
      </c>
      <c r="AC69" s="236">
        <f t="shared" si="8"/>
        <v>11380952.380952388</v>
      </c>
      <c r="AD69" s="225" t="e">
        <f>+AA$26*AC69+AB69</f>
        <v>#REF!</v>
      </c>
      <c r="AE69" s="239">
        <f>+AE68</f>
        <v>14000000</v>
      </c>
      <c r="AF69" s="236">
        <f>+AF68</f>
        <v>1200000</v>
      </c>
      <c r="AG69" s="236">
        <f t="shared" si="9"/>
        <v>12800000</v>
      </c>
      <c r="AH69" s="225" t="e">
        <f>+AE$26*AG69+AF69</f>
        <v>#REF!</v>
      </c>
      <c r="AI69" s="239">
        <f>+AI68</f>
        <v>11166666.666666666</v>
      </c>
      <c r="AJ69" s="236">
        <f>+AJ68</f>
        <v>666666.66666666663</v>
      </c>
      <c r="AK69" s="236">
        <f t="shared" si="10"/>
        <v>10500000</v>
      </c>
      <c r="AL69" s="225" t="e">
        <f>+AI$26*AK69+AJ69</f>
        <v>#REF!</v>
      </c>
      <c r="AM69" s="253" t="e">
        <f t="shared" si="1"/>
        <v>#REF!</v>
      </c>
      <c r="AN69" s="238" t="e">
        <f>+AM69</f>
        <v>#REF!</v>
      </c>
      <c r="AO69" s="194"/>
    </row>
    <row r="70" spans="1:41">
      <c r="A70" s="196" t="s">
        <v>425</v>
      </c>
      <c r="B70" s="235">
        <f t="shared" si="4"/>
        <v>2024</v>
      </c>
      <c r="C70" s="236">
        <f>+E69</f>
        <v>7666666.6666666698</v>
      </c>
      <c r="D70" s="236">
        <f>+C$28</f>
        <v>666666.66666666663</v>
      </c>
      <c r="E70" s="236">
        <f t="shared" si="11"/>
        <v>7000000.0000000028</v>
      </c>
      <c r="F70" s="225" t="e">
        <f>+C$25*E70+D70</f>
        <v>#REF!</v>
      </c>
      <c r="G70" s="236">
        <f>+I69</f>
        <v>14785714.285714274</v>
      </c>
      <c r="H70" s="236">
        <f>+G$28</f>
        <v>857142.85714285716</v>
      </c>
      <c r="I70" s="236">
        <f t="shared" si="12"/>
        <v>13928571.428571418</v>
      </c>
      <c r="J70" s="225" t="e">
        <f>+G$25*I70+H70</f>
        <v>#REF!</v>
      </c>
      <c r="K70" s="239">
        <f>+M69</f>
        <v>11375000</v>
      </c>
      <c r="L70" s="236">
        <f>+K$28</f>
        <v>500000</v>
      </c>
      <c r="M70" s="236">
        <f t="shared" si="13"/>
        <v>10875000</v>
      </c>
      <c r="N70" s="225" t="e">
        <f>+K$25*M70+L70</f>
        <v>#REF!</v>
      </c>
      <c r="O70" s="239">
        <f>+Q69</f>
        <v>17875000</v>
      </c>
      <c r="P70" s="236">
        <f>+O$28</f>
        <v>750000</v>
      </c>
      <c r="Q70" s="236">
        <f>+O70-P70</f>
        <v>17125000</v>
      </c>
      <c r="R70" s="225" t="e">
        <f>+O$25*Q70+P70</f>
        <v>#REF!</v>
      </c>
      <c r="S70" s="239">
        <f>+U69</f>
        <v>11583333.333333332</v>
      </c>
      <c r="T70" s="236">
        <f>+S$28</f>
        <v>500000</v>
      </c>
      <c r="U70" s="236">
        <f>+S70-T70</f>
        <v>11083333.333333332</v>
      </c>
      <c r="V70" s="225" t="e">
        <f>+S$25*U70+T70</f>
        <v>#REF!</v>
      </c>
      <c r="W70" s="239">
        <f>+Y69</f>
        <v>18250000</v>
      </c>
      <c r="X70" s="236">
        <f>+W$28</f>
        <v>750000</v>
      </c>
      <c r="Y70" s="236">
        <f>+W70-X70</f>
        <v>17500000</v>
      </c>
      <c r="Z70" s="225" t="e">
        <f>+W$25*Y70+X70</f>
        <v>#REF!</v>
      </c>
      <c r="AA70" s="239">
        <f>+AC69</f>
        <v>11380952.380952388</v>
      </c>
      <c r="AB70" s="236">
        <f>+AA$28</f>
        <v>571428.57142857148</v>
      </c>
      <c r="AC70" s="236">
        <f>+AA70-AB70</f>
        <v>10809523.809523817</v>
      </c>
      <c r="AD70" s="225" t="e">
        <f>+AA$25*AC70+AB70</f>
        <v>#REF!</v>
      </c>
      <c r="AE70" s="239">
        <f>+AG69</f>
        <v>12800000</v>
      </c>
      <c r="AF70" s="236">
        <f>+AE$28</f>
        <v>1200000</v>
      </c>
      <c r="AG70" s="236">
        <f t="shared" si="9"/>
        <v>11600000</v>
      </c>
      <c r="AH70" s="225" t="e">
        <f>+AE$25*AG70+AF70</f>
        <v>#REF!</v>
      </c>
      <c r="AI70" s="239">
        <f>+AK69</f>
        <v>10500000</v>
      </c>
      <c r="AJ70" s="236">
        <f>+AI$28</f>
        <v>666666.66666666663</v>
      </c>
      <c r="AK70" s="236">
        <f t="shared" si="10"/>
        <v>9833333.333333334</v>
      </c>
      <c r="AL70" s="225" t="e">
        <f>+AI$25*AK70+AJ70</f>
        <v>#REF!</v>
      </c>
      <c r="AM70" s="253" t="e">
        <f t="shared" si="1"/>
        <v>#REF!</v>
      </c>
      <c r="AN70" s="25"/>
      <c r="AO70" s="237" t="e">
        <f>+AM70</f>
        <v>#REF!</v>
      </c>
    </row>
    <row r="71" spans="1:41">
      <c r="A71" s="196" t="s">
        <v>399</v>
      </c>
      <c r="B71" s="235">
        <f t="shared" si="4"/>
        <v>2024</v>
      </c>
      <c r="C71" s="236"/>
      <c r="D71" s="236">
        <f>+D70</f>
        <v>666666.66666666663</v>
      </c>
      <c r="E71" s="236">
        <f t="shared" si="11"/>
        <v>-666666.66666666663</v>
      </c>
      <c r="F71" s="225" t="e">
        <f>+C$26*E71+D71</f>
        <v>#REF!</v>
      </c>
      <c r="G71" s="236">
        <f>+G70</f>
        <v>14785714.285714274</v>
      </c>
      <c r="H71" s="236">
        <f>+H70</f>
        <v>857142.85714285716</v>
      </c>
      <c r="I71" s="236">
        <f t="shared" si="12"/>
        <v>13928571.428571418</v>
      </c>
      <c r="J71" s="225" t="e">
        <f>+G$26*I71+H71</f>
        <v>#REF!</v>
      </c>
      <c r="K71" s="239">
        <f>+K70</f>
        <v>11375000</v>
      </c>
      <c r="L71" s="236">
        <f>+L70</f>
        <v>500000</v>
      </c>
      <c r="M71" s="236">
        <f t="shared" si="13"/>
        <v>10875000</v>
      </c>
      <c r="N71" s="225" t="e">
        <f>+K$26*M71+L71</f>
        <v>#REF!</v>
      </c>
      <c r="O71" s="239">
        <f>+O70</f>
        <v>17875000</v>
      </c>
      <c r="P71" s="236">
        <f>+P70</f>
        <v>750000</v>
      </c>
      <c r="Q71" s="236">
        <f>+O71-P71</f>
        <v>17125000</v>
      </c>
      <c r="R71" s="225" t="e">
        <f>+O$26*Q71+P71</f>
        <v>#REF!</v>
      </c>
      <c r="S71" s="239">
        <f>+S70</f>
        <v>11583333.333333332</v>
      </c>
      <c r="T71" s="236">
        <f>+T70</f>
        <v>500000</v>
      </c>
      <c r="U71" s="236">
        <f>+S71-T71</f>
        <v>11083333.333333332</v>
      </c>
      <c r="V71" s="225" t="e">
        <f>+S$26*U71+T71</f>
        <v>#REF!</v>
      </c>
      <c r="W71" s="239">
        <f>+W70</f>
        <v>18250000</v>
      </c>
      <c r="X71" s="236">
        <f>+X70</f>
        <v>750000</v>
      </c>
      <c r="Y71" s="236">
        <f>+W71-X71</f>
        <v>17500000</v>
      </c>
      <c r="Z71" s="225" t="e">
        <f>+W$26*Y71+X71</f>
        <v>#REF!</v>
      </c>
      <c r="AA71" s="239">
        <f>+AA70</f>
        <v>11380952.380952388</v>
      </c>
      <c r="AB71" s="236">
        <f>+AB70</f>
        <v>571428.57142857148</v>
      </c>
      <c r="AC71" s="236">
        <f>+AA71-AB71</f>
        <v>10809523.809523817</v>
      </c>
      <c r="AD71" s="225" t="e">
        <f>+AA$26*AC71+AB71</f>
        <v>#REF!</v>
      </c>
      <c r="AE71" s="239">
        <f>+AE70</f>
        <v>12800000</v>
      </c>
      <c r="AF71" s="236">
        <f>+AF70</f>
        <v>1200000</v>
      </c>
      <c r="AG71" s="236">
        <f t="shared" si="9"/>
        <v>11600000</v>
      </c>
      <c r="AH71" s="225" t="e">
        <f>+AE$26*AG71+AF71</f>
        <v>#REF!</v>
      </c>
      <c r="AI71" s="239">
        <f>+AI70</f>
        <v>10500000</v>
      </c>
      <c r="AJ71" s="236">
        <f>+AJ70</f>
        <v>666666.66666666663</v>
      </c>
      <c r="AK71" s="236">
        <f t="shared" si="10"/>
        <v>9833333.333333334</v>
      </c>
      <c r="AL71" s="225" t="e">
        <f>+AI$26*AK71+AJ71</f>
        <v>#REF!</v>
      </c>
      <c r="AM71" s="253" t="e">
        <f t="shared" si="1"/>
        <v>#REF!</v>
      </c>
      <c r="AN71" s="238" t="e">
        <f>+AM71</f>
        <v>#REF!</v>
      </c>
      <c r="AO71" s="194"/>
    </row>
    <row r="72" spans="1:41">
      <c r="A72" s="240" t="s">
        <v>419</v>
      </c>
      <c r="B72" s="241" t="s">
        <v>419</v>
      </c>
      <c r="C72" s="242"/>
      <c r="D72" s="242" t="s">
        <v>419</v>
      </c>
      <c r="E72" s="242" t="s">
        <v>420</v>
      </c>
      <c r="F72" s="243" t="s">
        <v>419</v>
      </c>
      <c r="G72" s="242" t="s">
        <v>419</v>
      </c>
      <c r="H72" s="242" t="s">
        <v>419</v>
      </c>
      <c r="I72" s="242" t="s">
        <v>420</v>
      </c>
      <c r="J72" s="243" t="s">
        <v>419</v>
      </c>
      <c r="K72" s="242" t="s">
        <v>419</v>
      </c>
      <c r="L72" s="242" t="s">
        <v>419</v>
      </c>
      <c r="M72" s="242" t="s">
        <v>420</v>
      </c>
      <c r="N72" s="243" t="s">
        <v>419</v>
      </c>
      <c r="O72" s="242" t="s">
        <v>419</v>
      </c>
      <c r="P72" s="242" t="s">
        <v>419</v>
      </c>
      <c r="Q72" s="242" t="s">
        <v>420</v>
      </c>
      <c r="R72" s="243" t="s">
        <v>419</v>
      </c>
      <c r="S72" s="242" t="s">
        <v>419</v>
      </c>
      <c r="T72" s="242" t="s">
        <v>419</v>
      </c>
      <c r="U72" s="242" t="s">
        <v>420</v>
      </c>
      <c r="V72" s="243" t="s">
        <v>419</v>
      </c>
      <c r="W72" s="242" t="s">
        <v>419</v>
      </c>
      <c r="X72" s="242" t="s">
        <v>419</v>
      </c>
      <c r="Y72" s="242" t="s">
        <v>420</v>
      </c>
      <c r="Z72" s="243" t="s">
        <v>419</v>
      </c>
      <c r="AA72" s="242" t="s">
        <v>419</v>
      </c>
      <c r="AB72" s="242" t="s">
        <v>419</v>
      </c>
      <c r="AC72" s="242" t="s">
        <v>420</v>
      </c>
      <c r="AD72" s="243" t="s">
        <v>419</v>
      </c>
      <c r="AE72" s="242" t="s">
        <v>419</v>
      </c>
      <c r="AF72" s="242" t="s">
        <v>419</v>
      </c>
      <c r="AG72" s="242" t="s">
        <v>420</v>
      </c>
      <c r="AH72" s="243" t="s">
        <v>419</v>
      </c>
      <c r="AI72" s="242" t="s">
        <v>419</v>
      </c>
      <c r="AJ72" s="242" t="s">
        <v>419</v>
      </c>
      <c r="AK72" s="242" t="s">
        <v>420</v>
      </c>
      <c r="AL72" s="243" t="s">
        <v>419</v>
      </c>
      <c r="AM72" s="253"/>
      <c r="AN72" s="25"/>
      <c r="AO72" s="237">
        <f>+AM72</f>
        <v>0</v>
      </c>
    </row>
    <row r="73" spans="1:41" ht="13.5" thickBot="1">
      <c r="A73" s="244" t="s">
        <v>419</v>
      </c>
      <c r="B73" s="245" t="s">
        <v>419</v>
      </c>
      <c r="C73" s="246" t="s">
        <v>419</v>
      </c>
      <c r="D73" s="246" t="s">
        <v>420</v>
      </c>
      <c r="E73" s="246" t="s">
        <v>420</v>
      </c>
      <c r="F73" s="247" t="s">
        <v>419</v>
      </c>
      <c r="G73" s="246" t="s">
        <v>419</v>
      </c>
      <c r="H73" s="246" t="s">
        <v>420</v>
      </c>
      <c r="I73" s="246" t="s">
        <v>420</v>
      </c>
      <c r="J73" s="247" t="s">
        <v>419</v>
      </c>
      <c r="K73" s="246" t="s">
        <v>419</v>
      </c>
      <c r="L73" s="246" t="s">
        <v>420</v>
      </c>
      <c r="M73" s="246" t="s">
        <v>420</v>
      </c>
      <c r="N73" s="247" t="s">
        <v>419</v>
      </c>
      <c r="O73" s="246" t="s">
        <v>419</v>
      </c>
      <c r="P73" s="246" t="s">
        <v>420</v>
      </c>
      <c r="Q73" s="246" t="s">
        <v>420</v>
      </c>
      <c r="R73" s="247" t="s">
        <v>419</v>
      </c>
      <c r="S73" s="246" t="s">
        <v>419</v>
      </c>
      <c r="T73" s="246" t="s">
        <v>420</v>
      </c>
      <c r="U73" s="246" t="s">
        <v>420</v>
      </c>
      <c r="V73" s="247" t="s">
        <v>419</v>
      </c>
      <c r="W73" s="246" t="s">
        <v>419</v>
      </c>
      <c r="X73" s="246" t="s">
        <v>420</v>
      </c>
      <c r="Y73" s="246" t="s">
        <v>420</v>
      </c>
      <c r="Z73" s="247" t="s">
        <v>419</v>
      </c>
      <c r="AA73" s="246" t="s">
        <v>419</v>
      </c>
      <c r="AB73" s="246" t="s">
        <v>420</v>
      </c>
      <c r="AC73" s="246" t="s">
        <v>420</v>
      </c>
      <c r="AD73" s="247" t="s">
        <v>419</v>
      </c>
      <c r="AE73" s="246" t="s">
        <v>419</v>
      </c>
      <c r="AF73" s="246" t="s">
        <v>420</v>
      </c>
      <c r="AG73" s="246" t="s">
        <v>420</v>
      </c>
      <c r="AH73" s="247" t="s">
        <v>419</v>
      </c>
      <c r="AI73" s="246" t="s">
        <v>419</v>
      </c>
      <c r="AJ73" s="246" t="s">
        <v>420</v>
      </c>
      <c r="AK73" s="246" t="s">
        <v>420</v>
      </c>
      <c r="AL73" s="247" t="s">
        <v>419</v>
      </c>
      <c r="AM73" s="254"/>
      <c r="AN73" s="248">
        <f>+AM73</f>
        <v>0</v>
      </c>
      <c r="AO73" s="202"/>
    </row>
    <row r="74" spans="1:41">
      <c r="A74" s="23"/>
      <c r="B74" s="249"/>
      <c r="C74" s="23"/>
      <c r="D74" s="23"/>
      <c r="E74" s="23"/>
      <c r="F74" s="250"/>
      <c r="G74" s="23"/>
      <c r="H74" s="23"/>
      <c r="I74" s="23"/>
      <c r="J74" s="250"/>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51" t="e">
        <f>SUM(AN32:AN71)</f>
        <v>#REF!</v>
      </c>
      <c r="AO74" s="251" t="e">
        <f>SUM(AO32:AO71)</f>
        <v>#REF!</v>
      </c>
    </row>
    <row r="76" spans="1:41">
      <c r="AN76" s="34"/>
    </row>
    <row r="306" spans="1:6">
      <c r="A306" s="260"/>
      <c r="B306" s="259"/>
      <c r="C306" s="260"/>
      <c r="D306" s="260"/>
      <c r="E306" s="260"/>
      <c r="F306" s="261"/>
    </row>
    <row r="307" spans="1:6">
      <c r="A307" s="260"/>
      <c r="B307" s="259"/>
      <c r="C307" s="260"/>
      <c r="D307" s="260"/>
      <c r="E307" s="260"/>
      <c r="F307" s="261"/>
    </row>
    <row r="308" spans="1:6">
      <c r="A308" s="260"/>
      <c r="B308" s="259"/>
      <c r="C308" s="260"/>
      <c r="D308" s="260"/>
      <c r="E308" s="260"/>
      <c r="F308" s="261"/>
    </row>
    <row r="309" spans="1:6">
      <c r="A309" s="260"/>
      <c r="B309" s="259"/>
      <c r="C309" s="260"/>
      <c r="D309" s="260"/>
      <c r="E309" s="260"/>
      <c r="F309" s="261"/>
    </row>
    <row r="310" spans="1:6">
      <c r="A310" s="260"/>
      <c r="B310" s="259"/>
      <c r="C310" s="260"/>
      <c r="D310" s="260"/>
      <c r="E310" s="260"/>
      <c r="F310" s="261"/>
    </row>
    <row r="311" spans="1:6">
      <c r="A311" s="260"/>
      <c r="B311" s="259"/>
      <c r="C311" s="260"/>
      <c r="D311" s="260"/>
      <c r="E311" s="260"/>
      <c r="F311" s="261"/>
    </row>
    <row r="312" spans="1:6">
      <c r="A312" s="260"/>
      <c r="B312" s="259"/>
      <c r="C312" s="260"/>
      <c r="D312" s="260"/>
      <c r="E312" s="260"/>
      <c r="F312" s="261"/>
    </row>
    <row r="313" spans="1:6">
      <c r="A313" s="260"/>
      <c r="B313" s="259"/>
      <c r="C313" s="260"/>
      <c r="D313" s="260"/>
      <c r="E313" s="260"/>
      <c r="F313" s="261"/>
    </row>
    <row r="314" spans="1:6">
      <c r="A314" s="260"/>
      <c r="B314" s="259"/>
      <c r="C314" s="260"/>
      <c r="D314" s="260"/>
      <c r="E314" s="260"/>
      <c r="F314" s="261"/>
    </row>
  </sheetData>
  <mergeCells count="1">
    <mergeCell ref="A1:AO1"/>
  </mergeCells>
  <phoneticPr fontId="0" type="noConversion"/>
  <printOptions horizontalCentered="1"/>
  <pageMargins left="0.25" right="0.25" top="0.25" bottom="0.25" header="0.5" footer="0.5"/>
  <pageSetup scale="62"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sheetPr>
    <pageSetUpPr fitToPage="1"/>
  </sheetPr>
  <dimension ref="A2:Q496"/>
  <sheetViews>
    <sheetView topLeftCell="B1" zoomScale="60" zoomScaleNormal="70" workbookViewId="0">
      <pane ySplit="13" topLeftCell="A52" activePane="bottomLeft" state="frozen"/>
      <selection activeCell="D9" sqref="D9"/>
      <selection pane="bottomLeft" activeCell="F205" sqref="F205"/>
    </sheetView>
  </sheetViews>
  <sheetFormatPr defaultRowHeight="12.75"/>
  <cols>
    <col min="1" max="1" width="6.42578125" customWidth="1"/>
    <col min="2" max="2" width="4.28515625" customWidth="1"/>
    <col min="3" max="3" width="58" customWidth="1"/>
    <col min="4" max="4" width="35.5703125" customWidth="1"/>
    <col min="5" max="5" width="15.42578125" bestFit="1" customWidth="1"/>
    <col min="6" max="6" width="20.7109375" customWidth="1"/>
    <col min="7" max="7" width="15.140625" customWidth="1"/>
    <col min="8" max="8" width="13" customWidth="1"/>
    <col min="9" max="9" width="15.85546875" customWidth="1"/>
    <col min="10" max="10" width="12.7109375" customWidth="1"/>
    <col min="11" max="11" width="15.42578125" customWidth="1"/>
    <col min="12" max="12" width="13.85546875" customWidth="1"/>
    <col min="13" max="13" width="12.85546875" customWidth="1"/>
    <col min="14" max="14" width="12.5703125" customWidth="1"/>
    <col min="15" max="15" width="12.28515625" customWidth="1"/>
    <col min="16" max="16" width="13.140625" customWidth="1"/>
    <col min="17" max="17" width="14.85546875" customWidth="1"/>
  </cols>
  <sheetData>
    <row r="2" spans="1:17">
      <c r="G2" s="21" t="s">
        <v>390</v>
      </c>
      <c r="H2" s="21" t="s">
        <v>390</v>
      </c>
      <c r="I2" s="21" t="s">
        <v>390</v>
      </c>
      <c r="J2" s="21" t="s">
        <v>390</v>
      </c>
      <c r="K2" s="21" t="s">
        <v>390</v>
      </c>
      <c r="L2" s="21" t="s">
        <v>390</v>
      </c>
      <c r="M2" s="21" t="s">
        <v>390</v>
      </c>
      <c r="N2" s="21" t="s">
        <v>390</v>
      </c>
      <c r="O2" s="21" t="s">
        <v>390</v>
      </c>
      <c r="P2" s="21" t="s">
        <v>390</v>
      </c>
      <c r="Q2" s="21" t="s">
        <v>390</v>
      </c>
    </row>
    <row r="3" spans="1:17" ht="16.5" thickBot="1">
      <c r="A3" s="29" t="s">
        <v>520</v>
      </c>
      <c r="G3" s="59" t="s">
        <v>214</v>
      </c>
      <c r="H3" s="59" t="str">
        <f>'Appendix H-1'!$B303</f>
        <v>B</v>
      </c>
      <c r="I3" s="59" t="str">
        <f>'Appendix H-1'!$B306</f>
        <v>C</v>
      </c>
      <c r="J3" s="59" t="str">
        <f>'Appendix H-1'!$B307</f>
        <v>D</v>
      </c>
      <c r="K3" s="59" t="str">
        <f>'Appendix H-1'!$B308&amp;"  &amp;  "&amp;'Appendix H-1'!$B310</f>
        <v>E  &amp;  G</v>
      </c>
      <c r="L3" s="59" t="str">
        <f>'Appendix H-1'!$B309</f>
        <v>F</v>
      </c>
      <c r="M3" s="59" t="str">
        <f>'Appendix H-1'!$B311</f>
        <v>H</v>
      </c>
      <c r="N3" s="59" t="e">
        <f>'Appendix H-1'!#REF!</f>
        <v>#REF!</v>
      </c>
      <c r="O3" s="59" t="str">
        <f>'Appendix H-1'!$B319</f>
        <v>K</v>
      </c>
      <c r="P3" s="59" t="str">
        <f>'Appendix H-1'!$B320</f>
        <v>L</v>
      </c>
      <c r="Q3" s="59" t="str">
        <f>'Appendix H-1'!$B322</f>
        <v>M</v>
      </c>
    </row>
    <row r="4" spans="1:17" ht="87.75" customHeight="1">
      <c r="A4" s="1295" t="s">
        <v>523</v>
      </c>
      <c r="B4" s="1296"/>
      <c r="C4" s="1296"/>
      <c r="D4" s="1296"/>
      <c r="E4" s="1296"/>
      <c r="F4" s="1297"/>
      <c r="G4" s="205" t="s">
        <v>524</v>
      </c>
      <c r="H4" s="205" t="s">
        <v>525</v>
      </c>
      <c r="I4" s="205" t="s">
        <v>526</v>
      </c>
      <c r="J4" s="205" t="s">
        <v>527</v>
      </c>
      <c r="K4" s="205" t="s">
        <v>528</v>
      </c>
      <c r="L4" s="205" t="s">
        <v>529</v>
      </c>
      <c r="M4" s="205" t="s">
        <v>534</v>
      </c>
      <c r="N4" s="205" t="s">
        <v>530</v>
      </c>
      <c r="O4" s="205" t="s">
        <v>531</v>
      </c>
      <c r="P4" s="205" t="s">
        <v>532</v>
      </c>
      <c r="Q4" s="206" t="s">
        <v>533</v>
      </c>
    </row>
    <row r="5" spans="1:17" ht="15.75" hidden="1">
      <c r="A5" s="102"/>
      <c r="B5" s="96" t="str">
        <f>'Appendix H-1'!B11</f>
        <v>Wages &amp; Salary Allocation Factor</v>
      </c>
      <c r="C5" s="14"/>
      <c r="D5" s="14"/>
      <c r="E5" s="68"/>
      <c r="F5" s="103"/>
      <c r="G5" s="25"/>
      <c r="H5" s="25"/>
      <c r="I5" s="25"/>
      <c r="J5" s="25"/>
      <c r="K5" s="25"/>
      <c r="L5" s="25"/>
      <c r="M5" s="25"/>
      <c r="N5" s="25"/>
      <c r="O5" s="25"/>
      <c r="P5" s="25"/>
      <c r="Q5" s="194"/>
    </row>
    <row r="6" spans="1:17" ht="15.75" hidden="1">
      <c r="A6" s="104">
        <f>'Appendix H-1'!A12</f>
        <v>1</v>
      </c>
      <c r="B6" s="75"/>
      <c r="C6" s="50" t="str">
        <f>'Appendix H-1'!C12</f>
        <v>Transmission Wages Expense</v>
      </c>
      <c r="D6" s="105"/>
      <c r="E6" s="81"/>
      <c r="F6" s="103" t="str">
        <f>'Appendix H-1'!F12</f>
        <v>p354.21b</v>
      </c>
      <c r="G6" s="25"/>
      <c r="H6" s="25"/>
      <c r="I6" s="25"/>
      <c r="J6" s="25"/>
      <c r="K6" s="25"/>
      <c r="L6" s="25"/>
      <c r="M6" s="25"/>
      <c r="N6" s="25"/>
      <c r="O6" s="25"/>
      <c r="P6" s="25"/>
      <c r="Q6" s="194"/>
    </row>
    <row r="7" spans="1:17" ht="15.75" hidden="1">
      <c r="A7" s="106"/>
      <c r="B7" s="14"/>
      <c r="C7" s="14"/>
      <c r="D7" s="14"/>
      <c r="E7" s="51"/>
      <c r="F7" s="107"/>
      <c r="G7" s="25"/>
      <c r="H7" s="25"/>
      <c r="I7" s="25"/>
      <c r="J7" s="25"/>
      <c r="K7" s="25"/>
      <c r="L7" s="25"/>
      <c r="M7" s="25"/>
      <c r="N7" s="25"/>
      <c r="O7" s="25"/>
      <c r="P7" s="25"/>
      <c r="Q7" s="194"/>
    </row>
    <row r="8" spans="1:17" ht="15.75" hidden="1">
      <c r="A8" s="104">
        <f>'Appendix H-1'!A13</f>
        <v>2</v>
      </c>
      <c r="B8" s="75"/>
      <c r="C8" s="50" t="str">
        <f>'Appendix H-1'!C13</f>
        <v>Total Wages Expense</v>
      </c>
      <c r="D8" s="50"/>
      <c r="E8" s="51"/>
      <c r="F8" s="108" t="str">
        <f>'Appendix H-1'!F13</f>
        <v>p354.28b</v>
      </c>
      <c r="G8" s="25"/>
      <c r="H8" s="25"/>
      <c r="I8" s="25"/>
      <c r="J8" s="25"/>
      <c r="K8" s="25"/>
      <c r="L8" s="25"/>
      <c r="M8" s="25"/>
      <c r="N8" s="25"/>
      <c r="O8" s="25"/>
      <c r="P8" s="25"/>
      <c r="Q8" s="194"/>
    </row>
    <row r="9" spans="1:17" ht="15.75" hidden="1">
      <c r="A9" s="104">
        <f>'Appendix H-1'!A14</f>
        <v>3</v>
      </c>
      <c r="B9" s="75"/>
      <c r="C9" s="50" t="str">
        <f>'Appendix H-1'!C14</f>
        <v xml:space="preserve">     Remove A&amp;G Wages Expense</v>
      </c>
      <c r="D9" s="50"/>
      <c r="E9" s="51"/>
      <c r="F9" s="108" t="str">
        <f>'Appendix H-1'!F14</f>
        <v>p354.27b</v>
      </c>
      <c r="G9" s="25"/>
      <c r="H9" s="25"/>
      <c r="I9" s="25"/>
      <c r="J9" s="25"/>
      <c r="K9" s="25"/>
      <c r="L9" s="25"/>
      <c r="M9" s="25"/>
      <c r="N9" s="25"/>
      <c r="O9" s="25"/>
      <c r="P9" s="25"/>
      <c r="Q9" s="194"/>
    </row>
    <row r="10" spans="1:17" ht="15.75" hidden="1" customHeight="1">
      <c r="A10" s="104">
        <f>'Appendix H-1'!A15</f>
        <v>4</v>
      </c>
      <c r="B10" s="75"/>
      <c r="C10" s="52" t="str">
        <f>'Appendix H-1'!C15</f>
        <v>Total</v>
      </c>
      <c r="D10" s="53"/>
      <c r="E10" s="54"/>
      <c r="F10" s="109" t="str">
        <f>'Appendix H-1'!F15</f>
        <v>(Line 2 - 3)</v>
      </c>
      <c r="G10" s="25"/>
      <c r="H10" s="25"/>
      <c r="I10" s="25"/>
      <c r="J10" s="25"/>
      <c r="K10" s="25"/>
      <c r="L10" s="25"/>
      <c r="M10" s="25"/>
      <c r="N10" s="25"/>
      <c r="O10" s="25"/>
      <c r="P10" s="25"/>
      <c r="Q10" s="194"/>
    </row>
    <row r="11" spans="1:17" ht="15.75" hidden="1">
      <c r="A11" s="104"/>
      <c r="B11" s="75"/>
      <c r="C11" s="67"/>
      <c r="D11" s="14"/>
      <c r="E11" s="68"/>
      <c r="F11" s="110"/>
      <c r="G11" s="25"/>
      <c r="H11" s="25"/>
      <c r="I11" s="25"/>
      <c r="J11" s="25"/>
      <c r="K11" s="25"/>
      <c r="L11" s="25"/>
      <c r="M11" s="25"/>
      <c r="N11" s="25"/>
      <c r="O11" s="25"/>
      <c r="P11" s="25"/>
      <c r="Q11" s="194"/>
    </row>
    <row r="12" spans="1:17" ht="16.5" hidden="1" thickBot="1">
      <c r="A12" s="104">
        <f>'Appendix H-1'!A17</f>
        <v>5</v>
      </c>
      <c r="B12" s="55" t="str">
        <f>'Appendix H-1'!B17</f>
        <v>Wages &amp; Salary Allocator</v>
      </c>
      <c r="C12" s="55"/>
      <c r="D12" s="56"/>
      <c r="E12" s="57"/>
      <c r="F12" s="111" t="str">
        <f>'Appendix H-1'!F17</f>
        <v>(Line 1 / 4)</v>
      </c>
      <c r="G12" s="25"/>
      <c r="H12" s="25"/>
      <c r="I12" s="25"/>
      <c r="J12" s="25"/>
      <c r="K12" s="25"/>
      <c r="L12" s="25"/>
      <c r="M12" s="25"/>
      <c r="N12" s="25"/>
      <c r="O12" s="25"/>
      <c r="P12" s="25"/>
      <c r="Q12" s="194"/>
    </row>
    <row r="13" spans="1:17" ht="16.5" hidden="1" customHeight="1">
      <c r="A13" s="104"/>
      <c r="B13" s="75"/>
      <c r="C13" s="96"/>
      <c r="D13" s="60"/>
      <c r="E13" s="112"/>
      <c r="F13" s="110"/>
      <c r="G13" s="25"/>
      <c r="H13" s="25"/>
      <c r="I13" s="25"/>
      <c r="J13" s="25"/>
      <c r="K13" s="25"/>
      <c r="L13" s="25"/>
      <c r="M13" s="25"/>
      <c r="N13" s="25"/>
      <c r="O13" s="25"/>
      <c r="P13" s="25"/>
      <c r="Q13" s="194"/>
    </row>
    <row r="14" spans="1:17" ht="16.5" customHeight="1">
      <c r="A14" s="281" t="s">
        <v>520</v>
      </c>
      <c r="B14" s="75"/>
      <c r="C14" s="96"/>
      <c r="D14" s="60"/>
      <c r="E14" s="112"/>
      <c r="F14" s="110"/>
      <c r="G14" s="25"/>
      <c r="H14" s="25"/>
      <c r="I14" s="25"/>
      <c r="J14" s="25"/>
      <c r="K14" s="25"/>
      <c r="L14" s="25"/>
      <c r="M14" s="25"/>
      <c r="N14" s="25"/>
      <c r="O14" s="25"/>
      <c r="P14" s="25"/>
      <c r="Q14" s="194"/>
    </row>
    <row r="15" spans="1:17" ht="15.75">
      <c r="A15" s="106"/>
      <c r="B15" s="96" t="str">
        <f>'Appendix H-1'!B19</f>
        <v>Plant Allocation Factors</v>
      </c>
      <c r="C15" s="14"/>
      <c r="D15" s="86"/>
      <c r="E15" s="51"/>
      <c r="F15" s="107"/>
      <c r="G15" s="25"/>
      <c r="H15" s="25"/>
      <c r="I15" s="25"/>
      <c r="J15" s="25"/>
      <c r="K15" s="25"/>
      <c r="L15" s="25"/>
      <c r="M15" s="25"/>
      <c r="N15" s="25"/>
      <c r="O15" s="25"/>
      <c r="P15" s="25"/>
      <c r="Q15" s="194"/>
    </row>
    <row r="16" spans="1:17" ht="15.75">
      <c r="A16" s="113">
        <f>'Appendix H-1'!A20</f>
        <v>6</v>
      </c>
      <c r="B16" s="86"/>
      <c r="C16" s="50" t="str">
        <f>'Appendix H-1'!C20</f>
        <v>Electric Plant in Service</v>
      </c>
      <c r="D16" s="14"/>
      <c r="E16" s="59" t="str">
        <f>'Appendix H-1'!E20</f>
        <v>(Note B)</v>
      </c>
      <c r="F16" s="108" t="str">
        <f>'Appendix H-1'!F20</f>
        <v>Attachment 5</v>
      </c>
      <c r="G16" s="25"/>
      <c r="H16" s="46" t="s">
        <v>449</v>
      </c>
      <c r="I16" s="25"/>
      <c r="J16" s="25"/>
      <c r="K16" s="25"/>
      <c r="L16" s="25"/>
      <c r="M16" s="25"/>
      <c r="N16" s="25"/>
      <c r="O16" s="25"/>
      <c r="P16" s="25"/>
      <c r="Q16" s="194"/>
    </row>
    <row r="17" spans="1:17" ht="15.75">
      <c r="A17" s="113">
        <f>'Appendix H-1'!A21</f>
        <v>7</v>
      </c>
      <c r="B17" s="86"/>
      <c r="C17" s="50" t="str">
        <f>'Appendix H-1'!C21</f>
        <v>Common Plant In Service - Electric</v>
      </c>
      <c r="D17" s="14"/>
      <c r="E17" s="59">
        <f>'Appendix H-1'!E21</f>
        <v>0</v>
      </c>
      <c r="F17" s="114" t="str">
        <f>'Appendix H-1'!F21</f>
        <v>(Line 24)</v>
      </c>
      <c r="G17" s="46" t="s">
        <v>449</v>
      </c>
      <c r="H17" s="46" t="s">
        <v>449</v>
      </c>
      <c r="I17" s="25"/>
      <c r="J17" s="25"/>
      <c r="K17" s="25"/>
      <c r="L17" s="25"/>
      <c r="M17" s="25"/>
      <c r="N17" s="25"/>
      <c r="O17" s="25"/>
      <c r="P17" s="25"/>
      <c r="Q17" s="194"/>
    </row>
    <row r="18" spans="1:17" ht="15.75" hidden="1">
      <c r="A18" s="113">
        <f>'Appendix H-1'!A22</f>
        <v>8</v>
      </c>
      <c r="B18" s="86"/>
      <c r="C18" s="50" t="str">
        <f>'Appendix H-1'!C22</f>
        <v>Total Plant In Service</v>
      </c>
      <c r="D18" s="14"/>
      <c r="E18" s="81"/>
      <c r="F18" s="114" t="str">
        <f>'Appendix H-1'!F22</f>
        <v>(Sum Lines 6 &amp; 7)</v>
      </c>
      <c r="G18" s="25"/>
      <c r="H18" s="25"/>
      <c r="I18" s="25"/>
      <c r="J18" s="25"/>
      <c r="K18" s="25"/>
      <c r="L18" s="25"/>
      <c r="M18" s="25"/>
      <c r="N18" s="25"/>
      <c r="O18" s="25"/>
      <c r="P18" s="25"/>
      <c r="Q18" s="194"/>
    </row>
    <row r="19" spans="1:17" ht="15.75" hidden="1">
      <c r="A19" s="104"/>
      <c r="B19" s="75"/>
      <c r="C19" s="96"/>
      <c r="D19" s="60"/>
      <c r="E19" s="112"/>
      <c r="F19" s="110"/>
      <c r="G19" s="25"/>
      <c r="H19" s="25"/>
      <c r="I19" s="25"/>
      <c r="J19" s="25"/>
      <c r="K19" s="25"/>
      <c r="L19" s="25"/>
      <c r="M19" s="25"/>
      <c r="N19" s="25"/>
      <c r="O19" s="25"/>
      <c r="P19" s="25"/>
      <c r="Q19" s="194"/>
    </row>
    <row r="20" spans="1:17" ht="15.75" hidden="1">
      <c r="A20" s="113">
        <f>'Appendix H-1'!A24</f>
        <v>9</v>
      </c>
      <c r="B20" s="86"/>
      <c r="C20" s="50" t="str">
        <f>'Appendix H-1'!C24</f>
        <v>Accumulated Depreciation Electric Plant</v>
      </c>
      <c r="D20" s="14"/>
      <c r="E20" s="51"/>
      <c r="F20" s="108" t="str">
        <f>'Appendix H-1'!F24</f>
        <v>Attachment 5</v>
      </c>
      <c r="G20" s="25"/>
      <c r="H20" s="25"/>
      <c r="I20" s="25"/>
      <c r="J20" s="25"/>
      <c r="K20" s="25"/>
      <c r="L20" s="25"/>
      <c r="M20" s="25"/>
      <c r="N20" s="25"/>
      <c r="O20" s="25"/>
      <c r="P20" s="25"/>
      <c r="Q20" s="194"/>
    </row>
    <row r="21" spans="1:17" ht="15.75">
      <c r="A21" s="113">
        <f>'Appendix H-1'!A25</f>
        <v>10</v>
      </c>
      <c r="B21" s="86"/>
      <c r="C21" s="50" t="str">
        <f>'Appendix H-1'!C25</f>
        <v>Accumulated Other Utility Plant Amortization - Electric Only</v>
      </c>
      <c r="D21" s="14"/>
      <c r="E21" s="59" t="str">
        <f>'Appendix H-1'!E25</f>
        <v>(Note A)</v>
      </c>
      <c r="F21" s="103" t="str">
        <f>'Appendix H-1'!F25</f>
        <v>Attachment 5</v>
      </c>
      <c r="G21" s="46" t="s">
        <v>449</v>
      </c>
      <c r="H21" s="25"/>
      <c r="I21" s="25"/>
      <c r="J21" s="25"/>
      <c r="K21" s="25"/>
      <c r="L21" s="25"/>
      <c r="M21" s="25"/>
      <c r="N21" s="25"/>
      <c r="O21" s="25"/>
      <c r="P21" s="25"/>
      <c r="Q21" s="194"/>
    </row>
    <row r="22" spans="1:17" ht="15.75">
      <c r="A22" s="113">
        <f>'Appendix H-1'!A26</f>
        <v>11</v>
      </c>
      <c r="B22" s="86"/>
      <c r="C22" s="50" t="str">
        <f>'Appendix H-1'!C26</f>
        <v>Accumulated Common Depreciation - Electric Only</v>
      </c>
      <c r="D22" s="14"/>
      <c r="E22" s="59" t="str">
        <f>'Appendix H-1'!E26</f>
        <v>(Note A)</v>
      </c>
      <c r="F22" s="103" t="str">
        <f>'Appendix H-1'!F26</f>
        <v>Attachment 5</v>
      </c>
      <c r="G22" s="46" t="s">
        <v>449</v>
      </c>
      <c r="H22" s="25"/>
      <c r="I22" s="25"/>
      <c r="J22" s="25"/>
      <c r="K22" s="25"/>
      <c r="L22" s="25"/>
      <c r="M22" s="25"/>
      <c r="N22" s="25"/>
      <c r="O22" s="25"/>
      <c r="P22" s="25"/>
      <c r="Q22" s="194"/>
    </row>
    <row r="23" spans="1:17" ht="15.75">
      <c r="A23" s="113">
        <f>'Appendix H-1'!A27</f>
        <v>12</v>
      </c>
      <c r="B23" s="14"/>
      <c r="C23" s="60" t="str">
        <f>'Appendix H-1'!C27</f>
        <v xml:space="preserve">Accumulated Common Other Utility Plant Amort. - Electric Only </v>
      </c>
      <c r="D23" s="14"/>
      <c r="E23" s="59" t="str">
        <f>'Appendix H-1'!E27</f>
        <v>(Note A)</v>
      </c>
      <c r="F23" s="103" t="str">
        <f>'Appendix H-1'!F27</f>
        <v>Attachment 5</v>
      </c>
      <c r="G23" s="46" t="s">
        <v>449</v>
      </c>
      <c r="H23" s="25"/>
      <c r="I23" s="25"/>
      <c r="J23" s="25"/>
      <c r="K23" s="25"/>
      <c r="L23" s="25"/>
      <c r="M23" s="25"/>
      <c r="N23" s="25"/>
      <c r="O23" s="25"/>
      <c r="P23" s="25"/>
      <c r="Q23" s="194"/>
    </row>
    <row r="24" spans="1:17" ht="15.75" hidden="1">
      <c r="A24" s="113">
        <f>'Appendix H-1'!A28</f>
        <v>13</v>
      </c>
      <c r="B24" s="14"/>
      <c r="C24" s="50" t="str">
        <f>'Appendix H-1'!C28</f>
        <v>Total Accumulated Depreciation</v>
      </c>
      <c r="D24" s="14"/>
      <c r="E24" s="51"/>
      <c r="F24" s="103" t="str">
        <f>'Appendix H-1'!F28</f>
        <v>(Sum Lines 9 to 12)</v>
      </c>
      <c r="G24" s="25"/>
      <c r="H24" s="25"/>
      <c r="I24" s="25"/>
      <c r="J24" s="25"/>
      <c r="K24" s="25"/>
      <c r="L24" s="25"/>
      <c r="M24" s="25"/>
      <c r="N24" s="25"/>
      <c r="O24" s="25"/>
      <c r="P24" s="25"/>
      <c r="Q24" s="194"/>
    </row>
    <row r="25" spans="1:17" ht="15.75" hidden="1">
      <c r="A25" s="104"/>
      <c r="B25" s="75"/>
      <c r="C25" s="96"/>
      <c r="D25" s="60"/>
      <c r="E25" s="112"/>
      <c r="F25" s="110"/>
      <c r="G25" s="25"/>
      <c r="H25" s="25"/>
      <c r="I25" s="25"/>
      <c r="J25" s="25"/>
      <c r="K25" s="25"/>
      <c r="L25" s="25"/>
      <c r="M25" s="25"/>
      <c r="N25" s="25"/>
      <c r="O25" s="25"/>
      <c r="P25" s="25"/>
      <c r="Q25" s="194"/>
    </row>
    <row r="26" spans="1:17" ht="15.75" hidden="1">
      <c r="A26" s="104">
        <f>'Appendix H-1'!A30</f>
        <v>14</v>
      </c>
      <c r="B26" s="86"/>
      <c r="C26" s="86" t="str">
        <f>'Appendix H-1'!C30</f>
        <v>Net Plant</v>
      </c>
      <c r="D26" s="86"/>
      <c r="E26" s="51"/>
      <c r="F26" s="103" t="str">
        <f>'Appendix H-1'!F30</f>
        <v>(Line 8 - 13)</v>
      </c>
      <c r="G26" s="25"/>
      <c r="H26" s="25"/>
      <c r="I26" s="25"/>
      <c r="J26" s="25"/>
      <c r="K26" s="25"/>
      <c r="L26" s="25"/>
      <c r="M26" s="25"/>
      <c r="N26" s="25"/>
      <c r="O26" s="25"/>
      <c r="P26" s="25"/>
      <c r="Q26" s="194"/>
    </row>
    <row r="27" spans="1:17" ht="15.75" hidden="1">
      <c r="A27" s="104"/>
      <c r="B27" s="75"/>
      <c r="C27" s="96"/>
      <c r="D27" s="60"/>
      <c r="E27" s="112"/>
      <c r="F27" s="110"/>
      <c r="G27" s="25"/>
      <c r="H27" s="25"/>
      <c r="I27" s="25"/>
      <c r="J27" s="25"/>
      <c r="K27" s="25"/>
      <c r="L27" s="25"/>
      <c r="M27" s="25"/>
      <c r="N27" s="25"/>
      <c r="O27" s="25"/>
      <c r="P27" s="25"/>
      <c r="Q27" s="194"/>
    </row>
    <row r="28" spans="1:17" ht="15.75" hidden="1">
      <c r="A28" s="113">
        <f>'Appendix H-1'!A32</f>
        <v>15</v>
      </c>
      <c r="B28" s="86"/>
      <c r="C28" s="86" t="str">
        <f>'Appendix H-1'!C32</f>
        <v>Transmission Gross Plant</v>
      </c>
      <c r="D28" s="86"/>
      <c r="E28" s="51"/>
      <c r="F28" s="103" t="str">
        <f>'Appendix H-1'!F32</f>
        <v>(Line 28)</v>
      </c>
      <c r="G28" s="25"/>
      <c r="H28" s="25"/>
      <c r="I28" s="25"/>
      <c r="J28" s="25"/>
      <c r="K28" s="25"/>
      <c r="L28" s="25"/>
      <c r="M28" s="25"/>
      <c r="N28" s="25"/>
      <c r="O28" s="25"/>
      <c r="P28" s="25"/>
      <c r="Q28" s="194"/>
    </row>
    <row r="29" spans="1:17" ht="15.75" hidden="1">
      <c r="A29" s="104">
        <f>'Appendix H-1'!A33</f>
        <v>16</v>
      </c>
      <c r="B29" s="135" t="str">
        <f>'Appendix H-1'!B33</f>
        <v>Gross Plant Allocator</v>
      </c>
      <c r="C29" s="135"/>
      <c r="D29" s="86"/>
      <c r="E29" s="51"/>
      <c r="F29" s="103" t="str">
        <f>'Appendix H-1'!F33</f>
        <v>(Line 15 / 8)</v>
      </c>
      <c r="G29" s="25"/>
      <c r="H29" s="25"/>
      <c r="I29" s="25"/>
      <c r="J29" s="25"/>
      <c r="K29" s="25"/>
      <c r="L29" s="25"/>
      <c r="M29" s="25"/>
      <c r="N29" s="25"/>
      <c r="O29" s="25"/>
      <c r="P29" s="25"/>
      <c r="Q29" s="194"/>
    </row>
    <row r="30" spans="1:17" ht="15.75" hidden="1">
      <c r="A30" s="106"/>
      <c r="B30" s="14"/>
      <c r="C30" s="14"/>
      <c r="D30" s="14"/>
      <c r="E30" s="51"/>
      <c r="F30" s="107"/>
      <c r="G30" s="25"/>
      <c r="H30" s="25"/>
      <c r="I30" s="25"/>
      <c r="J30" s="25"/>
      <c r="K30" s="25"/>
      <c r="L30" s="25"/>
      <c r="M30" s="25"/>
      <c r="N30" s="25"/>
      <c r="O30" s="25"/>
      <c r="P30" s="25"/>
      <c r="Q30" s="194"/>
    </row>
    <row r="31" spans="1:17" ht="15.75" hidden="1">
      <c r="A31" s="113">
        <f>'Appendix H-1'!A35</f>
        <v>17</v>
      </c>
      <c r="B31" s="75"/>
      <c r="C31" s="71" t="str">
        <f>'Appendix H-1'!C35</f>
        <v>Transmission Net Plant</v>
      </c>
      <c r="D31" s="60"/>
      <c r="E31" s="112"/>
      <c r="F31" s="103" t="str">
        <f>'Appendix H-1'!F35</f>
        <v>(Line 38)</v>
      </c>
      <c r="G31" s="25"/>
      <c r="H31" s="25"/>
      <c r="I31" s="25"/>
      <c r="J31" s="25"/>
      <c r="K31" s="25"/>
      <c r="L31" s="25"/>
      <c r="M31" s="25"/>
      <c r="N31" s="25"/>
      <c r="O31" s="25"/>
      <c r="P31" s="25"/>
      <c r="Q31" s="194"/>
    </row>
    <row r="32" spans="1:17" ht="15.75" hidden="1">
      <c r="A32" s="104">
        <f>'Appendix H-1'!A36</f>
        <v>18</v>
      </c>
      <c r="B32" s="135" t="str">
        <f>'Appendix H-1'!B36</f>
        <v>Net Plant Allocator</v>
      </c>
      <c r="C32" s="135"/>
      <c r="D32" s="86"/>
      <c r="E32" s="51"/>
      <c r="F32" s="103" t="str">
        <f>'Appendix H-1'!F36</f>
        <v>(Line 17 / 14)</v>
      </c>
      <c r="G32" s="25"/>
      <c r="H32" s="25"/>
      <c r="I32" s="25"/>
      <c r="J32" s="25"/>
      <c r="K32" s="25"/>
      <c r="L32" s="25"/>
      <c r="M32" s="25"/>
      <c r="N32" s="25"/>
      <c r="O32" s="25"/>
      <c r="P32" s="25"/>
      <c r="Q32" s="194"/>
    </row>
    <row r="33" spans="1:17" ht="15.75" hidden="1">
      <c r="A33" s="115"/>
      <c r="B33" s="75"/>
      <c r="C33" s="96"/>
      <c r="D33" s="60"/>
      <c r="E33" s="112"/>
      <c r="F33" s="110"/>
      <c r="G33" s="25"/>
      <c r="H33" s="25"/>
      <c r="I33" s="25"/>
      <c r="J33" s="25"/>
      <c r="K33" s="25"/>
      <c r="L33" s="25"/>
      <c r="M33" s="25"/>
      <c r="N33" s="25"/>
      <c r="O33" s="25"/>
      <c r="P33" s="25"/>
      <c r="Q33" s="194"/>
    </row>
    <row r="34" spans="1:17" ht="15.75" hidden="1">
      <c r="A34" s="116" t="str">
        <f>'Appendix H-1'!A38</f>
        <v>Plant Calculations</v>
      </c>
      <c r="B34" s="61"/>
      <c r="C34" s="62"/>
      <c r="D34" s="62"/>
      <c r="E34" s="63"/>
      <c r="F34" s="117"/>
      <c r="G34" s="25"/>
      <c r="H34" s="25"/>
      <c r="I34" s="25"/>
      <c r="J34" s="25"/>
      <c r="K34" s="25"/>
      <c r="L34" s="25"/>
      <c r="M34" s="25"/>
      <c r="N34" s="25"/>
      <c r="O34" s="25"/>
      <c r="P34" s="25"/>
      <c r="Q34" s="194"/>
    </row>
    <row r="35" spans="1:17" ht="15.75" hidden="1">
      <c r="A35" s="118">
        <f>'Appendix H-1'!A39</f>
        <v>0</v>
      </c>
      <c r="B35" s="64"/>
      <c r="C35" s="60"/>
      <c r="D35" s="60"/>
      <c r="E35" s="65"/>
      <c r="F35" s="108"/>
      <c r="G35" s="25"/>
      <c r="H35" s="25"/>
      <c r="I35" s="25"/>
      <c r="J35" s="25"/>
      <c r="K35" s="25"/>
      <c r="L35" s="25"/>
      <c r="M35" s="25"/>
      <c r="N35" s="25"/>
      <c r="O35" s="25"/>
      <c r="P35" s="25"/>
      <c r="Q35" s="194"/>
    </row>
    <row r="36" spans="1:17" ht="15.75">
      <c r="A36" s="106"/>
      <c r="B36" s="96" t="str">
        <f>'Appendix H-1'!B40</f>
        <v>Plant In Service</v>
      </c>
      <c r="C36" s="14"/>
      <c r="D36" s="14"/>
      <c r="E36" s="112"/>
      <c r="F36" s="114"/>
      <c r="G36" s="25"/>
      <c r="H36" s="25"/>
      <c r="I36" s="25"/>
      <c r="J36" s="25"/>
      <c r="K36" s="25"/>
      <c r="L36" s="25"/>
      <c r="M36" s="25"/>
      <c r="N36" s="25"/>
      <c r="O36" s="25"/>
      <c r="P36" s="25"/>
      <c r="Q36" s="194"/>
    </row>
    <row r="37" spans="1:17" ht="15.75">
      <c r="A37" s="113">
        <f>'Appendix H-1'!A41</f>
        <v>19</v>
      </c>
      <c r="B37" s="75"/>
      <c r="C37" s="82" t="str">
        <f>'Appendix H-1'!C41</f>
        <v>Transmission Plant In Service</v>
      </c>
      <c r="D37" s="14"/>
      <c r="E37" s="59" t="str">
        <f>'Appendix H-1'!E41</f>
        <v>(Note B)</v>
      </c>
      <c r="F37" s="114" t="str">
        <f>'Appendix H-1'!F41</f>
        <v>p207.58g less p.207.57g</v>
      </c>
      <c r="G37" s="25"/>
      <c r="H37" s="46" t="s">
        <v>449</v>
      </c>
      <c r="I37" s="25"/>
      <c r="J37" s="25"/>
      <c r="K37" s="25"/>
      <c r="L37" s="25"/>
      <c r="M37" s="25"/>
      <c r="N37" s="25"/>
      <c r="O37" s="25"/>
      <c r="P37" s="25"/>
      <c r="Q37" s="194"/>
    </row>
    <row r="38" spans="1:17" ht="15.75">
      <c r="A38" s="113">
        <f>'Appendix H-1'!A43</f>
        <v>21</v>
      </c>
      <c r="B38" s="75"/>
      <c r="C38" s="67" t="str">
        <f>'Appendix H-1'!C43</f>
        <v xml:space="preserve">Add Transmission Plant Additions (weighted by months in service) </v>
      </c>
      <c r="D38" s="14"/>
      <c r="E38" s="59" t="str">
        <f>'Appendix H-1'!F43</f>
        <v>Attachment 6</v>
      </c>
      <c r="F38" s="114"/>
      <c r="G38" s="25"/>
      <c r="H38" s="46" t="s">
        <v>449</v>
      </c>
      <c r="I38" s="25"/>
      <c r="J38" s="25"/>
      <c r="K38" s="25"/>
      <c r="L38" s="25"/>
      <c r="M38" s="25"/>
      <c r="N38" s="25"/>
      <c r="O38" s="25"/>
      <c r="P38" s="25"/>
      <c r="Q38" s="194"/>
    </row>
    <row r="39" spans="1:17" ht="15.75" hidden="1">
      <c r="A39" s="113">
        <f>'Appendix H-1'!A46</f>
        <v>23</v>
      </c>
      <c r="B39" s="75"/>
      <c r="C39" s="67" t="str">
        <f>'Appendix H-1'!C46</f>
        <v>General &amp; Intangible Plant - Electric Only</v>
      </c>
      <c r="D39" s="14"/>
      <c r="E39" s="51"/>
      <c r="F39" s="114" t="str">
        <f>'Appendix H-1'!F46</f>
        <v>p205.5g plus p207.99g less p207.98g</v>
      </c>
      <c r="G39" s="25"/>
      <c r="H39" s="25"/>
      <c r="I39" s="25"/>
      <c r="J39" s="25"/>
      <c r="K39" s="25"/>
      <c r="L39" s="25"/>
      <c r="M39" s="25"/>
      <c r="N39" s="25"/>
      <c r="O39" s="25"/>
      <c r="P39" s="25"/>
      <c r="Q39" s="194"/>
    </row>
    <row r="40" spans="1:17" ht="15.75">
      <c r="A40" s="113">
        <f>'Appendix H-1'!A47</f>
        <v>24</v>
      </c>
      <c r="B40" s="75"/>
      <c r="C40" s="67" t="str">
        <f>'Appendix H-1'!C47</f>
        <v>Common Plant - Electric Only</v>
      </c>
      <c r="D40" s="14"/>
      <c r="E40" s="59" t="str">
        <f>'Appendix H-1'!E47</f>
        <v>(Notes A &amp; B)</v>
      </c>
      <c r="F40" s="114" t="str">
        <f>'Appendix H-1'!F47</f>
        <v>Attachment 5</v>
      </c>
      <c r="G40" s="46" t="s">
        <v>449</v>
      </c>
      <c r="H40" s="46" t="s">
        <v>449</v>
      </c>
      <c r="I40" s="25"/>
      <c r="J40" s="25"/>
      <c r="K40" s="25"/>
      <c r="L40" s="25"/>
      <c r="M40" s="25"/>
      <c r="N40" s="25"/>
      <c r="O40" s="25"/>
      <c r="P40" s="25"/>
      <c r="Q40" s="194"/>
    </row>
    <row r="41" spans="1:17" ht="15.75" hidden="1">
      <c r="A41" s="113">
        <f>'Appendix H-1'!A48</f>
        <v>25</v>
      </c>
      <c r="B41" s="75"/>
      <c r="C41" s="67" t="str">
        <f>'Appendix H-1'!C48</f>
        <v>Total General &amp; Common</v>
      </c>
      <c r="D41" s="14"/>
      <c r="E41" s="51"/>
      <c r="F41" s="103" t="str">
        <f>'Appendix H-1'!F48</f>
        <v>(Line 23 + 24)</v>
      </c>
      <c r="G41" s="25"/>
      <c r="H41" s="25"/>
      <c r="I41" s="25"/>
      <c r="J41" s="25"/>
      <c r="K41" s="25"/>
      <c r="L41" s="25"/>
      <c r="M41" s="25"/>
      <c r="N41" s="25"/>
      <c r="O41" s="25"/>
      <c r="P41" s="25"/>
      <c r="Q41" s="194"/>
    </row>
    <row r="42" spans="1:17" ht="15.75" hidden="1">
      <c r="A42" s="113">
        <f>'Appendix H-1'!A49</f>
        <v>26</v>
      </c>
      <c r="B42" s="75"/>
      <c r="C42" s="77" t="str">
        <f>'Appendix H-1'!C49</f>
        <v>Wage &amp; Salary Allocation Factor</v>
      </c>
      <c r="D42" s="71"/>
      <c r="E42" s="112"/>
      <c r="F42" s="103" t="str">
        <f>'Appendix H-1'!F49</f>
        <v>(Line 5)</v>
      </c>
      <c r="G42" s="25"/>
      <c r="H42" s="25"/>
      <c r="I42" s="25"/>
      <c r="J42" s="25"/>
      <c r="K42" s="25"/>
      <c r="L42" s="25"/>
      <c r="M42" s="25"/>
      <c r="N42" s="25"/>
      <c r="O42" s="25"/>
      <c r="P42" s="25"/>
      <c r="Q42" s="194"/>
    </row>
    <row r="43" spans="1:17" ht="15.75" hidden="1">
      <c r="A43" s="113">
        <f>'Appendix H-1'!A50</f>
        <v>27</v>
      </c>
      <c r="B43" s="86"/>
      <c r="C43" s="96" t="str">
        <f>'Appendix H-1'!C50</f>
        <v>General &amp; Common Plant Allocated to Transmission</v>
      </c>
      <c r="D43" s="50"/>
      <c r="E43" s="68"/>
      <c r="F43" s="103" t="str">
        <f>'Appendix H-1'!F50</f>
        <v>(Line 25 * 26)</v>
      </c>
      <c r="G43" s="25"/>
      <c r="H43" s="25"/>
      <c r="I43" s="25"/>
      <c r="J43" s="25"/>
      <c r="K43" s="25"/>
      <c r="L43" s="25"/>
      <c r="M43" s="25"/>
      <c r="N43" s="25"/>
      <c r="O43" s="25"/>
      <c r="P43" s="25"/>
      <c r="Q43" s="194"/>
    </row>
    <row r="44" spans="1:17" ht="15.75" hidden="1">
      <c r="A44" s="104"/>
      <c r="B44" s="75"/>
      <c r="C44" s="96"/>
      <c r="D44" s="60"/>
      <c r="E44" s="112"/>
      <c r="F44" s="110"/>
      <c r="G44" s="25"/>
      <c r="H44" s="25"/>
      <c r="I44" s="25"/>
      <c r="J44" s="25"/>
      <c r="K44" s="25"/>
      <c r="L44" s="25"/>
      <c r="M44" s="25"/>
      <c r="N44" s="25"/>
      <c r="O44" s="25"/>
      <c r="P44" s="25"/>
      <c r="Q44" s="194"/>
    </row>
    <row r="45" spans="1:17" ht="15.75">
      <c r="A45" s="113">
        <f>'Appendix H-1'!A80</f>
        <v>43</v>
      </c>
      <c r="B45" s="75"/>
      <c r="C45" s="96" t="str">
        <f>'Appendix H-1'!B80</f>
        <v>Plant Held for Future Use (Including Land)</v>
      </c>
      <c r="D45" s="153"/>
      <c r="E45" s="73" t="str">
        <f>'Appendix H-1'!E80</f>
        <v>(Notes C &amp; U)</v>
      </c>
      <c r="F45" s="103" t="str">
        <f>'Appendix H-1'!F80</f>
        <v>p214</v>
      </c>
      <c r="G45" s="25"/>
      <c r="H45" s="25"/>
      <c r="I45" s="46" t="s">
        <v>449</v>
      </c>
      <c r="J45" s="25"/>
      <c r="K45" s="25"/>
      <c r="L45" s="25"/>
      <c r="M45" s="25"/>
      <c r="N45" s="25"/>
      <c r="O45" s="25"/>
      <c r="P45" s="25"/>
      <c r="Q45" s="194"/>
    </row>
    <row r="46" spans="1:17" ht="15.75" hidden="1">
      <c r="A46" s="104"/>
      <c r="B46" s="75"/>
      <c r="C46" s="96"/>
      <c r="D46" s="60"/>
      <c r="E46" s="112"/>
      <c r="F46" s="110"/>
      <c r="G46" s="25"/>
      <c r="H46" s="25"/>
      <c r="I46" s="25"/>
      <c r="J46" s="25"/>
      <c r="K46" s="25"/>
      <c r="L46" s="25"/>
      <c r="M46" s="25"/>
      <c r="N46" s="25"/>
      <c r="O46" s="25"/>
      <c r="P46" s="25"/>
      <c r="Q46" s="194"/>
    </row>
    <row r="47" spans="1:17" ht="15.75" hidden="1">
      <c r="A47" s="113">
        <f>'Appendix H-1'!A52</f>
        <v>28</v>
      </c>
      <c r="B47" s="135" t="str">
        <f>'Appendix H-1'!B52</f>
        <v>TOTAL Plant In Service</v>
      </c>
      <c r="C47" s="135"/>
      <c r="D47" s="135"/>
      <c r="E47" s="84"/>
      <c r="F47" s="148" t="str">
        <f>'Appendix H-1'!F52</f>
        <v>(Line 22 + 27)</v>
      </c>
      <c r="G47" s="25"/>
      <c r="H47" s="25"/>
      <c r="I47" s="25"/>
      <c r="J47" s="25"/>
      <c r="K47" s="25"/>
      <c r="L47" s="25"/>
      <c r="M47" s="25"/>
      <c r="N47" s="25"/>
      <c r="O47" s="25"/>
      <c r="P47" s="25"/>
      <c r="Q47" s="194"/>
    </row>
    <row r="48" spans="1:17" ht="15.75" hidden="1">
      <c r="A48" s="104"/>
      <c r="B48" s="75"/>
      <c r="C48" s="96"/>
      <c r="D48" s="60"/>
      <c r="E48" s="112"/>
      <c r="F48" s="110"/>
      <c r="G48" s="25"/>
      <c r="H48" s="25"/>
      <c r="I48" s="25"/>
      <c r="J48" s="25"/>
      <c r="K48" s="25"/>
      <c r="L48" s="25"/>
      <c r="M48" s="25"/>
      <c r="N48" s="25"/>
      <c r="O48" s="25"/>
      <c r="P48" s="25"/>
      <c r="Q48" s="194"/>
    </row>
    <row r="49" spans="1:17" ht="15.75">
      <c r="A49" s="113"/>
      <c r="B49" s="96" t="str">
        <f>'Appendix H-1'!B54</f>
        <v>Accumulated Depreciation</v>
      </c>
      <c r="C49" s="96"/>
      <c r="D49" s="70"/>
      <c r="E49" s="68"/>
      <c r="F49" s="103"/>
      <c r="G49" s="25"/>
      <c r="H49" s="25"/>
      <c r="I49" s="25"/>
      <c r="J49" s="25"/>
      <c r="K49" s="25"/>
      <c r="L49" s="25"/>
      <c r="M49" s="25"/>
      <c r="N49" s="25"/>
      <c r="O49" s="25"/>
      <c r="P49" s="25"/>
      <c r="Q49" s="194"/>
    </row>
    <row r="50" spans="1:17" ht="15.75" hidden="1">
      <c r="A50" s="104"/>
      <c r="B50" s="75"/>
      <c r="C50" s="96"/>
      <c r="D50" s="60"/>
      <c r="E50" s="112"/>
      <c r="F50" s="110"/>
      <c r="G50" s="25"/>
      <c r="H50" s="25"/>
      <c r="I50" s="25"/>
      <c r="J50" s="25"/>
      <c r="K50" s="25"/>
      <c r="L50" s="25"/>
      <c r="M50" s="25"/>
      <c r="N50" s="25"/>
      <c r="O50" s="25"/>
      <c r="P50" s="25"/>
      <c r="Q50" s="194"/>
    </row>
    <row r="51" spans="1:17" ht="15.75" hidden="1">
      <c r="A51" s="113">
        <f>'Appendix H-1'!A55</f>
        <v>29</v>
      </c>
      <c r="B51" s="75"/>
      <c r="C51" s="82" t="str">
        <f>'Appendix H-1'!C55</f>
        <v>Transmission Accumulated Depreciation</v>
      </c>
      <c r="D51" s="14"/>
      <c r="E51" s="51"/>
      <c r="F51" s="114" t="str">
        <f>'Appendix H-1'!F55</f>
        <v>p219.25c</v>
      </c>
      <c r="G51" s="25"/>
      <c r="H51" s="25"/>
      <c r="I51" s="25"/>
      <c r="J51" s="25"/>
      <c r="K51" s="25"/>
      <c r="L51" s="25"/>
      <c r="M51" s="25"/>
      <c r="N51" s="25"/>
      <c r="O51" s="25"/>
      <c r="P51" s="25"/>
      <c r="Q51" s="194"/>
    </row>
    <row r="52" spans="1:17" ht="15.75">
      <c r="A52" s="113">
        <f>'Appendix H-1'!A55</f>
        <v>29</v>
      </c>
      <c r="B52" s="75"/>
      <c r="C52" s="67" t="str">
        <f>'Appendix H-1'!C55</f>
        <v>Transmission Accumulated Depreciation</v>
      </c>
      <c r="D52" s="14"/>
      <c r="E52" s="157" t="str">
        <f>'Appendix H-1'!E55</f>
        <v>(Note B)</v>
      </c>
      <c r="F52" s="143" t="str">
        <f>'Appendix H-1'!F55</f>
        <v>p219.25c</v>
      </c>
      <c r="G52" s="25"/>
      <c r="H52" s="46" t="s">
        <v>449</v>
      </c>
      <c r="I52" s="25"/>
      <c r="J52" s="25"/>
      <c r="K52" s="25"/>
      <c r="L52" s="25"/>
      <c r="M52" s="25"/>
      <c r="N52" s="25"/>
      <c r="O52" s="25"/>
      <c r="P52" s="25"/>
      <c r="Q52" s="194"/>
    </row>
    <row r="53" spans="1:17" ht="15.75" hidden="1">
      <c r="A53" s="113">
        <f>'Appendix H-1'!A57</f>
        <v>30</v>
      </c>
      <c r="B53" s="75"/>
      <c r="C53" s="67" t="str">
        <f>'Appendix H-1'!C57</f>
        <v>Accumulated General Plant Depreciation - Electric Only</v>
      </c>
      <c r="D53" s="14"/>
      <c r="E53" s="51"/>
      <c r="F53" s="114" t="str">
        <f>'Appendix H-1'!F57</f>
        <v xml:space="preserve">p219.28c </v>
      </c>
      <c r="G53" s="25"/>
      <c r="H53" s="25"/>
      <c r="I53" s="25"/>
      <c r="J53" s="25"/>
      <c r="K53" s="25"/>
      <c r="L53" s="25"/>
      <c r="M53" s="25"/>
      <c r="N53" s="25"/>
      <c r="O53" s="25"/>
      <c r="P53" s="25"/>
      <c r="Q53" s="194"/>
    </row>
    <row r="54" spans="1:17" ht="15.75" hidden="1">
      <c r="A54" s="113">
        <f>'Appendix H-1'!A58</f>
        <v>31</v>
      </c>
      <c r="B54" s="75"/>
      <c r="C54" s="67" t="str">
        <f>'Appendix H-1'!C58</f>
        <v>Accumulated Other Utility Plant Amortization - Electric Only</v>
      </c>
      <c r="D54" s="14"/>
      <c r="E54" s="51"/>
      <c r="F54" s="103" t="str">
        <f>'Appendix H-1'!F58</f>
        <v>(Line 10)</v>
      </c>
      <c r="G54" s="25"/>
      <c r="H54" s="25"/>
      <c r="I54" s="25"/>
      <c r="J54" s="25"/>
      <c r="K54" s="25"/>
      <c r="L54" s="25"/>
      <c r="M54" s="25"/>
      <c r="N54" s="25"/>
      <c r="O54" s="25"/>
      <c r="P54" s="25"/>
      <c r="Q54" s="194"/>
    </row>
    <row r="55" spans="1:17" ht="15.75">
      <c r="A55" s="113">
        <f>'Appendix H-1'!A59</f>
        <v>32</v>
      </c>
      <c r="B55" s="75"/>
      <c r="C55" s="67" t="str">
        <f>'Appendix H-1'!C59</f>
        <v>Accumulated Common Depreciation - Electric Only</v>
      </c>
      <c r="D55" s="14"/>
      <c r="E55" s="59">
        <f>'Appendix H-1'!E59</f>
        <v>0</v>
      </c>
      <c r="F55" s="103" t="str">
        <f>'Appendix H-1'!F59</f>
        <v>(Line 11)</v>
      </c>
      <c r="G55" s="46" t="s">
        <v>449</v>
      </c>
      <c r="H55" s="25"/>
      <c r="I55" s="25"/>
      <c r="J55" s="25"/>
      <c r="K55" s="25"/>
      <c r="L55" s="25"/>
      <c r="M55" s="25"/>
      <c r="N55" s="25"/>
      <c r="O55" s="25"/>
      <c r="P55" s="25"/>
      <c r="Q55" s="194"/>
    </row>
    <row r="56" spans="1:17" ht="15.75">
      <c r="A56" s="113">
        <f>'Appendix H-1'!A60</f>
        <v>33</v>
      </c>
      <c r="B56" s="75"/>
      <c r="C56" s="67" t="str">
        <f>'Appendix H-1'!C60</f>
        <v xml:space="preserve">Accumulated Common Other Utility Plant Amort. - Electric Only </v>
      </c>
      <c r="D56" s="14"/>
      <c r="E56" s="59">
        <f>'Appendix H-1'!E60</f>
        <v>0</v>
      </c>
      <c r="F56" s="103" t="str">
        <f>'Appendix H-1'!F60</f>
        <v>(Line 12)</v>
      </c>
      <c r="G56" s="46" t="s">
        <v>449</v>
      </c>
      <c r="H56" s="25"/>
      <c r="I56" s="25"/>
      <c r="J56" s="25"/>
      <c r="K56" s="25"/>
      <c r="L56" s="25"/>
      <c r="M56" s="25"/>
      <c r="N56" s="25"/>
      <c r="O56" s="25"/>
      <c r="P56" s="25"/>
      <c r="Q56" s="194"/>
    </row>
    <row r="57" spans="1:17" ht="15.75" hidden="1">
      <c r="A57" s="113">
        <f>'Appendix H-1'!A61</f>
        <v>34</v>
      </c>
      <c r="B57" s="75"/>
      <c r="C57" s="67" t="str">
        <f>'Appendix H-1'!C61</f>
        <v>Total Accumulated Depreciation</v>
      </c>
      <c r="D57" s="14"/>
      <c r="E57" s="68"/>
      <c r="F57" s="103" t="str">
        <f>'Appendix H-1'!F61</f>
        <v>(Sum Lines 30 to 33)</v>
      </c>
      <c r="G57" s="25"/>
      <c r="H57" s="25"/>
      <c r="I57" s="25"/>
      <c r="J57" s="25"/>
      <c r="K57" s="25"/>
      <c r="L57" s="25"/>
      <c r="M57" s="25"/>
      <c r="N57" s="25"/>
      <c r="O57" s="25"/>
      <c r="P57" s="25"/>
      <c r="Q57" s="194"/>
    </row>
    <row r="58" spans="1:17" ht="15.75" hidden="1">
      <c r="A58" s="113">
        <f>'Appendix H-1'!A62</f>
        <v>35</v>
      </c>
      <c r="B58" s="75"/>
      <c r="C58" s="67" t="str">
        <f>'Appendix H-1'!C62</f>
        <v>Wage &amp; Salary Allocation Factor</v>
      </c>
      <c r="D58" s="14"/>
      <c r="E58" s="68"/>
      <c r="F58" s="103" t="str">
        <f>'Appendix H-1'!F62</f>
        <v>(Line 5)</v>
      </c>
      <c r="G58" s="25"/>
      <c r="H58" s="25"/>
      <c r="I58" s="25"/>
      <c r="J58" s="25"/>
      <c r="K58" s="25"/>
      <c r="L58" s="25"/>
      <c r="M58" s="25"/>
      <c r="N58" s="25"/>
      <c r="O58" s="25"/>
      <c r="P58" s="25"/>
      <c r="Q58" s="194"/>
    </row>
    <row r="59" spans="1:17" ht="15.75" hidden="1">
      <c r="A59" s="113">
        <f>'Appendix H-1'!A63</f>
        <v>36</v>
      </c>
      <c r="B59" s="86"/>
      <c r="C59" s="82" t="str">
        <f>'Appendix H-1'!C63</f>
        <v>General &amp; Common Allocated to Transmission</v>
      </c>
      <c r="D59" s="86"/>
      <c r="E59" s="51"/>
      <c r="F59" s="103" t="str">
        <f>'Appendix H-1'!F63</f>
        <v>(Line 34 * 35)</v>
      </c>
      <c r="G59" s="25"/>
      <c r="H59" s="25"/>
      <c r="I59" s="25"/>
      <c r="J59" s="25"/>
      <c r="K59" s="25"/>
      <c r="L59" s="25"/>
      <c r="M59" s="25"/>
      <c r="N59" s="25"/>
      <c r="O59" s="25"/>
      <c r="P59" s="25"/>
      <c r="Q59" s="194"/>
    </row>
    <row r="60" spans="1:17" ht="15.75" hidden="1">
      <c r="A60" s="104"/>
      <c r="B60" s="75"/>
      <c r="C60" s="96"/>
      <c r="D60" s="60"/>
      <c r="E60" s="112"/>
      <c r="F60" s="110"/>
      <c r="G60" s="25"/>
      <c r="H60" s="25"/>
      <c r="I60" s="25"/>
      <c r="J60" s="25"/>
      <c r="K60" s="25"/>
      <c r="L60" s="25"/>
      <c r="M60" s="25"/>
      <c r="N60" s="25"/>
      <c r="O60" s="25"/>
      <c r="P60" s="25"/>
      <c r="Q60" s="194"/>
    </row>
    <row r="61" spans="1:17" ht="15.75" hidden="1">
      <c r="A61" s="113">
        <f>'Appendix H-1'!A65</f>
        <v>37</v>
      </c>
      <c r="B61" s="135" t="str">
        <f>'Appendix H-1'!B65</f>
        <v>TOTAL Accumulated Depreciation</v>
      </c>
      <c r="C61" s="135"/>
      <c r="D61" s="135"/>
      <c r="E61" s="84"/>
      <c r="F61" s="148" t="str">
        <f>'Appendix H-1'!F65</f>
        <v>(Line 29 + 36)</v>
      </c>
      <c r="G61" s="25"/>
      <c r="H61" s="25"/>
      <c r="I61" s="25"/>
      <c r="J61" s="25"/>
      <c r="K61" s="25"/>
      <c r="L61" s="25"/>
      <c r="M61" s="25"/>
      <c r="N61" s="25"/>
      <c r="O61" s="25"/>
      <c r="P61" s="25"/>
      <c r="Q61" s="194"/>
    </row>
    <row r="62" spans="1:17" ht="15.75" hidden="1">
      <c r="A62" s="104"/>
      <c r="B62" s="75"/>
      <c r="C62" s="96"/>
      <c r="D62" s="60"/>
      <c r="E62" s="112"/>
      <c r="F62" s="110"/>
      <c r="G62" s="25"/>
      <c r="H62" s="25"/>
      <c r="I62" s="25"/>
      <c r="J62" s="25"/>
      <c r="K62" s="25"/>
      <c r="L62" s="25"/>
      <c r="M62" s="25"/>
      <c r="N62" s="25"/>
      <c r="O62" s="25"/>
      <c r="P62" s="25"/>
      <c r="Q62" s="194"/>
    </row>
    <row r="63" spans="1:17" ht="15.75" hidden="1">
      <c r="A63" s="113">
        <f>'Appendix H-1'!A67</f>
        <v>38</v>
      </c>
      <c r="B63" s="135" t="str">
        <f>'Appendix H-1'!B67</f>
        <v>TOTAL Net Property, Plant &amp; Equipment</v>
      </c>
      <c r="C63" s="135"/>
      <c r="D63" s="135"/>
      <c r="E63" s="84"/>
      <c r="F63" s="148" t="str">
        <f>'Appendix H-1'!F67</f>
        <v>(Line 28 - 37)</v>
      </c>
      <c r="G63" s="25"/>
      <c r="H63" s="25"/>
      <c r="I63" s="25"/>
      <c r="J63" s="25"/>
      <c r="K63" s="25"/>
      <c r="L63" s="25"/>
      <c r="M63" s="25"/>
      <c r="N63" s="25"/>
      <c r="O63" s="25"/>
      <c r="P63" s="25"/>
      <c r="Q63" s="194"/>
    </row>
    <row r="64" spans="1:17" ht="15.75" hidden="1">
      <c r="A64" s="104"/>
      <c r="B64" s="75"/>
      <c r="C64" s="96"/>
      <c r="D64" s="60"/>
      <c r="E64" s="112"/>
      <c r="F64" s="110"/>
      <c r="G64" s="25"/>
      <c r="H64" s="25"/>
      <c r="I64" s="25"/>
      <c r="J64" s="25"/>
      <c r="K64" s="25"/>
      <c r="L64" s="25"/>
      <c r="M64" s="25"/>
      <c r="N64" s="25"/>
      <c r="O64" s="25"/>
      <c r="P64" s="25"/>
      <c r="Q64" s="194"/>
    </row>
    <row r="65" spans="1:17" ht="15.75" hidden="1">
      <c r="A65" s="116" t="str">
        <f>'Appendix H-1'!A70</f>
        <v>Adjustments To Rate Base</v>
      </c>
      <c r="B65" s="62"/>
      <c r="C65" s="62"/>
      <c r="D65" s="62"/>
      <c r="E65" s="63"/>
      <c r="F65" s="117"/>
      <c r="G65" s="25"/>
      <c r="H65" s="25"/>
      <c r="I65" s="25"/>
      <c r="J65" s="25"/>
      <c r="K65" s="25"/>
      <c r="L65" s="25"/>
      <c r="M65" s="25"/>
      <c r="N65" s="25"/>
      <c r="O65" s="25"/>
      <c r="P65" s="25"/>
      <c r="Q65" s="194"/>
    </row>
    <row r="66" spans="1:17" ht="15.75" hidden="1">
      <c r="A66" s="104"/>
      <c r="B66" s="75"/>
      <c r="C66" s="96"/>
      <c r="D66" s="60"/>
      <c r="E66" s="112"/>
      <c r="F66" s="110"/>
      <c r="G66" s="25"/>
      <c r="H66" s="25"/>
      <c r="I66" s="25"/>
      <c r="J66" s="25"/>
      <c r="K66" s="25"/>
      <c r="L66" s="25"/>
      <c r="M66" s="25"/>
      <c r="N66" s="25"/>
      <c r="O66" s="25"/>
      <c r="P66" s="25"/>
      <c r="Q66" s="194"/>
    </row>
    <row r="67" spans="1:17" ht="15.75">
      <c r="A67" s="119"/>
      <c r="B67" s="69" t="str">
        <f>'Appendix H-1'!B76</f>
        <v>Accumulated Deferred Income Taxes</v>
      </c>
      <c r="C67" s="14"/>
      <c r="D67" s="50"/>
      <c r="E67" s="120"/>
      <c r="F67" s="107"/>
      <c r="G67" s="25"/>
      <c r="H67" s="25"/>
      <c r="I67" s="25"/>
      <c r="J67" s="25"/>
      <c r="K67" s="25"/>
      <c r="L67" s="25"/>
      <c r="M67" s="25"/>
      <c r="N67" s="25"/>
      <c r="O67" s="25"/>
      <c r="P67" s="25"/>
      <c r="Q67" s="194"/>
    </row>
    <row r="68" spans="1:17" ht="15.75" hidden="1">
      <c r="A68" s="119">
        <f>'Appendix H-1'!A77</f>
        <v>41</v>
      </c>
      <c r="B68" s="69"/>
      <c r="C68" s="14" t="str">
        <f>'Appendix H-1'!C77</f>
        <v>ADIT net of FASB 106 and 109</v>
      </c>
      <c r="D68" s="50"/>
      <c r="E68" s="51"/>
      <c r="F68" s="121" t="str">
        <f>'Appendix H-1'!F77</f>
        <v>Attachment 1</v>
      </c>
      <c r="G68" s="25"/>
      <c r="H68" s="25"/>
      <c r="I68" s="25"/>
      <c r="J68" s="25"/>
      <c r="K68" s="25"/>
      <c r="L68" s="25"/>
      <c r="M68" s="25"/>
      <c r="N68" s="25"/>
      <c r="O68" s="25"/>
      <c r="P68" s="25"/>
      <c r="Q68" s="194"/>
    </row>
    <row r="69" spans="1:17" ht="15.75" hidden="1">
      <c r="A69" s="113" t="e">
        <f>'Appendix H-1'!#REF!</f>
        <v>#REF!</v>
      </c>
      <c r="B69" s="50"/>
      <c r="C69" s="71" t="e">
        <f>'Appendix H-1'!#REF!</f>
        <v>#REF!</v>
      </c>
      <c r="D69" s="122"/>
      <c r="E69" s="123"/>
      <c r="F69" s="114" t="e">
        <f>'Appendix H-1'!#REF!</f>
        <v>#REF!</v>
      </c>
      <c r="G69" s="25"/>
      <c r="H69" s="25"/>
      <c r="I69" s="25"/>
      <c r="J69" s="25"/>
      <c r="K69" s="25"/>
      <c r="L69" s="25"/>
      <c r="M69" s="25"/>
      <c r="N69" s="25"/>
      <c r="O69" s="25"/>
      <c r="P69" s="25"/>
      <c r="Q69" s="194"/>
    </row>
    <row r="70" spans="1:17" ht="15.75" hidden="1">
      <c r="A70" s="113" t="e">
        <f>'Appendix H-1'!#REF!</f>
        <v>#REF!</v>
      </c>
      <c r="B70" s="50"/>
      <c r="C70" s="71" t="e">
        <f>'Appendix H-1'!#REF!</f>
        <v>#REF!</v>
      </c>
      <c r="D70" s="122"/>
      <c r="E70" s="123"/>
      <c r="F70" s="114" t="e">
        <f>'Appendix H-1'!#REF!</f>
        <v>#REF!</v>
      </c>
      <c r="G70" s="25"/>
      <c r="H70" s="25"/>
      <c r="I70" s="25"/>
      <c r="J70" s="25"/>
      <c r="K70" s="25"/>
      <c r="L70" s="25"/>
      <c r="M70" s="25"/>
      <c r="N70" s="25"/>
      <c r="O70" s="25"/>
      <c r="P70" s="25"/>
      <c r="Q70" s="194"/>
    </row>
    <row r="71" spans="1:17" ht="15.75">
      <c r="A71" s="113" t="e">
        <f>'Appendix H-1'!#REF!</f>
        <v>#REF!</v>
      </c>
      <c r="B71" s="94"/>
      <c r="C71" s="94" t="e">
        <f>'Appendix H-1'!#REF!</f>
        <v>#REF!</v>
      </c>
      <c r="D71" s="94"/>
      <c r="E71" s="142" t="e">
        <f>'Appendix H-1'!#REF!</f>
        <v>#REF!</v>
      </c>
      <c r="F71" s="114" t="e">
        <f>'Appendix H-1'!#REF!</f>
        <v>#REF!</v>
      </c>
      <c r="G71" s="46" t="s">
        <v>449</v>
      </c>
      <c r="H71" s="25"/>
      <c r="I71" s="25"/>
      <c r="J71" s="25"/>
      <c r="K71" s="25"/>
      <c r="L71" s="25"/>
      <c r="M71" s="46" t="s">
        <v>449</v>
      </c>
      <c r="N71" s="25"/>
      <c r="O71" s="25"/>
      <c r="P71" s="25"/>
      <c r="Q71" s="194"/>
    </row>
    <row r="72" spans="1:17" ht="15.75" hidden="1">
      <c r="A72" s="113" t="e">
        <f>'Appendix H-1'!#REF!</f>
        <v>#REF!</v>
      </c>
      <c r="B72" s="50"/>
      <c r="C72" s="77" t="s">
        <v>536</v>
      </c>
      <c r="D72" s="50"/>
      <c r="E72" s="81"/>
      <c r="F72" s="114" t="e">
        <f>'Appendix H-1'!#REF!</f>
        <v>#REF!</v>
      </c>
      <c r="G72" s="25"/>
      <c r="H72" s="25"/>
      <c r="I72" s="25"/>
      <c r="J72" s="25"/>
      <c r="K72" s="25"/>
      <c r="L72" s="25"/>
      <c r="M72" s="25"/>
      <c r="N72" s="25"/>
      <c r="O72" s="25"/>
      <c r="P72" s="25"/>
      <c r="Q72" s="194"/>
    </row>
    <row r="73" spans="1:17" ht="15.75" hidden="1">
      <c r="A73" s="124">
        <f>'Appendix H-1'!A78</f>
        <v>42</v>
      </c>
      <c r="B73" s="50"/>
      <c r="C73" s="69" t="str">
        <f>'Appendix H-1'!C78</f>
        <v>Accumulated Deferred Income Taxes Allocated To Transmission</v>
      </c>
      <c r="D73" s="50"/>
      <c r="E73" s="81"/>
      <c r="F73" s="114" t="str">
        <f>'Appendix H-1'!F78</f>
        <v>(Line 41)</v>
      </c>
      <c r="G73" s="25"/>
      <c r="H73" s="25"/>
      <c r="I73" s="25"/>
      <c r="J73" s="25"/>
      <c r="K73" s="25"/>
      <c r="L73" s="25"/>
      <c r="M73" s="25"/>
      <c r="N73" s="25"/>
      <c r="O73" s="25"/>
      <c r="P73" s="25"/>
      <c r="Q73" s="194"/>
    </row>
    <row r="74" spans="1:17" ht="15.75" hidden="1">
      <c r="A74" s="104"/>
      <c r="B74" s="75"/>
      <c r="C74" s="96"/>
      <c r="D74" s="60"/>
      <c r="E74" s="112"/>
      <c r="F74" s="110"/>
      <c r="G74" s="25"/>
      <c r="H74" s="25"/>
      <c r="I74" s="25"/>
      <c r="J74" s="25"/>
      <c r="K74" s="25"/>
      <c r="L74" s="25"/>
      <c r="M74" s="25"/>
      <c r="N74" s="25"/>
      <c r="O74" s="25"/>
      <c r="P74" s="25"/>
      <c r="Q74" s="194"/>
    </row>
    <row r="75" spans="1:17" ht="15.75" hidden="1">
      <c r="A75" s="104"/>
      <c r="B75" s="75"/>
      <c r="C75" s="96"/>
      <c r="D75" s="60"/>
      <c r="E75" s="112"/>
      <c r="F75" s="110"/>
      <c r="G75" s="25"/>
      <c r="H75" s="25"/>
      <c r="I75" s="25"/>
      <c r="J75" s="25"/>
      <c r="K75" s="25"/>
      <c r="L75" s="25"/>
      <c r="M75" s="25"/>
      <c r="N75" s="25"/>
      <c r="O75" s="25"/>
      <c r="P75" s="25"/>
      <c r="Q75" s="194"/>
    </row>
    <row r="76" spans="1:17" ht="15.75">
      <c r="A76" s="113"/>
      <c r="B76" s="69" t="str">
        <f>'Appendix H-1'!B82</f>
        <v>Prepayments</v>
      </c>
      <c r="C76" s="77"/>
      <c r="D76" s="14"/>
      <c r="E76" s="51"/>
      <c r="F76" s="125"/>
      <c r="G76" s="25"/>
      <c r="H76" s="25"/>
      <c r="I76" s="25"/>
      <c r="J76" s="25"/>
      <c r="K76" s="25"/>
      <c r="L76" s="25"/>
      <c r="M76" s="25"/>
      <c r="N76" s="25"/>
      <c r="O76" s="25"/>
      <c r="P76" s="25"/>
      <c r="Q76" s="194"/>
    </row>
    <row r="77" spans="1:17" ht="15.75">
      <c r="A77" s="113">
        <f>'Appendix H-1'!A83</f>
        <v>44</v>
      </c>
      <c r="B77" s="126"/>
      <c r="C77" s="77" t="str">
        <f>'Appendix H-1'!C83</f>
        <v>Prepayments - Labor Related (Account 165)</v>
      </c>
      <c r="D77" s="59"/>
      <c r="E77" s="99" t="str">
        <f>'Appendix H-1'!E83</f>
        <v>(Note A)</v>
      </c>
      <c r="F77" s="127" t="str">
        <f>'Appendix H-1'!F83</f>
        <v>Attachment 5</v>
      </c>
      <c r="G77" s="46" t="s">
        <v>449</v>
      </c>
      <c r="H77" s="25"/>
      <c r="I77" s="25"/>
      <c r="J77" s="25"/>
      <c r="K77" s="25"/>
      <c r="L77" s="25"/>
      <c r="M77" s="25"/>
      <c r="N77" s="25"/>
      <c r="O77" s="25"/>
      <c r="P77" s="25"/>
      <c r="Q77" s="194"/>
    </row>
    <row r="78" spans="1:17" ht="15.75" hidden="1">
      <c r="A78" s="104" t="e">
        <f>'Appendix H-1'!#REF!</f>
        <v>#REF!</v>
      </c>
      <c r="B78" s="128"/>
      <c r="C78" s="77" t="e">
        <f>'Appendix H-1'!#REF!</f>
        <v>#REF!</v>
      </c>
      <c r="D78" s="74"/>
      <c r="E78" s="75"/>
      <c r="F78" s="103" t="e">
        <f>'Appendix H-1'!#REF!</f>
        <v>#REF!</v>
      </c>
      <c r="G78" s="25"/>
      <c r="H78" s="25"/>
      <c r="I78" s="25"/>
      <c r="J78" s="25"/>
      <c r="K78" s="25"/>
      <c r="L78" s="25"/>
      <c r="M78" s="25"/>
      <c r="N78" s="25"/>
      <c r="O78" s="25"/>
      <c r="P78" s="25"/>
      <c r="Q78" s="25"/>
    </row>
    <row r="79" spans="1:17" ht="15.75" hidden="1">
      <c r="A79" s="104">
        <f>'Appendix H-1'!A87</f>
        <v>48</v>
      </c>
      <c r="B79" s="128"/>
      <c r="C79" s="98" t="str">
        <f>'Appendix H-1'!C87</f>
        <v>Total Prepayments Allocated to Transmission</v>
      </c>
      <c r="D79" s="14"/>
      <c r="E79" s="75"/>
      <c r="F79" s="103" t="str">
        <f>'Appendix H-1'!F87</f>
        <v>(Line 44 * 46) + (Line 45 * 47)</v>
      </c>
      <c r="G79" s="25"/>
      <c r="H79" s="25"/>
      <c r="I79" s="25"/>
      <c r="J79" s="25"/>
      <c r="K79" s="25"/>
      <c r="L79" s="25"/>
      <c r="M79" s="25"/>
      <c r="N79" s="25"/>
      <c r="O79" s="25"/>
      <c r="P79" s="25"/>
      <c r="Q79" s="25"/>
    </row>
    <row r="80" spans="1:17" ht="15.75" hidden="1">
      <c r="A80" s="104"/>
      <c r="B80" s="75"/>
      <c r="C80" s="96"/>
      <c r="D80" s="60"/>
      <c r="E80" s="112"/>
      <c r="F80" s="110"/>
      <c r="G80" s="25"/>
      <c r="H80" s="25"/>
      <c r="I80" s="25"/>
      <c r="J80" s="25"/>
      <c r="K80" s="25"/>
      <c r="L80" s="25"/>
      <c r="M80" s="25"/>
      <c r="N80" s="25"/>
      <c r="O80" s="25"/>
      <c r="P80" s="25"/>
      <c r="Q80" s="25"/>
    </row>
    <row r="81" spans="1:17" ht="15.75">
      <c r="A81" s="113"/>
      <c r="B81" s="69" t="str">
        <f>'Appendix H-1'!B89</f>
        <v>Materials and Supplies</v>
      </c>
      <c r="C81" s="50"/>
      <c r="D81" s="50"/>
      <c r="E81" s="129"/>
      <c r="F81" s="130"/>
      <c r="G81" s="25"/>
      <c r="H81" s="25"/>
      <c r="I81" s="25"/>
      <c r="J81" s="25"/>
      <c r="K81" s="25"/>
      <c r="L81" s="25"/>
      <c r="M81" s="25"/>
      <c r="N81" s="25"/>
      <c r="O81" s="25"/>
      <c r="P81" s="25"/>
      <c r="Q81" s="194"/>
    </row>
    <row r="82" spans="1:17" ht="15.75">
      <c r="A82" s="119">
        <f>'Appendix H-1'!A90</f>
        <v>49</v>
      </c>
      <c r="B82" s="50"/>
      <c r="C82" s="50" t="str">
        <f>'Appendix H-1'!C90</f>
        <v>Undistributed Stores Exp</v>
      </c>
      <c r="D82" s="60"/>
      <c r="E82" s="99" t="str">
        <f>'Appendix H-1'!E90</f>
        <v>(Note A)</v>
      </c>
      <c r="F82" s="131" t="str">
        <f>'Appendix H-1'!F90</f>
        <v>p227.16c</v>
      </c>
      <c r="G82" s="46" t="s">
        <v>449</v>
      </c>
      <c r="H82" s="25"/>
      <c r="I82" s="25"/>
      <c r="J82" s="25"/>
      <c r="K82" s="25"/>
      <c r="L82" s="25"/>
      <c r="M82" s="25"/>
      <c r="N82" s="25"/>
      <c r="O82" s="25"/>
      <c r="P82" s="25"/>
      <c r="Q82" s="194"/>
    </row>
    <row r="83" spans="1:17" ht="15.75" hidden="1">
      <c r="A83" s="113">
        <f>'Appendix H-1'!A91</f>
        <v>50</v>
      </c>
      <c r="B83" s="128"/>
      <c r="C83" s="77" t="str">
        <f>'Appendix H-1'!C91</f>
        <v>Wage &amp; Salary Allocation Factor</v>
      </c>
      <c r="D83" s="74"/>
      <c r="E83" s="94"/>
      <c r="F83" s="103" t="str">
        <f>'Appendix H-1'!F91</f>
        <v>(Line 5)</v>
      </c>
      <c r="G83" s="25"/>
      <c r="H83" s="25"/>
      <c r="I83" s="25"/>
      <c r="J83" s="25"/>
      <c r="K83" s="25"/>
      <c r="L83" s="25"/>
      <c r="M83" s="25"/>
      <c r="N83" s="25"/>
      <c r="O83" s="25"/>
      <c r="P83" s="25"/>
      <c r="Q83" s="194"/>
    </row>
    <row r="84" spans="1:17" ht="15.75" hidden="1">
      <c r="A84" s="113">
        <f>'Appendix H-1'!A92</f>
        <v>51</v>
      </c>
      <c r="B84" s="128"/>
      <c r="C84" s="77" t="str">
        <f>'Appendix H-1'!C92</f>
        <v>Total Transmission Allocated</v>
      </c>
      <c r="D84" s="60"/>
      <c r="E84" s="81"/>
      <c r="F84" s="103" t="str">
        <f>'Appendix H-1'!F92</f>
        <v>(Line 49 * 50)</v>
      </c>
      <c r="G84" s="25"/>
      <c r="H84" s="25"/>
      <c r="I84" s="25"/>
      <c r="J84" s="25"/>
      <c r="K84" s="25"/>
      <c r="L84" s="25"/>
      <c r="M84" s="25"/>
      <c r="N84" s="25"/>
      <c r="O84" s="25"/>
      <c r="P84" s="25"/>
      <c r="Q84" s="194"/>
    </row>
    <row r="85" spans="1:17" ht="15.75" hidden="1">
      <c r="A85" s="113">
        <f>'Appendix H-1'!A93</f>
        <v>52</v>
      </c>
      <c r="B85" s="128"/>
      <c r="C85" s="77" t="str">
        <f>'Appendix H-1'!C93</f>
        <v>Transmission Materials &amp; Supplies</v>
      </c>
      <c r="D85" s="60"/>
      <c r="E85" s="94"/>
      <c r="F85" s="131" t="str">
        <f>'Appendix H-1'!F93</f>
        <v>p227.8c</v>
      </c>
      <c r="G85" s="25"/>
      <c r="H85" s="25"/>
      <c r="I85" s="25"/>
      <c r="J85" s="25"/>
      <c r="K85" s="25"/>
      <c r="L85" s="25"/>
      <c r="M85" s="25"/>
      <c r="N85" s="25"/>
      <c r="O85" s="25"/>
      <c r="P85" s="25"/>
      <c r="Q85" s="194"/>
    </row>
    <row r="86" spans="1:17" ht="15.75" hidden="1">
      <c r="A86" s="113">
        <f>'Appendix H-1'!A94</f>
        <v>53</v>
      </c>
      <c r="B86" s="128"/>
      <c r="C86" s="98" t="str">
        <f>'Appendix H-1'!C94</f>
        <v>Total Materials &amp; Supplies Allocated to Transmission</v>
      </c>
      <c r="D86" s="83"/>
      <c r="E86" s="156"/>
      <c r="F86" s="103" t="str">
        <f>'Appendix H-1'!F94</f>
        <v>(Line 51 + 52)</v>
      </c>
      <c r="G86" s="25"/>
      <c r="H86" s="25"/>
      <c r="I86" s="25"/>
      <c r="J86" s="25"/>
      <c r="K86" s="25"/>
      <c r="L86" s="25"/>
      <c r="M86" s="25"/>
      <c r="N86" s="25"/>
      <c r="O86" s="25"/>
      <c r="P86" s="25"/>
      <c r="Q86" s="194"/>
    </row>
    <row r="87" spans="1:17" ht="15.75" hidden="1">
      <c r="A87" s="104"/>
      <c r="B87" s="75"/>
      <c r="C87" s="96"/>
      <c r="D87" s="60"/>
      <c r="E87" s="112"/>
      <c r="F87" s="110"/>
      <c r="G87" s="25"/>
      <c r="H87" s="25"/>
      <c r="I87" s="25"/>
      <c r="J87" s="25"/>
      <c r="K87" s="25"/>
      <c r="L87" s="25"/>
      <c r="M87" s="25"/>
      <c r="N87" s="25"/>
      <c r="O87" s="25"/>
      <c r="P87" s="25"/>
      <c r="Q87" s="194"/>
    </row>
    <row r="88" spans="1:17" ht="15.75" hidden="1">
      <c r="A88" s="113"/>
      <c r="B88" s="69" t="str">
        <f>'Appendix H-1'!B96</f>
        <v>Cash Working Capital</v>
      </c>
      <c r="C88" s="50"/>
      <c r="D88" s="14"/>
      <c r="E88" s="51"/>
      <c r="F88" s="125"/>
      <c r="G88" s="25"/>
      <c r="H88" s="25"/>
      <c r="I88" s="25"/>
      <c r="J88" s="25"/>
      <c r="K88" s="25"/>
      <c r="L88" s="25"/>
      <c r="M88" s="25"/>
      <c r="N88" s="25"/>
      <c r="O88" s="25"/>
      <c r="P88" s="25"/>
      <c r="Q88" s="194"/>
    </row>
    <row r="89" spans="1:17" ht="15.75" hidden="1">
      <c r="A89" s="113">
        <f>'Appendix H-1'!A97</f>
        <v>54</v>
      </c>
      <c r="B89" s="128"/>
      <c r="C89" s="77" t="str">
        <f>'Appendix H-1'!C97</f>
        <v>Operation &amp; Maintenance Expense (Excluding GridSouth)</v>
      </c>
      <c r="D89" s="132"/>
      <c r="E89" s="51"/>
      <c r="F89" s="103" t="str">
        <f>'Appendix H-1'!F97</f>
        <v>(Line 86 - Line 65)</v>
      </c>
      <c r="G89" s="25"/>
      <c r="H89" s="25"/>
      <c r="I89" s="25"/>
      <c r="J89" s="25"/>
      <c r="K89" s="25"/>
      <c r="L89" s="25"/>
      <c r="M89" s="25"/>
      <c r="N89" s="25"/>
      <c r="O89" s="25"/>
      <c r="P89" s="25"/>
      <c r="Q89" s="194"/>
    </row>
    <row r="90" spans="1:17" ht="15.75" hidden="1">
      <c r="A90" s="113">
        <f>'Appendix H-1'!A98</f>
        <v>55</v>
      </c>
      <c r="B90" s="128"/>
      <c r="C90" s="74" t="str">
        <f>'Appendix H-1'!C98</f>
        <v>1/8th Rule</v>
      </c>
      <c r="D90" s="132"/>
      <c r="E90" s="51"/>
      <c r="F90" s="127" t="str">
        <f>'Appendix H-1'!F98</f>
        <v>x 1/8</v>
      </c>
      <c r="G90" s="25"/>
      <c r="H90" s="25"/>
      <c r="I90" s="25"/>
      <c r="J90" s="25"/>
      <c r="K90" s="25"/>
      <c r="L90" s="25"/>
      <c r="M90" s="25"/>
      <c r="N90" s="25"/>
      <c r="O90" s="25"/>
      <c r="P90" s="25"/>
      <c r="Q90" s="194"/>
    </row>
    <row r="91" spans="1:17" ht="15.75" hidden="1">
      <c r="A91" s="113">
        <f>'Appendix H-1'!A99</f>
        <v>56</v>
      </c>
      <c r="B91" s="133"/>
      <c r="C91" s="69" t="str">
        <f>'Appendix H-1'!C99</f>
        <v>Total Cash Working Capital Allocated to Transmission</v>
      </c>
      <c r="D91" s="76"/>
      <c r="E91" s="84"/>
      <c r="F91" s="103" t="str">
        <f>'Appendix H-1'!F99</f>
        <v>(Line 54 * 55)</v>
      </c>
      <c r="G91" s="25"/>
      <c r="H91" s="25"/>
      <c r="I91" s="25"/>
      <c r="J91" s="25"/>
      <c r="K91" s="25"/>
      <c r="L91" s="25"/>
      <c r="M91" s="25"/>
      <c r="N91" s="25"/>
      <c r="O91" s="25"/>
      <c r="P91" s="25"/>
      <c r="Q91" s="194"/>
    </row>
    <row r="92" spans="1:17" ht="15.75" hidden="1">
      <c r="A92" s="104"/>
      <c r="B92" s="75"/>
      <c r="C92" s="96"/>
      <c r="D92" s="60"/>
      <c r="E92" s="112"/>
      <c r="F92" s="110"/>
      <c r="G92" s="25"/>
      <c r="H92" s="25"/>
      <c r="I92" s="25"/>
      <c r="J92" s="25"/>
      <c r="K92" s="25"/>
      <c r="L92" s="25"/>
      <c r="M92" s="25"/>
      <c r="N92" s="25"/>
      <c r="O92" s="25"/>
      <c r="P92" s="25"/>
      <c r="Q92" s="194"/>
    </row>
    <row r="93" spans="1:17" ht="15.75">
      <c r="A93" s="134"/>
      <c r="B93" s="69" t="str">
        <f>'Appendix H-1'!B101</f>
        <v>Network Credits</v>
      </c>
      <c r="C93" s="135"/>
      <c r="D93" s="76"/>
      <c r="E93" s="36"/>
      <c r="F93" s="103"/>
      <c r="G93" s="25"/>
      <c r="H93" s="25"/>
      <c r="I93" s="25"/>
      <c r="J93" s="25"/>
      <c r="K93" s="25"/>
      <c r="L93" s="25"/>
      <c r="M93" s="25"/>
      <c r="N93" s="25"/>
      <c r="O93" s="25"/>
      <c r="P93" s="25"/>
      <c r="Q93" s="214" t="s">
        <v>449</v>
      </c>
    </row>
    <row r="94" spans="1:17" ht="15.75">
      <c r="A94" s="113">
        <f>'Appendix H-1'!A102</f>
        <v>57</v>
      </c>
      <c r="B94" s="86"/>
      <c r="C94" s="86" t="str">
        <f>'Appendix H-1'!C102</f>
        <v xml:space="preserve">Outstanding Network Credits </v>
      </c>
      <c r="D94" s="86"/>
      <c r="E94" s="136" t="str">
        <f>'Appendix H-1'!E102</f>
        <v>(Note M)</v>
      </c>
      <c r="F94" s="107" t="str">
        <f>'Appendix H-1'!F102</f>
        <v>Attachment 5</v>
      </c>
      <c r="G94" s="25"/>
      <c r="H94" s="25"/>
      <c r="I94" s="25"/>
      <c r="J94" s="25"/>
      <c r="K94" s="25"/>
      <c r="L94" s="25"/>
      <c r="M94" s="25"/>
      <c r="N94" s="25"/>
      <c r="O94" s="25"/>
      <c r="P94" s="25"/>
      <c r="Q94" s="194"/>
    </row>
    <row r="95" spans="1:17" ht="15.75" hidden="1">
      <c r="A95" s="106">
        <f>'Appendix H-1'!A103</f>
        <v>58</v>
      </c>
      <c r="B95" s="86"/>
      <c r="C95" s="86" t="str">
        <f>'Appendix H-1'!C103</f>
        <v xml:space="preserve">    Remove Accumulated Depreciation Associated with Facilities with Outstanding Network Credits</v>
      </c>
      <c r="D95" s="86"/>
      <c r="E95" s="51"/>
      <c r="F95" s="107" t="str">
        <f>'Appendix H-1'!F103</f>
        <v>Attachment 5</v>
      </c>
      <c r="G95" s="25"/>
      <c r="H95" s="25"/>
      <c r="I95" s="25"/>
      <c r="J95" s="25"/>
      <c r="K95" s="25"/>
      <c r="L95" s="25"/>
      <c r="M95" s="25"/>
      <c r="N95" s="25"/>
      <c r="O95" s="25"/>
      <c r="P95" s="25"/>
      <c r="Q95" s="194"/>
    </row>
    <row r="96" spans="1:17" ht="15.75" hidden="1">
      <c r="A96" s="106">
        <f>'Appendix H-1'!A104</f>
        <v>59</v>
      </c>
      <c r="B96" s="86"/>
      <c r="C96" s="86" t="str">
        <f>'Appendix H-1'!C104</f>
        <v>Net Outstanding Credits</v>
      </c>
      <c r="D96" s="86"/>
      <c r="E96" s="51"/>
      <c r="F96" s="103" t="str">
        <f>'Appendix H-1'!F104</f>
        <v>(Line 57 - 58)</v>
      </c>
      <c r="G96" s="25"/>
      <c r="H96" s="25"/>
      <c r="I96" s="25"/>
      <c r="J96" s="25"/>
      <c r="K96" s="25"/>
      <c r="L96" s="25"/>
      <c r="M96" s="25"/>
      <c r="N96" s="25"/>
      <c r="O96" s="25"/>
      <c r="P96" s="25"/>
      <c r="Q96" s="194"/>
    </row>
    <row r="97" spans="1:17" ht="15.75" hidden="1">
      <c r="A97" s="104"/>
      <c r="B97" s="75"/>
      <c r="C97" s="96"/>
      <c r="D97" s="60"/>
      <c r="E97" s="112"/>
      <c r="F97" s="110"/>
      <c r="G97" s="25"/>
      <c r="H97" s="25"/>
      <c r="I97" s="25"/>
      <c r="J97" s="25"/>
      <c r="K97" s="25"/>
      <c r="L97" s="25"/>
      <c r="M97" s="25"/>
      <c r="N97" s="25"/>
      <c r="O97" s="25"/>
      <c r="P97" s="25"/>
      <c r="Q97" s="194"/>
    </row>
    <row r="98" spans="1:17" ht="15.75" hidden="1">
      <c r="A98" s="106">
        <f>'Appendix H-1'!A106</f>
        <v>60</v>
      </c>
      <c r="B98" s="135" t="str">
        <f>'Appendix H-1'!B106</f>
        <v>TOTAL Adjustment to Rate Base</v>
      </c>
      <c r="C98" s="135"/>
      <c r="D98" s="135"/>
      <c r="E98" s="84"/>
      <c r="F98" s="103" t="str">
        <f>'Appendix H-1'!F106</f>
        <v>(Line 40 + 42 + 43 + 48 + 53 + 56 + 59)</v>
      </c>
      <c r="G98" s="25"/>
      <c r="H98" s="25"/>
      <c r="I98" s="25"/>
      <c r="J98" s="25"/>
      <c r="K98" s="25"/>
      <c r="L98" s="25"/>
      <c r="M98" s="25"/>
      <c r="N98" s="25"/>
      <c r="O98" s="25"/>
      <c r="P98" s="25"/>
      <c r="Q98" s="194"/>
    </row>
    <row r="99" spans="1:17" ht="15.75" hidden="1">
      <c r="A99" s="104"/>
      <c r="B99" s="75"/>
      <c r="C99" s="96"/>
      <c r="D99" s="60"/>
      <c r="E99" s="112"/>
      <c r="F99" s="110"/>
      <c r="G99" s="25"/>
      <c r="H99" s="25"/>
      <c r="I99" s="25"/>
      <c r="J99" s="25"/>
      <c r="K99" s="25"/>
      <c r="L99" s="25"/>
      <c r="M99" s="25"/>
      <c r="N99" s="25"/>
      <c r="O99" s="25"/>
      <c r="P99" s="25"/>
      <c r="Q99" s="194"/>
    </row>
    <row r="100" spans="1:17" ht="15.75" hidden="1">
      <c r="A100" s="104">
        <f>'Appendix H-1'!A108</f>
        <v>61</v>
      </c>
      <c r="B100" s="135" t="str">
        <f>'Appendix H-1'!B108</f>
        <v>Rate Base</v>
      </c>
      <c r="C100" s="135"/>
      <c r="D100" s="135"/>
      <c r="E100" s="84"/>
      <c r="F100" s="103" t="str">
        <f>'Appendix H-1'!F108</f>
        <v>(Line 38 + 60)</v>
      </c>
      <c r="G100" s="25"/>
      <c r="H100" s="25"/>
      <c r="I100" s="25"/>
      <c r="J100" s="25"/>
      <c r="K100" s="25"/>
      <c r="L100" s="25"/>
      <c r="M100" s="25"/>
      <c r="N100" s="25"/>
      <c r="O100" s="25"/>
      <c r="P100" s="25"/>
      <c r="Q100" s="194"/>
    </row>
    <row r="101" spans="1:17" ht="15.75" hidden="1">
      <c r="A101" s="104"/>
      <c r="B101" s="75"/>
      <c r="C101" s="96"/>
      <c r="D101" s="60"/>
      <c r="E101" s="112"/>
      <c r="F101" s="110"/>
      <c r="G101" s="25"/>
      <c r="H101" s="25"/>
      <c r="I101" s="25"/>
      <c r="J101" s="25"/>
      <c r="K101" s="25"/>
      <c r="L101" s="25"/>
      <c r="M101" s="25"/>
      <c r="N101" s="25"/>
      <c r="O101" s="25"/>
      <c r="P101" s="25"/>
      <c r="Q101" s="194"/>
    </row>
    <row r="102" spans="1:17" ht="15.75" hidden="1">
      <c r="A102" s="116" t="str">
        <f>'Appendix H-1'!A111</f>
        <v>Operations &amp; Maintenance Expense</v>
      </c>
      <c r="B102" s="61"/>
      <c r="C102" s="137"/>
      <c r="D102" s="62"/>
      <c r="E102" s="63"/>
      <c r="F102" s="117"/>
      <c r="G102" s="25"/>
      <c r="H102" s="25"/>
      <c r="I102" s="25"/>
      <c r="J102" s="25"/>
      <c r="K102" s="25"/>
      <c r="L102" s="25"/>
      <c r="M102" s="25"/>
      <c r="N102" s="25"/>
      <c r="O102" s="25"/>
      <c r="P102" s="25"/>
      <c r="Q102" s="194"/>
    </row>
    <row r="103" spans="1:17" ht="15.75" hidden="1">
      <c r="A103" s="104"/>
      <c r="B103" s="75"/>
      <c r="C103" s="96"/>
      <c r="D103" s="60"/>
      <c r="E103" s="112"/>
      <c r="F103" s="110"/>
      <c r="G103" s="25"/>
      <c r="H103" s="25"/>
      <c r="I103" s="25"/>
      <c r="J103" s="25"/>
      <c r="K103" s="25"/>
      <c r="L103" s="25"/>
      <c r="M103" s="25"/>
      <c r="N103" s="25"/>
      <c r="O103" s="25"/>
      <c r="P103" s="25"/>
      <c r="Q103" s="194"/>
    </row>
    <row r="104" spans="1:17" ht="15.75" hidden="1">
      <c r="A104" s="104">
        <f>'Appendix H-1'!A113</f>
        <v>0</v>
      </c>
      <c r="B104" s="96" t="str">
        <f>'Appendix H-1'!B113</f>
        <v>Transmission O&amp;M</v>
      </c>
      <c r="C104" s="14"/>
      <c r="D104" s="66"/>
      <c r="E104" s="68"/>
      <c r="F104" s="107"/>
      <c r="G104" s="25"/>
      <c r="H104" s="25"/>
      <c r="I104" s="25"/>
      <c r="J104" s="25"/>
      <c r="K104" s="25"/>
      <c r="L104" s="25"/>
      <c r="M104" s="25"/>
      <c r="N104" s="25"/>
      <c r="O104" s="25"/>
      <c r="P104" s="25"/>
      <c r="Q104" s="194"/>
    </row>
    <row r="105" spans="1:17" ht="15.75" hidden="1">
      <c r="A105" s="104">
        <f>'Appendix H-1'!A114</f>
        <v>62</v>
      </c>
      <c r="B105" s="75"/>
      <c r="C105" s="71" t="str">
        <f>'Appendix H-1'!C114</f>
        <v>Transmission O&amp;M</v>
      </c>
      <c r="D105" s="60"/>
      <c r="E105" s="81"/>
      <c r="F105" s="114" t="str">
        <f>'Appendix H-1'!F114</f>
        <v>p321.112b</v>
      </c>
      <c r="G105" s="25"/>
      <c r="H105" s="25"/>
      <c r="I105" s="25"/>
      <c r="J105" s="25"/>
      <c r="K105" s="25"/>
      <c r="L105" s="25"/>
      <c r="M105" s="25"/>
      <c r="N105" s="25"/>
      <c r="O105" s="25"/>
      <c r="P105" s="25"/>
      <c r="Q105" s="194"/>
    </row>
    <row r="106" spans="1:17" ht="15.75" hidden="1">
      <c r="A106" s="104">
        <f>'Appendix H-1'!A115</f>
        <v>63</v>
      </c>
      <c r="B106" s="75"/>
      <c r="C106" s="71" t="str">
        <f>'Appendix H-1'!C115</f>
        <v xml:space="preserve">     Remove Account 565 Expenses </v>
      </c>
      <c r="D106" s="60"/>
      <c r="E106" s="81"/>
      <c r="F106" s="114" t="str">
        <f>'Appendix H-1'!F115</f>
        <v>p321.96b</v>
      </c>
      <c r="G106" s="25"/>
      <c r="H106" s="25"/>
      <c r="I106" s="25"/>
      <c r="J106" s="25"/>
      <c r="K106" s="25"/>
      <c r="L106" s="25"/>
      <c r="M106" s="25"/>
      <c r="N106" s="25"/>
      <c r="O106" s="25"/>
      <c r="P106" s="25"/>
      <c r="Q106" s="194"/>
    </row>
    <row r="107" spans="1:17" ht="15.75" hidden="1">
      <c r="A107" s="104" t="e">
        <f>'Appendix H-1'!#REF!</f>
        <v>#REF!</v>
      </c>
      <c r="B107" s="75"/>
      <c r="C107" s="71" t="e">
        <f>'Appendix H-1'!#REF!</f>
        <v>#REF!</v>
      </c>
      <c r="D107" s="70"/>
      <c r="E107" s="45"/>
      <c r="F107" s="114" t="e">
        <f>'Appendix H-1'!#REF!</f>
        <v>#REF!</v>
      </c>
      <c r="G107" s="25"/>
      <c r="H107" s="25"/>
      <c r="I107" s="25"/>
      <c r="J107" s="25"/>
      <c r="K107" s="25"/>
      <c r="L107" s="25"/>
      <c r="M107" s="25"/>
      <c r="N107" s="25"/>
      <c r="O107" s="25"/>
      <c r="P107" s="25"/>
      <c r="Q107" s="194"/>
    </row>
    <row r="108" spans="1:17" ht="15.75" hidden="1">
      <c r="A108" s="113">
        <f>'Appendix H-1'!A120</f>
        <v>68</v>
      </c>
      <c r="B108" s="60"/>
      <c r="C108" s="96" t="str">
        <f>'Appendix H-1'!C120</f>
        <v>Transmission O&amp;M</v>
      </c>
      <c r="D108" s="60"/>
      <c r="E108" s="81"/>
      <c r="F108" s="114" t="str">
        <f>'Appendix H-1'!F120</f>
        <v>(Lines 62 - 63 - 64 + 65 - 66 - 67)</v>
      </c>
      <c r="G108" s="25"/>
      <c r="H108" s="25"/>
      <c r="I108" s="25"/>
      <c r="J108" s="25"/>
      <c r="K108" s="25"/>
      <c r="L108" s="25"/>
      <c r="M108" s="25"/>
      <c r="N108" s="25"/>
      <c r="O108" s="25"/>
      <c r="P108" s="25"/>
      <c r="Q108" s="194"/>
    </row>
    <row r="109" spans="1:17" ht="15.75" hidden="1">
      <c r="A109" s="104"/>
      <c r="B109" s="75"/>
      <c r="C109" s="96"/>
      <c r="D109" s="60"/>
      <c r="E109" s="112"/>
      <c r="F109" s="110"/>
      <c r="G109" s="25"/>
      <c r="H109" s="25"/>
      <c r="I109" s="25"/>
      <c r="J109" s="25"/>
      <c r="K109" s="25"/>
      <c r="L109" s="25"/>
      <c r="M109" s="25"/>
      <c r="N109" s="25"/>
      <c r="O109" s="25"/>
      <c r="P109" s="25"/>
      <c r="Q109" s="194"/>
    </row>
    <row r="110" spans="1:17" ht="15.75">
      <c r="A110" s="113"/>
      <c r="B110" s="96" t="str">
        <f>'Appendix H-1'!B122</f>
        <v>Allocated General Expenses</v>
      </c>
      <c r="C110" s="60"/>
      <c r="D110" s="60"/>
      <c r="E110" s="112"/>
      <c r="F110" s="138"/>
      <c r="G110" s="25"/>
      <c r="H110" s="25"/>
      <c r="I110" s="25"/>
      <c r="J110" s="25"/>
      <c r="K110" s="25"/>
      <c r="L110" s="25"/>
      <c r="M110" s="25"/>
      <c r="N110" s="25"/>
      <c r="O110" s="25"/>
      <c r="P110" s="25"/>
      <c r="Q110" s="194"/>
    </row>
    <row r="111" spans="1:17" ht="15.75">
      <c r="A111" s="113" t="e">
        <f>'Appendix H-1'!#REF!</f>
        <v>#REF!</v>
      </c>
      <c r="B111" s="94"/>
      <c r="C111" s="71" t="e">
        <f>'Appendix H-1'!#REF!</f>
        <v>#REF!</v>
      </c>
      <c r="D111" s="60"/>
      <c r="E111" s="136" t="e">
        <f>'Appendix H-1'!#REF!</f>
        <v>#REF!</v>
      </c>
      <c r="F111" s="103" t="e">
        <f>'Appendix H-1'!#REF!</f>
        <v>#REF!</v>
      </c>
      <c r="G111" s="46" t="s">
        <v>449</v>
      </c>
      <c r="H111" s="46"/>
      <c r="I111" s="25"/>
      <c r="J111" s="25"/>
      <c r="K111" s="25"/>
      <c r="L111" s="25"/>
      <c r="M111" s="25"/>
      <c r="N111" s="25"/>
      <c r="O111" s="25"/>
      <c r="P111" s="25"/>
      <c r="Q111" s="194"/>
    </row>
    <row r="112" spans="1:17" ht="15.75" hidden="1">
      <c r="A112" s="113">
        <f>'Appendix H-1'!A123</f>
        <v>69</v>
      </c>
      <c r="B112" s="94"/>
      <c r="C112" s="71" t="str">
        <f>'Appendix H-1'!C123</f>
        <v>Total A&amp;G</v>
      </c>
      <c r="D112" s="60"/>
      <c r="E112" s="81"/>
      <c r="F112" s="114" t="str">
        <f>'Appendix H-1'!F123</f>
        <v>p323.197b</v>
      </c>
      <c r="G112" s="25"/>
      <c r="H112" s="25"/>
      <c r="I112" s="25"/>
      <c r="J112" s="25"/>
      <c r="K112" s="25"/>
      <c r="L112" s="25"/>
      <c r="M112" s="25"/>
      <c r="N112" s="25"/>
      <c r="O112" s="25"/>
      <c r="P112" s="25"/>
      <c r="Q112" s="194"/>
    </row>
    <row r="113" spans="1:17" ht="15.75" hidden="1">
      <c r="A113" s="113" t="e">
        <f>'Appendix H-1'!#REF!</f>
        <v>#REF!</v>
      </c>
      <c r="B113" s="94"/>
      <c r="C113" s="71" t="str">
        <f>'Appendix H-1'!C126</f>
        <v xml:space="preserve">    Remove Property Insurance Account 924</v>
      </c>
      <c r="D113" s="70"/>
      <c r="E113" s="81"/>
      <c r="F113" s="139" t="str">
        <f>'Appendix H-1'!F126</f>
        <v>p323.185b</v>
      </c>
      <c r="G113" s="25"/>
      <c r="H113" s="25"/>
      <c r="I113" s="25"/>
      <c r="J113" s="25"/>
      <c r="K113" s="25"/>
      <c r="L113" s="25"/>
      <c r="M113" s="25"/>
      <c r="N113" s="25"/>
      <c r="O113" s="25"/>
      <c r="P113" s="25"/>
      <c r="Q113" s="194"/>
    </row>
    <row r="114" spans="1:17" ht="15.75">
      <c r="A114" s="113">
        <f>'Appendix H-1'!A127</f>
        <v>73</v>
      </c>
      <c r="B114" s="94"/>
      <c r="C114" s="71" t="str">
        <f>'Appendix H-1'!C127</f>
        <v xml:space="preserve">    Remove Regulatory Commission Exp Account 928</v>
      </c>
      <c r="D114" s="70"/>
      <c r="E114" s="136" t="str">
        <f>'Appendix H-1'!E127</f>
        <v>(Note E)</v>
      </c>
      <c r="F114" s="139" t="str">
        <f>'Appendix H-1'!F127</f>
        <v>p323.189b</v>
      </c>
      <c r="G114" s="25"/>
      <c r="H114" s="25"/>
      <c r="I114" s="25"/>
      <c r="J114" s="25"/>
      <c r="K114" s="46" t="s">
        <v>449</v>
      </c>
      <c r="L114" s="25"/>
      <c r="M114" s="25"/>
      <c r="N114" s="25"/>
      <c r="O114" s="25"/>
      <c r="P114" s="25"/>
      <c r="Q114" s="194"/>
    </row>
    <row r="115" spans="1:17" ht="15.75" hidden="1">
      <c r="A115" s="113">
        <f>'Appendix H-1'!A128</f>
        <v>74</v>
      </c>
      <c r="B115" s="94"/>
      <c r="C115" s="71" t="str">
        <f>'Appendix H-1'!C128</f>
        <v xml:space="preserve">    Remove General Advertising Exp Account 930.1</v>
      </c>
      <c r="D115" s="70"/>
      <c r="E115" s="81"/>
      <c r="F115" s="139" t="str">
        <f>'Appendix H-1'!F128</f>
        <v>p323.191b</v>
      </c>
      <c r="G115" s="25"/>
      <c r="H115" s="25"/>
      <c r="I115" s="25"/>
      <c r="J115" s="25"/>
      <c r="K115" s="25"/>
      <c r="L115" s="25"/>
      <c r="M115" s="25"/>
      <c r="N115" s="25"/>
      <c r="O115" s="25"/>
      <c r="P115" s="25"/>
      <c r="Q115" s="194"/>
    </row>
    <row r="116" spans="1:17" ht="15.75">
      <c r="A116" s="113" t="e">
        <f>'Appendix H-1'!#REF!</f>
        <v>#REF!</v>
      </c>
      <c r="B116" s="94"/>
      <c r="C116" s="71" t="e">
        <f>'Appendix H-1'!#REF!</f>
        <v>#REF!</v>
      </c>
      <c r="D116" s="86"/>
      <c r="E116" s="136" t="e">
        <f>'Appendix H-1'!#REF!</f>
        <v>#REF!</v>
      </c>
      <c r="F116" s="114" t="e">
        <f>'Appendix H-1'!#REF!</f>
        <v>#REF!</v>
      </c>
      <c r="G116" s="25"/>
      <c r="H116" s="25"/>
      <c r="I116" s="25"/>
      <c r="J116" s="46" t="s">
        <v>449</v>
      </c>
      <c r="K116" s="25"/>
      <c r="L116" s="25"/>
      <c r="M116" s="25"/>
      <c r="N116" s="25"/>
      <c r="O116" s="25"/>
      <c r="P116" s="25"/>
      <c r="Q116" s="194"/>
    </row>
    <row r="117" spans="1:17" ht="15.75" hidden="1">
      <c r="A117" s="113">
        <f>'Appendix H-1'!A129</f>
        <v>75</v>
      </c>
      <c r="B117" s="94"/>
      <c r="C117" s="96" t="str">
        <f>'Appendix H-1'!C129</f>
        <v>General Expenses</v>
      </c>
      <c r="D117" s="60"/>
      <c r="E117" s="112"/>
      <c r="F117" s="103" t="str">
        <f>'Appendix H-1'!F129</f>
        <v>Line 69 + 70 - Sum (Lines 71 to 74)</v>
      </c>
      <c r="G117" s="25"/>
      <c r="H117" s="25"/>
      <c r="I117" s="25"/>
      <c r="J117" s="25"/>
      <c r="K117" s="25"/>
      <c r="L117" s="25"/>
      <c r="M117" s="25"/>
      <c r="N117" s="25"/>
      <c r="O117" s="25"/>
      <c r="P117" s="25"/>
      <c r="Q117" s="194"/>
    </row>
    <row r="118" spans="1:17" ht="15.75" hidden="1">
      <c r="A118" s="113">
        <f>'Appendix H-1'!A130</f>
        <v>76</v>
      </c>
      <c r="B118" s="94"/>
      <c r="C118" s="77" t="str">
        <f>'Appendix H-1'!C130</f>
        <v>Wage &amp; Salary Allocation Factor</v>
      </c>
      <c r="D118" s="74"/>
      <c r="E118" s="51"/>
      <c r="F118" s="138" t="str">
        <f>'Appendix H-1'!F130</f>
        <v>(Line 5)</v>
      </c>
      <c r="G118" s="25"/>
      <c r="H118" s="25"/>
      <c r="I118" s="25"/>
      <c r="J118" s="25"/>
      <c r="K118" s="25"/>
      <c r="L118" s="25"/>
      <c r="M118" s="25"/>
      <c r="N118" s="25"/>
      <c r="O118" s="25"/>
      <c r="P118" s="25"/>
      <c r="Q118" s="194"/>
    </row>
    <row r="119" spans="1:17" ht="15.75" hidden="1">
      <c r="A119" s="113">
        <f>'Appendix H-1'!A131</f>
        <v>77</v>
      </c>
      <c r="B119" s="94"/>
      <c r="C119" s="96" t="str">
        <f>'Appendix H-1'!C131</f>
        <v>General Expenses Allocated to Transmission</v>
      </c>
      <c r="D119" s="60"/>
      <c r="E119" s="68"/>
      <c r="F119" s="103" t="str">
        <f>'Appendix H-1'!F131</f>
        <v>(Line 75 * 76)</v>
      </c>
      <c r="G119" s="25"/>
      <c r="H119" s="25"/>
      <c r="I119" s="25"/>
      <c r="J119" s="25"/>
      <c r="K119" s="25"/>
      <c r="L119" s="25"/>
      <c r="M119" s="25"/>
      <c r="N119" s="25"/>
      <c r="O119" s="25"/>
      <c r="P119" s="25"/>
      <c r="Q119" s="194"/>
    </row>
    <row r="120" spans="1:17" ht="15.75" hidden="1">
      <c r="A120" s="104"/>
      <c r="B120" s="75"/>
      <c r="C120" s="96"/>
      <c r="D120" s="60"/>
      <c r="E120" s="112"/>
      <c r="F120" s="110"/>
      <c r="G120" s="25"/>
      <c r="H120" s="25"/>
      <c r="I120" s="25"/>
      <c r="J120" s="25"/>
      <c r="K120" s="25"/>
      <c r="L120" s="25"/>
      <c r="M120" s="25"/>
      <c r="N120" s="25"/>
      <c r="O120" s="25"/>
      <c r="P120" s="25"/>
      <c r="Q120" s="194"/>
    </row>
    <row r="121" spans="1:17" ht="15.75">
      <c r="A121" s="113"/>
      <c r="B121" s="96" t="str">
        <f>'Appendix H-1'!B133</f>
        <v>Directly Assigned A&amp;G</v>
      </c>
      <c r="C121" s="50"/>
      <c r="D121" s="60"/>
      <c r="E121" s="68"/>
      <c r="F121" s="110"/>
      <c r="G121" s="25"/>
      <c r="H121" s="25"/>
      <c r="I121" s="25"/>
      <c r="J121" s="25"/>
      <c r="K121" s="25"/>
      <c r="L121" s="25"/>
      <c r="M121" s="25"/>
      <c r="N121" s="25"/>
      <c r="O121" s="25"/>
      <c r="P121" s="25"/>
      <c r="Q121" s="194"/>
    </row>
    <row r="122" spans="1:17" ht="15.75">
      <c r="A122" s="113">
        <f>'Appendix H-1'!A134</f>
        <v>78</v>
      </c>
      <c r="B122" s="128"/>
      <c r="C122" s="77" t="str">
        <f>'Appendix H-1'!C134</f>
        <v>Regulatory Commission Exp Account 928 - Transmission Related</v>
      </c>
      <c r="D122" s="59"/>
      <c r="E122" s="136" t="str">
        <f>'Appendix H-1'!E134</f>
        <v>(Note G)</v>
      </c>
      <c r="F122" s="131" t="str">
        <f>'Appendix H-1'!F134</f>
        <v>Attachment 5</v>
      </c>
      <c r="G122" s="25"/>
      <c r="H122" s="25"/>
      <c r="I122" s="46"/>
      <c r="J122" s="25"/>
      <c r="K122" s="46" t="s">
        <v>449</v>
      </c>
      <c r="L122" s="25"/>
      <c r="M122" s="25"/>
      <c r="N122" s="25"/>
      <c r="O122" s="25"/>
      <c r="P122" s="25"/>
      <c r="Q122" s="194"/>
    </row>
    <row r="123" spans="1:17" ht="15.75">
      <c r="A123" s="104" t="e">
        <f>'Appendix H-1'!#REF!</f>
        <v>#REF!</v>
      </c>
      <c r="B123" s="128"/>
      <c r="C123" s="77" t="e">
        <f>'Appendix H-1'!#REF!</f>
        <v>#REF!</v>
      </c>
      <c r="D123" s="153"/>
      <c r="E123" s="59" t="e">
        <f>'Appendix H-1'!#REF!</f>
        <v>#REF!</v>
      </c>
      <c r="F123" s="131" t="e">
        <f>'Appendix H-1'!#REF!</f>
        <v>#REF!</v>
      </c>
      <c r="G123" s="25"/>
      <c r="H123" s="25"/>
      <c r="I123" s="25"/>
      <c r="J123" s="25"/>
      <c r="K123" s="25"/>
      <c r="L123" s="25"/>
      <c r="M123" s="25"/>
      <c r="N123" s="46" t="s">
        <v>449</v>
      </c>
      <c r="O123" s="46"/>
      <c r="P123" s="25"/>
      <c r="Q123" s="194"/>
    </row>
    <row r="124" spans="1:17" ht="15.75" hidden="1">
      <c r="A124" s="104">
        <f>'Appendix H-1'!A136</f>
        <v>80</v>
      </c>
      <c r="B124" s="128"/>
      <c r="C124" s="77" t="str">
        <f>'Appendix H-1'!C136</f>
        <v>Subtotal - Transmission Related</v>
      </c>
      <c r="D124" s="60"/>
      <c r="E124" s="129"/>
      <c r="F124" s="103" t="str">
        <f>'Appendix H-1'!F136</f>
        <v>(Line 78 + 79)</v>
      </c>
      <c r="G124" s="25"/>
      <c r="H124" s="25"/>
      <c r="I124" s="25"/>
      <c r="J124" s="25"/>
      <c r="K124" s="25"/>
      <c r="L124" s="25"/>
      <c r="M124" s="25"/>
      <c r="N124" s="25"/>
      <c r="O124" s="25"/>
      <c r="P124" s="25"/>
      <c r="Q124" s="194"/>
    </row>
    <row r="125" spans="1:17" ht="15.75" hidden="1">
      <c r="A125" s="104"/>
      <c r="B125" s="75"/>
      <c r="C125" s="96"/>
      <c r="D125" s="60"/>
      <c r="E125" s="112"/>
      <c r="F125" s="110"/>
      <c r="G125" s="25"/>
      <c r="H125" s="25"/>
      <c r="I125" s="25"/>
      <c r="J125" s="25"/>
      <c r="K125" s="25"/>
      <c r="L125" s="25"/>
      <c r="M125" s="25"/>
      <c r="N125" s="25"/>
      <c r="O125" s="25"/>
      <c r="P125" s="25"/>
      <c r="Q125" s="194"/>
    </row>
    <row r="126" spans="1:17" ht="15.75" hidden="1">
      <c r="A126" s="104">
        <f>'Appendix H-1'!A138</f>
        <v>81</v>
      </c>
      <c r="B126" s="128"/>
      <c r="C126" s="77" t="str">
        <f>'Appendix H-1'!C138</f>
        <v>Property Insurance Account 924</v>
      </c>
      <c r="D126" s="60"/>
      <c r="E126" s="51"/>
      <c r="F126" s="131" t="str">
        <f>'Appendix H-1'!F138</f>
        <v>(Line 72)</v>
      </c>
      <c r="G126" s="25"/>
      <c r="H126" s="25"/>
      <c r="I126" s="25"/>
      <c r="J126" s="25"/>
      <c r="K126" s="25"/>
      <c r="L126" s="25"/>
      <c r="M126" s="25"/>
      <c r="N126" s="25"/>
      <c r="O126" s="25"/>
      <c r="P126" s="25"/>
      <c r="Q126" s="194"/>
    </row>
    <row r="127" spans="1:17" ht="15.75">
      <c r="A127" s="104">
        <f>'Appendix H-1'!A139</f>
        <v>82</v>
      </c>
      <c r="B127" s="128"/>
      <c r="C127" s="77" t="str">
        <f>'Appendix H-1'!C139</f>
        <v>General Advertising Exp Account 930.1 - Safety</v>
      </c>
      <c r="D127" s="60"/>
      <c r="E127" s="59" t="str">
        <f>'Appendix H-1'!E139</f>
        <v>(Note F)</v>
      </c>
      <c r="F127" s="131" t="str">
        <f>'Appendix H-1'!F139</f>
        <v>Attachment 5</v>
      </c>
      <c r="G127" s="25"/>
      <c r="H127" s="25"/>
      <c r="I127" s="25"/>
      <c r="J127" s="25"/>
      <c r="K127" s="25"/>
      <c r="L127" s="46" t="s">
        <v>449</v>
      </c>
      <c r="M127" s="25"/>
      <c r="N127" s="25"/>
      <c r="O127" s="25"/>
      <c r="P127" s="25"/>
      <c r="Q127" s="194"/>
    </row>
    <row r="128" spans="1:17" ht="15.75" hidden="1">
      <c r="A128" s="113">
        <f>'Appendix H-1'!A140</f>
        <v>83</v>
      </c>
      <c r="B128" s="128"/>
      <c r="C128" s="77" t="str">
        <f>'Appendix H-1'!C140</f>
        <v>Total</v>
      </c>
      <c r="D128" s="60"/>
      <c r="E128" s="51"/>
      <c r="F128" s="103" t="str">
        <f>'Appendix H-1'!F140</f>
        <v>(Line 81 + 82)</v>
      </c>
      <c r="G128" s="25"/>
      <c r="H128" s="25"/>
      <c r="I128" s="25"/>
      <c r="J128" s="25"/>
      <c r="K128" s="25"/>
      <c r="L128" s="25"/>
      <c r="M128" s="25"/>
      <c r="N128" s="25"/>
      <c r="O128" s="25"/>
      <c r="P128" s="25"/>
      <c r="Q128" s="194"/>
    </row>
    <row r="129" spans="1:17" ht="15.75" hidden="1">
      <c r="A129" s="104">
        <f>'Appendix H-1'!A141</f>
        <v>84</v>
      </c>
      <c r="B129" s="94"/>
      <c r="C129" s="77" t="str">
        <f>'Appendix H-1'!C141</f>
        <v>Net Plant Allocation Factor</v>
      </c>
      <c r="D129" s="74"/>
      <c r="E129" s="75"/>
      <c r="F129" s="103" t="str">
        <f>'Appendix H-1'!F141</f>
        <v>(Line 18)</v>
      </c>
      <c r="G129" s="25"/>
      <c r="H129" s="25"/>
      <c r="I129" s="25"/>
      <c r="J129" s="25"/>
      <c r="K129" s="25"/>
      <c r="L129" s="25"/>
      <c r="M129" s="25"/>
      <c r="N129" s="25"/>
      <c r="O129" s="25"/>
      <c r="P129" s="25"/>
      <c r="Q129" s="194"/>
    </row>
    <row r="130" spans="1:17" ht="15.75" hidden="1">
      <c r="A130" s="113">
        <f>'Appendix H-1'!A142</f>
        <v>85</v>
      </c>
      <c r="B130" s="94"/>
      <c r="C130" s="96" t="str">
        <f>'Appendix H-1'!C142</f>
        <v>A&amp;G Allocated to Transmission</v>
      </c>
      <c r="D130" s="60"/>
      <c r="E130" s="68"/>
      <c r="F130" s="103" t="str">
        <f>'Appendix H-1'!F142</f>
        <v>(Line 83 * 84)</v>
      </c>
      <c r="G130" s="25"/>
      <c r="H130" s="25"/>
      <c r="I130" s="25"/>
      <c r="J130" s="25"/>
      <c r="K130" s="25"/>
      <c r="L130" s="25"/>
      <c r="M130" s="25"/>
      <c r="N130" s="25"/>
      <c r="O130" s="25"/>
      <c r="P130" s="25"/>
      <c r="Q130" s="194"/>
    </row>
    <row r="131" spans="1:17" ht="15.75" hidden="1">
      <c r="A131" s="104"/>
      <c r="B131" s="75"/>
      <c r="C131" s="96"/>
      <c r="D131" s="60"/>
      <c r="E131" s="112"/>
      <c r="F131" s="110"/>
      <c r="G131" s="25"/>
      <c r="H131" s="25"/>
      <c r="I131" s="25"/>
      <c r="J131" s="25"/>
      <c r="K131" s="25"/>
      <c r="L131" s="25"/>
      <c r="M131" s="25"/>
      <c r="N131" s="25"/>
      <c r="O131" s="25"/>
      <c r="P131" s="25"/>
      <c r="Q131" s="194"/>
    </row>
    <row r="132" spans="1:17" ht="15.75" hidden="1">
      <c r="A132" s="104">
        <f>'Appendix H-1'!A144</f>
        <v>86</v>
      </c>
      <c r="B132" s="75"/>
      <c r="C132" s="96" t="str">
        <f>'Appendix H-1'!C144</f>
        <v>Total Transmission O&amp;M</v>
      </c>
      <c r="D132" s="60"/>
      <c r="E132" s="68"/>
      <c r="F132" s="148" t="str">
        <f>'Appendix H-1'!F144</f>
        <v>(Line 68 + 77 + 80 + 85)</v>
      </c>
      <c r="G132" s="25"/>
      <c r="H132" s="25"/>
      <c r="I132" s="25"/>
      <c r="J132" s="25"/>
      <c r="K132" s="25"/>
      <c r="L132" s="25"/>
      <c r="M132" s="25"/>
      <c r="N132" s="25"/>
      <c r="O132" s="25"/>
      <c r="P132" s="25"/>
      <c r="Q132" s="194"/>
    </row>
    <row r="133" spans="1:17" ht="15.75" hidden="1">
      <c r="A133" s="104"/>
      <c r="B133" s="75"/>
      <c r="C133" s="96"/>
      <c r="D133" s="60"/>
      <c r="E133" s="112"/>
      <c r="F133" s="110"/>
      <c r="G133" s="25"/>
      <c r="H133" s="25"/>
      <c r="I133" s="25"/>
      <c r="J133" s="25"/>
      <c r="K133" s="25"/>
      <c r="L133" s="25"/>
      <c r="M133" s="25"/>
      <c r="N133" s="25"/>
      <c r="O133" s="25"/>
      <c r="P133" s="25"/>
      <c r="Q133" s="194"/>
    </row>
    <row r="134" spans="1:17" ht="15.75" hidden="1">
      <c r="A134" s="116" t="str">
        <f>'Appendix H-1'!A147</f>
        <v>Depreciation &amp; Amortization Expense</v>
      </c>
      <c r="B134" s="61"/>
      <c r="C134" s="137"/>
      <c r="D134" s="62"/>
      <c r="E134" s="63"/>
      <c r="F134" s="117"/>
      <c r="G134" s="25"/>
      <c r="H134" s="25"/>
      <c r="I134" s="25"/>
      <c r="J134" s="25"/>
      <c r="K134" s="25"/>
      <c r="L134" s="25"/>
      <c r="M134" s="25"/>
      <c r="N134" s="25"/>
      <c r="O134" s="25"/>
      <c r="P134" s="25"/>
      <c r="Q134" s="194"/>
    </row>
    <row r="135" spans="1:17" ht="15.75" hidden="1">
      <c r="A135" s="104"/>
      <c r="B135" s="75"/>
      <c r="C135" s="96"/>
      <c r="D135" s="60"/>
      <c r="E135" s="112"/>
      <c r="F135" s="110"/>
      <c r="G135" s="25"/>
      <c r="H135" s="25"/>
      <c r="I135" s="25"/>
      <c r="J135" s="25"/>
      <c r="K135" s="25"/>
      <c r="L135" s="25"/>
      <c r="M135" s="25"/>
      <c r="N135" s="25"/>
      <c r="O135" s="25"/>
      <c r="P135" s="25"/>
      <c r="Q135" s="194"/>
    </row>
    <row r="136" spans="1:17" ht="15.75">
      <c r="A136" s="106"/>
      <c r="B136" s="90" t="str">
        <f>'Appendix H-1'!B149</f>
        <v>Depreciation Expense</v>
      </c>
      <c r="C136" s="86"/>
      <c r="D136" s="14"/>
      <c r="E136" s="51"/>
      <c r="F136" s="140"/>
      <c r="G136" s="25"/>
      <c r="H136" s="25"/>
      <c r="I136" s="25"/>
      <c r="J136" s="25"/>
      <c r="K136" s="25"/>
      <c r="L136" s="25"/>
      <c r="M136" s="25"/>
      <c r="N136" s="25"/>
      <c r="O136" s="25"/>
      <c r="P136" s="25"/>
      <c r="Q136" s="194"/>
    </row>
    <row r="137" spans="1:17" ht="15.75" hidden="1">
      <c r="A137" s="104">
        <f>'Appendix H-1'!A150</f>
        <v>87</v>
      </c>
      <c r="B137" s="141"/>
      <c r="C137" s="78" t="str">
        <f>'Appendix H-1'!C150</f>
        <v>Transmission Depreciation Expense</v>
      </c>
      <c r="D137" s="14"/>
      <c r="E137" s="75"/>
      <c r="F137" s="127" t="str">
        <f>'Appendix H-1'!F150</f>
        <v>p336.7b</v>
      </c>
      <c r="G137" s="25"/>
      <c r="H137" s="25"/>
      <c r="I137" s="25"/>
      <c r="J137" s="25"/>
      <c r="K137" s="25"/>
      <c r="L137" s="25"/>
      <c r="M137" s="25"/>
      <c r="N137" s="25"/>
      <c r="O137" s="25"/>
      <c r="P137" s="25"/>
      <c r="Q137" s="194"/>
    </row>
    <row r="138" spans="1:17" ht="15.75" hidden="1">
      <c r="A138" s="104"/>
      <c r="B138" s="75"/>
      <c r="C138" s="96"/>
      <c r="D138" s="60"/>
      <c r="E138" s="112"/>
      <c r="F138" s="110"/>
      <c r="G138" s="25"/>
      <c r="H138" s="25"/>
      <c r="I138" s="25"/>
      <c r="J138" s="25"/>
      <c r="K138" s="25"/>
      <c r="L138" s="25"/>
      <c r="M138" s="25"/>
      <c r="N138" s="25"/>
      <c r="O138" s="25"/>
      <c r="P138" s="25"/>
      <c r="Q138" s="194"/>
    </row>
    <row r="139" spans="1:17" ht="15.75" hidden="1">
      <c r="A139" s="104">
        <f>'Appendix H-1'!A153</f>
        <v>88</v>
      </c>
      <c r="B139" s="141"/>
      <c r="C139" s="78" t="str">
        <f>'Appendix H-1'!C153</f>
        <v>General Plant Depreciation - Electric Only</v>
      </c>
      <c r="D139" s="14"/>
      <c r="E139" s="75"/>
      <c r="F139" s="127" t="str">
        <f>'Appendix H-1'!F153</f>
        <v>Attachment 5</v>
      </c>
      <c r="G139" s="25"/>
      <c r="H139" s="25"/>
      <c r="I139" s="25"/>
      <c r="J139" s="25"/>
      <c r="K139" s="25"/>
      <c r="L139" s="25"/>
      <c r="M139" s="25"/>
      <c r="N139" s="25"/>
      <c r="O139" s="25"/>
      <c r="P139" s="25"/>
      <c r="Q139" s="194"/>
    </row>
    <row r="140" spans="1:17" ht="15.75">
      <c r="A140" s="104">
        <f>'Appendix H-1'!A154</f>
        <v>89</v>
      </c>
      <c r="B140" s="141"/>
      <c r="C140" s="78" t="str">
        <f>'Appendix H-1'!C154</f>
        <v>Intangible Plant Amortization - Electric Only</v>
      </c>
      <c r="D140" s="14"/>
      <c r="E140" s="157" t="str">
        <f>'Appendix H-1'!E154</f>
        <v>(Notes A and N)</v>
      </c>
      <c r="F140" s="131" t="str">
        <f>'Appendix H-1'!F154</f>
        <v>Attachment 5</v>
      </c>
      <c r="G140" s="46" t="s">
        <v>449</v>
      </c>
      <c r="H140" s="25"/>
      <c r="J140" s="25"/>
      <c r="K140" s="25"/>
      <c r="L140" s="25"/>
      <c r="M140" s="25"/>
      <c r="N140" s="25"/>
      <c r="O140" s="25"/>
      <c r="P140" s="25"/>
      <c r="Q140" s="194"/>
    </row>
    <row r="141" spans="1:17" ht="15.75" hidden="1">
      <c r="A141" s="104">
        <f>'Appendix H-1'!A155</f>
        <v>90</v>
      </c>
      <c r="B141" s="141"/>
      <c r="C141" s="78" t="str">
        <f>'Appendix H-1'!C155</f>
        <v>Total</v>
      </c>
      <c r="D141" s="14"/>
      <c r="E141" s="75"/>
      <c r="F141" s="103" t="str">
        <f>'Appendix H-1'!F155</f>
        <v>(Line 88 + 89)</v>
      </c>
      <c r="G141" s="25"/>
      <c r="H141" s="25"/>
      <c r="J141" s="25"/>
      <c r="K141" s="25"/>
      <c r="L141" s="25"/>
      <c r="M141" s="25"/>
      <c r="N141" s="25"/>
      <c r="O141" s="25"/>
      <c r="P141" s="25"/>
      <c r="Q141" s="194"/>
    </row>
    <row r="142" spans="1:17" ht="15.75" hidden="1">
      <c r="A142" s="104">
        <f>'Appendix H-1'!A156</f>
        <v>91</v>
      </c>
      <c r="B142" s="141"/>
      <c r="C142" s="77" t="str">
        <f>'Appendix H-1'!C156</f>
        <v>Wage &amp; Salary Allocation Factor</v>
      </c>
      <c r="D142" s="74"/>
      <c r="E142" s="51"/>
      <c r="F142" s="138" t="str">
        <f>'Appendix H-1'!F156</f>
        <v>(Line 5)</v>
      </c>
      <c r="G142" s="25"/>
      <c r="H142" s="25"/>
      <c r="J142" s="25"/>
      <c r="K142" s="25"/>
      <c r="L142" s="25"/>
      <c r="M142" s="25"/>
      <c r="N142" s="25"/>
      <c r="O142" s="25"/>
      <c r="P142" s="25"/>
      <c r="Q142" s="194"/>
    </row>
    <row r="143" spans="1:17" ht="15.75" hidden="1">
      <c r="A143" s="104">
        <f>'Appendix H-1'!A157</f>
        <v>92</v>
      </c>
      <c r="B143" s="141"/>
      <c r="C143" s="90" t="str">
        <f>'Appendix H-1'!C157</f>
        <v>General Depreciation Allocated to Transmission</v>
      </c>
      <c r="D143" s="14"/>
      <c r="E143" s="75"/>
      <c r="F143" s="103" t="str">
        <f>'Appendix H-1'!F157</f>
        <v>(Line 90 * 91)</v>
      </c>
      <c r="G143" s="25"/>
      <c r="H143" s="25"/>
      <c r="J143" s="25"/>
      <c r="K143" s="25"/>
      <c r="L143" s="25"/>
      <c r="M143" s="25"/>
      <c r="N143" s="25"/>
      <c r="O143" s="25"/>
      <c r="P143" s="25"/>
      <c r="Q143" s="194"/>
    </row>
    <row r="144" spans="1:17" ht="15.75" hidden="1">
      <c r="A144" s="104"/>
      <c r="B144" s="75"/>
      <c r="C144" s="96"/>
      <c r="D144" s="60"/>
      <c r="E144" s="112"/>
      <c r="F144" s="110"/>
      <c r="G144" s="25"/>
      <c r="H144" s="25"/>
      <c r="J144" s="25"/>
      <c r="K144" s="25"/>
      <c r="L144" s="25"/>
      <c r="M144" s="25"/>
      <c r="N144" s="25"/>
      <c r="O144" s="25"/>
      <c r="P144" s="25"/>
      <c r="Q144" s="194"/>
    </row>
    <row r="145" spans="1:17" ht="15.75">
      <c r="A145" s="104">
        <f>'Appendix H-1'!A159</f>
        <v>93</v>
      </c>
      <c r="B145" s="128"/>
      <c r="C145" s="77" t="str">
        <f>'Appendix H-1'!C159</f>
        <v>Common Plant Depreciation - Electric Only</v>
      </c>
      <c r="D145" s="60"/>
      <c r="E145" s="142" t="str">
        <f>'Appendix H-1'!E159</f>
        <v>(Notes A and N)</v>
      </c>
      <c r="F145" s="131" t="str">
        <f>'Appendix H-1'!F159</f>
        <v>Attachment 5</v>
      </c>
      <c r="G145" s="46" t="s">
        <v>449</v>
      </c>
      <c r="H145" s="25"/>
      <c r="J145" s="25"/>
      <c r="K145" s="25"/>
      <c r="L145" s="25"/>
      <c r="M145" s="25"/>
      <c r="N145" s="25"/>
      <c r="O145" s="25"/>
      <c r="P145" s="25"/>
      <c r="Q145" s="194"/>
    </row>
    <row r="146" spans="1:17" ht="15.75">
      <c r="A146" s="113">
        <f>'Appendix H-1'!A160</f>
        <v>94</v>
      </c>
      <c r="B146" s="128"/>
      <c r="C146" s="77" t="str">
        <f>'Appendix H-1'!C160</f>
        <v>Common Plant Amortization - Electric Only</v>
      </c>
      <c r="D146" s="60"/>
      <c r="E146" s="142" t="str">
        <f>'Appendix H-1'!E160</f>
        <v>(Notes A and N)</v>
      </c>
      <c r="F146" s="131" t="str">
        <f>'Appendix H-1'!F160</f>
        <v>Attachment 5</v>
      </c>
      <c r="G146" s="46" t="s">
        <v>449</v>
      </c>
      <c r="H146" s="25"/>
      <c r="J146" s="25"/>
      <c r="K146" s="25"/>
      <c r="L146" s="25"/>
      <c r="M146" s="25"/>
      <c r="N146" s="25"/>
      <c r="O146" s="25"/>
      <c r="P146" s="25"/>
      <c r="Q146" s="194"/>
    </row>
    <row r="147" spans="1:17" ht="15.75" hidden="1">
      <c r="A147" s="113">
        <f>'Appendix H-1'!A161</f>
        <v>95</v>
      </c>
      <c r="B147" s="128"/>
      <c r="C147" s="77" t="str">
        <f>'Appendix H-1'!C161</f>
        <v>Total</v>
      </c>
      <c r="D147" s="60"/>
      <c r="E147" s="94"/>
      <c r="F147" s="103" t="str">
        <f>'Appendix H-1'!F161</f>
        <v>(Line 93 + 94)</v>
      </c>
      <c r="G147" s="25"/>
      <c r="H147" s="25"/>
      <c r="I147" s="25"/>
      <c r="J147" s="25"/>
      <c r="K147" s="25"/>
      <c r="L147" s="25"/>
      <c r="M147" s="25"/>
      <c r="N147" s="25"/>
      <c r="O147" s="25"/>
      <c r="P147" s="25"/>
      <c r="Q147" s="194"/>
    </row>
    <row r="148" spans="1:17" ht="15.75" hidden="1">
      <c r="A148" s="104">
        <f>'Appendix H-1'!A162</f>
        <v>96</v>
      </c>
      <c r="B148" s="128"/>
      <c r="C148" s="77" t="str">
        <f>'Appendix H-1'!C162</f>
        <v>Wage &amp; Salary Allocation Factor</v>
      </c>
      <c r="D148" s="74"/>
      <c r="E148" s="51"/>
      <c r="F148" s="138" t="str">
        <f>'Appendix H-1'!F162</f>
        <v>(Line 5)</v>
      </c>
      <c r="G148" s="25"/>
      <c r="H148" s="25"/>
      <c r="I148" s="25"/>
      <c r="J148" s="25"/>
      <c r="K148" s="25"/>
      <c r="L148" s="25"/>
      <c r="M148" s="25"/>
      <c r="N148" s="25"/>
      <c r="O148" s="25"/>
      <c r="P148" s="25"/>
      <c r="Q148" s="194"/>
    </row>
    <row r="149" spans="1:17" ht="15.75" hidden="1">
      <c r="A149" s="104">
        <f>'Appendix H-1'!A163</f>
        <v>97</v>
      </c>
      <c r="B149" s="128"/>
      <c r="C149" s="90" t="str">
        <f>'Appendix H-1'!C163</f>
        <v>Common Depreciation - Electric Only Allocated to Transmission</v>
      </c>
      <c r="D149" s="60"/>
      <c r="E149" s="94"/>
      <c r="F149" s="103" t="str">
        <f>'Appendix H-1'!F163</f>
        <v>(Line 95 * 96)</v>
      </c>
      <c r="G149" s="25"/>
      <c r="H149" s="25"/>
      <c r="I149" s="25"/>
      <c r="J149" s="25"/>
      <c r="K149" s="25"/>
      <c r="L149" s="25"/>
      <c r="M149" s="25"/>
      <c r="N149" s="25"/>
      <c r="O149" s="25"/>
      <c r="P149" s="25"/>
      <c r="Q149" s="194"/>
    </row>
    <row r="150" spans="1:17" ht="15.75" hidden="1">
      <c r="A150" s="104"/>
      <c r="B150" s="75"/>
      <c r="C150" s="96"/>
      <c r="D150" s="60"/>
      <c r="E150" s="112"/>
      <c r="F150" s="110"/>
      <c r="G150" s="25"/>
      <c r="H150" s="25"/>
      <c r="I150" s="25"/>
      <c r="J150" s="25"/>
      <c r="K150" s="25"/>
      <c r="L150" s="25"/>
      <c r="M150" s="25"/>
      <c r="N150" s="25"/>
      <c r="O150" s="25"/>
      <c r="P150" s="25"/>
      <c r="Q150" s="194"/>
    </row>
    <row r="151" spans="1:17" ht="15.75" hidden="1">
      <c r="A151" s="104"/>
      <c r="B151" s="75"/>
      <c r="C151" s="96"/>
      <c r="D151" s="60"/>
      <c r="E151" s="112"/>
      <c r="F151" s="110"/>
      <c r="G151" s="25"/>
      <c r="H151" s="25"/>
      <c r="I151" s="25"/>
      <c r="J151" s="25"/>
      <c r="K151" s="25"/>
      <c r="L151" s="25"/>
      <c r="M151" s="25"/>
      <c r="N151" s="25"/>
      <c r="O151" s="25"/>
      <c r="P151" s="25"/>
      <c r="Q151" s="194"/>
    </row>
    <row r="152" spans="1:17" ht="15.75" hidden="1">
      <c r="A152" s="104">
        <f>'Appendix H-1'!A165</f>
        <v>98</v>
      </c>
      <c r="B152" s="90" t="str">
        <f>'Appendix H-1'!B165</f>
        <v>Total Transmission Depreciation &amp; Amortization</v>
      </c>
      <c r="C152" s="90"/>
      <c r="D152" s="83"/>
      <c r="E152" s="156"/>
      <c r="F152" s="148" t="str">
        <f>'Appendix H-1'!F165</f>
        <v>(Line 87 + 92 + 97)</v>
      </c>
      <c r="G152" s="25"/>
      <c r="H152" s="25"/>
      <c r="I152" s="25"/>
      <c r="J152" s="25"/>
      <c r="K152" s="25"/>
      <c r="L152" s="25"/>
      <c r="M152" s="25"/>
      <c r="N152" s="25"/>
      <c r="O152" s="25"/>
      <c r="P152" s="25"/>
      <c r="Q152" s="194"/>
    </row>
    <row r="153" spans="1:17" ht="15.75" hidden="1">
      <c r="A153" s="104"/>
      <c r="B153" s="75"/>
      <c r="C153" s="96"/>
      <c r="D153" s="60"/>
      <c r="E153" s="112"/>
      <c r="F153" s="110"/>
      <c r="G153" s="25"/>
      <c r="H153" s="25"/>
      <c r="I153" s="25"/>
      <c r="J153" s="25"/>
      <c r="K153" s="25"/>
      <c r="L153" s="25"/>
      <c r="M153" s="25"/>
      <c r="N153" s="25"/>
      <c r="O153" s="25"/>
      <c r="P153" s="25"/>
      <c r="Q153" s="194"/>
    </row>
    <row r="154" spans="1:17" ht="15.75" hidden="1">
      <c r="A154" s="116" t="str">
        <f>'Appendix H-1'!A167</f>
        <v xml:space="preserve">Taxes Other than Income Taxes                                                  </v>
      </c>
      <c r="B154" s="61"/>
      <c r="C154" s="137"/>
      <c r="D154" s="62"/>
      <c r="E154" s="63"/>
      <c r="F154" s="117"/>
      <c r="G154" s="25"/>
      <c r="H154" s="25"/>
      <c r="I154" s="25"/>
      <c r="J154" s="25"/>
      <c r="K154" s="25"/>
      <c r="L154" s="25"/>
      <c r="M154" s="25"/>
      <c r="N154" s="25"/>
      <c r="O154" s="25"/>
      <c r="P154" s="25"/>
      <c r="Q154" s="194"/>
    </row>
    <row r="155" spans="1:17" ht="15.75" hidden="1">
      <c r="A155" s="104"/>
      <c r="B155" s="75"/>
      <c r="C155" s="96"/>
      <c r="D155" s="60"/>
      <c r="E155" s="112"/>
      <c r="F155" s="110"/>
      <c r="G155" s="25"/>
      <c r="H155" s="25"/>
      <c r="I155" s="25"/>
      <c r="J155" s="25"/>
      <c r="K155" s="25"/>
      <c r="L155" s="25"/>
      <c r="M155" s="25"/>
      <c r="N155" s="25"/>
      <c r="O155" s="25"/>
      <c r="P155" s="25"/>
      <c r="Q155" s="194"/>
    </row>
    <row r="156" spans="1:17" ht="15.75" hidden="1">
      <c r="A156" s="113">
        <f>'Appendix H-1'!A169</f>
        <v>99</v>
      </c>
      <c r="B156" s="69" t="str">
        <f>'Appendix H-1'!B169</f>
        <v>Taxes Other than Income Taxes</v>
      </c>
      <c r="C156" s="126"/>
      <c r="D156" s="14"/>
      <c r="E156" s="51"/>
      <c r="F156" s="108" t="str">
        <f>'Appendix H-1'!F169</f>
        <v>Attachment 2</v>
      </c>
      <c r="G156" s="25"/>
      <c r="H156" s="25"/>
      <c r="I156" s="25"/>
      <c r="J156" s="25"/>
      <c r="K156" s="25"/>
      <c r="L156" s="25"/>
      <c r="M156" s="25"/>
      <c r="N156" s="25"/>
      <c r="O156" s="25"/>
      <c r="P156" s="25"/>
      <c r="Q156" s="194"/>
    </row>
    <row r="157" spans="1:17" ht="15.75" hidden="1">
      <c r="A157" s="104"/>
      <c r="B157" s="75"/>
      <c r="C157" s="96"/>
      <c r="D157" s="60"/>
      <c r="E157" s="112"/>
      <c r="F157" s="110"/>
      <c r="G157" s="25"/>
      <c r="H157" s="25"/>
      <c r="I157" s="25"/>
      <c r="J157" s="25"/>
      <c r="K157" s="25"/>
      <c r="L157" s="25"/>
      <c r="M157" s="25"/>
      <c r="N157" s="25"/>
      <c r="O157" s="25"/>
      <c r="P157" s="25"/>
      <c r="Q157" s="194"/>
    </row>
    <row r="158" spans="1:17" ht="15.75" hidden="1">
      <c r="A158" s="113">
        <f>'Appendix H-1'!A171</f>
        <v>100</v>
      </c>
      <c r="B158" s="96" t="str">
        <f>'Appendix H-1'!B171</f>
        <v>Total Taxes Other than Income</v>
      </c>
      <c r="C158" s="96"/>
      <c r="D158" s="83"/>
      <c r="E158" s="84"/>
      <c r="F158" s="148" t="str">
        <f>'Appendix H-1'!F171</f>
        <v>(Line 99)</v>
      </c>
      <c r="G158" s="25"/>
      <c r="H158" s="25"/>
      <c r="I158" s="25"/>
      <c r="J158" s="25"/>
      <c r="K158" s="25"/>
      <c r="L158" s="25"/>
      <c r="M158" s="25"/>
      <c r="N158" s="25"/>
      <c r="O158" s="25"/>
      <c r="P158" s="25"/>
      <c r="Q158" s="194"/>
    </row>
    <row r="159" spans="1:17" ht="15.75" hidden="1">
      <c r="A159" s="104"/>
      <c r="B159" s="75"/>
      <c r="C159" s="96"/>
      <c r="D159" s="60"/>
      <c r="E159" s="112"/>
      <c r="F159" s="110"/>
      <c r="G159" s="25"/>
      <c r="H159" s="25"/>
      <c r="I159" s="25"/>
      <c r="J159" s="25"/>
      <c r="K159" s="25"/>
      <c r="L159" s="25"/>
      <c r="M159" s="25"/>
      <c r="N159" s="25"/>
      <c r="O159" s="25"/>
      <c r="P159" s="25"/>
      <c r="Q159" s="194"/>
    </row>
    <row r="160" spans="1:17" ht="15.75" hidden="1">
      <c r="A160" s="116" t="str">
        <f>'Appendix H-1'!A173</f>
        <v>Return / Capitalization Calculations</v>
      </c>
      <c r="B160" s="61"/>
      <c r="C160" s="137"/>
      <c r="D160" s="62"/>
      <c r="E160" s="63"/>
      <c r="F160" s="117"/>
      <c r="G160" s="25"/>
      <c r="H160" s="25"/>
      <c r="I160" s="25"/>
      <c r="J160" s="25"/>
      <c r="K160" s="25"/>
      <c r="L160" s="25"/>
      <c r="M160" s="25"/>
      <c r="N160" s="25"/>
      <c r="O160" s="25"/>
      <c r="P160" s="25"/>
      <c r="Q160" s="194"/>
    </row>
    <row r="161" spans="1:17" ht="15.75" hidden="1">
      <c r="A161" s="104"/>
      <c r="B161" s="75"/>
      <c r="C161" s="96"/>
      <c r="D161" s="60"/>
      <c r="E161" s="112"/>
      <c r="F161" s="110"/>
      <c r="G161" s="25"/>
      <c r="H161" s="25"/>
      <c r="I161" s="25"/>
      <c r="J161" s="25"/>
      <c r="K161" s="25"/>
      <c r="L161" s="25"/>
      <c r="M161" s="25"/>
      <c r="N161" s="25"/>
      <c r="O161" s="25"/>
      <c r="P161" s="25"/>
      <c r="Q161" s="194"/>
    </row>
    <row r="162" spans="1:17" ht="15.75" hidden="1">
      <c r="A162" s="113"/>
      <c r="B162" s="79" t="str">
        <f>'Appendix H-1'!B175</f>
        <v>Long Term Interest</v>
      </c>
      <c r="C162" s="14"/>
      <c r="D162" s="14"/>
      <c r="E162" s="68"/>
      <c r="F162" s="107"/>
      <c r="G162" s="25"/>
      <c r="H162" s="25"/>
      <c r="I162" s="25"/>
      <c r="J162" s="25"/>
      <c r="K162" s="25"/>
      <c r="L162" s="25"/>
      <c r="M162" s="25"/>
      <c r="N162" s="25"/>
      <c r="O162" s="25"/>
      <c r="P162" s="25"/>
      <c r="Q162" s="194"/>
    </row>
    <row r="163" spans="1:17" ht="15.75" hidden="1">
      <c r="A163" s="113">
        <f>'Appendix H-1'!A176</f>
        <v>101</v>
      </c>
      <c r="B163" s="79"/>
      <c r="C163" s="14" t="str">
        <f>'Appendix H-1'!C176</f>
        <v>Long Term Interest Expense (Acct. 427 and 430) from p. 257(i)</v>
      </c>
      <c r="D163" s="14"/>
      <c r="E163" s="68"/>
      <c r="F163" s="103" t="str">
        <f>'Appendix H-1'!F176</f>
        <v>p257.1.33(i)</v>
      </c>
      <c r="G163" s="25"/>
      <c r="H163" s="25"/>
      <c r="I163" s="25"/>
      <c r="J163" s="25"/>
      <c r="K163" s="25"/>
      <c r="L163" s="25"/>
      <c r="M163" s="25"/>
      <c r="N163" s="25"/>
      <c r="O163" s="25"/>
      <c r="P163" s="25"/>
      <c r="Q163" s="194"/>
    </row>
    <row r="164" spans="1:17" ht="15.75" hidden="1">
      <c r="A164" s="104">
        <f>'Appendix H-1'!A177</f>
        <v>102</v>
      </c>
      <c r="B164" s="75"/>
      <c r="C164" s="158" t="str">
        <f>'Appendix H-1'!C177</f>
        <v xml:space="preserve">    Total Excluded Hedge (Gain)/Loss Amounts</v>
      </c>
      <c r="D164" s="14"/>
      <c r="E164" s="68"/>
      <c r="F164" s="114" t="str">
        <f>'Appendix H-1'!F177</f>
        <v>Attachment 8</v>
      </c>
      <c r="G164" s="25"/>
      <c r="H164" s="25"/>
      <c r="I164" s="25"/>
      <c r="J164" s="25"/>
      <c r="K164" s="25"/>
      <c r="L164" s="25"/>
      <c r="M164" s="25"/>
      <c r="N164" s="25"/>
      <c r="O164" s="25"/>
      <c r="P164" s="25"/>
      <c r="Q164" s="194"/>
    </row>
    <row r="165" spans="1:17" ht="15.75" hidden="1">
      <c r="A165" s="104">
        <f>'Appendix H-1'!A182</f>
        <v>107</v>
      </c>
      <c r="B165" s="75"/>
      <c r="C165" s="79" t="str">
        <f>'Appendix H-1'!C182</f>
        <v>Long Term Interest</v>
      </c>
      <c r="D165" s="14"/>
      <c r="E165" s="51"/>
      <c r="F165" s="103" t="str">
        <f>'Appendix H-1'!F182</f>
        <v>(Line 101 - 102 + 103 + 104 - 105 - 106)</v>
      </c>
      <c r="G165" s="25"/>
      <c r="H165" s="25"/>
      <c r="I165" s="25"/>
      <c r="J165" s="25"/>
      <c r="K165" s="25"/>
      <c r="L165" s="25"/>
      <c r="M165" s="25"/>
      <c r="N165" s="25"/>
      <c r="O165" s="25"/>
      <c r="P165" s="25"/>
      <c r="Q165" s="194"/>
    </row>
    <row r="166" spans="1:17" ht="15.75" hidden="1">
      <c r="A166" s="104"/>
      <c r="B166" s="75"/>
      <c r="C166" s="96"/>
      <c r="D166" s="60"/>
      <c r="E166" s="112"/>
      <c r="F166" s="110"/>
      <c r="G166" s="25"/>
      <c r="H166" s="25"/>
      <c r="I166" s="25"/>
      <c r="J166" s="25"/>
      <c r="K166" s="25"/>
      <c r="L166" s="25"/>
      <c r="M166" s="25"/>
      <c r="N166" s="25"/>
      <c r="O166" s="25"/>
      <c r="P166" s="25"/>
      <c r="Q166" s="194"/>
    </row>
    <row r="167" spans="1:17" ht="15.75" hidden="1">
      <c r="A167" s="104">
        <f>'Appendix H-1'!A184</f>
        <v>108</v>
      </c>
      <c r="B167" s="79" t="str">
        <f>'Appendix H-1'!B184</f>
        <v>Preferred Dividends</v>
      </c>
      <c r="C167" s="14"/>
      <c r="D167" s="14"/>
      <c r="E167" s="68" t="str">
        <f>'Appendix H-1'!E184</f>
        <v>(Note S)</v>
      </c>
      <c r="F167" s="103" t="str">
        <f>'Appendix H-1'!F184</f>
        <v>p118.29c</v>
      </c>
      <c r="G167" s="25"/>
      <c r="H167" s="25"/>
      <c r="I167" s="25"/>
      <c r="J167" s="25"/>
      <c r="K167" s="25"/>
      <c r="L167" s="25"/>
      <c r="M167" s="25"/>
      <c r="N167" s="25"/>
      <c r="O167" s="25"/>
      <c r="P167" s="25"/>
      <c r="Q167" s="194"/>
    </row>
    <row r="168" spans="1:17" ht="15.75" hidden="1">
      <c r="A168" s="104"/>
      <c r="B168" s="75"/>
      <c r="C168" s="96"/>
      <c r="D168" s="60"/>
      <c r="E168" s="112"/>
      <c r="F168" s="110"/>
      <c r="G168" s="25"/>
      <c r="H168" s="25"/>
      <c r="I168" s="25"/>
      <c r="J168" s="25"/>
      <c r="K168" s="25"/>
      <c r="L168" s="25"/>
      <c r="M168" s="25"/>
      <c r="N168" s="25"/>
      <c r="O168" s="25"/>
      <c r="P168" s="25"/>
      <c r="Q168" s="194"/>
    </row>
    <row r="169" spans="1:17" ht="15.75" hidden="1">
      <c r="A169" s="104"/>
      <c r="B169" s="82" t="str">
        <f>'Appendix H-1'!B186</f>
        <v>Common Stock</v>
      </c>
      <c r="C169" s="14"/>
      <c r="D169" s="14"/>
      <c r="E169" s="68"/>
      <c r="F169" s="103"/>
      <c r="G169" s="25"/>
      <c r="H169" s="25"/>
      <c r="I169" s="25"/>
      <c r="J169" s="25"/>
      <c r="K169" s="25"/>
      <c r="L169" s="25"/>
      <c r="M169" s="25"/>
      <c r="N169" s="25"/>
      <c r="O169" s="25"/>
      <c r="P169" s="25"/>
      <c r="Q169" s="194"/>
    </row>
    <row r="170" spans="1:17" ht="15.75" hidden="1">
      <c r="A170" s="104">
        <f>'Appendix H-1'!A187</f>
        <v>109</v>
      </c>
      <c r="B170" s="75"/>
      <c r="C170" s="66" t="str">
        <f>'Appendix H-1'!C187</f>
        <v>Proprietary Capital</v>
      </c>
      <c r="D170" s="66"/>
      <c r="E170" s="68"/>
      <c r="F170" s="103" t="str">
        <f>'Appendix H-1'!F187</f>
        <v>Attachment 8</v>
      </c>
      <c r="G170" s="25"/>
      <c r="H170" s="25"/>
      <c r="I170" s="25"/>
      <c r="J170" s="25"/>
      <c r="K170" s="25"/>
      <c r="L170" s="25"/>
      <c r="M170" s="25"/>
      <c r="N170" s="25"/>
      <c r="O170" s="25"/>
      <c r="P170" s="25"/>
      <c r="Q170" s="194"/>
    </row>
    <row r="171" spans="1:17" ht="15.75" hidden="1">
      <c r="A171" s="113">
        <f>'Appendix H-1'!A188</f>
        <v>110</v>
      </c>
      <c r="B171" s="94"/>
      <c r="C171" s="70" t="str">
        <f>'Appendix H-1'!C188</f>
        <v xml:space="preserve">    Remove Preferred Stock (Acct. 204)</v>
      </c>
      <c r="D171" s="70"/>
      <c r="E171" s="112" t="str">
        <f>'Appendix H-1'!E188</f>
        <v>(Note S)</v>
      </c>
      <c r="F171" s="110" t="str">
        <f>'Appendix H-1'!F188</f>
        <v>(Line 118)</v>
      </c>
      <c r="G171" s="25"/>
      <c r="H171" s="25"/>
      <c r="I171" s="25"/>
      <c r="J171" s="25"/>
      <c r="K171" s="25"/>
      <c r="L171" s="25"/>
      <c r="M171" s="25"/>
      <c r="N171" s="25"/>
      <c r="O171" s="25"/>
      <c r="P171" s="25"/>
      <c r="Q171" s="194"/>
    </row>
    <row r="172" spans="1:17" ht="15.75" hidden="1">
      <c r="A172" s="104">
        <f>'Appendix H-1'!A189</f>
        <v>111</v>
      </c>
      <c r="B172" s="94"/>
      <c r="C172" s="70" t="str">
        <f>'Appendix H-1'!C189</f>
        <v xml:space="preserve">    Remove Accumulated Other Comprehensive Income</v>
      </c>
      <c r="D172" s="112"/>
      <c r="E172" s="68"/>
      <c r="F172" s="114" t="str">
        <f>'Appendix H-1'!F189</f>
        <v>Attachment 8</v>
      </c>
      <c r="G172" s="25"/>
      <c r="H172" s="25"/>
      <c r="I172" s="25"/>
      <c r="J172" s="25"/>
      <c r="K172" s="25"/>
      <c r="L172" s="25"/>
      <c r="M172" s="25"/>
      <c r="N172" s="25"/>
      <c r="O172" s="25"/>
      <c r="P172" s="25"/>
      <c r="Q172" s="194"/>
    </row>
    <row r="173" spans="1:17" ht="15.75" hidden="1">
      <c r="A173" s="104">
        <f>'Appendix H-1'!A190</f>
        <v>112</v>
      </c>
      <c r="B173" s="94"/>
      <c r="C173" s="70" t="str">
        <f>'Appendix H-1'!C190</f>
        <v xml:space="preserve">    Remove Account 216.1</v>
      </c>
      <c r="D173" s="70"/>
      <c r="E173" s="112">
        <f>'Appendix H-1'!E190</f>
        <v>0</v>
      </c>
      <c r="F173" s="114" t="str">
        <f>'Appendix H-1'!F190</f>
        <v>Attachment 8</v>
      </c>
      <c r="G173" s="25"/>
      <c r="H173" s="25"/>
      <c r="I173" s="25"/>
      <c r="J173" s="25"/>
      <c r="K173" s="25"/>
      <c r="L173" s="25"/>
      <c r="M173" s="25"/>
      <c r="N173" s="25"/>
      <c r="O173" s="25"/>
      <c r="P173" s="25"/>
      <c r="Q173" s="194"/>
    </row>
    <row r="174" spans="1:17" ht="15.75" hidden="1">
      <c r="A174" s="104">
        <f>'Appendix H-1'!A191</f>
        <v>113</v>
      </c>
      <c r="B174" s="94"/>
      <c r="C174" s="80" t="str">
        <f>'Appendix H-1'!C191</f>
        <v>Common Stock</v>
      </c>
      <c r="D174" s="70"/>
      <c r="E174" s="81"/>
      <c r="F174" s="103" t="str">
        <f>'Appendix H-1'!F191</f>
        <v>(Lines 109 - 110 - 111 - 112)</v>
      </c>
      <c r="G174" s="25"/>
      <c r="H174" s="25"/>
      <c r="I174" s="25"/>
      <c r="J174" s="25"/>
      <c r="K174" s="25"/>
      <c r="L174" s="25"/>
      <c r="M174" s="25"/>
      <c r="N174" s="25"/>
      <c r="O174" s="25"/>
      <c r="P174" s="25"/>
      <c r="Q174" s="194"/>
    </row>
    <row r="175" spans="1:17" ht="15.75" hidden="1">
      <c r="A175" s="104"/>
      <c r="B175" s="75"/>
      <c r="C175" s="96"/>
      <c r="D175" s="60"/>
      <c r="E175" s="112"/>
      <c r="F175" s="110"/>
      <c r="G175" s="25"/>
      <c r="H175" s="25"/>
      <c r="I175" s="25"/>
      <c r="J175" s="25"/>
      <c r="K175" s="25"/>
      <c r="L175" s="25"/>
      <c r="M175" s="25"/>
      <c r="N175" s="25"/>
      <c r="O175" s="25"/>
      <c r="P175" s="25"/>
      <c r="Q175" s="194"/>
    </row>
    <row r="176" spans="1:17" ht="15.75" hidden="1">
      <c r="A176" s="104"/>
      <c r="B176" s="82" t="str">
        <f>'Appendix H-1'!B193</f>
        <v>Capitalization</v>
      </c>
      <c r="C176" s="14"/>
      <c r="D176" s="14"/>
      <c r="E176" s="68"/>
      <c r="F176" s="103"/>
      <c r="G176" s="25"/>
      <c r="H176" s="25"/>
      <c r="I176" s="25"/>
      <c r="J176" s="25"/>
      <c r="K176" s="25"/>
      <c r="L176" s="25"/>
      <c r="M176" s="25"/>
      <c r="N176" s="25"/>
      <c r="O176" s="25"/>
      <c r="P176" s="25"/>
      <c r="Q176" s="194"/>
    </row>
    <row r="177" spans="1:17" ht="15.75" hidden="1">
      <c r="A177" s="104">
        <f>'Appendix H-1'!A194</f>
        <v>114</v>
      </c>
      <c r="B177" s="75"/>
      <c r="C177" s="67" t="str">
        <f>'Appendix H-1'!C194</f>
        <v>Long Term Debt -- Net Proceeds</v>
      </c>
      <c r="D177" s="14"/>
      <c r="E177" s="75"/>
      <c r="F177" s="143" t="str">
        <f>'Appendix H-1'!F194</f>
        <v>Attachment 8</v>
      </c>
      <c r="G177" s="25"/>
      <c r="H177" s="25"/>
      <c r="I177" s="25"/>
      <c r="J177" s="25"/>
      <c r="K177" s="25"/>
      <c r="L177" s="25"/>
      <c r="M177" s="25"/>
      <c r="N177" s="25"/>
      <c r="O177" s="25"/>
      <c r="P177" s="25"/>
      <c r="Q177" s="194"/>
    </row>
    <row r="178" spans="1:17" ht="15.75" hidden="1">
      <c r="A178" s="113" t="e">
        <f>'Appendix H-1'!#REF!</f>
        <v>#REF!</v>
      </c>
      <c r="B178" s="75"/>
      <c r="C178" s="67" t="e">
        <f>'Appendix H-1'!#REF!</f>
        <v>#REF!</v>
      </c>
      <c r="D178" s="14"/>
      <c r="E178" s="68" t="e">
        <f>'Appendix H-1'!#REF!</f>
        <v>#REF!</v>
      </c>
      <c r="F178" s="139" t="e">
        <f>'Appendix H-1'!#REF!</f>
        <v>#REF!</v>
      </c>
      <c r="G178" s="25"/>
      <c r="H178" s="25"/>
      <c r="I178" s="25"/>
      <c r="J178" s="25"/>
      <c r="K178" s="25"/>
      <c r="L178" s="25"/>
      <c r="M178" s="25"/>
      <c r="N178" s="25"/>
      <c r="O178" s="25"/>
      <c r="P178" s="25"/>
      <c r="Q178" s="194"/>
    </row>
    <row r="179" spans="1:17" ht="15.75" hidden="1">
      <c r="A179" s="113" t="e">
        <f>'Appendix H-1'!#REF!</f>
        <v>#REF!</v>
      </c>
      <c r="B179" s="75"/>
      <c r="C179" s="67" t="e">
        <f>'Appendix H-1'!#REF!</f>
        <v>#REF!</v>
      </c>
      <c r="D179" s="14"/>
      <c r="E179" s="75" t="e">
        <f>'Appendix H-1'!#REF!</f>
        <v>#REF!</v>
      </c>
      <c r="F179" s="139" t="e">
        <f>'Appendix H-1'!#REF!</f>
        <v>#REF!</v>
      </c>
      <c r="G179" s="25"/>
      <c r="H179" s="25"/>
      <c r="I179" s="25"/>
      <c r="J179" s="25"/>
      <c r="K179" s="25"/>
      <c r="L179" s="25"/>
      <c r="M179" s="25"/>
      <c r="N179" s="25"/>
      <c r="O179" s="25"/>
      <c r="P179" s="25"/>
      <c r="Q179" s="194"/>
    </row>
    <row r="180" spans="1:17" ht="15.75" hidden="1">
      <c r="A180" s="104" t="e">
        <f>'Appendix H-1'!#REF!</f>
        <v>#REF!</v>
      </c>
      <c r="B180" s="75"/>
      <c r="C180" s="86" t="e">
        <f>'Appendix H-1'!#REF!</f>
        <v>#REF!</v>
      </c>
      <c r="D180" s="86"/>
      <c r="E180" s="68" t="e">
        <f>'Appendix H-1'!#REF!</f>
        <v>#REF!</v>
      </c>
      <c r="F180" s="114" t="e">
        <f>'Appendix H-1'!#REF!</f>
        <v>#REF!</v>
      </c>
      <c r="G180" s="25"/>
      <c r="H180" s="25"/>
      <c r="I180" s="25"/>
      <c r="J180" s="25"/>
      <c r="K180" s="25"/>
      <c r="L180" s="25"/>
      <c r="M180" s="25"/>
      <c r="N180" s="25"/>
      <c r="O180" s="25"/>
      <c r="P180" s="25"/>
      <c r="Q180" s="194"/>
    </row>
    <row r="181" spans="1:17" ht="15.75" hidden="1">
      <c r="A181" s="104" t="e">
        <f>'Appendix H-1'!#REF!</f>
        <v>#REF!</v>
      </c>
      <c r="B181" s="94"/>
      <c r="C181" s="71" t="e">
        <f>'Appendix H-1'!#REF!</f>
        <v>#REF!</v>
      </c>
      <c r="D181" s="14"/>
      <c r="E181" s="81"/>
      <c r="F181" s="103" t="e">
        <f>'Appendix H-1'!#REF!</f>
        <v>#REF!</v>
      </c>
      <c r="G181" s="25"/>
      <c r="H181" s="25"/>
      <c r="I181" s="25"/>
      <c r="J181" s="25"/>
      <c r="K181" s="25"/>
      <c r="L181" s="25"/>
      <c r="M181" s="25"/>
      <c r="N181" s="25"/>
      <c r="O181" s="25"/>
      <c r="P181" s="25"/>
      <c r="Q181" s="194"/>
    </row>
    <row r="182" spans="1:17" ht="15.75" hidden="1">
      <c r="A182" s="104">
        <f>'Appendix H-1'!A198</f>
        <v>118</v>
      </c>
      <c r="B182" s="75"/>
      <c r="C182" s="67" t="str">
        <f>'Appendix H-1'!C198</f>
        <v>Preferred Stock</v>
      </c>
      <c r="D182" s="14"/>
      <c r="E182" s="75"/>
      <c r="F182" s="143" t="str">
        <f>'Appendix H-1'!F198</f>
        <v>Attachment 8</v>
      </c>
      <c r="G182" s="25"/>
      <c r="H182" s="25"/>
      <c r="I182" s="25"/>
      <c r="J182" s="25"/>
      <c r="K182" s="25"/>
      <c r="L182" s="25"/>
      <c r="M182" s="25"/>
      <c r="N182" s="25"/>
      <c r="O182" s="25"/>
      <c r="P182" s="25"/>
      <c r="Q182" s="194"/>
    </row>
    <row r="183" spans="1:17" ht="15.75" hidden="1">
      <c r="A183" s="104">
        <f>'Appendix H-1'!A199</f>
        <v>119</v>
      </c>
      <c r="B183" s="75"/>
      <c r="C183" s="67" t="str">
        <f>'Appendix H-1'!C199</f>
        <v>Common Stock</v>
      </c>
      <c r="D183" s="14"/>
      <c r="E183" s="51"/>
      <c r="F183" s="103" t="str">
        <f>'Appendix H-1'!F199</f>
        <v>(Line 113)</v>
      </c>
      <c r="G183" s="25"/>
      <c r="H183" s="25"/>
      <c r="I183" s="25"/>
      <c r="J183" s="25"/>
      <c r="K183" s="25"/>
      <c r="L183" s="25"/>
      <c r="M183" s="25"/>
      <c r="N183" s="25"/>
      <c r="O183" s="25"/>
      <c r="P183" s="25"/>
      <c r="Q183" s="194"/>
    </row>
    <row r="184" spans="1:17" ht="15.75" hidden="1">
      <c r="A184" s="104">
        <f>'Appendix H-1'!A200</f>
        <v>120</v>
      </c>
      <c r="B184" s="75"/>
      <c r="C184" s="82" t="str">
        <f>'Appendix H-1'!C200</f>
        <v>Total  Capitalization</v>
      </c>
      <c r="D184" s="14"/>
      <c r="E184" s="51"/>
      <c r="F184" s="103" t="str">
        <f>'Appendix H-1'!F200</f>
        <v>(Sum Lines 117 to 119)</v>
      </c>
      <c r="G184" s="25"/>
      <c r="H184" s="25"/>
      <c r="I184" s="25"/>
      <c r="J184" s="25"/>
      <c r="K184" s="25"/>
      <c r="L184" s="25"/>
      <c r="M184" s="25"/>
      <c r="N184" s="25"/>
      <c r="O184" s="25"/>
      <c r="P184" s="25"/>
      <c r="Q184" s="194"/>
    </row>
    <row r="185" spans="1:17" ht="15.75" hidden="1">
      <c r="A185" s="104"/>
      <c r="B185" s="75"/>
      <c r="C185" s="96"/>
      <c r="D185" s="60"/>
      <c r="E185" s="112"/>
      <c r="F185" s="110"/>
      <c r="G185" s="25"/>
      <c r="H185" s="25"/>
      <c r="I185" s="25"/>
      <c r="J185" s="25"/>
      <c r="K185" s="25"/>
      <c r="L185" s="25"/>
      <c r="M185" s="25"/>
      <c r="N185" s="25"/>
      <c r="O185" s="25"/>
      <c r="P185" s="25"/>
      <c r="Q185" s="194"/>
    </row>
    <row r="186" spans="1:17" ht="15.75" hidden="1">
      <c r="A186" s="113">
        <f>'Appendix H-1'!A202</f>
        <v>121</v>
      </c>
      <c r="B186" s="75"/>
      <c r="C186" s="78" t="str">
        <f>'Appendix H-1'!C202</f>
        <v>Debt %</v>
      </c>
      <c r="D186" s="71" t="str">
        <f>'Appendix H-1'!D202</f>
        <v>Total Long Term Debt</v>
      </c>
      <c r="E186" s="51"/>
      <c r="F186" s="103" t="str">
        <f>'Appendix H-1'!F202</f>
        <v>(Line 117 / 120)</v>
      </c>
      <c r="G186" s="25"/>
      <c r="H186" s="25"/>
      <c r="I186" s="25"/>
      <c r="J186" s="25"/>
      <c r="K186" s="25"/>
      <c r="L186" s="25"/>
      <c r="M186" s="25"/>
      <c r="N186" s="25"/>
      <c r="O186" s="25"/>
      <c r="P186" s="25"/>
      <c r="Q186" s="194"/>
    </row>
    <row r="187" spans="1:17" ht="15.75" hidden="1">
      <c r="A187" s="113">
        <f>'Appendix H-1'!A203</f>
        <v>122</v>
      </c>
      <c r="B187" s="75"/>
      <c r="C187" s="78" t="str">
        <f>'Appendix H-1'!C203</f>
        <v>Preferred %</v>
      </c>
      <c r="D187" s="67" t="str">
        <f>'Appendix H-1'!D203</f>
        <v>Preferred Stock</v>
      </c>
      <c r="E187" s="51"/>
      <c r="F187" s="103" t="str">
        <f>'Appendix H-1'!F203</f>
        <v>(Line 118 / 120)</v>
      </c>
      <c r="G187" s="25"/>
      <c r="H187" s="25"/>
      <c r="I187" s="25"/>
      <c r="J187" s="25"/>
      <c r="K187" s="25"/>
      <c r="L187" s="25"/>
      <c r="M187" s="25"/>
      <c r="N187" s="25"/>
      <c r="O187" s="25"/>
      <c r="P187" s="25"/>
      <c r="Q187" s="194"/>
    </row>
    <row r="188" spans="1:17" ht="15.75" hidden="1">
      <c r="A188" s="113">
        <f>'Appendix H-1'!A204</f>
        <v>123</v>
      </c>
      <c r="B188" s="75"/>
      <c r="C188" s="78" t="str">
        <f>'Appendix H-1'!C204</f>
        <v>Common %</v>
      </c>
      <c r="D188" s="67" t="str">
        <f>'Appendix H-1'!D204</f>
        <v>Common Stock</v>
      </c>
      <c r="E188" s="51"/>
      <c r="F188" s="103" t="str">
        <f>'Appendix H-1'!F204</f>
        <v>(Line 119 / 120)</v>
      </c>
      <c r="G188" s="25"/>
      <c r="H188" s="25"/>
      <c r="I188" s="25"/>
      <c r="J188" s="25"/>
      <c r="K188" s="25"/>
      <c r="L188" s="25"/>
      <c r="M188" s="25"/>
      <c r="N188" s="25"/>
      <c r="O188" s="25"/>
      <c r="P188" s="25"/>
      <c r="Q188" s="194"/>
    </row>
    <row r="189" spans="1:17" ht="15.75" hidden="1">
      <c r="A189" s="104"/>
      <c r="B189" s="75"/>
      <c r="C189" s="96"/>
      <c r="D189" s="60"/>
      <c r="E189" s="112"/>
      <c r="F189" s="110"/>
      <c r="G189" s="25"/>
      <c r="H189" s="25"/>
      <c r="I189" s="25"/>
      <c r="J189" s="25"/>
      <c r="K189" s="25"/>
      <c r="L189" s="25"/>
      <c r="M189" s="25"/>
      <c r="N189" s="25"/>
      <c r="O189" s="25"/>
      <c r="P189" s="25"/>
      <c r="Q189" s="194"/>
    </row>
    <row r="190" spans="1:17" ht="15.75" hidden="1">
      <c r="A190" s="113">
        <f>'Appendix H-1'!A206</f>
        <v>124</v>
      </c>
      <c r="B190" s="75"/>
      <c r="C190" s="144" t="str">
        <f>'Appendix H-1'!C206</f>
        <v>Debt Cost</v>
      </c>
      <c r="D190" s="71" t="str">
        <f>'Appendix H-1'!D206</f>
        <v>Total Long Term Debt</v>
      </c>
      <c r="E190" s="51"/>
      <c r="F190" s="103" t="str">
        <f>'Appendix H-1'!F206</f>
        <v>(Line 107 / 114)</v>
      </c>
      <c r="G190" s="25"/>
      <c r="H190" s="25"/>
      <c r="I190" s="25"/>
      <c r="J190" s="25"/>
      <c r="K190" s="25"/>
      <c r="L190" s="25"/>
      <c r="M190" s="25"/>
      <c r="N190" s="25"/>
      <c r="O190" s="25"/>
      <c r="P190" s="25"/>
      <c r="Q190" s="194"/>
    </row>
    <row r="191" spans="1:17" ht="15.75" hidden="1">
      <c r="A191" s="113">
        <f>'Appendix H-1'!A207</f>
        <v>125</v>
      </c>
      <c r="B191" s="75"/>
      <c r="C191" s="144" t="str">
        <f>'Appendix H-1'!C207</f>
        <v>Preferred Cost</v>
      </c>
      <c r="D191" s="67" t="str">
        <f>'Appendix H-1'!D207</f>
        <v>Preferred Stock</v>
      </c>
      <c r="E191" s="51"/>
      <c r="F191" s="103" t="str">
        <f>'Appendix H-1'!F207</f>
        <v>(Line -108 / 118)</v>
      </c>
      <c r="G191" s="25"/>
      <c r="H191" s="25"/>
      <c r="I191" s="25"/>
      <c r="J191" s="25"/>
      <c r="K191" s="25"/>
      <c r="L191" s="25"/>
      <c r="M191" s="25"/>
      <c r="N191" s="25"/>
      <c r="O191" s="25"/>
      <c r="P191" s="25"/>
      <c r="Q191" s="194"/>
    </row>
    <row r="192" spans="1:17" ht="15.75" hidden="1">
      <c r="A192" s="113">
        <f>'Appendix H-1'!A208</f>
        <v>126</v>
      </c>
      <c r="B192" s="75"/>
      <c r="C192" s="144" t="str">
        <f>'Appendix H-1'!C208</f>
        <v>Common Cost</v>
      </c>
      <c r="D192" s="67" t="str">
        <f>'Appendix H-1'!D208</f>
        <v>Common Stock</v>
      </c>
      <c r="E192" s="99" t="str">
        <f>'Appendix H-1'!E208</f>
        <v>(Note I)</v>
      </c>
      <c r="F192" s="103" t="str">
        <f>'Appendix H-1'!F208</f>
        <v>Fixed</v>
      </c>
      <c r="G192" s="25"/>
      <c r="H192" s="25"/>
      <c r="I192" s="25"/>
      <c r="J192" s="25"/>
      <c r="K192" s="25"/>
      <c r="L192" s="25"/>
      <c r="M192" s="25"/>
      <c r="N192" s="25"/>
      <c r="O192" s="25"/>
      <c r="P192" s="25"/>
      <c r="Q192" s="194"/>
    </row>
    <row r="193" spans="1:17" ht="15.75" hidden="1">
      <c r="A193" s="104"/>
      <c r="B193" s="75"/>
      <c r="C193" s="96"/>
      <c r="D193" s="60"/>
      <c r="E193" s="112"/>
      <c r="F193" s="110"/>
      <c r="G193" s="25"/>
      <c r="H193" s="25"/>
      <c r="I193" s="25"/>
      <c r="J193" s="25"/>
      <c r="K193" s="25"/>
      <c r="L193" s="25"/>
      <c r="M193" s="25"/>
      <c r="N193" s="25"/>
      <c r="O193" s="25"/>
      <c r="P193" s="25"/>
      <c r="Q193" s="194"/>
    </row>
    <row r="194" spans="1:17" ht="15.75" hidden="1">
      <c r="A194" s="113">
        <f>'Appendix H-1'!A210</f>
        <v>127</v>
      </c>
      <c r="B194" s="75"/>
      <c r="C194" s="78" t="str">
        <f>'Appendix H-1'!C210</f>
        <v>Weighted Cost of Debt</v>
      </c>
      <c r="D194" s="71" t="str">
        <f>'Appendix H-1'!D210</f>
        <v>Total Long Term Debt (WCLTD)</v>
      </c>
      <c r="E194" s="51"/>
      <c r="F194" s="103" t="str">
        <f>'Appendix H-1'!F210</f>
        <v>(Line 121 * 124)</v>
      </c>
      <c r="G194" s="25"/>
      <c r="H194" s="25"/>
      <c r="I194" s="25"/>
      <c r="J194" s="25"/>
      <c r="K194" s="25"/>
      <c r="L194" s="25"/>
      <c r="M194" s="25"/>
      <c r="N194" s="25"/>
      <c r="O194" s="25"/>
      <c r="P194" s="25"/>
      <c r="Q194" s="194"/>
    </row>
    <row r="195" spans="1:17" ht="15.75" hidden="1">
      <c r="A195" s="113">
        <f>'Appendix H-1'!A211</f>
        <v>128</v>
      </c>
      <c r="B195" s="75"/>
      <c r="C195" s="78" t="str">
        <f>'Appendix H-1'!C211</f>
        <v>Weighted Cost of Preferred</v>
      </c>
      <c r="D195" s="67" t="str">
        <f>'Appendix H-1'!D211</f>
        <v>Preferred Stock</v>
      </c>
      <c r="E195" s="51"/>
      <c r="F195" s="103" t="str">
        <f>'Appendix H-1'!F211</f>
        <v>(Line 122 * 125)</v>
      </c>
      <c r="G195" s="25"/>
      <c r="H195" s="25"/>
      <c r="I195" s="25"/>
      <c r="J195" s="25"/>
      <c r="K195" s="25"/>
      <c r="L195" s="25"/>
      <c r="M195" s="25"/>
      <c r="N195" s="25"/>
      <c r="O195" s="25"/>
      <c r="P195" s="25"/>
      <c r="Q195" s="194"/>
    </row>
    <row r="196" spans="1:17" ht="15.75" hidden="1">
      <c r="A196" s="113">
        <f>'Appendix H-1'!A212</f>
        <v>129</v>
      </c>
      <c r="B196" s="75"/>
      <c r="C196" s="78" t="str">
        <f>'Appendix H-1'!C212</f>
        <v>Weighted Cost of Common</v>
      </c>
      <c r="D196" s="67" t="str">
        <f>'Appendix H-1'!D212</f>
        <v>Common Stock</v>
      </c>
      <c r="E196" s="51"/>
      <c r="F196" s="103" t="str">
        <f>'Appendix H-1'!F212</f>
        <v>(Line 123 * 126)</v>
      </c>
      <c r="G196" s="25"/>
      <c r="H196" s="25"/>
      <c r="I196" s="25"/>
      <c r="J196" s="25"/>
      <c r="K196" s="25"/>
      <c r="L196" s="25"/>
      <c r="M196" s="25"/>
      <c r="N196" s="25"/>
      <c r="O196" s="25"/>
      <c r="P196" s="25"/>
      <c r="Q196" s="194"/>
    </row>
    <row r="197" spans="1:17" ht="15.75" hidden="1">
      <c r="A197" s="104">
        <f>'Appendix H-1'!A213</f>
        <v>130</v>
      </c>
      <c r="B197" s="82" t="str">
        <f>'Appendix H-1'!B213</f>
        <v>Rate of Return ( R )</v>
      </c>
      <c r="C197" s="82"/>
      <c r="D197" s="83"/>
      <c r="E197" s="84"/>
      <c r="F197" s="103" t="str">
        <f>'Appendix H-1'!F213</f>
        <v>(Sum Lines 127 to 129)</v>
      </c>
      <c r="G197" s="25"/>
      <c r="H197" s="25"/>
      <c r="I197" s="25"/>
      <c r="J197" s="25"/>
      <c r="K197" s="25"/>
      <c r="L197" s="25"/>
      <c r="M197" s="25"/>
      <c r="N197" s="25"/>
      <c r="O197" s="25"/>
      <c r="P197" s="25"/>
      <c r="Q197" s="194"/>
    </row>
    <row r="198" spans="1:17" ht="15.75" hidden="1">
      <c r="A198" s="104"/>
      <c r="B198" s="75"/>
      <c r="C198" s="96"/>
      <c r="D198" s="60"/>
      <c r="E198" s="112"/>
      <c r="F198" s="110"/>
      <c r="G198" s="25"/>
      <c r="H198" s="25"/>
      <c r="I198" s="25"/>
      <c r="J198" s="25"/>
      <c r="K198" s="25"/>
      <c r="L198" s="25"/>
      <c r="M198" s="25"/>
      <c r="N198" s="25"/>
      <c r="O198" s="25"/>
      <c r="P198" s="25"/>
      <c r="Q198" s="194"/>
    </row>
    <row r="199" spans="1:17" ht="15.75" hidden="1">
      <c r="A199" s="104">
        <f>'Appendix H-1'!A215</f>
        <v>131</v>
      </c>
      <c r="B199" s="85" t="str">
        <f>'Appendix H-1'!B215</f>
        <v>Investment Return = Rate Base * Rate of Return</v>
      </c>
      <c r="C199" s="86"/>
      <c r="D199" s="83"/>
      <c r="E199" s="159"/>
      <c r="F199" s="148" t="str">
        <f>'Appendix H-1'!F215</f>
        <v>(Line 61 * 130)</v>
      </c>
      <c r="G199" s="25"/>
      <c r="H199" s="25"/>
      <c r="I199" s="25"/>
      <c r="J199" s="25"/>
      <c r="K199" s="25"/>
      <c r="L199" s="25"/>
      <c r="M199" s="25"/>
      <c r="N199" s="25"/>
      <c r="O199" s="25"/>
      <c r="P199" s="25"/>
      <c r="Q199" s="194"/>
    </row>
    <row r="200" spans="1:17" ht="15.75" hidden="1">
      <c r="A200" s="104"/>
      <c r="B200" s="75"/>
      <c r="C200" s="96"/>
      <c r="D200" s="60"/>
      <c r="E200" s="112"/>
      <c r="F200" s="110"/>
      <c r="G200" s="25"/>
      <c r="H200" s="25"/>
      <c r="I200" s="25"/>
      <c r="J200" s="25"/>
      <c r="K200" s="25"/>
      <c r="L200" s="25"/>
      <c r="M200" s="25"/>
      <c r="N200" s="25"/>
      <c r="O200" s="25"/>
      <c r="P200" s="25"/>
      <c r="Q200" s="194"/>
    </row>
    <row r="201" spans="1:17" ht="15.75" hidden="1">
      <c r="A201" s="116" t="str">
        <f>'Appendix H-1'!A218</f>
        <v xml:space="preserve">Composite Income Taxes                                                                                                       </v>
      </c>
      <c r="B201" s="61"/>
      <c r="C201" s="137"/>
      <c r="D201" s="62"/>
      <c r="E201" s="63"/>
      <c r="F201" s="117"/>
      <c r="G201" s="25"/>
      <c r="H201" s="25"/>
      <c r="I201" s="25"/>
      <c r="J201" s="25"/>
      <c r="K201" s="25"/>
      <c r="L201" s="25"/>
      <c r="M201" s="25"/>
      <c r="N201" s="25"/>
      <c r="O201" s="25"/>
      <c r="P201" s="25"/>
      <c r="Q201" s="194"/>
    </row>
    <row r="202" spans="1:17" ht="15.75" hidden="1">
      <c r="A202" s="104"/>
      <c r="B202" s="75"/>
      <c r="C202" s="96"/>
      <c r="D202" s="60"/>
      <c r="E202" s="112"/>
      <c r="F202" s="110"/>
      <c r="G202" s="25"/>
      <c r="H202" s="25"/>
      <c r="I202" s="25"/>
      <c r="J202" s="25"/>
      <c r="K202" s="25"/>
      <c r="L202" s="25"/>
      <c r="M202" s="25"/>
      <c r="N202" s="25"/>
      <c r="O202" s="25"/>
      <c r="P202" s="25"/>
      <c r="Q202" s="194"/>
    </row>
    <row r="203" spans="1:17" ht="15.75">
      <c r="A203" s="104" t="str">
        <f>'Appendix H-1'!A220</f>
        <v xml:space="preserve"> </v>
      </c>
      <c r="B203" s="85" t="str">
        <f>'Appendix H-1'!B220</f>
        <v>Income Tax Rates</v>
      </c>
      <c r="C203" s="14"/>
      <c r="D203" s="14"/>
      <c r="E203" s="68"/>
      <c r="F203" s="103"/>
      <c r="G203" s="25"/>
      <c r="H203" s="25"/>
      <c r="I203" s="25"/>
      <c r="J203" s="25"/>
      <c r="K203" s="25"/>
      <c r="L203" s="25"/>
      <c r="M203" s="25"/>
      <c r="N203" s="25"/>
      <c r="O203" s="25"/>
      <c r="P203" s="25"/>
      <c r="Q203" s="194"/>
    </row>
    <row r="204" spans="1:17" ht="15.75" hidden="1">
      <c r="A204" s="104">
        <f>'Appendix H-1'!A221</f>
        <v>132</v>
      </c>
      <c r="B204" s="75"/>
      <c r="C204" s="14" t="str">
        <f>'Appendix H-1'!C221</f>
        <v>FIT=Federal Income Tax Rate</v>
      </c>
      <c r="D204" s="14"/>
      <c r="E204" s="51"/>
      <c r="F204" s="110">
        <f>'Appendix H-1'!F221</f>
        <v>0</v>
      </c>
      <c r="G204" s="25"/>
      <c r="H204" s="25"/>
      <c r="I204" s="25"/>
      <c r="J204" s="25"/>
      <c r="K204" s="25"/>
      <c r="L204" s="25"/>
      <c r="M204" s="25"/>
      <c r="N204" s="25"/>
      <c r="O204" s="25"/>
      <c r="P204" s="25"/>
      <c r="Q204" s="194"/>
    </row>
    <row r="205" spans="1:17" ht="15.75">
      <c r="A205" s="104">
        <f>'Appendix H-1'!A222</f>
        <v>133</v>
      </c>
      <c r="B205" s="75"/>
      <c r="C205" s="145" t="str">
        <f>'Appendix H-1'!C222</f>
        <v>SIT=State Income Tax Rate or Composite</v>
      </c>
      <c r="D205" s="146"/>
      <c r="E205" s="99" t="str">
        <f>'Appendix H-1'!E222</f>
        <v>(Note H)</v>
      </c>
      <c r="F205" s="110">
        <f>'Appendix H-1'!F222</f>
        <v>0</v>
      </c>
      <c r="G205" s="25"/>
      <c r="H205" s="25"/>
      <c r="I205" s="25"/>
      <c r="J205" s="25"/>
      <c r="K205" s="25"/>
      <c r="L205" s="25"/>
      <c r="M205" s="46" t="s">
        <v>449</v>
      </c>
      <c r="N205" s="25"/>
      <c r="O205" s="25"/>
      <c r="P205" s="25"/>
      <c r="Q205" s="194"/>
    </row>
    <row r="206" spans="1:17" ht="15.75" hidden="1">
      <c r="A206" s="104">
        <f>'Appendix H-1'!A223</f>
        <v>134</v>
      </c>
      <c r="B206" s="75"/>
      <c r="C206" s="145" t="str">
        <f>'Appendix H-1'!C223</f>
        <v>p</v>
      </c>
      <c r="D206" s="145" t="str">
        <f>'Appendix H-1'!D223</f>
        <v>(percent of federal income tax deductible for state purposes)</v>
      </c>
      <c r="E206" s="51"/>
      <c r="F206" s="110" t="str">
        <f>'Appendix H-1'!F223</f>
        <v>Per State Tax Code</v>
      </c>
      <c r="G206" s="25"/>
      <c r="H206" s="25"/>
      <c r="I206" s="25"/>
      <c r="J206" s="25"/>
      <c r="K206" s="25"/>
      <c r="L206" s="25"/>
      <c r="M206" s="25"/>
      <c r="N206" s="25"/>
      <c r="O206" s="25"/>
      <c r="P206" s="25"/>
      <c r="Q206" s="194"/>
    </row>
    <row r="207" spans="1:17" ht="15.75" hidden="1">
      <c r="A207" s="104">
        <f>'Appendix H-1'!A224</f>
        <v>135</v>
      </c>
      <c r="B207" s="75"/>
      <c r="C207" s="145" t="str">
        <f>'Appendix H-1'!C224</f>
        <v>T</v>
      </c>
      <c r="D207" s="87" t="str">
        <f>'Appendix H-1'!D224</f>
        <v>T=1 - {[(1 - SIT) * (1 - FIT)] / (1 - SIT * FIT * p)} =</v>
      </c>
      <c r="E207" s="51"/>
      <c r="F207" s="110"/>
      <c r="G207" s="25"/>
      <c r="H207" s="25"/>
      <c r="I207" s="25"/>
      <c r="J207" s="25"/>
      <c r="K207" s="25"/>
      <c r="L207" s="25"/>
      <c r="M207" s="25"/>
      <c r="N207" s="25"/>
      <c r="O207" s="25"/>
      <c r="P207" s="25"/>
      <c r="Q207" s="194"/>
    </row>
    <row r="208" spans="1:17" ht="15.75" hidden="1">
      <c r="A208" s="104">
        <f>'Appendix H-1'!A225</f>
        <v>136</v>
      </c>
      <c r="B208" s="75"/>
      <c r="C208" s="145" t="str">
        <f>'Appendix H-1'!C225</f>
        <v>T/ (1-T)</v>
      </c>
      <c r="D208" s="146"/>
      <c r="E208" s="51"/>
      <c r="F208" s="110"/>
      <c r="G208" s="25"/>
      <c r="H208" s="25"/>
      <c r="I208" s="25"/>
      <c r="J208" s="25"/>
      <c r="K208" s="25"/>
      <c r="L208" s="25"/>
      <c r="M208" s="25"/>
      <c r="N208" s="25"/>
      <c r="O208" s="25"/>
      <c r="P208" s="25"/>
      <c r="Q208" s="194"/>
    </row>
    <row r="209" spans="1:17" ht="15.75" hidden="1">
      <c r="A209" s="104"/>
      <c r="B209" s="75"/>
      <c r="C209" s="96"/>
      <c r="D209" s="60"/>
      <c r="E209" s="112"/>
      <c r="F209" s="110"/>
      <c r="G209" s="25"/>
      <c r="H209" s="25"/>
      <c r="I209" s="25"/>
      <c r="J209" s="25"/>
      <c r="K209" s="25"/>
      <c r="L209" s="25"/>
      <c r="M209" s="25"/>
      <c r="N209" s="25"/>
      <c r="O209" s="25"/>
      <c r="P209" s="25"/>
      <c r="Q209" s="194"/>
    </row>
    <row r="210" spans="1:17" ht="15.75">
      <c r="A210" s="104"/>
      <c r="B210" s="85" t="str">
        <f>'Appendix H-1'!B227</f>
        <v>ITC Adjustment</v>
      </c>
      <c r="C210" s="67"/>
      <c r="D210" s="14"/>
      <c r="E210" s="36"/>
      <c r="F210" s="103"/>
      <c r="G210" s="25"/>
      <c r="H210" s="25"/>
      <c r="I210" s="25"/>
      <c r="J210" s="25"/>
      <c r="K210" s="25"/>
      <c r="L210" s="25"/>
      <c r="M210" s="25"/>
      <c r="N210" s="25"/>
      <c r="O210" s="25"/>
      <c r="P210" s="25"/>
      <c r="Q210" s="194"/>
    </row>
    <row r="211" spans="1:17" ht="15.75">
      <c r="A211" s="104">
        <f>'Appendix H-1'!A228</f>
        <v>137</v>
      </c>
      <c r="B211" s="75"/>
      <c r="C211" s="67" t="str">
        <f>'Appendix H-1'!C228</f>
        <v>Amortized Investment Tax Credit</v>
      </c>
      <c r="D211" s="14"/>
      <c r="E211" s="142" t="str">
        <f>'Appendix H-1'!E227</f>
        <v>(Note H)</v>
      </c>
      <c r="F211" s="127" t="str">
        <f>'Appendix H-1'!F228</f>
        <v xml:space="preserve">p266.8f </v>
      </c>
      <c r="G211" s="25"/>
      <c r="H211" s="25"/>
      <c r="I211" s="25"/>
      <c r="J211" s="25"/>
      <c r="K211" s="25"/>
      <c r="L211" s="25"/>
      <c r="M211" s="46" t="s">
        <v>449</v>
      </c>
      <c r="N211" s="25"/>
      <c r="O211" s="25"/>
      <c r="P211" s="25"/>
      <c r="Q211" s="194"/>
    </row>
    <row r="212" spans="1:17" ht="15.75" hidden="1">
      <c r="A212" s="104">
        <f>'Appendix H-1'!A229</f>
        <v>138</v>
      </c>
      <c r="B212" s="75"/>
      <c r="C212" s="67" t="str">
        <f>'Appendix H-1'!C229</f>
        <v>1/ (1-T)</v>
      </c>
      <c r="D212" s="14"/>
      <c r="E212" s="75"/>
      <c r="F212" s="103" t="str">
        <f>'Appendix H-1'!F229</f>
        <v>1/(1 - Line 135)</v>
      </c>
      <c r="G212" s="25"/>
      <c r="H212" s="25"/>
      <c r="I212" s="25"/>
      <c r="J212" s="25"/>
      <c r="K212" s="25"/>
      <c r="L212" s="25"/>
      <c r="M212" s="25"/>
      <c r="N212" s="25"/>
      <c r="O212" s="25"/>
      <c r="P212" s="25"/>
      <c r="Q212" s="194"/>
    </row>
    <row r="213" spans="1:17" ht="15.75" hidden="1">
      <c r="A213" s="104">
        <f>'Appendix H-1'!A230</f>
        <v>139</v>
      </c>
      <c r="B213" s="75"/>
      <c r="C213" s="77" t="str">
        <f>'Appendix H-1'!C230</f>
        <v>Net Plant Allocation Factor</v>
      </c>
      <c r="D213" s="74"/>
      <c r="E213" s="75"/>
      <c r="F213" s="103" t="str">
        <f>'Appendix H-1'!F230</f>
        <v>(Line 18)</v>
      </c>
      <c r="G213" s="25"/>
      <c r="H213" s="25"/>
      <c r="I213" s="25"/>
      <c r="J213" s="25"/>
      <c r="K213" s="25"/>
      <c r="L213" s="25"/>
      <c r="M213" s="25"/>
      <c r="N213" s="25"/>
      <c r="O213" s="25"/>
      <c r="P213" s="25"/>
      <c r="Q213" s="194"/>
    </row>
    <row r="214" spans="1:17" ht="15.75" hidden="1">
      <c r="A214" s="104">
        <f>'Appendix H-1'!A231</f>
        <v>140</v>
      </c>
      <c r="B214" s="75"/>
      <c r="C214" s="90" t="str">
        <f>'Appendix H-1'!C231</f>
        <v>ITC Adjustment Allocated to Transmission</v>
      </c>
      <c r="D214" s="60"/>
      <c r="E214" s="142">
        <f>'Appendix H-1'!E231</f>
        <v>0</v>
      </c>
      <c r="F214" s="103" t="str">
        <f>'Appendix H-1'!F231</f>
        <v>(Line -137 * 138 * 139)</v>
      </c>
      <c r="G214" s="25"/>
      <c r="H214" s="25"/>
      <c r="I214" s="25"/>
      <c r="J214" s="25"/>
      <c r="K214" s="25"/>
      <c r="L214" s="25"/>
      <c r="M214" s="25"/>
      <c r="N214" s="25"/>
      <c r="O214" s="25"/>
      <c r="P214" s="25"/>
      <c r="Q214" s="194"/>
    </row>
    <row r="215" spans="1:17" ht="15.75" hidden="1">
      <c r="A215" s="104"/>
      <c r="B215" s="75"/>
      <c r="C215" s="96"/>
      <c r="D215" s="60"/>
      <c r="E215" s="112"/>
      <c r="F215" s="110"/>
      <c r="G215" s="25"/>
      <c r="H215" s="25"/>
      <c r="I215" s="25"/>
      <c r="J215" s="25"/>
      <c r="K215" s="25"/>
      <c r="L215" s="25"/>
      <c r="M215" s="25"/>
      <c r="N215" s="25"/>
      <c r="O215" s="25"/>
      <c r="P215" s="25"/>
      <c r="Q215" s="194"/>
    </row>
    <row r="216" spans="1:17" ht="15.75" hidden="1">
      <c r="A216" s="104"/>
      <c r="B216" s="75"/>
      <c r="C216" s="96"/>
      <c r="D216" s="60"/>
      <c r="E216" s="112"/>
      <c r="F216" s="110"/>
      <c r="G216" s="25"/>
      <c r="H216" s="25"/>
      <c r="I216" s="25"/>
      <c r="J216" s="25"/>
      <c r="K216" s="25"/>
      <c r="L216" s="25"/>
      <c r="M216" s="25"/>
      <c r="N216" s="25"/>
      <c r="O216" s="25"/>
      <c r="P216" s="25"/>
      <c r="Q216" s="194"/>
    </row>
    <row r="217" spans="1:17" ht="15.75" hidden="1">
      <c r="A217" s="104"/>
      <c r="B217" s="75"/>
      <c r="C217" s="96"/>
      <c r="D217" s="60"/>
      <c r="E217" s="112"/>
      <c r="F217" s="110"/>
      <c r="G217" s="25"/>
      <c r="H217" s="25"/>
      <c r="I217" s="25"/>
      <c r="J217" s="25"/>
      <c r="K217" s="25"/>
      <c r="L217" s="25"/>
      <c r="M217" s="25"/>
      <c r="N217" s="25"/>
      <c r="O217" s="25"/>
      <c r="P217" s="25"/>
      <c r="Q217" s="194"/>
    </row>
    <row r="218" spans="1:17" ht="15.75" hidden="1">
      <c r="A218" s="104">
        <f>'Appendix H-1'!A233</f>
        <v>141</v>
      </c>
      <c r="B218" s="135" t="str">
        <f>'Appendix H-1'!B233</f>
        <v xml:space="preserve">Income Tax Component = </v>
      </c>
      <c r="C218" s="86"/>
      <c r="D218" s="14" t="str">
        <f>'Appendix H-1'!D233</f>
        <v>CIT=(T/1-T) * Investment Return * (1-(WCLTD/R)) =</v>
      </c>
      <c r="E218" s="68"/>
      <c r="F218" s="103" t="str">
        <f>'Appendix H-1'!F233</f>
        <v>[Line 136 * 131 * (1-(127 / 130))]</v>
      </c>
      <c r="G218" s="25"/>
      <c r="H218" s="25"/>
      <c r="I218" s="25"/>
      <c r="J218" s="25"/>
      <c r="K218" s="25"/>
      <c r="L218" s="25"/>
      <c r="M218" s="25"/>
      <c r="N218" s="25"/>
      <c r="O218" s="25"/>
      <c r="P218" s="25"/>
      <c r="Q218" s="194"/>
    </row>
    <row r="219" spans="1:17" ht="15.75" hidden="1">
      <c r="A219" s="104"/>
      <c r="B219" s="75"/>
      <c r="C219" s="96"/>
      <c r="D219" s="60"/>
      <c r="E219" s="112"/>
      <c r="F219" s="110"/>
      <c r="G219" s="25"/>
      <c r="H219" s="25"/>
      <c r="I219" s="25"/>
      <c r="J219" s="25"/>
      <c r="K219" s="25"/>
      <c r="L219" s="25"/>
      <c r="M219" s="25"/>
      <c r="N219" s="25"/>
      <c r="O219" s="25"/>
      <c r="P219" s="25"/>
      <c r="Q219" s="194"/>
    </row>
    <row r="220" spans="1:17" ht="15.75" hidden="1">
      <c r="A220" s="104">
        <f>'Appendix H-1'!A235</f>
        <v>142</v>
      </c>
      <c r="B220" s="85" t="str">
        <f>'Appendix H-1'!B235</f>
        <v>Total Income Taxes</v>
      </c>
      <c r="C220" s="85"/>
      <c r="D220" s="83"/>
      <c r="E220" s="84"/>
      <c r="F220" s="148" t="str">
        <f>'Appendix H-1'!F235</f>
        <v>(Line 140 + Line 141)</v>
      </c>
      <c r="G220" s="25"/>
      <c r="H220" s="25"/>
      <c r="I220" s="25"/>
      <c r="J220" s="25"/>
      <c r="K220" s="25"/>
      <c r="L220" s="25"/>
      <c r="M220" s="25"/>
      <c r="N220" s="25"/>
      <c r="O220" s="25"/>
      <c r="P220" s="25"/>
      <c r="Q220" s="194"/>
    </row>
    <row r="221" spans="1:17" ht="15.75" hidden="1">
      <c r="A221" s="104"/>
      <c r="B221" s="75"/>
      <c r="C221" s="96"/>
      <c r="D221" s="60"/>
      <c r="E221" s="112"/>
      <c r="F221" s="110"/>
      <c r="G221" s="25"/>
      <c r="H221" s="25"/>
      <c r="I221" s="25"/>
      <c r="J221" s="25"/>
      <c r="K221" s="25"/>
      <c r="L221" s="25"/>
      <c r="M221" s="25"/>
      <c r="N221" s="25"/>
      <c r="O221" s="25"/>
      <c r="P221" s="25"/>
      <c r="Q221" s="194"/>
    </row>
    <row r="222" spans="1:17" ht="15.75" hidden="1">
      <c r="A222" s="116" t="str">
        <f>'Appendix H-1'!A237</f>
        <v>REVENUE REQUIREMENT</v>
      </c>
      <c r="B222" s="61"/>
      <c r="C222" s="137"/>
      <c r="D222" s="62"/>
      <c r="E222" s="63"/>
      <c r="F222" s="117"/>
      <c r="G222" s="25"/>
      <c r="H222" s="25"/>
      <c r="I222" s="25"/>
      <c r="J222" s="25"/>
      <c r="K222" s="25"/>
      <c r="L222" s="25"/>
      <c r="M222" s="25"/>
      <c r="N222" s="25"/>
      <c r="O222" s="25"/>
      <c r="P222" s="25"/>
      <c r="Q222" s="194"/>
    </row>
    <row r="223" spans="1:17" ht="15.75" hidden="1">
      <c r="A223" s="104"/>
      <c r="B223" s="75"/>
      <c r="C223" s="96"/>
      <c r="D223" s="60"/>
      <c r="E223" s="112"/>
      <c r="F223" s="110"/>
      <c r="G223" s="25"/>
      <c r="H223" s="25"/>
      <c r="I223" s="25"/>
      <c r="J223" s="25"/>
      <c r="K223" s="25"/>
      <c r="L223" s="25"/>
      <c r="M223" s="25"/>
      <c r="N223" s="25"/>
      <c r="O223" s="25"/>
      <c r="P223" s="25"/>
      <c r="Q223" s="194"/>
    </row>
    <row r="224" spans="1:17" ht="15.75" hidden="1">
      <c r="A224" s="106"/>
      <c r="B224" s="135" t="str">
        <f>'Appendix H-1'!B247</f>
        <v>Summary and Adjustment by Inclusion Ratio</v>
      </c>
      <c r="C224" s="86"/>
      <c r="D224" s="86"/>
      <c r="E224" s="51"/>
      <c r="F224" s="107"/>
      <c r="G224" s="25"/>
      <c r="H224" s="25"/>
      <c r="I224" s="25"/>
      <c r="J224" s="25"/>
      <c r="K224" s="25"/>
      <c r="L224" s="25"/>
      <c r="M224" s="25"/>
      <c r="N224" s="25"/>
      <c r="O224" s="25"/>
      <c r="P224" s="25"/>
      <c r="Q224" s="194"/>
    </row>
    <row r="225" spans="1:17" ht="15.75" hidden="1">
      <c r="A225" s="106">
        <f>'Appendix H-1'!A248</f>
        <v>148</v>
      </c>
      <c r="B225" s="86"/>
      <c r="C225" s="86" t="str">
        <f>'Appendix H-1'!C248</f>
        <v>Net Property, Plant &amp; Equipment</v>
      </c>
      <c r="D225" s="86"/>
      <c r="E225" s="51"/>
      <c r="F225" s="103" t="str">
        <f>'Appendix H-1'!F248</f>
        <v>(Line 38 * 147)</v>
      </c>
      <c r="G225" s="25"/>
      <c r="H225" s="25"/>
      <c r="I225" s="25"/>
      <c r="J225" s="25"/>
      <c r="K225" s="25"/>
      <c r="L225" s="25"/>
      <c r="M225" s="25"/>
      <c r="N225" s="25"/>
      <c r="O225" s="25"/>
      <c r="P225" s="25"/>
      <c r="Q225" s="194"/>
    </row>
    <row r="226" spans="1:17" ht="15.75" hidden="1">
      <c r="A226" s="104">
        <f>'Appendix H-1'!A249</f>
        <v>149</v>
      </c>
      <c r="B226" s="86"/>
      <c r="C226" s="86" t="str">
        <f>'Appendix H-1'!C249</f>
        <v>Adjustment to Rate Base</v>
      </c>
      <c r="D226" s="86"/>
      <c r="E226" s="51"/>
      <c r="F226" s="103" t="str">
        <f>'Appendix H-1'!F249</f>
        <v>(Line 60 * 147)</v>
      </c>
      <c r="G226" s="25"/>
      <c r="H226" s="25"/>
      <c r="I226" s="25"/>
      <c r="J226" s="25"/>
      <c r="K226" s="25"/>
      <c r="L226" s="25"/>
      <c r="M226" s="25"/>
      <c r="N226" s="25"/>
      <c r="O226" s="25"/>
      <c r="P226" s="25"/>
      <c r="Q226" s="194"/>
    </row>
    <row r="227" spans="1:17" ht="15.75" hidden="1">
      <c r="A227" s="104">
        <f>'Appendix H-1'!A250</f>
        <v>150</v>
      </c>
      <c r="B227" s="75"/>
      <c r="C227" s="135" t="str">
        <f>'Appendix H-1'!C250</f>
        <v>Rate Base</v>
      </c>
      <c r="D227" s="160"/>
      <c r="E227" s="159"/>
      <c r="F227" s="103" t="str">
        <f>'Appendix H-1'!F250</f>
        <v>(Line 61 * 147)</v>
      </c>
      <c r="G227" s="25"/>
      <c r="H227" s="25"/>
      <c r="I227" s="25"/>
      <c r="J227" s="25"/>
      <c r="K227" s="25"/>
      <c r="L227" s="25"/>
      <c r="M227" s="25"/>
      <c r="N227" s="25"/>
      <c r="O227" s="25"/>
      <c r="P227" s="25"/>
      <c r="Q227" s="194"/>
    </row>
    <row r="228" spans="1:17" ht="15.75" hidden="1">
      <c r="A228" s="104"/>
      <c r="B228" s="75"/>
      <c r="C228" s="96"/>
      <c r="D228" s="60"/>
      <c r="E228" s="112"/>
      <c r="F228" s="110"/>
      <c r="G228" s="25"/>
      <c r="H228" s="25"/>
      <c r="I228" s="25"/>
      <c r="J228" s="25"/>
      <c r="K228" s="25"/>
      <c r="L228" s="25"/>
      <c r="M228" s="25"/>
      <c r="N228" s="25"/>
      <c r="O228" s="25"/>
      <c r="P228" s="25"/>
      <c r="Q228" s="194"/>
    </row>
    <row r="229" spans="1:17" ht="15.75" hidden="1">
      <c r="A229" s="104">
        <f>'Appendix H-1'!A252</f>
        <v>151</v>
      </c>
      <c r="B229" s="14"/>
      <c r="C229" s="71" t="str">
        <f>'Appendix H-1'!C252</f>
        <v>O&amp;M</v>
      </c>
      <c r="D229" s="14"/>
      <c r="E229" s="51"/>
      <c r="F229" s="103" t="str">
        <f>'Appendix H-1'!F252</f>
        <v>(Line 86 * 147)</v>
      </c>
      <c r="G229" s="25"/>
      <c r="H229" s="25"/>
      <c r="I229" s="25"/>
      <c r="J229" s="25"/>
      <c r="K229" s="25"/>
      <c r="L229" s="25"/>
      <c r="M229" s="25"/>
      <c r="N229" s="25"/>
      <c r="O229" s="25"/>
      <c r="P229" s="25"/>
      <c r="Q229" s="194"/>
    </row>
    <row r="230" spans="1:17" ht="15.75" hidden="1">
      <c r="A230" s="104">
        <f>'Appendix H-1'!A253</f>
        <v>152</v>
      </c>
      <c r="B230" s="14"/>
      <c r="C230" s="78" t="str">
        <f>'Appendix H-1'!C253</f>
        <v>Depreciation &amp; Amortization</v>
      </c>
      <c r="D230" s="14"/>
      <c r="E230" s="51"/>
      <c r="F230" s="103" t="str">
        <f>'Appendix H-1'!F253</f>
        <v>(Line 98 * 147)</v>
      </c>
      <c r="G230" s="25"/>
      <c r="H230" s="25"/>
      <c r="I230" s="25"/>
      <c r="J230" s="25"/>
      <c r="K230" s="25"/>
      <c r="L230" s="25"/>
      <c r="M230" s="25"/>
      <c r="N230" s="25"/>
      <c r="O230" s="25"/>
      <c r="P230" s="25"/>
      <c r="Q230" s="194"/>
    </row>
    <row r="231" spans="1:17" ht="15.75" hidden="1">
      <c r="A231" s="104">
        <f>'Appendix H-1'!A254</f>
        <v>153</v>
      </c>
      <c r="B231" s="75"/>
      <c r="C231" s="71" t="str">
        <f>'Appendix H-1'!C254</f>
        <v>Taxes Other than Income</v>
      </c>
      <c r="D231" s="60"/>
      <c r="E231" s="68"/>
      <c r="F231" s="103" t="str">
        <f>'Appendix H-1'!F254</f>
        <v>(Line 100 * 147)</v>
      </c>
      <c r="G231" s="25"/>
      <c r="H231" s="25"/>
      <c r="I231" s="25"/>
      <c r="J231" s="25"/>
      <c r="K231" s="25"/>
      <c r="L231" s="25"/>
      <c r="M231" s="25"/>
      <c r="N231" s="25"/>
      <c r="O231" s="25"/>
      <c r="P231" s="25"/>
      <c r="Q231" s="194"/>
    </row>
    <row r="232" spans="1:17" ht="15.75" hidden="1">
      <c r="A232" s="104">
        <f>'Appendix H-1'!A255</f>
        <v>154</v>
      </c>
      <c r="B232" s="75"/>
      <c r="C232" s="87" t="str">
        <f>'Appendix H-1'!C255</f>
        <v>Investment Return</v>
      </c>
      <c r="D232" s="60"/>
      <c r="E232" s="68"/>
      <c r="F232" s="103" t="str">
        <f>'Appendix H-1'!F255</f>
        <v>(Line 131 * 147)</v>
      </c>
      <c r="G232" s="25"/>
      <c r="H232" s="25"/>
      <c r="I232" s="25"/>
      <c r="J232" s="25"/>
      <c r="K232" s="25"/>
      <c r="L232" s="25"/>
      <c r="M232" s="25"/>
      <c r="N232" s="25"/>
      <c r="O232" s="25"/>
      <c r="P232" s="25"/>
      <c r="Q232" s="194"/>
    </row>
    <row r="233" spans="1:17" ht="15.75" hidden="1">
      <c r="A233" s="104">
        <f>'Appendix H-1'!A256</f>
        <v>155</v>
      </c>
      <c r="B233" s="75"/>
      <c r="C233" s="87" t="str">
        <f>'Appendix H-1'!C256</f>
        <v>Income Taxes</v>
      </c>
      <c r="D233" s="60"/>
      <c r="E233" s="68"/>
      <c r="F233" s="103" t="str">
        <f>'Appendix H-1'!F256</f>
        <v>(Line 142 * 147)</v>
      </c>
      <c r="G233" s="25"/>
      <c r="H233" s="25"/>
      <c r="I233" s="25"/>
      <c r="J233" s="25"/>
      <c r="K233" s="25"/>
      <c r="L233" s="25"/>
      <c r="M233" s="25"/>
      <c r="N233" s="25"/>
      <c r="O233" s="25"/>
      <c r="P233" s="25"/>
      <c r="Q233" s="194"/>
    </row>
    <row r="234" spans="1:17" ht="15.75" hidden="1">
      <c r="A234" s="104"/>
      <c r="B234" s="75"/>
      <c r="C234" s="87"/>
      <c r="D234" s="60"/>
      <c r="E234" s="68"/>
      <c r="F234" s="110"/>
      <c r="G234" s="25"/>
      <c r="H234" s="25"/>
      <c r="I234" s="25"/>
      <c r="J234" s="25"/>
      <c r="K234" s="25"/>
      <c r="L234" s="25"/>
      <c r="M234" s="25"/>
      <c r="N234" s="25"/>
      <c r="O234" s="25"/>
      <c r="P234" s="25"/>
      <c r="Q234" s="194"/>
    </row>
    <row r="235" spans="1:17" ht="18.75" hidden="1" thickBot="1">
      <c r="A235" s="88">
        <f>'Appendix H-1'!A239</f>
        <v>143</v>
      </c>
      <c r="B235" s="161"/>
      <c r="C235" s="91" t="str">
        <f>'Appendix H-1'!C239</f>
        <v>Gross Revenue Requirement</v>
      </c>
      <c r="D235" s="92"/>
      <c r="E235" s="93"/>
      <c r="F235" s="165" t="str">
        <f>'Appendix H-1'!F239</f>
        <v>(Line 86 + 98 + 100 + 131 + 142)</v>
      </c>
      <c r="G235" s="25"/>
      <c r="H235" s="25"/>
      <c r="I235" s="25"/>
      <c r="J235" s="25"/>
      <c r="K235" s="25"/>
      <c r="L235" s="25"/>
      <c r="M235" s="25"/>
      <c r="N235" s="25"/>
      <c r="O235" s="25"/>
      <c r="P235" s="25"/>
      <c r="Q235" s="194"/>
    </row>
    <row r="236" spans="1:17" ht="15.75" hidden="1">
      <c r="A236" s="104"/>
      <c r="B236" s="75"/>
      <c r="C236" s="96"/>
      <c r="D236" s="60"/>
      <c r="E236" s="112"/>
      <c r="F236" s="110"/>
      <c r="G236" s="25"/>
      <c r="H236" s="25"/>
      <c r="I236" s="25"/>
      <c r="J236" s="25"/>
      <c r="K236" s="25"/>
      <c r="L236" s="25"/>
      <c r="M236" s="25"/>
      <c r="N236" s="25"/>
      <c r="O236" s="25"/>
      <c r="P236" s="25"/>
      <c r="Q236" s="194"/>
    </row>
    <row r="237" spans="1:17" ht="18">
      <c r="A237" s="147"/>
      <c r="B237" s="47" t="str">
        <f>'Appendix H-1'!B241</f>
        <v>Adjustment to Remove Revenue Requirement Associated with Excluded Transmission Facilities</v>
      </c>
      <c r="C237" s="91"/>
      <c r="D237" s="92"/>
      <c r="E237" s="93"/>
      <c r="F237" s="148"/>
      <c r="G237" s="25"/>
      <c r="H237" s="25"/>
      <c r="I237" s="25"/>
      <c r="J237" s="25"/>
      <c r="K237" s="25"/>
      <c r="L237" s="25"/>
      <c r="M237" s="25"/>
      <c r="N237" s="25"/>
      <c r="O237" s="25"/>
      <c r="P237" s="25"/>
      <c r="Q237" s="194"/>
    </row>
    <row r="238" spans="1:17" ht="18" hidden="1">
      <c r="A238" s="113">
        <f>'Appendix H-1'!A242</f>
        <v>144</v>
      </c>
      <c r="B238" s="94"/>
      <c r="C238" s="71" t="str">
        <f>'Appendix H-1'!C242</f>
        <v>Transmission Plant</v>
      </c>
      <c r="D238" s="92"/>
      <c r="E238" s="93"/>
      <c r="F238" s="103" t="str">
        <f>'Appendix H-1'!F242</f>
        <v>(Line 22 + 40 + 43)</v>
      </c>
      <c r="G238" s="25"/>
      <c r="H238" s="25"/>
      <c r="I238" s="25"/>
      <c r="J238" s="25"/>
      <c r="K238" s="25"/>
      <c r="L238" s="25"/>
      <c r="M238" s="25"/>
      <c r="N238" s="25"/>
      <c r="O238" s="25"/>
      <c r="P238" s="25"/>
      <c r="Q238" s="194"/>
    </row>
    <row r="239" spans="1:17" ht="18">
      <c r="A239" s="113">
        <f>'Appendix H-1'!A243</f>
        <v>145</v>
      </c>
      <c r="B239" s="94"/>
      <c r="C239" s="71" t="str">
        <f>'Appendix H-1'!C243</f>
        <v xml:space="preserve">     Remove Excluded Transmission Facilities</v>
      </c>
      <c r="D239" s="92"/>
      <c r="E239" s="73" t="str">
        <f>'Appendix H-1'!E243</f>
        <v>(Note L)</v>
      </c>
      <c r="F239" s="114" t="str">
        <f>'Appendix H-1'!F243</f>
        <v>Attachment 5</v>
      </c>
      <c r="G239" s="25"/>
      <c r="H239" s="25"/>
      <c r="I239" s="25"/>
      <c r="J239" s="25"/>
      <c r="K239" s="25"/>
      <c r="L239" s="25"/>
      <c r="M239" s="25"/>
      <c r="N239" s="25"/>
      <c r="O239" s="25"/>
      <c r="P239" s="46" t="s">
        <v>449</v>
      </c>
      <c r="Q239" s="194"/>
    </row>
    <row r="240" spans="1:17" ht="18" hidden="1">
      <c r="A240" s="113">
        <f>'Appendix H-1'!A244</f>
        <v>146</v>
      </c>
      <c r="B240" s="94"/>
      <c r="C240" s="71" t="str">
        <f>'Appendix H-1'!C244</f>
        <v>Included Transmission Facilities</v>
      </c>
      <c r="D240" s="92"/>
      <c r="E240" s="95"/>
      <c r="F240" s="114" t="str">
        <f>'Appendix H-1'!F244</f>
        <v>(Line 144 - 145)</v>
      </c>
      <c r="G240" s="25"/>
      <c r="H240" s="25"/>
      <c r="I240" s="25"/>
      <c r="J240" s="25"/>
      <c r="K240" s="25"/>
      <c r="L240" s="25"/>
      <c r="M240" s="25"/>
      <c r="N240" s="25"/>
      <c r="O240" s="25"/>
      <c r="P240" s="25"/>
      <c r="Q240" s="194"/>
    </row>
    <row r="241" spans="1:17" ht="18" hidden="1">
      <c r="A241" s="113">
        <f>'Appendix H-1'!A245</f>
        <v>147</v>
      </c>
      <c r="B241" s="94"/>
      <c r="C241" s="71" t="str">
        <f>'Appendix H-1'!C245</f>
        <v>Inclusion Ratio</v>
      </c>
      <c r="D241" s="92"/>
      <c r="E241" s="93"/>
      <c r="F241" s="114" t="str">
        <f>'Appendix H-1'!F245</f>
        <v>(Line 146 / 144)</v>
      </c>
      <c r="G241" s="25"/>
      <c r="H241" s="25"/>
      <c r="I241" s="25"/>
      <c r="J241" s="25"/>
      <c r="K241" s="25"/>
      <c r="L241" s="25"/>
      <c r="M241" s="25"/>
      <c r="N241" s="25"/>
      <c r="O241" s="25"/>
      <c r="P241" s="25"/>
      <c r="Q241" s="194"/>
    </row>
    <row r="242" spans="1:17" ht="18" hidden="1">
      <c r="A242" s="113">
        <f>'Appendix H-1'!A257</f>
        <v>156</v>
      </c>
      <c r="B242" s="94"/>
      <c r="C242" s="71" t="e">
        <f>'Appendix H-1'!#REF!</f>
        <v>#REF!</v>
      </c>
      <c r="D242" s="92"/>
      <c r="E242" s="93"/>
      <c r="F242" s="114" t="str">
        <f>'Appendix H-1'!F257</f>
        <v>(Sum Lines 151 to 155)</v>
      </c>
      <c r="G242" s="25"/>
      <c r="H242" s="25"/>
      <c r="I242" s="25"/>
      <c r="J242" s="25"/>
      <c r="K242" s="25"/>
      <c r="L242" s="25"/>
      <c r="M242" s="25"/>
      <c r="N242" s="25"/>
      <c r="O242" s="25"/>
      <c r="P242" s="25"/>
      <c r="Q242" s="194"/>
    </row>
    <row r="243" spans="1:17" ht="18" hidden="1">
      <c r="A243" s="113" t="e">
        <f>'Appendix H-1'!#REF!</f>
        <v>#REF!</v>
      </c>
      <c r="B243" s="94"/>
      <c r="C243" s="96" t="str">
        <f>'Appendix H-1'!C257</f>
        <v>Adjusted Gross Revenue Requirement</v>
      </c>
      <c r="D243" s="92"/>
      <c r="E243" s="93"/>
      <c r="F243" s="114" t="e">
        <f>'Appendix H-1'!#REF!</f>
        <v>#REF!</v>
      </c>
      <c r="G243" s="25"/>
      <c r="H243" s="25"/>
      <c r="I243" s="25"/>
      <c r="J243" s="25"/>
      <c r="K243" s="25"/>
      <c r="L243" s="25"/>
      <c r="M243" s="25"/>
      <c r="N243" s="25"/>
      <c r="O243" s="25"/>
      <c r="P243" s="25"/>
      <c r="Q243" s="194"/>
    </row>
    <row r="244" spans="1:17" ht="15.75" hidden="1">
      <c r="A244" s="104"/>
      <c r="B244" s="75"/>
      <c r="C244" s="96"/>
      <c r="D244" s="60"/>
      <c r="E244" s="112"/>
      <c r="F244" s="110"/>
      <c r="G244" s="25"/>
      <c r="H244" s="25"/>
      <c r="I244" s="25"/>
      <c r="J244" s="25"/>
      <c r="K244" s="25"/>
      <c r="L244" s="25"/>
      <c r="M244" s="25"/>
      <c r="N244" s="25"/>
      <c r="O244" s="25"/>
      <c r="P244" s="25"/>
      <c r="Q244" s="194"/>
    </row>
    <row r="245" spans="1:17" ht="15.75">
      <c r="A245" s="149"/>
      <c r="B245" s="90" t="str">
        <f>'Appendix H-1'!B259</f>
        <v>Revenue Credits &amp; Interest on Network Credits</v>
      </c>
      <c r="C245" s="71"/>
      <c r="D245" s="60"/>
      <c r="E245" s="68"/>
      <c r="F245" s="110"/>
      <c r="G245" s="25"/>
      <c r="H245" s="25"/>
      <c r="I245" s="25"/>
      <c r="J245" s="25"/>
      <c r="K245" s="25"/>
      <c r="L245" s="25"/>
      <c r="M245" s="25"/>
      <c r="N245" s="25"/>
      <c r="O245" s="25"/>
      <c r="P245" s="25"/>
      <c r="Q245" s="194"/>
    </row>
    <row r="246" spans="1:17" ht="15.75" hidden="1">
      <c r="A246" s="113">
        <f>'Appendix H-1'!A260</f>
        <v>157</v>
      </c>
      <c r="B246" s="86"/>
      <c r="C246" s="90" t="str">
        <f>'Appendix H-1'!C260</f>
        <v>Revenue Credits</v>
      </c>
      <c r="D246" s="60"/>
      <c r="E246" s="68"/>
      <c r="F246" s="110" t="str">
        <f>'Appendix H-1'!F260</f>
        <v>Attachment 3</v>
      </c>
      <c r="G246" s="25"/>
      <c r="H246" s="25"/>
      <c r="I246" s="25"/>
      <c r="J246" s="25"/>
      <c r="K246" s="25"/>
      <c r="L246" s="25"/>
      <c r="M246" s="25"/>
      <c r="N246" s="25"/>
      <c r="O246" s="25"/>
      <c r="P246" s="25"/>
      <c r="Q246" s="194"/>
    </row>
    <row r="247" spans="1:17" ht="15.75">
      <c r="A247" s="113">
        <f>'Appendix H-1'!A261</f>
        <v>158</v>
      </c>
      <c r="B247" s="86"/>
      <c r="C247" s="78" t="str">
        <f>'Appendix H-1'!C261</f>
        <v>Remove:  Interest on Network Credits</v>
      </c>
      <c r="D247" s="60"/>
      <c r="E247" s="136" t="str">
        <f>'Appendix H-1'!E261</f>
        <v>(Note M)</v>
      </c>
      <c r="F247" s="110" t="str">
        <f>'Appendix H-1'!F261</f>
        <v>Attachment 5</v>
      </c>
      <c r="G247" s="25"/>
      <c r="H247" s="25"/>
      <c r="I247" s="25"/>
      <c r="J247" s="25"/>
      <c r="K247" s="25"/>
      <c r="L247" s="25"/>
      <c r="M247" s="25"/>
      <c r="N247" s="25"/>
      <c r="O247" s="25"/>
      <c r="P247" s="25"/>
      <c r="Q247" s="214" t="s">
        <v>449</v>
      </c>
    </row>
    <row r="248" spans="1:17" ht="15.75" hidden="1">
      <c r="A248" s="104"/>
      <c r="B248" s="75"/>
      <c r="C248" s="96"/>
      <c r="D248" s="60"/>
      <c r="E248" s="112"/>
      <c r="F248" s="110"/>
      <c r="G248" s="25"/>
      <c r="H248" s="25"/>
      <c r="I248" s="25"/>
      <c r="J248" s="25"/>
      <c r="K248" s="25"/>
      <c r="L248" s="25"/>
      <c r="M248" s="25"/>
      <c r="N248" s="25"/>
      <c r="O248" s="25"/>
      <c r="P248" s="25"/>
      <c r="Q248" s="194"/>
    </row>
    <row r="249" spans="1:17" ht="18.75" hidden="1" thickBot="1">
      <c r="A249" s="88">
        <f>'Appendix H-1'!A265</f>
        <v>160</v>
      </c>
      <c r="B249" s="135"/>
      <c r="C249" s="162" t="str">
        <f>'Appendix H-1'!C265</f>
        <v>Net Revenue Requirement</v>
      </c>
      <c r="D249" s="163"/>
      <c r="E249" s="164"/>
      <c r="F249" s="165" t="str">
        <f>'Appendix H-1'!F265</f>
        <v>(Line 156 - 159)</v>
      </c>
      <c r="G249" s="25"/>
      <c r="H249" s="25"/>
      <c r="I249" s="25"/>
      <c r="J249" s="25"/>
      <c r="K249" s="25"/>
      <c r="L249" s="25"/>
      <c r="M249" s="25"/>
      <c r="N249" s="25"/>
      <c r="O249" s="25"/>
      <c r="P249" s="25"/>
      <c r="Q249" s="194"/>
    </row>
    <row r="250" spans="1:17" ht="15.75" hidden="1">
      <c r="A250" s="104"/>
      <c r="B250" s="75"/>
      <c r="C250" s="96"/>
      <c r="D250" s="60"/>
      <c r="E250" s="112"/>
      <c r="F250" s="110"/>
      <c r="G250" s="25"/>
      <c r="H250" s="25"/>
      <c r="I250" s="25"/>
      <c r="J250" s="25"/>
      <c r="K250" s="25"/>
      <c r="L250" s="25"/>
      <c r="M250" s="25"/>
      <c r="N250" s="25"/>
      <c r="O250" s="25"/>
      <c r="P250" s="25"/>
      <c r="Q250" s="194"/>
    </row>
    <row r="251" spans="1:17" ht="15.75" hidden="1">
      <c r="A251" s="104"/>
      <c r="B251" s="98" t="str">
        <f>'Appendix H-1'!B267</f>
        <v>Net Plant Carrying Charge without New Investment Incentive</v>
      </c>
      <c r="C251" s="86"/>
      <c r="D251" s="50"/>
      <c r="E251" s="51"/>
      <c r="F251" s="110"/>
      <c r="G251" s="25"/>
      <c r="H251" s="25"/>
      <c r="I251" s="25"/>
      <c r="J251" s="25"/>
      <c r="K251" s="25"/>
      <c r="L251" s="25"/>
      <c r="M251" s="25"/>
      <c r="N251" s="25"/>
      <c r="O251" s="25"/>
      <c r="P251" s="25"/>
      <c r="Q251" s="194"/>
    </row>
    <row r="252" spans="1:17" ht="15.75" hidden="1">
      <c r="A252" s="124">
        <f>'Appendix H-1'!A268</f>
        <v>161</v>
      </c>
      <c r="B252" s="75"/>
      <c r="C252" s="50" t="str">
        <f>'Appendix H-1'!C268</f>
        <v>Net Revenue Requirement</v>
      </c>
      <c r="D252" s="50"/>
      <c r="E252" s="51"/>
      <c r="F252" s="110" t="str">
        <f>'Appendix H-1'!F268</f>
        <v>(Line 160)</v>
      </c>
      <c r="G252" s="25"/>
      <c r="H252" s="25"/>
      <c r="I252" s="25"/>
      <c r="J252" s="25"/>
      <c r="K252" s="25"/>
      <c r="L252" s="25"/>
      <c r="M252" s="25"/>
      <c r="N252" s="25"/>
      <c r="O252" s="25"/>
      <c r="P252" s="25"/>
      <c r="Q252" s="194"/>
    </row>
    <row r="253" spans="1:17" ht="15.75" hidden="1">
      <c r="A253" s="124">
        <f>'Appendix H-1'!A269</f>
        <v>162</v>
      </c>
      <c r="B253" s="75"/>
      <c r="C253" s="50" t="str">
        <f>'Appendix H-1'!C269</f>
        <v>Net Transmission Plant times Inclusion Ratio</v>
      </c>
      <c r="D253" s="50"/>
      <c r="E253" s="51"/>
      <c r="F253" s="110" t="str">
        <f>'Appendix H-1'!F269</f>
        <v>(Line 19 - 29)  *  Line 147</v>
      </c>
      <c r="G253" s="25"/>
      <c r="H253" s="25"/>
      <c r="I253" s="25"/>
      <c r="J253" s="25"/>
      <c r="K253" s="25"/>
      <c r="L253" s="25"/>
      <c r="M253" s="25"/>
      <c r="N253" s="25"/>
      <c r="O253" s="25"/>
      <c r="P253" s="25"/>
      <c r="Q253" s="194"/>
    </row>
    <row r="254" spans="1:17" ht="15.75" hidden="1">
      <c r="A254" s="124">
        <f>'Appendix H-1'!A270</f>
        <v>163</v>
      </c>
      <c r="B254" s="75"/>
      <c r="C254" s="50" t="str">
        <f>'Appendix H-1'!C270</f>
        <v xml:space="preserve">Net Plant Carrying Charge without New Investment Incentive </v>
      </c>
      <c r="D254" s="50"/>
      <c r="E254" s="51"/>
      <c r="F254" s="110" t="str">
        <f>'Appendix H-1'!F270</f>
        <v>(Line 161 / 162)</v>
      </c>
      <c r="G254" s="25"/>
      <c r="H254" s="25"/>
      <c r="I254" s="25"/>
      <c r="J254" s="25"/>
      <c r="K254" s="25"/>
      <c r="L254" s="25"/>
      <c r="M254" s="25"/>
      <c r="N254" s="25"/>
      <c r="O254" s="25"/>
      <c r="P254" s="25"/>
      <c r="Q254" s="194"/>
    </row>
    <row r="255" spans="1:17" ht="15.75" hidden="1">
      <c r="A255" s="124">
        <f>'Appendix H-1'!A271</f>
        <v>164</v>
      </c>
      <c r="B255" s="75"/>
      <c r="C255" s="50" t="str">
        <f>'Appendix H-1'!C271</f>
        <v>Net Plant Carrying Charge without New Investment Incentive without Depreciation</v>
      </c>
      <c r="D255" s="50"/>
      <c r="E255" s="51"/>
      <c r="F255" s="110" t="str">
        <f>'Appendix H-1'!F271</f>
        <v>(Line 161 - 152) / 162</v>
      </c>
      <c r="G255" s="25"/>
      <c r="H255" s="25"/>
      <c r="I255" s="25"/>
      <c r="J255" s="25"/>
      <c r="K255" s="25"/>
      <c r="L255" s="25"/>
      <c r="M255" s="25"/>
      <c r="N255" s="25"/>
      <c r="O255" s="25"/>
      <c r="P255" s="25"/>
      <c r="Q255" s="194"/>
    </row>
    <row r="256" spans="1:17" ht="15.75" hidden="1">
      <c r="A256" s="124">
        <f>'Appendix H-1'!A272</f>
        <v>165</v>
      </c>
      <c r="B256" s="94"/>
      <c r="C256" s="50" t="str">
        <f>'Appendix H-1'!C272</f>
        <v xml:space="preserve">Net Plant Carrying Charge without New Investment Incentive without Depreciation, Return, nor Income Taxes </v>
      </c>
      <c r="D256" s="50"/>
      <c r="E256" s="81"/>
      <c r="F256" s="138" t="str">
        <f>'Appendix H-1'!F272</f>
        <v>(Line 161 - 152 - 154 - 155) / 162</v>
      </c>
      <c r="G256" s="25"/>
      <c r="H256" s="25"/>
      <c r="I256" s="25"/>
      <c r="J256" s="25"/>
      <c r="K256" s="25"/>
      <c r="L256" s="25"/>
      <c r="M256" s="25"/>
      <c r="N256" s="25"/>
      <c r="O256" s="25"/>
      <c r="P256" s="25"/>
      <c r="Q256" s="194"/>
    </row>
    <row r="257" spans="1:17" ht="15.75" hidden="1">
      <c r="A257" s="104"/>
      <c r="B257" s="75"/>
      <c r="C257" s="96"/>
      <c r="D257" s="60"/>
      <c r="E257" s="112"/>
      <c r="F257" s="110"/>
      <c r="G257" s="25"/>
      <c r="H257" s="25"/>
      <c r="I257" s="25"/>
      <c r="J257" s="25"/>
      <c r="K257" s="25"/>
      <c r="L257" s="25"/>
      <c r="M257" s="25"/>
      <c r="N257" s="25"/>
      <c r="O257" s="25"/>
      <c r="P257" s="25"/>
      <c r="Q257" s="194"/>
    </row>
    <row r="258" spans="1:17" ht="15.75" hidden="1">
      <c r="A258" s="104"/>
      <c r="B258" s="75"/>
      <c r="C258" s="96"/>
      <c r="D258" s="60"/>
      <c r="E258" s="112"/>
      <c r="F258" s="110"/>
      <c r="G258" s="25"/>
      <c r="H258" s="25"/>
      <c r="I258" s="25"/>
      <c r="J258" s="25"/>
      <c r="K258" s="25"/>
      <c r="L258" s="25"/>
      <c r="M258" s="25"/>
      <c r="N258" s="25"/>
      <c r="O258" s="25"/>
      <c r="P258" s="25"/>
      <c r="Q258" s="194"/>
    </row>
    <row r="259" spans="1:17" ht="15.75" hidden="1">
      <c r="A259" s="113"/>
      <c r="B259" s="98" t="str">
        <f>'Appendix H-1'!B275</f>
        <v>Net Plant Carrying Charge with 100 Basis Point New Investment Incentive</v>
      </c>
      <c r="C259" s="50"/>
      <c r="D259" s="50"/>
      <c r="E259" s="51"/>
      <c r="F259" s="110"/>
      <c r="G259" s="25"/>
      <c r="H259" s="25"/>
      <c r="I259" s="25"/>
      <c r="J259" s="25"/>
      <c r="K259" s="25"/>
      <c r="L259" s="25"/>
      <c r="M259" s="25"/>
      <c r="N259" s="25"/>
      <c r="O259" s="25"/>
      <c r="P259" s="25"/>
      <c r="Q259" s="194"/>
    </row>
    <row r="260" spans="1:17" ht="15.75" hidden="1">
      <c r="A260" s="124">
        <f>'Appendix H-1'!A276</f>
        <v>166</v>
      </c>
      <c r="B260" s="75"/>
      <c r="C260" s="50" t="str">
        <f>'Appendix H-1'!C276</f>
        <v>Net Revenue Requirement Less Return and Taxes</v>
      </c>
      <c r="D260" s="50"/>
      <c r="E260" s="51"/>
      <c r="F260" s="150" t="str">
        <f>'Appendix H-1'!F276</f>
        <v>(Line 160 - 154 - 155)</v>
      </c>
      <c r="G260" s="25"/>
      <c r="H260" s="25"/>
      <c r="I260" s="25"/>
      <c r="J260" s="25"/>
      <c r="K260" s="25"/>
      <c r="L260" s="25"/>
      <c r="M260" s="25"/>
      <c r="N260" s="25"/>
      <c r="O260" s="25"/>
      <c r="P260" s="25"/>
      <c r="Q260" s="194"/>
    </row>
    <row r="261" spans="1:17" ht="15.75" hidden="1">
      <c r="A261" s="124">
        <f>'Appendix H-1'!A277</f>
        <v>167</v>
      </c>
      <c r="B261" s="75"/>
      <c r="C261" s="50" t="str">
        <f>'Appendix H-1'!C277</f>
        <v>Incentive Return and Taxes</v>
      </c>
      <c r="D261" s="50"/>
      <c r="E261" s="51"/>
      <c r="F261" s="110" t="str">
        <f>'Appendix H-1'!F277</f>
        <v>(Line 131 + 142)</v>
      </c>
      <c r="G261" s="25"/>
      <c r="H261" s="25"/>
      <c r="I261" s="25"/>
      <c r="J261" s="25"/>
      <c r="K261" s="25"/>
      <c r="L261" s="25"/>
      <c r="M261" s="25"/>
      <c r="N261" s="25"/>
      <c r="O261" s="25"/>
      <c r="P261" s="25"/>
      <c r="Q261" s="194"/>
    </row>
    <row r="262" spans="1:17" ht="15.75" hidden="1">
      <c r="A262" s="124">
        <f>'Appendix H-1'!A278</f>
        <v>168</v>
      </c>
      <c r="B262" s="75"/>
      <c r="C262" s="50" t="str">
        <f>'Appendix H-1'!C278</f>
        <v>Net Revenue Requirement with 100 Basis Point New Investment Incentive</v>
      </c>
      <c r="D262" s="50"/>
      <c r="E262" s="51"/>
      <c r="F262" s="150" t="str">
        <f>'Appendix H-1'!F278</f>
        <v>(Line 166 + 167)</v>
      </c>
      <c r="G262" s="25"/>
      <c r="H262" s="25"/>
      <c r="I262" s="25"/>
      <c r="J262" s="25"/>
      <c r="K262" s="25"/>
      <c r="L262" s="25"/>
      <c r="M262" s="25"/>
      <c r="N262" s="25"/>
      <c r="O262" s="25"/>
      <c r="P262" s="25"/>
      <c r="Q262" s="194"/>
    </row>
    <row r="263" spans="1:17" ht="15.75" hidden="1">
      <c r="A263" s="124">
        <f>'Appendix H-1'!A279</f>
        <v>169</v>
      </c>
      <c r="B263" s="75"/>
      <c r="C263" s="50" t="str">
        <f>'Appendix H-1'!C279</f>
        <v>Net Transmission Plant times Inclusion Ratio</v>
      </c>
      <c r="D263" s="50"/>
      <c r="E263" s="51"/>
      <c r="F263" s="110" t="str">
        <f>'Appendix H-1'!F279</f>
        <v>(Line 162)</v>
      </c>
      <c r="G263" s="25"/>
      <c r="H263" s="25"/>
      <c r="I263" s="25"/>
      <c r="J263" s="25"/>
      <c r="K263" s="25"/>
      <c r="L263" s="25"/>
      <c r="M263" s="25"/>
      <c r="N263" s="25"/>
      <c r="O263" s="25"/>
      <c r="P263" s="25"/>
      <c r="Q263" s="194"/>
    </row>
    <row r="264" spans="1:17" ht="15.75" hidden="1">
      <c r="A264" s="124">
        <f>'Appendix H-1'!A280</f>
        <v>170</v>
      </c>
      <c r="B264" s="75"/>
      <c r="C264" s="50" t="str">
        <f>'Appendix H-1'!C280</f>
        <v>Net Plant Carrying Charge with 100 Basis Point New Investment Incentive</v>
      </c>
      <c r="D264" s="50"/>
      <c r="E264" s="51"/>
      <c r="F264" s="110" t="str">
        <f>'Appendix H-1'!F280</f>
        <v>(Line 168 / 169)</v>
      </c>
      <c r="G264" s="25"/>
      <c r="H264" s="25"/>
      <c r="I264" s="25"/>
      <c r="J264" s="25"/>
      <c r="K264" s="25"/>
      <c r="L264" s="25"/>
      <c r="M264" s="25"/>
      <c r="N264" s="25"/>
      <c r="O264" s="25"/>
      <c r="P264" s="25"/>
      <c r="Q264" s="194"/>
    </row>
    <row r="265" spans="1:17" ht="15.75" hidden="1">
      <c r="A265" s="124">
        <f>'Appendix H-1'!A281</f>
        <v>171</v>
      </c>
      <c r="B265" s="75"/>
      <c r="C265" s="50" t="str">
        <f>'Appendix H-1'!C281</f>
        <v>Net Plant Carrying Charge with 100 Basis Point New Investment Incentive without Depreciation</v>
      </c>
      <c r="D265" s="50"/>
      <c r="E265" s="51"/>
      <c r="F265" s="110" t="str">
        <f>'Appendix H-1'!F281</f>
        <v>(Line 168 - 152) / 169</v>
      </c>
      <c r="G265" s="25"/>
      <c r="H265" s="25"/>
      <c r="I265" s="25"/>
      <c r="J265" s="25"/>
      <c r="K265" s="25"/>
      <c r="L265" s="25"/>
      <c r="M265" s="25"/>
      <c r="N265" s="25"/>
      <c r="O265" s="25"/>
      <c r="P265" s="25"/>
      <c r="Q265" s="194"/>
    </row>
    <row r="266" spans="1:17" ht="15.75" hidden="1">
      <c r="A266" s="104"/>
      <c r="B266" s="75"/>
      <c r="C266" s="96"/>
      <c r="D266" s="60"/>
      <c r="E266" s="112"/>
      <c r="F266" s="110"/>
      <c r="G266" s="25"/>
      <c r="H266" s="25"/>
      <c r="I266" s="25"/>
      <c r="J266" s="25"/>
      <c r="K266" s="25"/>
      <c r="L266" s="25"/>
      <c r="M266" s="25"/>
      <c r="N266" s="25"/>
      <c r="O266" s="25"/>
      <c r="P266" s="25"/>
      <c r="Q266" s="194"/>
    </row>
    <row r="267" spans="1:17" ht="15.75" hidden="1">
      <c r="A267" s="124">
        <f>'Appendix H-1'!A283</f>
        <v>172</v>
      </c>
      <c r="B267" s="75"/>
      <c r="C267" s="98" t="str">
        <f>'Appendix H-1'!C283</f>
        <v>Net Revenue Requirement</v>
      </c>
      <c r="D267" s="50"/>
      <c r="E267" s="81"/>
      <c r="F267" s="110" t="str">
        <f>'Appendix H-1'!F283</f>
        <v>(Line 160)</v>
      </c>
      <c r="G267" s="25"/>
      <c r="H267" s="25"/>
      <c r="I267" s="25"/>
      <c r="J267" s="25"/>
      <c r="K267" s="25"/>
      <c r="L267" s="25"/>
      <c r="M267" s="25"/>
      <c r="N267" s="25"/>
      <c r="O267" s="25"/>
      <c r="P267" s="25"/>
      <c r="Q267" s="194"/>
    </row>
    <row r="268" spans="1:17" ht="15.75" hidden="1">
      <c r="A268" s="124">
        <f>'Appendix H-1'!A285</f>
        <v>174</v>
      </c>
      <c r="B268" s="75"/>
      <c r="C268" s="14" t="str">
        <f>'Appendix H-1'!C285</f>
        <v>Increased Revenue Requirement due to Authorized Incentive ROE</v>
      </c>
      <c r="D268" s="50"/>
      <c r="E268" s="81"/>
      <c r="F268" s="110" t="str">
        <f>'Appendix H-1'!F285</f>
        <v>Attachment 7</v>
      </c>
      <c r="G268" s="25"/>
      <c r="H268" s="25"/>
      <c r="I268" s="25"/>
      <c r="J268" s="25"/>
      <c r="K268" s="25"/>
      <c r="L268" s="25"/>
      <c r="M268" s="25"/>
      <c r="N268" s="25"/>
      <c r="O268" s="25"/>
      <c r="P268" s="25"/>
      <c r="Q268" s="194"/>
    </row>
    <row r="269" spans="1:17" ht="15.75" hidden="1">
      <c r="A269" s="124">
        <f>'Appendix H-1'!A286</f>
        <v>175</v>
      </c>
      <c r="B269" s="75"/>
      <c r="C269" s="98" t="str">
        <f>'Appendix H-1'!C286</f>
        <v>Annual Transmission Revenue Requirement</v>
      </c>
      <c r="D269" s="50"/>
      <c r="E269" s="81"/>
      <c r="F269" s="110" t="str">
        <f>'Appendix H-1'!F286</f>
        <v>(Line 172 + 173 + 174)</v>
      </c>
      <c r="G269" s="25"/>
      <c r="H269" s="25"/>
      <c r="I269" s="25"/>
      <c r="J269" s="25"/>
      <c r="K269" s="25"/>
      <c r="L269" s="25"/>
      <c r="M269" s="25"/>
      <c r="N269" s="25"/>
      <c r="O269" s="25"/>
      <c r="P269" s="25"/>
      <c r="Q269" s="194"/>
    </row>
    <row r="270" spans="1:17" ht="15.75" hidden="1">
      <c r="A270" s="104"/>
      <c r="B270" s="75"/>
      <c r="C270" s="96"/>
      <c r="D270" s="60"/>
      <c r="E270" s="112"/>
      <c r="F270" s="110"/>
      <c r="G270" s="25"/>
      <c r="H270" s="25"/>
      <c r="I270" s="25"/>
      <c r="J270" s="25"/>
      <c r="K270" s="25"/>
      <c r="L270" s="25"/>
      <c r="M270" s="25"/>
      <c r="N270" s="25"/>
      <c r="O270" s="25"/>
      <c r="P270" s="25"/>
      <c r="Q270" s="194"/>
    </row>
    <row r="271" spans="1:17" ht="15.75">
      <c r="A271" s="113"/>
      <c r="B271" s="90" t="str">
        <f>'Appendix H-1'!B288</f>
        <v>Network &amp; Point to Point Services Rate</v>
      </c>
      <c r="C271" s="50"/>
      <c r="D271" s="50"/>
      <c r="E271" s="51"/>
      <c r="F271" s="110"/>
      <c r="G271" s="25"/>
      <c r="H271" s="25"/>
      <c r="I271" s="25"/>
      <c r="J271" s="25"/>
      <c r="K271" s="25"/>
      <c r="L271" s="25"/>
      <c r="M271" s="25"/>
      <c r="N271" s="25"/>
      <c r="O271" s="25"/>
      <c r="P271" s="25"/>
      <c r="Q271" s="194"/>
    </row>
    <row r="272" spans="1:17" ht="16.5" thickBot="1">
      <c r="A272" s="166">
        <f>'Appendix H-1'!A289</f>
        <v>176</v>
      </c>
      <c r="B272" s="167"/>
      <c r="C272" s="168" t="str">
        <f>'Appendix H-1'!C289</f>
        <v>12 CP Average</v>
      </c>
      <c r="D272" s="168"/>
      <c r="E272" s="169" t="str">
        <f>'Appendix H-1'!E289</f>
        <v>(Note K)</v>
      </c>
      <c r="F272" s="170" t="str">
        <f>'Appendix H-1'!F289</f>
        <v>p.400</v>
      </c>
      <c r="G272" s="195"/>
      <c r="H272" s="195"/>
      <c r="I272" s="195"/>
      <c r="J272" s="195"/>
      <c r="K272" s="195"/>
      <c r="L272" s="195"/>
      <c r="M272" s="195"/>
      <c r="N272" s="195"/>
      <c r="O272" s="209" t="s">
        <v>449</v>
      </c>
      <c r="P272" s="195"/>
      <c r="Q272" s="207"/>
    </row>
    <row r="273" spans="1:17" ht="15.75" hidden="1">
      <c r="A273" s="124">
        <f>'Appendix H-1'!A290</f>
        <v>177</v>
      </c>
      <c r="B273" s="75"/>
      <c r="C273" s="14" t="str">
        <f>'Appendix H-1'!C290</f>
        <v>Rate ($/MW-Year)</v>
      </c>
      <c r="D273" s="151">
        <f>'Appendix H-1'!D290</f>
        <v>0</v>
      </c>
      <c r="E273" s="100"/>
      <c r="F273" s="103" t="str">
        <f>'Appendix H-1'!F290</f>
        <v>(Line 175 / 176)</v>
      </c>
      <c r="G273" s="23"/>
      <c r="H273" s="23"/>
      <c r="I273" s="23"/>
      <c r="J273" s="23"/>
      <c r="K273" s="23"/>
      <c r="L273" s="23"/>
      <c r="M273" s="23"/>
      <c r="N273" s="23"/>
      <c r="O273" s="23"/>
      <c r="P273" s="23"/>
      <c r="Q273" s="23"/>
    </row>
    <row r="274" spans="1:17" ht="15.75" hidden="1">
      <c r="A274" s="104"/>
      <c r="B274" s="75"/>
      <c r="C274" s="96"/>
      <c r="D274" s="60"/>
      <c r="E274" s="112"/>
      <c r="F274" s="110"/>
      <c r="G274" s="23"/>
      <c r="H274" s="23"/>
      <c r="I274" s="23"/>
      <c r="J274" s="23"/>
      <c r="K274" s="23"/>
      <c r="L274" s="23"/>
      <c r="M274" s="23"/>
      <c r="N274" s="23"/>
      <c r="O274" s="23"/>
      <c r="P274" s="23"/>
      <c r="Q274" s="23"/>
    </row>
    <row r="275" spans="1:17" ht="18.75" hidden="1" thickBot="1">
      <c r="A275" s="88">
        <f>'Appendix H-1'!A292</f>
        <v>178</v>
      </c>
      <c r="B275" s="101"/>
      <c r="C275" s="97" t="str">
        <f>'Appendix H-1'!C292</f>
        <v>Network &amp; Point to Point Services Rate ($/MW/Year)</v>
      </c>
      <c r="D275" s="101"/>
      <c r="E275" s="101"/>
      <c r="F275" s="152" t="str">
        <f>'Appendix H-1'!F292</f>
        <v>(Line 177)</v>
      </c>
      <c r="G275" s="23"/>
      <c r="H275" s="23"/>
      <c r="I275" s="23"/>
      <c r="J275" s="23"/>
      <c r="K275" s="23"/>
      <c r="L275" s="23"/>
      <c r="M275" s="23"/>
      <c r="N275" s="23"/>
      <c r="O275" s="23"/>
      <c r="P275" s="23"/>
      <c r="Q275" s="23"/>
    </row>
    <row r="276" spans="1:17" ht="15.75" hidden="1">
      <c r="A276" s="49"/>
      <c r="B276" s="49"/>
      <c r="C276" s="48"/>
      <c r="D276" s="17"/>
      <c r="E276" s="58"/>
      <c r="F276" s="18"/>
      <c r="G276" s="23"/>
      <c r="H276" s="23"/>
      <c r="I276" s="23"/>
      <c r="J276" s="23"/>
      <c r="K276" s="23"/>
      <c r="L276" s="23"/>
      <c r="M276" s="23"/>
      <c r="N276" s="23"/>
      <c r="O276" s="23"/>
      <c r="P276" s="23"/>
      <c r="Q276" s="23"/>
    </row>
    <row r="277" spans="1:17" ht="21" hidden="1" customHeight="1">
      <c r="A277" s="89"/>
      <c r="B277" s="90"/>
      <c r="C277" s="14"/>
      <c r="D277" s="14"/>
      <c r="E277" s="15"/>
      <c r="F277" s="16"/>
      <c r="G277" s="23"/>
      <c r="H277" s="23"/>
      <c r="I277" s="23"/>
      <c r="J277" s="23"/>
      <c r="K277" s="23"/>
      <c r="L277" s="23"/>
      <c r="M277" s="23"/>
      <c r="N277" s="23"/>
      <c r="O277" s="23"/>
      <c r="P277" s="23"/>
      <c r="Q277" s="23"/>
    </row>
    <row r="278" spans="1:17" ht="21" hidden="1" customHeight="1">
      <c r="A278" s="89"/>
      <c r="B278" s="75"/>
      <c r="D278" s="14"/>
      <c r="E278" s="15"/>
      <c r="F278" s="16"/>
      <c r="G278" s="23"/>
      <c r="H278" s="23"/>
      <c r="I278" s="23"/>
      <c r="J278" s="23"/>
      <c r="K278" s="23"/>
      <c r="L278" s="23"/>
      <c r="M278" s="23"/>
      <c r="N278" s="23"/>
      <c r="O278" s="23"/>
      <c r="P278" s="23"/>
      <c r="Q278" s="23"/>
    </row>
    <row r="279" spans="1:17" ht="21" hidden="1" customHeight="1" thickBot="1">
      <c r="A279" s="176" t="s">
        <v>446</v>
      </c>
      <c r="B279" s="75"/>
      <c r="D279" s="14"/>
      <c r="E279" s="15"/>
      <c r="F279" s="16"/>
      <c r="G279" s="23"/>
      <c r="H279" s="23"/>
      <c r="I279" s="23"/>
      <c r="J279" s="23"/>
      <c r="K279" s="23"/>
      <c r="L279" s="23"/>
      <c r="M279" s="23"/>
      <c r="N279" s="23"/>
      <c r="O279" s="23"/>
      <c r="P279" s="23"/>
      <c r="Q279" s="23"/>
    </row>
    <row r="280" spans="1:17" ht="56.25" hidden="1" customHeight="1">
      <c r="A280" s="1298" t="s">
        <v>439</v>
      </c>
      <c r="B280" s="1299"/>
      <c r="C280" s="1299"/>
      <c r="D280" s="1299"/>
      <c r="E280" s="1299"/>
      <c r="F280" s="1299"/>
      <c r="G280" s="208" t="s">
        <v>455</v>
      </c>
      <c r="H280" s="205"/>
      <c r="I280" s="205" t="s">
        <v>440</v>
      </c>
      <c r="J280" s="1288" t="s">
        <v>394</v>
      </c>
      <c r="K280" s="1293"/>
      <c r="L280" s="1293"/>
      <c r="M280" s="1293"/>
      <c r="N280" s="1293"/>
      <c r="O280" s="1293"/>
      <c r="P280" s="1293"/>
      <c r="Q280" s="1293"/>
    </row>
    <row r="281" spans="1:17" ht="15.75" hidden="1">
      <c r="A281" s="106"/>
      <c r="B281" s="96" t="s">
        <v>300</v>
      </c>
      <c r="C281" s="14"/>
      <c r="D281" s="86"/>
      <c r="E281" s="51"/>
      <c r="F281" s="86"/>
      <c r="G281" s="196"/>
      <c r="H281" s="25"/>
      <c r="I281" s="25"/>
      <c r="J281" s="1300"/>
      <c r="K281" s="1291"/>
      <c r="L281" s="1291"/>
      <c r="M281" s="1291"/>
      <c r="N281" s="1291"/>
      <c r="O281" s="1291"/>
      <c r="P281" s="1291"/>
      <c r="Q281" s="1291"/>
    </row>
    <row r="282" spans="1:17" ht="15.75" hidden="1">
      <c r="A282" s="113">
        <v>7</v>
      </c>
      <c r="B282" s="86"/>
      <c r="C282" s="50" t="s">
        <v>248</v>
      </c>
      <c r="D282" s="14"/>
      <c r="E282" s="59" t="s">
        <v>341</v>
      </c>
      <c r="F282" s="70" t="s">
        <v>211</v>
      </c>
      <c r="G282" s="198" t="s">
        <v>458</v>
      </c>
      <c r="H282" s="46"/>
      <c r="I282" s="46" t="s">
        <v>458</v>
      </c>
      <c r="J282" s="1290" t="s">
        <v>457</v>
      </c>
      <c r="K282" s="1291"/>
      <c r="L282" s="1291"/>
      <c r="M282" s="1291"/>
      <c r="N282" s="1291"/>
      <c r="O282" s="1291"/>
      <c r="P282" s="1291"/>
      <c r="Q282" s="1291"/>
    </row>
    <row r="283" spans="1:17" ht="15.75" hidden="1">
      <c r="A283" s="113">
        <v>10</v>
      </c>
      <c r="B283" s="86"/>
      <c r="C283" s="50" t="s">
        <v>326</v>
      </c>
      <c r="D283" s="14"/>
      <c r="E283" s="59" t="s">
        <v>238</v>
      </c>
      <c r="F283" s="66" t="s">
        <v>337</v>
      </c>
      <c r="G283" s="198" t="s">
        <v>458</v>
      </c>
      <c r="H283" s="46"/>
      <c r="I283" s="46" t="s">
        <v>458</v>
      </c>
      <c r="J283" s="1290" t="s">
        <v>457</v>
      </c>
      <c r="K283" s="1291"/>
      <c r="L283" s="1291"/>
      <c r="M283" s="1291"/>
      <c r="N283" s="1291"/>
      <c r="O283" s="1291"/>
      <c r="P283" s="1291"/>
      <c r="Q283" s="1291"/>
    </row>
    <row r="284" spans="1:17" ht="15.75" hidden="1">
      <c r="A284" s="113">
        <v>11</v>
      </c>
      <c r="B284" s="86"/>
      <c r="C284" s="50" t="s">
        <v>298</v>
      </c>
      <c r="D284" s="14"/>
      <c r="E284" s="59" t="s">
        <v>309</v>
      </c>
      <c r="F284" s="66" t="s">
        <v>211</v>
      </c>
      <c r="G284" s="198" t="s">
        <v>458</v>
      </c>
      <c r="H284" s="46"/>
      <c r="I284" s="46" t="s">
        <v>458</v>
      </c>
      <c r="J284" s="1290" t="s">
        <v>457</v>
      </c>
      <c r="K284" s="1291"/>
      <c r="L284" s="1291"/>
      <c r="M284" s="1291"/>
      <c r="N284" s="1291"/>
      <c r="O284" s="1291"/>
      <c r="P284" s="1291"/>
      <c r="Q284" s="1291"/>
    </row>
    <row r="285" spans="1:17" ht="15.75" hidden="1">
      <c r="A285" s="113">
        <v>12</v>
      </c>
      <c r="B285" s="14"/>
      <c r="C285" s="60" t="s">
        <v>327</v>
      </c>
      <c r="D285" s="14"/>
      <c r="E285" s="59" t="s">
        <v>309</v>
      </c>
      <c r="F285" s="66" t="s">
        <v>211</v>
      </c>
      <c r="G285" s="198" t="s">
        <v>458</v>
      </c>
      <c r="H285" s="46"/>
      <c r="I285" s="46" t="s">
        <v>458</v>
      </c>
      <c r="J285" s="1290" t="s">
        <v>457</v>
      </c>
      <c r="K285" s="1291"/>
      <c r="L285" s="1291"/>
      <c r="M285" s="1291"/>
      <c r="N285" s="1291"/>
      <c r="O285" s="1291"/>
      <c r="P285" s="1291"/>
      <c r="Q285" s="1291"/>
    </row>
    <row r="286" spans="1:17" ht="15.75" hidden="1">
      <c r="A286" s="106"/>
      <c r="B286" s="96" t="s">
        <v>258</v>
      </c>
      <c r="C286" s="14"/>
      <c r="D286" s="14"/>
      <c r="E286" s="112"/>
      <c r="F286" s="70"/>
      <c r="G286" s="196"/>
      <c r="H286" s="25"/>
      <c r="I286" s="25"/>
      <c r="J286" s="1290"/>
      <c r="K286" s="1291"/>
      <c r="L286" s="1291"/>
      <c r="M286" s="1291"/>
      <c r="N286" s="1291"/>
      <c r="O286" s="1291"/>
      <c r="P286" s="1291"/>
      <c r="Q286" s="1291"/>
    </row>
    <row r="287" spans="1:17" ht="15.75" hidden="1">
      <c r="A287" s="113">
        <v>21</v>
      </c>
      <c r="B287" s="75"/>
      <c r="C287" s="67" t="s">
        <v>255</v>
      </c>
      <c r="D287" s="14"/>
      <c r="E287" s="59" t="s">
        <v>341</v>
      </c>
      <c r="F287" s="70" t="s">
        <v>211</v>
      </c>
      <c r="G287" s="198" t="s">
        <v>458</v>
      </c>
      <c r="H287" s="46"/>
      <c r="I287" s="46" t="s">
        <v>458</v>
      </c>
      <c r="J287" s="1290" t="s">
        <v>457</v>
      </c>
      <c r="K287" s="1291"/>
      <c r="L287" s="1291"/>
      <c r="M287" s="1291"/>
      <c r="N287" s="1291"/>
      <c r="O287" s="1291"/>
      <c r="P287" s="1291"/>
      <c r="Q287" s="1291"/>
    </row>
    <row r="288" spans="1:17" ht="15.75" hidden="1">
      <c r="A288" s="113"/>
      <c r="B288" s="96" t="s">
        <v>244</v>
      </c>
      <c r="C288" s="96"/>
      <c r="D288" s="70"/>
      <c r="E288" s="68"/>
      <c r="F288" s="66"/>
      <c r="G288" s="196"/>
      <c r="H288" s="25"/>
      <c r="I288" s="25"/>
      <c r="J288" s="1290"/>
      <c r="K288" s="1291"/>
      <c r="L288" s="1291"/>
      <c r="M288" s="1291"/>
      <c r="N288" s="1291"/>
      <c r="O288" s="1291"/>
      <c r="P288" s="1291"/>
      <c r="Q288" s="1291"/>
    </row>
    <row r="289" spans="1:17" ht="15.75" hidden="1">
      <c r="A289" s="113">
        <v>30</v>
      </c>
      <c r="B289" s="75"/>
      <c r="C289" s="67" t="s">
        <v>298</v>
      </c>
      <c r="D289" s="14"/>
      <c r="E289" s="59" t="s">
        <v>309</v>
      </c>
      <c r="F289" s="66" t="s">
        <v>453</v>
      </c>
      <c r="G289" s="198" t="s">
        <v>458</v>
      </c>
      <c r="H289" s="46"/>
      <c r="I289" s="46" t="s">
        <v>458</v>
      </c>
      <c r="J289" s="1290" t="s">
        <v>457</v>
      </c>
      <c r="K289" s="1291"/>
      <c r="L289" s="1291"/>
      <c r="M289" s="1291"/>
      <c r="N289" s="1291"/>
      <c r="O289" s="1291"/>
      <c r="P289" s="1291"/>
      <c r="Q289" s="1291"/>
    </row>
    <row r="290" spans="1:17" ht="15.75" hidden="1">
      <c r="A290" s="113">
        <v>31</v>
      </c>
      <c r="B290" s="75"/>
      <c r="C290" s="67" t="s">
        <v>256</v>
      </c>
      <c r="D290" s="14"/>
      <c r="E290" s="59" t="s">
        <v>309</v>
      </c>
      <c r="F290" s="66" t="s">
        <v>454</v>
      </c>
      <c r="G290" s="198" t="s">
        <v>458</v>
      </c>
      <c r="H290" s="46"/>
      <c r="I290" s="46" t="s">
        <v>458</v>
      </c>
      <c r="J290" s="1290" t="s">
        <v>457</v>
      </c>
      <c r="K290" s="1291"/>
      <c r="L290" s="1291"/>
      <c r="M290" s="1291"/>
      <c r="N290" s="1291"/>
      <c r="O290" s="1291"/>
      <c r="P290" s="1291"/>
      <c r="Q290" s="1291"/>
    </row>
    <row r="291" spans="1:17" ht="15.75" hidden="1">
      <c r="A291" s="119"/>
      <c r="B291" s="69" t="s">
        <v>362</v>
      </c>
      <c r="C291" s="14"/>
      <c r="D291" s="50"/>
      <c r="E291" s="120"/>
      <c r="F291" s="86"/>
      <c r="G291" s="196"/>
      <c r="H291" s="25"/>
      <c r="I291" s="25"/>
      <c r="J291" s="1290"/>
      <c r="K291" s="1291"/>
      <c r="L291" s="1291"/>
      <c r="M291" s="1291"/>
      <c r="N291" s="1291"/>
      <c r="O291" s="1291"/>
      <c r="P291" s="1291"/>
      <c r="Q291" s="1291"/>
    </row>
    <row r="292" spans="1:17" ht="15.75" hidden="1">
      <c r="A292" s="113">
        <v>40</v>
      </c>
      <c r="B292" s="50"/>
      <c r="C292" s="71" t="s">
        <v>342</v>
      </c>
      <c r="D292" s="72"/>
      <c r="E292" s="73" t="s">
        <v>226</v>
      </c>
      <c r="F292" s="70" t="s">
        <v>227</v>
      </c>
      <c r="G292" s="198" t="s">
        <v>458</v>
      </c>
      <c r="H292" s="46"/>
      <c r="I292" s="46" t="s">
        <v>458</v>
      </c>
      <c r="J292" s="1290" t="s">
        <v>457</v>
      </c>
      <c r="K292" s="1291"/>
      <c r="L292" s="1291"/>
      <c r="M292" s="1291"/>
      <c r="N292" s="1291"/>
      <c r="O292" s="1291"/>
      <c r="P292" s="1291"/>
      <c r="Q292" s="1291"/>
    </row>
    <row r="293" spans="1:17" ht="15.75" hidden="1">
      <c r="A293" s="113"/>
      <c r="B293" s="69" t="s">
        <v>245</v>
      </c>
      <c r="C293" s="77"/>
      <c r="D293" s="14"/>
      <c r="E293" s="51"/>
      <c r="F293" s="154"/>
      <c r="G293" s="196"/>
      <c r="H293" s="25"/>
      <c r="I293" s="25"/>
      <c r="J293" s="1290"/>
      <c r="K293" s="1291"/>
      <c r="L293" s="1291"/>
      <c r="M293" s="1291"/>
      <c r="N293" s="1291"/>
      <c r="O293" s="1291"/>
      <c r="P293" s="1291"/>
      <c r="Q293" s="1291"/>
    </row>
    <row r="294" spans="1:17" ht="15.75" hidden="1">
      <c r="A294" s="113">
        <v>43</v>
      </c>
      <c r="B294" s="126"/>
      <c r="C294" s="77" t="s">
        <v>313</v>
      </c>
      <c r="D294" s="59"/>
      <c r="E294" s="99" t="s">
        <v>309</v>
      </c>
      <c r="F294" s="78" t="s">
        <v>330</v>
      </c>
      <c r="G294" s="198" t="s">
        <v>458</v>
      </c>
      <c r="H294" s="46"/>
      <c r="I294" s="46" t="s">
        <v>458</v>
      </c>
      <c r="J294" s="1290" t="s">
        <v>457</v>
      </c>
      <c r="K294" s="1291"/>
      <c r="L294" s="1291"/>
      <c r="M294" s="1291"/>
      <c r="N294" s="1291"/>
      <c r="O294" s="1291"/>
      <c r="P294" s="1291"/>
      <c r="Q294" s="1291"/>
    </row>
    <row r="295" spans="1:17" ht="15.75" hidden="1">
      <c r="A295" s="113"/>
      <c r="B295" s="69" t="s">
        <v>241</v>
      </c>
      <c r="C295" s="50"/>
      <c r="D295" s="50"/>
      <c r="E295" s="129"/>
      <c r="F295" s="155"/>
      <c r="G295" s="196"/>
      <c r="H295" s="25"/>
      <c r="I295" s="25"/>
      <c r="J295" s="1290"/>
      <c r="K295" s="1291"/>
      <c r="L295" s="1291"/>
      <c r="M295" s="1291"/>
      <c r="N295" s="1291"/>
      <c r="O295" s="1291"/>
      <c r="P295" s="1291"/>
      <c r="Q295" s="1291"/>
    </row>
    <row r="296" spans="1:17" ht="15.75" hidden="1">
      <c r="A296" s="119">
        <v>46</v>
      </c>
      <c r="B296" s="50"/>
      <c r="C296" s="50" t="s">
        <v>260</v>
      </c>
      <c r="D296" s="60"/>
      <c r="E296" s="99" t="s">
        <v>309</v>
      </c>
      <c r="F296" s="77" t="s">
        <v>272</v>
      </c>
      <c r="G296" s="198" t="s">
        <v>458</v>
      </c>
      <c r="H296" s="46"/>
      <c r="I296" s="46" t="s">
        <v>458</v>
      </c>
      <c r="J296" s="1290" t="s">
        <v>457</v>
      </c>
      <c r="K296" s="1291"/>
      <c r="L296" s="1291"/>
      <c r="M296" s="1291"/>
      <c r="N296" s="1291"/>
      <c r="O296" s="1291"/>
      <c r="P296" s="1291"/>
      <c r="Q296" s="1291"/>
    </row>
    <row r="297" spans="1:17" ht="15.75" hidden="1">
      <c r="A297" s="113"/>
      <c r="B297" s="96" t="s">
        <v>232</v>
      </c>
      <c r="C297" s="60"/>
      <c r="D297" s="60"/>
      <c r="E297" s="112"/>
      <c r="F297" s="60"/>
      <c r="G297" s="196"/>
      <c r="H297" s="25"/>
      <c r="I297" s="25"/>
      <c r="J297" s="1290"/>
      <c r="K297" s="1291"/>
      <c r="L297" s="1291"/>
      <c r="M297" s="1291"/>
      <c r="N297" s="1291"/>
      <c r="O297" s="1291"/>
      <c r="P297" s="1291"/>
      <c r="Q297" s="1291"/>
    </row>
    <row r="298" spans="1:17" ht="16.5" hidden="1" thickBot="1">
      <c r="A298" s="166">
        <v>64</v>
      </c>
      <c r="B298" s="171"/>
      <c r="C298" s="172" t="s">
        <v>284</v>
      </c>
      <c r="D298" s="173"/>
      <c r="E298" s="174" t="s">
        <v>309</v>
      </c>
      <c r="F298" s="175" t="s">
        <v>211</v>
      </c>
      <c r="G298" s="203" t="s">
        <v>458</v>
      </c>
      <c r="H298" s="209"/>
      <c r="I298" s="209" t="s">
        <v>458</v>
      </c>
      <c r="J298" s="1283" t="s">
        <v>457</v>
      </c>
      <c r="K298" s="1284"/>
      <c r="L298" s="1284"/>
      <c r="M298" s="1284"/>
      <c r="N298" s="1284"/>
      <c r="O298" s="1284"/>
      <c r="P298" s="1284"/>
      <c r="Q298" s="1284"/>
    </row>
    <row r="299" spans="1:17" ht="21" hidden="1" customHeight="1">
      <c r="G299" s="23"/>
      <c r="H299" s="23"/>
      <c r="I299" s="23"/>
      <c r="J299" s="23"/>
      <c r="K299" s="23"/>
      <c r="L299" s="23"/>
      <c r="M299" s="23"/>
      <c r="N299" s="23"/>
      <c r="O299" s="23"/>
      <c r="P299" s="23"/>
      <c r="Q299" s="23"/>
    </row>
    <row r="300" spans="1:17" ht="21" hidden="1" customHeight="1">
      <c r="G300" s="23"/>
      <c r="H300" s="23"/>
      <c r="I300" s="23"/>
      <c r="J300" s="23"/>
      <c r="K300" s="23"/>
      <c r="L300" s="23"/>
      <c r="M300" s="23"/>
      <c r="N300" s="23"/>
      <c r="O300" s="23"/>
      <c r="P300" s="23"/>
      <c r="Q300" s="23"/>
    </row>
    <row r="301" spans="1:17" ht="21" hidden="1" customHeight="1" thickBot="1">
      <c r="A301" s="176" t="s">
        <v>447</v>
      </c>
      <c r="G301" s="23"/>
      <c r="H301" s="23"/>
      <c r="I301" s="23"/>
      <c r="J301" s="23"/>
      <c r="K301" s="23"/>
      <c r="L301" s="23"/>
      <c r="M301" s="23"/>
      <c r="N301" s="23"/>
      <c r="O301" s="23"/>
      <c r="P301" s="23"/>
      <c r="Q301" s="23"/>
    </row>
    <row r="302" spans="1:17" ht="55.5" hidden="1" customHeight="1">
      <c r="A302" s="1285" t="s">
        <v>439</v>
      </c>
      <c r="B302" s="1286"/>
      <c r="C302" s="1286"/>
      <c r="D302" s="1286"/>
      <c r="E302" s="1286"/>
      <c r="F302" s="1287"/>
      <c r="G302" s="208" t="s">
        <v>455</v>
      </c>
      <c r="H302" s="205"/>
      <c r="I302" s="205" t="s">
        <v>459</v>
      </c>
      <c r="J302" s="1288" t="s">
        <v>394</v>
      </c>
      <c r="K302" s="1293"/>
      <c r="L302" s="1293"/>
      <c r="M302" s="1293"/>
      <c r="N302" s="1293"/>
      <c r="O302" s="1293"/>
      <c r="P302" s="1293"/>
      <c r="Q302" s="1293"/>
    </row>
    <row r="303" spans="1:17" ht="15.75" hidden="1">
      <c r="A303" s="113">
        <v>25</v>
      </c>
      <c r="B303" s="75"/>
      <c r="C303" s="96" t="s">
        <v>387</v>
      </c>
      <c r="D303" s="153"/>
      <c r="E303" s="73" t="s">
        <v>310</v>
      </c>
      <c r="F303" s="103" t="s">
        <v>329</v>
      </c>
      <c r="G303" s="198" t="s">
        <v>458</v>
      </c>
      <c r="H303" s="46"/>
      <c r="I303" s="46" t="s">
        <v>458</v>
      </c>
      <c r="J303" s="1290" t="s">
        <v>457</v>
      </c>
      <c r="K303" s="1291"/>
      <c r="L303" s="1291"/>
      <c r="M303" s="1291"/>
      <c r="N303" s="1291"/>
      <c r="O303" s="1291"/>
      <c r="P303" s="1291"/>
      <c r="Q303" s="1291"/>
    </row>
    <row r="304" spans="1:17" ht="15.75" hidden="1">
      <c r="A304" s="113"/>
      <c r="B304" s="96" t="s">
        <v>231</v>
      </c>
      <c r="C304" s="50"/>
      <c r="D304" s="60"/>
      <c r="E304" s="68"/>
      <c r="F304" s="110"/>
      <c r="G304" s="196"/>
      <c r="H304" s="25"/>
      <c r="I304" s="25"/>
      <c r="J304" s="1290"/>
      <c r="K304" s="1291"/>
      <c r="L304" s="1291"/>
      <c r="M304" s="1291"/>
      <c r="N304" s="1291"/>
      <c r="O304" s="1291"/>
      <c r="P304" s="1291"/>
      <c r="Q304" s="1291"/>
    </row>
    <row r="305" spans="1:17" ht="15.75" hidden="1">
      <c r="A305" s="113">
        <v>73</v>
      </c>
      <c r="B305" s="128"/>
      <c r="C305" s="77" t="s">
        <v>345</v>
      </c>
      <c r="D305" s="59"/>
      <c r="E305" s="99" t="s">
        <v>310</v>
      </c>
      <c r="F305" s="131" t="s">
        <v>205</v>
      </c>
      <c r="G305" s="198" t="s">
        <v>458</v>
      </c>
      <c r="H305" s="46"/>
      <c r="I305" s="46" t="s">
        <v>458</v>
      </c>
      <c r="J305" s="1290" t="s">
        <v>457</v>
      </c>
      <c r="K305" s="1291"/>
      <c r="L305" s="1291"/>
      <c r="M305" s="1291"/>
      <c r="N305" s="1291"/>
      <c r="O305" s="1291"/>
      <c r="P305" s="1291"/>
      <c r="Q305" s="1291"/>
    </row>
    <row r="306" spans="1:17" ht="15.75" hidden="1">
      <c r="A306" s="81"/>
      <c r="B306" s="69"/>
      <c r="C306" s="50"/>
      <c r="D306" s="60"/>
      <c r="E306" s="81"/>
      <c r="F306" s="120"/>
      <c r="G306" s="25"/>
      <c r="H306" s="25"/>
      <c r="I306" s="25"/>
      <c r="J306" s="1290"/>
      <c r="K306" s="1291"/>
      <c r="L306" s="1291"/>
      <c r="M306" s="1291"/>
      <c r="N306" s="1291"/>
      <c r="O306" s="1291"/>
      <c r="P306" s="1291"/>
      <c r="Q306" s="1291"/>
    </row>
    <row r="307" spans="1:17" ht="15.75" hidden="1">
      <c r="A307" s="94"/>
      <c r="B307" s="128"/>
      <c r="C307" s="77"/>
      <c r="D307" s="60"/>
      <c r="E307" s="142"/>
      <c r="F307" s="77"/>
      <c r="G307" s="46" t="s">
        <v>458</v>
      </c>
      <c r="H307" s="46"/>
      <c r="I307" s="46" t="s">
        <v>458</v>
      </c>
      <c r="J307" s="1290" t="s">
        <v>457</v>
      </c>
      <c r="K307" s="1291"/>
      <c r="L307" s="1291"/>
      <c r="M307" s="1291"/>
      <c r="N307" s="1291"/>
      <c r="O307" s="1291"/>
      <c r="P307" s="1291"/>
      <c r="Q307" s="1291"/>
    </row>
    <row r="308" spans="1:17" ht="15.75" hidden="1">
      <c r="A308" s="94"/>
      <c r="B308" s="128"/>
      <c r="C308" s="77"/>
      <c r="D308" s="60"/>
      <c r="E308" s="142"/>
      <c r="F308" s="77"/>
      <c r="G308" s="46" t="s">
        <v>458</v>
      </c>
      <c r="H308" s="46"/>
      <c r="I308" s="46" t="s">
        <v>458</v>
      </c>
      <c r="J308" s="1290" t="s">
        <v>457</v>
      </c>
      <c r="K308" s="1291"/>
      <c r="L308" s="1291"/>
      <c r="M308" s="1291"/>
      <c r="N308" s="1291"/>
      <c r="O308" s="1291"/>
      <c r="P308" s="1291"/>
      <c r="Q308" s="1291"/>
    </row>
    <row r="309" spans="1:17" ht="16.5" hidden="1" thickBot="1">
      <c r="A309" s="94"/>
      <c r="B309" s="128"/>
      <c r="C309" s="77"/>
      <c r="D309" s="60"/>
      <c r="E309" s="142"/>
      <c r="F309" s="77"/>
      <c r="G309" s="209" t="s">
        <v>458</v>
      </c>
      <c r="H309" s="209"/>
      <c r="I309" s="209" t="s">
        <v>458</v>
      </c>
      <c r="J309" s="1283" t="s">
        <v>457</v>
      </c>
      <c r="K309" s="1284"/>
      <c r="L309" s="1284"/>
      <c r="M309" s="1284"/>
      <c r="N309" s="1284"/>
      <c r="O309" s="1284"/>
      <c r="P309" s="1284"/>
      <c r="Q309" s="1284"/>
    </row>
    <row r="310" spans="1:17" ht="21" hidden="1" customHeight="1">
      <c r="A310" s="94"/>
      <c r="B310" s="128"/>
      <c r="C310" s="77"/>
      <c r="D310" s="60"/>
      <c r="E310" s="142"/>
      <c r="F310" s="77"/>
      <c r="G310" s="25"/>
      <c r="H310" s="25"/>
      <c r="I310" s="46"/>
      <c r="J310" s="25"/>
      <c r="K310" s="25"/>
      <c r="L310" s="25"/>
      <c r="M310" s="25"/>
      <c r="N310" s="25"/>
      <c r="O310" s="25"/>
      <c r="P310" s="25"/>
      <c r="Q310" s="25"/>
    </row>
    <row r="311" spans="1:17" ht="21" hidden="1" customHeight="1">
      <c r="A311" s="260"/>
      <c r="B311" s="260"/>
      <c r="C311" s="260"/>
      <c r="D311" s="260"/>
      <c r="E311" s="260"/>
      <c r="F311" s="260"/>
      <c r="G311" s="23"/>
      <c r="H311" s="23"/>
      <c r="I311" s="23"/>
      <c r="J311" s="23"/>
      <c r="K311" s="23"/>
      <c r="L311" s="23"/>
      <c r="M311" s="23"/>
      <c r="N311" s="23"/>
      <c r="O311" s="23"/>
      <c r="P311" s="23"/>
      <c r="Q311" s="23"/>
    </row>
    <row r="312" spans="1:17" ht="21" hidden="1" customHeight="1" thickBot="1">
      <c r="A312" s="176"/>
      <c r="B312" s="260"/>
      <c r="C312" s="260"/>
      <c r="D312" s="260"/>
      <c r="E312" s="260"/>
      <c r="F312" s="260"/>
      <c r="G312" s="23"/>
      <c r="H312" s="23"/>
      <c r="I312" s="23"/>
      <c r="J312" s="23"/>
      <c r="K312" s="23"/>
      <c r="L312" s="23"/>
      <c r="M312" s="23"/>
      <c r="N312" s="23"/>
      <c r="O312" s="23"/>
      <c r="P312" s="23"/>
      <c r="Q312" s="23"/>
    </row>
    <row r="313" spans="1:17" ht="72" hidden="1" customHeight="1">
      <c r="A313" s="1294"/>
      <c r="B313" s="1294"/>
      <c r="C313" s="1294"/>
      <c r="D313" s="1294"/>
      <c r="E313" s="1294"/>
      <c r="F313" s="1294"/>
      <c r="G313" s="205" t="str">
        <f>+G302</f>
        <v>Form 1 Amount</v>
      </c>
      <c r="H313" s="205"/>
      <c r="I313" s="205" t="s">
        <v>518</v>
      </c>
      <c r="J313" s="1288" t="s">
        <v>394</v>
      </c>
      <c r="K313" s="1293"/>
      <c r="L313" s="1293"/>
      <c r="M313" s="1293"/>
      <c r="N313" s="1293"/>
      <c r="O313" s="1293"/>
      <c r="P313" s="1293"/>
      <c r="Q313" s="1293"/>
    </row>
    <row r="314" spans="1:17" ht="15.75" hidden="1">
      <c r="A314" s="81"/>
      <c r="B314" s="96"/>
      <c r="C314" s="60"/>
      <c r="D314" s="50"/>
      <c r="E314" s="81"/>
      <c r="F314" s="50"/>
      <c r="G314" s="25"/>
      <c r="H314" s="25"/>
      <c r="I314" s="25"/>
      <c r="J314" s="1290"/>
      <c r="K314" s="1291"/>
      <c r="L314" s="1291"/>
      <c r="M314" s="1291"/>
      <c r="N314" s="1291"/>
      <c r="O314" s="1291"/>
      <c r="P314" s="1291"/>
      <c r="Q314" s="1291"/>
    </row>
    <row r="315" spans="1:17" ht="15.75" hidden="1">
      <c r="A315" s="113">
        <v>6</v>
      </c>
      <c r="B315" s="86"/>
      <c r="C315" s="50" t="s">
        <v>316</v>
      </c>
      <c r="D315" s="14"/>
      <c r="E315" s="59" t="s">
        <v>364</v>
      </c>
      <c r="F315" s="108" t="s">
        <v>224</v>
      </c>
      <c r="G315" s="198" t="s">
        <v>458</v>
      </c>
      <c r="H315" s="46"/>
      <c r="I315" s="46" t="s">
        <v>458</v>
      </c>
      <c r="J315" s="1290" t="s">
        <v>457</v>
      </c>
      <c r="K315" s="1291"/>
      <c r="L315" s="1291"/>
      <c r="M315" s="1291"/>
      <c r="N315" s="1291"/>
      <c r="O315" s="1291"/>
      <c r="P315" s="1291"/>
      <c r="Q315" s="1291"/>
    </row>
    <row r="316" spans="1:17" ht="15.75" hidden="1">
      <c r="A316" s="113">
        <v>7</v>
      </c>
      <c r="B316" s="86"/>
      <c r="C316" s="50" t="s">
        <v>248</v>
      </c>
      <c r="D316" s="14"/>
      <c r="E316" s="59" t="s">
        <v>341</v>
      </c>
      <c r="F316" s="114" t="s">
        <v>211</v>
      </c>
      <c r="G316" s="198" t="s">
        <v>458</v>
      </c>
      <c r="H316" s="46"/>
      <c r="I316" s="46" t="s">
        <v>458</v>
      </c>
      <c r="J316" s="1290" t="s">
        <v>457</v>
      </c>
      <c r="K316" s="1291"/>
      <c r="L316" s="1291"/>
      <c r="M316" s="1291"/>
      <c r="N316" s="1291"/>
      <c r="O316" s="1291"/>
      <c r="P316" s="1291"/>
      <c r="Q316" s="1291"/>
    </row>
    <row r="317" spans="1:17" ht="15.75" hidden="1">
      <c r="A317" s="106"/>
      <c r="B317" s="96" t="s">
        <v>258</v>
      </c>
      <c r="C317" s="14"/>
      <c r="D317" s="14"/>
      <c r="E317" s="112"/>
      <c r="F317" s="114"/>
      <c r="G317" s="196"/>
      <c r="H317" s="25"/>
      <c r="I317" s="25"/>
      <c r="J317" s="1290"/>
      <c r="K317" s="1291"/>
      <c r="L317" s="1291"/>
      <c r="M317" s="1291"/>
      <c r="N317" s="1291"/>
      <c r="O317" s="1291"/>
      <c r="P317" s="1291"/>
      <c r="Q317" s="1291"/>
    </row>
    <row r="318" spans="1:17" ht="15.75" hidden="1">
      <c r="A318" s="113">
        <v>19</v>
      </c>
      <c r="B318" s="75"/>
      <c r="C318" s="82" t="s">
        <v>287</v>
      </c>
      <c r="D318" s="14"/>
      <c r="E318" s="59" t="s">
        <v>364</v>
      </c>
      <c r="F318" s="114" t="s">
        <v>225</v>
      </c>
      <c r="G318" s="198" t="s">
        <v>458</v>
      </c>
      <c r="H318" s="46"/>
      <c r="I318" s="46" t="s">
        <v>458</v>
      </c>
      <c r="J318" s="1290" t="s">
        <v>457</v>
      </c>
      <c r="K318" s="1291"/>
      <c r="L318" s="1291"/>
      <c r="M318" s="1291"/>
      <c r="N318" s="1291"/>
      <c r="O318" s="1291"/>
      <c r="P318" s="1291"/>
      <c r="Q318" s="1291"/>
    </row>
    <row r="319" spans="1:17" ht="16.5" hidden="1" thickBot="1">
      <c r="A319" s="166">
        <v>21</v>
      </c>
      <c r="B319" s="167"/>
      <c r="C319" s="181" t="s">
        <v>255</v>
      </c>
      <c r="D319" s="168"/>
      <c r="E319" s="182" t="s">
        <v>341</v>
      </c>
      <c r="F319" s="183" t="s">
        <v>211</v>
      </c>
      <c r="G319" s="203" t="s">
        <v>458</v>
      </c>
      <c r="H319" s="209"/>
      <c r="I319" s="209" t="s">
        <v>458</v>
      </c>
      <c r="J319" s="1283" t="s">
        <v>457</v>
      </c>
      <c r="K319" s="1284"/>
      <c r="L319" s="1284"/>
      <c r="M319" s="1284"/>
      <c r="N319" s="1284"/>
      <c r="O319" s="1284"/>
      <c r="P319" s="1284"/>
      <c r="Q319" s="1284"/>
    </row>
    <row r="320" spans="1:17" ht="21" hidden="1" customHeight="1">
      <c r="G320" s="23"/>
      <c r="H320" s="23"/>
      <c r="I320" s="23"/>
      <c r="J320" s="23"/>
      <c r="K320" s="23"/>
      <c r="L320" s="23"/>
      <c r="M320" s="23"/>
      <c r="N320" s="23"/>
      <c r="O320" s="23"/>
      <c r="P320" s="23"/>
      <c r="Q320" s="23"/>
    </row>
    <row r="321" spans="1:17" ht="21" hidden="1" customHeight="1">
      <c r="G321" s="23"/>
      <c r="H321" s="23"/>
      <c r="I321" s="23"/>
      <c r="J321" s="23"/>
      <c r="K321" s="23"/>
      <c r="L321" s="23"/>
      <c r="M321" s="23"/>
      <c r="N321" s="23"/>
      <c r="O321" s="23"/>
      <c r="P321" s="23"/>
      <c r="Q321" s="23"/>
    </row>
    <row r="322" spans="1:17" ht="21" hidden="1" customHeight="1" thickBot="1">
      <c r="A322" s="176" t="s">
        <v>445</v>
      </c>
      <c r="G322" s="23"/>
      <c r="H322" s="23"/>
      <c r="I322" s="23"/>
      <c r="J322" s="23"/>
      <c r="K322" s="23"/>
      <c r="L322" s="23"/>
      <c r="M322" s="23"/>
      <c r="N322" s="23"/>
      <c r="O322" s="23"/>
      <c r="P322" s="23"/>
      <c r="Q322" s="23"/>
    </row>
    <row r="323" spans="1:17" ht="38.25" hidden="1" customHeight="1">
      <c r="A323" s="1285" t="s">
        <v>439</v>
      </c>
      <c r="B323" s="1286"/>
      <c r="C323" s="1286"/>
      <c r="D323" s="1286"/>
      <c r="E323" s="1286"/>
      <c r="F323" s="1287"/>
      <c r="G323" s="205" t="str">
        <f>+G313</f>
        <v>Form 1 Amount</v>
      </c>
      <c r="H323" s="205"/>
      <c r="I323" s="205" t="s">
        <v>441</v>
      </c>
      <c r="J323" s="1288" t="s">
        <v>394</v>
      </c>
      <c r="K323" s="1293"/>
      <c r="L323" s="1293"/>
      <c r="M323" s="1293"/>
      <c r="N323" s="1293"/>
      <c r="O323" s="1293"/>
      <c r="P323" s="1293"/>
      <c r="Q323" s="1293"/>
    </row>
    <row r="324" spans="1:17" ht="15.75" hidden="1">
      <c r="A324" s="113"/>
      <c r="B324" s="96" t="s">
        <v>232</v>
      </c>
      <c r="C324" s="60"/>
      <c r="D324" s="60"/>
      <c r="E324" s="112"/>
      <c r="F324" s="138"/>
      <c r="G324" s="25"/>
      <c r="H324" s="25"/>
      <c r="I324" s="25"/>
      <c r="J324" s="1290"/>
      <c r="K324" s="1291"/>
      <c r="L324" s="1291"/>
      <c r="M324" s="1291"/>
      <c r="N324" s="1291"/>
      <c r="O324" s="1291"/>
      <c r="P324" s="1291"/>
      <c r="Q324" s="1291"/>
    </row>
    <row r="325" spans="1:17" ht="16.5" hidden="1" thickBot="1">
      <c r="A325" s="166">
        <v>69</v>
      </c>
      <c r="B325" s="171"/>
      <c r="C325" s="172" t="s">
        <v>320</v>
      </c>
      <c r="D325" s="184"/>
      <c r="E325" s="185" t="s">
        <v>344</v>
      </c>
      <c r="F325" s="183" t="s">
        <v>299</v>
      </c>
      <c r="G325" s="203" t="s">
        <v>458</v>
      </c>
      <c r="H325" s="209"/>
      <c r="I325" s="209" t="s">
        <v>458</v>
      </c>
      <c r="J325" s="1283" t="s">
        <v>457</v>
      </c>
      <c r="K325" s="1284"/>
      <c r="L325" s="1284"/>
      <c r="M325" s="1284"/>
      <c r="N325" s="1284"/>
      <c r="O325" s="1284"/>
      <c r="P325" s="1284"/>
      <c r="Q325" s="1284"/>
    </row>
    <row r="326" spans="1:17" ht="21" hidden="1" customHeight="1">
      <c r="G326" s="23"/>
      <c r="H326" s="23"/>
      <c r="I326" s="23"/>
      <c r="J326" s="23"/>
      <c r="K326" s="23"/>
      <c r="L326" s="23"/>
      <c r="M326" s="23"/>
      <c r="N326" s="23"/>
      <c r="O326" s="23"/>
      <c r="P326" s="23"/>
      <c r="Q326" s="23"/>
    </row>
    <row r="327" spans="1:17" ht="21" hidden="1" customHeight="1">
      <c r="G327" s="23"/>
      <c r="H327" s="23"/>
      <c r="I327" s="23"/>
      <c r="J327" s="23"/>
      <c r="K327" s="23"/>
      <c r="L327" s="23"/>
      <c r="M327" s="23"/>
      <c r="N327" s="23"/>
      <c r="O327" s="23"/>
      <c r="P327" s="23"/>
      <c r="Q327" s="23"/>
    </row>
    <row r="328" spans="1:17" ht="21" hidden="1" customHeight="1" thickBot="1">
      <c r="A328" s="176" t="s">
        <v>451</v>
      </c>
      <c r="G328" s="23"/>
      <c r="H328" s="23"/>
      <c r="I328" s="23"/>
      <c r="J328" s="23"/>
      <c r="K328" s="23"/>
      <c r="L328" s="23"/>
      <c r="M328" s="23"/>
      <c r="N328" s="23"/>
      <c r="O328" s="23"/>
      <c r="P328" s="23"/>
      <c r="Q328" s="23"/>
    </row>
    <row r="329" spans="1:17" ht="57" hidden="1" customHeight="1">
      <c r="A329" s="1285" t="s">
        <v>439</v>
      </c>
      <c r="B329" s="1286"/>
      <c r="C329" s="1286"/>
      <c r="D329" s="1286"/>
      <c r="E329" s="1286"/>
      <c r="F329" s="1287"/>
      <c r="G329" s="208" t="s">
        <v>455</v>
      </c>
      <c r="H329" s="205"/>
      <c r="I329" s="205" t="s">
        <v>459</v>
      </c>
      <c r="J329" s="1288" t="s">
        <v>394</v>
      </c>
      <c r="K329" s="1293"/>
      <c r="L329" s="1293"/>
      <c r="M329" s="1293"/>
      <c r="N329" s="1293"/>
      <c r="O329" s="1293"/>
      <c r="P329" s="1293"/>
      <c r="Q329" s="1293"/>
    </row>
    <row r="330" spans="1:17" ht="15.75" hidden="1">
      <c r="A330" s="113"/>
      <c r="B330" s="96" t="s">
        <v>232</v>
      </c>
      <c r="C330" s="60"/>
      <c r="D330" s="60"/>
      <c r="E330" s="112"/>
      <c r="F330" s="138"/>
      <c r="G330" s="25"/>
      <c r="H330" s="25"/>
      <c r="I330" s="25"/>
      <c r="J330" s="25"/>
      <c r="K330" s="25"/>
      <c r="L330" s="25"/>
      <c r="M330" s="25"/>
      <c r="N330" s="25"/>
      <c r="O330" s="25"/>
      <c r="P330" s="25"/>
      <c r="Q330" s="25"/>
    </row>
    <row r="331" spans="1:17" ht="16.5" hidden="1" thickBot="1">
      <c r="A331" s="166">
        <v>67</v>
      </c>
      <c r="B331" s="171"/>
      <c r="C331" s="172" t="s">
        <v>343</v>
      </c>
      <c r="D331" s="186"/>
      <c r="E331" s="179" t="s">
        <v>452</v>
      </c>
      <c r="F331" s="187" t="s">
        <v>205</v>
      </c>
      <c r="G331" s="203" t="s">
        <v>458</v>
      </c>
      <c r="H331" s="209"/>
      <c r="I331" s="209" t="s">
        <v>458</v>
      </c>
      <c r="J331" s="1283" t="s">
        <v>457</v>
      </c>
      <c r="K331" s="1284"/>
      <c r="L331" s="1284"/>
      <c r="M331" s="1284"/>
      <c r="N331" s="1284"/>
      <c r="O331" s="1284"/>
      <c r="P331" s="1284"/>
      <c r="Q331" s="1284"/>
    </row>
    <row r="332" spans="1:17" ht="21" hidden="1" customHeight="1">
      <c r="G332" s="23"/>
      <c r="H332" s="23"/>
      <c r="I332" s="23"/>
      <c r="J332" s="23"/>
      <c r="K332" s="23"/>
      <c r="L332" s="23"/>
      <c r="M332" s="23"/>
      <c r="N332" s="23"/>
      <c r="O332" s="23"/>
      <c r="P332" s="23"/>
      <c r="Q332" s="23"/>
    </row>
    <row r="333" spans="1:17" ht="21" hidden="1" customHeight="1">
      <c r="G333" s="23"/>
      <c r="H333" s="23"/>
      <c r="I333" s="23"/>
      <c r="J333" s="23"/>
      <c r="K333" s="23"/>
      <c r="L333" s="23"/>
      <c r="M333" s="23"/>
      <c r="N333" s="23"/>
      <c r="O333" s="23"/>
      <c r="P333" s="23"/>
      <c r="Q333" s="23"/>
    </row>
    <row r="334" spans="1:17" ht="21" hidden="1" customHeight="1" thickBot="1">
      <c r="A334" s="176" t="s">
        <v>516</v>
      </c>
      <c r="G334" s="23"/>
      <c r="H334" s="23"/>
      <c r="I334" s="23"/>
      <c r="J334" s="23"/>
      <c r="K334" s="23"/>
      <c r="L334" s="23"/>
      <c r="M334" s="23"/>
      <c r="N334" s="23"/>
      <c r="O334" s="23"/>
      <c r="P334" s="23"/>
      <c r="Q334" s="23"/>
    </row>
    <row r="335" spans="1:17" ht="35.25" hidden="1" customHeight="1">
      <c r="A335" s="1285" t="s">
        <v>439</v>
      </c>
      <c r="B335" s="1286"/>
      <c r="C335" s="1286"/>
      <c r="D335" s="1286"/>
      <c r="E335" s="1286"/>
      <c r="F335" s="1287"/>
      <c r="G335" s="208" t="s">
        <v>455</v>
      </c>
      <c r="H335" s="205"/>
      <c r="I335" s="205" t="s">
        <v>460</v>
      </c>
      <c r="J335" s="1288" t="s">
        <v>394</v>
      </c>
      <c r="K335" s="1293"/>
      <c r="L335" s="1293"/>
      <c r="M335" s="1293"/>
      <c r="N335" s="1293"/>
      <c r="O335" s="1293"/>
      <c r="P335" s="1293"/>
      <c r="Q335" s="1293"/>
    </row>
    <row r="336" spans="1:17" ht="15.75" hidden="1">
      <c r="A336" s="113"/>
      <c r="B336" s="96" t="s">
        <v>231</v>
      </c>
      <c r="C336" s="50"/>
      <c r="D336" s="60"/>
      <c r="E336" s="68"/>
      <c r="F336" s="110"/>
      <c r="G336" s="25"/>
      <c r="H336" s="25"/>
      <c r="I336" s="25"/>
      <c r="J336" s="25"/>
      <c r="K336" s="25"/>
      <c r="L336" s="25"/>
      <c r="M336" s="25"/>
      <c r="N336" s="25"/>
      <c r="O336" s="25"/>
      <c r="P336" s="25"/>
      <c r="Q336" s="25"/>
    </row>
    <row r="337" spans="1:17" ht="16.5" hidden="1" thickBot="1">
      <c r="A337" s="188">
        <v>77</v>
      </c>
      <c r="B337" s="177"/>
      <c r="C337" s="178" t="s">
        <v>346</v>
      </c>
      <c r="D337" s="173"/>
      <c r="E337" s="182" t="s">
        <v>348</v>
      </c>
      <c r="F337" s="180" t="s">
        <v>206</v>
      </c>
      <c r="G337" s="203" t="s">
        <v>458</v>
      </c>
      <c r="H337" s="209"/>
      <c r="I337" s="209" t="s">
        <v>458</v>
      </c>
      <c r="J337" s="1283" t="s">
        <v>457</v>
      </c>
      <c r="K337" s="1284"/>
      <c r="L337" s="1284"/>
      <c r="M337" s="1284"/>
      <c r="N337" s="1284"/>
      <c r="O337" s="1284"/>
      <c r="P337" s="1284"/>
      <c r="Q337" s="1284"/>
    </row>
    <row r="338" spans="1:17" ht="21" hidden="1" customHeight="1">
      <c r="A338" s="75"/>
      <c r="B338" s="128"/>
      <c r="C338" s="77"/>
      <c r="D338" s="60"/>
      <c r="E338" s="59"/>
      <c r="F338" s="77"/>
      <c r="G338" s="46"/>
      <c r="H338" s="46"/>
      <c r="I338" s="46"/>
      <c r="J338" s="200"/>
      <c r="K338" s="197"/>
      <c r="L338" s="197"/>
      <c r="M338" s="197"/>
      <c r="N338" s="197"/>
      <c r="O338" s="197"/>
      <c r="P338" s="197"/>
      <c r="Q338" s="197"/>
    </row>
    <row r="339" spans="1:17" ht="21" hidden="1" customHeight="1">
      <c r="G339" s="23"/>
      <c r="H339" s="23"/>
      <c r="I339" s="23"/>
      <c r="J339" s="23"/>
      <c r="K339" s="23"/>
      <c r="L339" s="23"/>
      <c r="M339" s="23"/>
      <c r="N339" s="23"/>
      <c r="O339" s="23"/>
      <c r="P339" s="23"/>
      <c r="Q339" s="23"/>
    </row>
    <row r="340" spans="1:17" ht="21" hidden="1" customHeight="1" thickBot="1">
      <c r="A340" s="176" t="s">
        <v>448</v>
      </c>
      <c r="G340" s="23"/>
      <c r="H340" s="23"/>
      <c r="I340" s="23"/>
      <c r="J340" s="23"/>
      <c r="K340" s="23"/>
      <c r="L340" s="23"/>
      <c r="M340" s="23"/>
      <c r="N340" s="23"/>
      <c r="O340" s="23"/>
      <c r="P340" s="23"/>
      <c r="Q340" s="23"/>
    </row>
    <row r="341" spans="1:17" ht="18" hidden="1">
      <c r="A341" s="1285" t="s">
        <v>439</v>
      </c>
      <c r="B341" s="1286"/>
      <c r="C341" s="1286"/>
      <c r="D341" s="1286"/>
      <c r="E341" s="1286"/>
      <c r="F341" s="1286"/>
      <c r="G341" s="208" t="s">
        <v>464</v>
      </c>
      <c r="H341" s="205"/>
      <c r="I341" s="205" t="s">
        <v>465</v>
      </c>
      <c r="J341" s="205" t="s">
        <v>467</v>
      </c>
      <c r="K341" s="205" t="s">
        <v>468</v>
      </c>
      <c r="L341" s="1288" t="s">
        <v>394</v>
      </c>
      <c r="M341" s="1293"/>
      <c r="N341" s="1293"/>
      <c r="O341" s="1293"/>
      <c r="P341" s="1293"/>
      <c r="Q341" s="1293"/>
    </row>
    <row r="342" spans="1:17" ht="15.75" hidden="1">
      <c r="A342" s="104" t="s">
        <v>212</v>
      </c>
      <c r="B342" s="85" t="s">
        <v>270</v>
      </c>
      <c r="C342" s="14"/>
      <c r="D342" s="14"/>
      <c r="E342" s="68"/>
      <c r="F342" s="66"/>
      <c r="G342" s="196"/>
      <c r="H342" s="25"/>
      <c r="I342" s="25"/>
      <c r="J342" s="25"/>
      <c r="K342" s="25"/>
      <c r="L342" s="25"/>
      <c r="M342" s="25"/>
      <c r="N342" s="25"/>
      <c r="O342" s="25"/>
      <c r="P342" s="25"/>
      <c r="Q342" s="25"/>
    </row>
    <row r="343" spans="1:17" ht="15.75" hidden="1">
      <c r="A343" s="104"/>
      <c r="B343" s="85"/>
      <c r="C343" s="14"/>
      <c r="D343" s="14"/>
      <c r="E343" s="68"/>
      <c r="F343" s="66"/>
      <c r="G343" s="198" t="s">
        <v>461</v>
      </c>
      <c r="H343" s="46"/>
      <c r="I343" s="46" t="s">
        <v>461</v>
      </c>
      <c r="J343" s="46" t="s">
        <v>461</v>
      </c>
      <c r="K343" s="46" t="s">
        <v>461</v>
      </c>
      <c r="L343" s="1290" t="s">
        <v>463</v>
      </c>
      <c r="M343" s="1301"/>
      <c r="N343" s="1301"/>
      <c r="O343" s="1301"/>
      <c r="P343" s="1301"/>
      <c r="Q343" s="1301"/>
    </row>
    <row r="344" spans="1:17" ht="16.5" hidden="1" thickBot="1">
      <c r="A344" s="188">
        <v>125</v>
      </c>
      <c r="B344" s="167"/>
      <c r="C344" s="189" t="s">
        <v>267</v>
      </c>
      <c r="D344" s="190"/>
      <c r="E344" s="169" t="s">
        <v>311</v>
      </c>
      <c r="F344" s="168" t="s">
        <v>426</v>
      </c>
      <c r="G344" s="203" t="s">
        <v>462</v>
      </c>
      <c r="H344" s="209"/>
      <c r="I344" s="209" t="s">
        <v>462</v>
      </c>
      <c r="J344" s="209" t="s">
        <v>462</v>
      </c>
      <c r="K344" s="209" t="s">
        <v>462</v>
      </c>
      <c r="L344" s="1283" t="s">
        <v>457</v>
      </c>
      <c r="M344" s="1292"/>
      <c r="N344" s="1292"/>
      <c r="O344" s="1292"/>
      <c r="P344" s="1292"/>
      <c r="Q344" s="1292"/>
    </row>
    <row r="345" spans="1:17" ht="21" hidden="1" customHeight="1">
      <c r="G345" s="23"/>
      <c r="H345" s="23"/>
      <c r="I345" s="23"/>
      <c r="J345" s="23"/>
      <c r="K345" s="23"/>
      <c r="L345" s="23"/>
      <c r="M345" s="23"/>
      <c r="N345" s="23"/>
      <c r="O345" s="23"/>
      <c r="P345" s="23"/>
      <c r="Q345" s="23"/>
    </row>
    <row r="346" spans="1:17" ht="21" hidden="1" customHeight="1">
      <c r="G346" s="23"/>
      <c r="H346" s="23"/>
      <c r="I346" s="23"/>
      <c r="J346" s="23"/>
      <c r="K346" s="23"/>
      <c r="L346" s="23"/>
      <c r="M346" s="23"/>
      <c r="N346" s="23"/>
      <c r="O346" s="23"/>
      <c r="P346" s="23"/>
      <c r="Q346" s="23"/>
    </row>
    <row r="347" spans="1:17" ht="21" hidden="1" customHeight="1" thickBot="1">
      <c r="A347" s="176" t="s">
        <v>443</v>
      </c>
      <c r="G347" s="23"/>
      <c r="H347" s="23"/>
      <c r="I347" s="23"/>
      <c r="J347" s="23"/>
      <c r="K347" s="23"/>
      <c r="L347" s="23"/>
      <c r="M347" s="23"/>
      <c r="N347" s="23"/>
      <c r="O347" s="23"/>
      <c r="P347" s="23"/>
      <c r="Q347" s="23"/>
    </row>
    <row r="348" spans="1:17" ht="34.5" hidden="1" customHeight="1">
      <c r="A348" s="1285" t="s">
        <v>439</v>
      </c>
      <c r="B348" s="1286"/>
      <c r="C348" s="1286"/>
      <c r="D348" s="1286"/>
      <c r="E348" s="1286"/>
      <c r="F348" s="1287"/>
      <c r="G348" s="208" t="s">
        <v>455</v>
      </c>
      <c r="H348" s="205"/>
      <c r="I348" s="205" t="s">
        <v>469</v>
      </c>
      <c r="J348" s="1288" t="s">
        <v>394</v>
      </c>
      <c r="K348" s="1293"/>
      <c r="L348" s="1293"/>
      <c r="M348" s="1293"/>
      <c r="N348" s="1293"/>
      <c r="O348" s="1293"/>
      <c r="P348" s="1293"/>
      <c r="Q348" s="1293"/>
    </row>
    <row r="349" spans="1:17" ht="15.75" hidden="1">
      <c r="A349" s="113"/>
      <c r="B349" s="96" t="s">
        <v>231</v>
      </c>
      <c r="C349" s="50"/>
      <c r="D349" s="60"/>
      <c r="E349" s="68"/>
      <c r="F349" s="110"/>
      <c r="G349" s="25"/>
      <c r="H349" s="25"/>
      <c r="I349" s="25"/>
      <c r="J349" s="25"/>
      <c r="K349" s="25"/>
      <c r="L349" s="25"/>
      <c r="M349" s="25"/>
      <c r="N349" s="25"/>
      <c r="O349" s="25"/>
      <c r="P349" s="25"/>
      <c r="Q349" s="25"/>
    </row>
    <row r="350" spans="1:17" ht="16.5" hidden="1" thickBot="1">
      <c r="A350" s="188">
        <v>74</v>
      </c>
      <c r="B350" s="177"/>
      <c r="C350" s="178" t="s">
        <v>346</v>
      </c>
      <c r="D350" s="191"/>
      <c r="E350" s="182" t="s">
        <v>193</v>
      </c>
      <c r="F350" s="180" t="s">
        <v>206</v>
      </c>
      <c r="G350" s="203" t="s">
        <v>458</v>
      </c>
      <c r="H350" s="209"/>
      <c r="I350" s="209" t="s">
        <v>458</v>
      </c>
      <c r="J350" s="1283" t="s">
        <v>457</v>
      </c>
      <c r="K350" s="1284"/>
      <c r="L350" s="1284"/>
      <c r="M350" s="1284"/>
      <c r="N350" s="1284"/>
      <c r="O350" s="1284"/>
      <c r="P350" s="1284"/>
      <c r="Q350" s="1284"/>
    </row>
    <row r="351" spans="1:17" ht="21" hidden="1" customHeight="1">
      <c r="G351" s="23"/>
      <c r="H351" s="23"/>
      <c r="I351" s="23"/>
      <c r="J351" s="23"/>
      <c r="K351" s="23"/>
      <c r="L351" s="23"/>
      <c r="M351" s="23"/>
      <c r="N351" s="23"/>
      <c r="O351" s="23"/>
      <c r="P351" s="23"/>
      <c r="Q351" s="23"/>
    </row>
    <row r="352" spans="1:17" ht="21" hidden="1" customHeight="1">
      <c r="G352" s="23"/>
      <c r="H352" s="23"/>
      <c r="I352" s="23"/>
      <c r="J352" s="23"/>
      <c r="K352" s="23"/>
      <c r="L352" s="23"/>
      <c r="M352" s="23"/>
      <c r="N352" s="23"/>
      <c r="O352" s="23"/>
      <c r="P352" s="23"/>
      <c r="Q352" s="23"/>
    </row>
    <row r="353" spans="1:17" ht="21" hidden="1" customHeight="1" thickBot="1">
      <c r="A353" s="176" t="s">
        <v>444</v>
      </c>
      <c r="G353" s="23"/>
      <c r="H353" s="23"/>
      <c r="I353" s="23"/>
      <c r="J353" s="23"/>
      <c r="K353" s="23"/>
      <c r="L353" s="23"/>
      <c r="M353" s="23"/>
      <c r="N353" s="23"/>
      <c r="O353" s="23"/>
      <c r="P353" s="23"/>
      <c r="Q353" s="23"/>
    </row>
    <row r="354" spans="1:17" ht="71.25" hidden="1" customHeight="1">
      <c r="A354" s="1285" t="s">
        <v>439</v>
      </c>
      <c r="B354" s="1286"/>
      <c r="C354" s="1286"/>
      <c r="D354" s="1286"/>
      <c r="E354" s="1286"/>
      <c r="F354" s="1287"/>
      <c r="G354" s="208" t="str">
        <f>+C356</f>
        <v>Excluded Transmission Facilities</v>
      </c>
      <c r="H354" s="205"/>
      <c r="I354" s="1288" t="s">
        <v>472</v>
      </c>
      <c r="J354" s="1289"/>
      <c r="K354" s="1289"/>
      <c r="L354" s="1289"/>
      <c r="M354" s="1289"/>
      <c r="N354" s="1289"/>
      <c r="O354" s="1289"/>
      <c r="P354" s="1289"/>
      <c r="Q354" s="1289"/>
    </row>
    <row r="355" spans="1:17" ht="18" hidden="1">
      <c r="A355" s="147"/>
      <c r="B355" s="90" t="s">
        <v>233</v>
      </c>
      <c r="C355" s="91"/>
      <c r="D355" s="92"/>
      <c r="E355" s="93"/>
      <c r="F355" s="148"/>
      <c r="G355" s="196"/>
      <c r="H355" s="25"/>
      <c r="I355" s="25"/>
      <c r="J355" s="25"/>
      <c r="K355" s="25"/>
      <c r="L355" s="25"/>
      <c r="M355" s="25"/>
      <c r="N355" s="25"/>
      <c r="O355" s="25"/>
      <c r="P355" s="25"/>
      <c r="Q355" s="25"/>
    </row>
    <row r="356" spans="1:17" ht="18" hidden="1">
      <c r="A356" s="113">
        <v>145</v>
      </c>
      <c r="B356" s="94"/>
      <c r="C356" s="71" t="s">
        <v>234</v>
      </c>
      <c r="D356" s="92"/>
      <c r="E356" s="73" t="s">
        <v>305</v>
      </c>
      <c r="F356" s="114" t="s">
        <v>242</v>
      </c>
      <c r="G356" s="199" t="s">
        <v>473</v>
      </c>
      <c r="H356" s="213"/>
      <c r="I356" s="1290" t="s">
        <v>475</v>
      </c>
      <c r="J356" s="1291"/>
      <c r="K356" s="1291"/>
      <c r="L356" s="1291"/>
      <c r="M356" s="1291"/>
      <c r="N356" s="1291"/>
      <c r="O356" s="1291"/>
      <c r="P356" s="1291"/>
      <c r="Q356" s="1291"/>
    </row>
    <row r="357" spans="1:17" ht="18" hidden="1">
      <c r="A357" s="113"/>
      <c r="B357" s="94"/>
      <c r="C357" s="71"/>
      <c r="D357" s="92"/>
      <c r="E357" s="73"/>
      <c r="F357" s="114"/>
      <c r="G357" s="196"/>
      <c r="H357" s="25"/>
      <c r="I357" s="25"/>
      <c r="J357" s="25"/>
      <c r="K357" s="25"/>
      <c r="L357" s="25"/>
      <c r="M357" s="25"/>
      <c r="N357" s="25"/>
      <c r="O357" s="25"/>
      <c r="P357" s="46"/>
      <c r="Q357" s="25"/>
    </row>
    <row r="358" spans="1:17" ht="18" hidden="1" customHeight="1">
      <c r="A358" s="113"/>
      <c r="B358" s="94"/>
      <c r="C358" s="71"/>
      <c r="D358" s="92"/>
      <c r="E358" s="73"/>
      <c r="F358" s="114"/>
      <c r="G358" s="198" t="s">
        <v>471</v>
      </c>
      <c r="H358" s="46"/>
      <c r="I358" s="1290" t="s">
        <v>476</v>
      </c>
      <c r="J358" s="1291"/>
      <c r="K358" s="1291"/>
      <c r="L358" s="1291"/>
      <c r="M358" s="1291"/>
      <c r="N358" s="1291"/>
      <c r="O358" s="1291"/>
      <c r="P358" s="1291"/>
      <c r="Q358" s="1291"/>
    </row>
    <row r="359" spans="1:17" ht="18" hidden="1" customHeight="1">
      <c r="A359" s="113"/>
      <c r="B359" s="94"/>
      <c r="C359" s="71"/>
      <c r="D359" s="92"/>
      <c r="E359" s="73"/>
      <c r="F359" s="114"/>
      <c r="G359" s="198" t="s">
        <v>471</v>
      </c>
      <c r="H359" s="46"/>
      <c r="I359" s="1290" t="s">
        <v>476</v>
      </c>
      <c r="J359" s="1291"/>
      <c r="K359" s="1291"/>
      <c r="L359" s="1291"/>
      <c r="M359" s="1291"/>
      <c r="N359" s="1291"/>
      <c r="O359" s="1291"/>
      <c r="P359" s="1291"/>
      <c r="Q359" s="1291"/>
    </row>
    <row r="360" spans="1:17" ht="18" hidden="1" customHeight="1">
      <c r="A360" s="113"/>
      <c r="B360" s="94"/>
      <c r="C360" s="71"/>
      <c r="D360" s="92"/>
      <c r="E360" s="73"/>
      <c r="F360" s="114"/>
      <c r="G360" s="198" t="s">
        <v>471</v>
      </c>
      <c r="H360" s="46"/>
      <c r="I360" s="1290" t="s">
        <v>476</v>
      </c>
      <c r="J360" s="1291"/>
      <c r="K360" s="1291"/>
      <c r="L360" s="1291"/>
      <c r="M360" s="1291"/>
      <c r="N360" s="1291"/>
      <c r="O360" s="1291"/>
      <c r="P360" s="1291"/>
      <c r="Q360" s="1291"/>
    </row>
    <row r="361" spans="1:17" ht="18" hidden="1" customHeight="1">
      <c r="A361" s="113"/>
      <c r="B361" s="94"/>
      <c r="C361" s="71"/>
      <c r="D361" s="92"/>
      <c r="E361" s="73"/>
      <c r="F361" s="114"/>
      <c r="G361" s="198" t="s">
        <v>471</v>
      </c>
      <c r="H361" s="46"/>
      <c r="I361" s="1290" t="s">
        <v>476</v>
      </c>
      <c r="J361" s="1291"/>
      <c r="K361" s="1291"/>
      <c r="L361" s="1291"/>
      <c r="M361" s="1291"/>
      <c r="N361" s="1291"/>
      <c r="O361" s="1291"/>
      <c r="P361" s="1291"/>
      <c r="Q361" s="1291"/>
    </row>
    <row r="362" spans="1:17" ht="18" hidden="1" customHeight="1">
      <c r="A362" s="35"/>
      <c r="B362" s="36"/>
      <c r="C362" s="36"/>
      <c r="D362" s="36"/>
      <c r="E362" s="36"/>
      <c r="F362" s="37"/>
      <c r="G362" s="198" t="s">
        <v>471</v>
      </c>
      <c r="H362" s="46"/>
      <c r="I362" s="1290" t="s">
        <v>476</v>
      </c>
      <c r="J362" s="1291"/>
      <c r="K362" s="1291"/>
      <c r="L362" s="1291"/>
      <c r="M362" s="1291"/>
      <c r="N362" s="1291"/>
      <c r="O362" s="1291"/>
      <c r="P362" s="1291"/>
      <c r="Q362" s="1291"/>
    </row>
    <row r="363" spans="1:17" ht="18" hidden="1" customHeight="1">
      <c r="A363" s="35"/>
      <c r="B363" s="36"/>
      <c r="C363" s="36"/>
      <c r="D363" s="36"/>
      <c r="E363" s="36"/>
      <c r="F363" s="37"/>
      <c r="G363" s="198" t="s">
        <v>471</v>
      </c>
      <c r="H363" s="46"/>
      <c r="I363" s="1290" t="s">
        <v>476</v>
      </c>
      <c r="J363" s="1291"/>
      <c r="K363" s="1291"/>
      <c r="L363" s="1291"/>
      <c r="M363" s="1291"/>
      <c r="N363" s="1291"/>
      <c r="O363" s="1291"/>
      <c r="P363" s="1291"/>
      <c r="Q363" s="1291"/>
    </row>
    <row r="364" spans="1:17" ht="18" hidden="1" customHeight="1">
      <c r="A364" s="35"/>
      <c r="B364" s="36"/>
      <c r="C364" s="36"/>
      <c r="D364" s="36"/>
      <c r="E364" s="36"/>
      <c r="F364" s="37"/>
      <c r="G364" s="198" t="s">
        <v>471</v>
      </c>
      <c r="H364" s="46"/>
      <c r="I364" s="1290" t="s">
        <v>476</v>
      </c>
      <c r="J364" s="1291"/>
      <c r="K364" s="1291"/>
      <c r="L364" s="1291"/>
      <c r="M364" s="1291"/>
      <c r="N364" s="1291"/>
      <c r="O364" s="1291"/>
      <c r="P364" s="1291"/>
      <c r="Q364" s="1291"/>
    </row>
    <row r="365" spans="1:17" ht="18" hidden="1" customHeight="1">
      <c r="A365" s="35"/>
      <c r="B365" s="36"/>
      <c r="C365" s="36"/>
      <c r="D365" s="36"/>
      <c r="E365" s="36"/>
      <c r="F365" s="37"/>
      <c r="G365" s="198" t="s">
        <v>471</v>
      </c>
      <c r="H365" s="46"/>
      <c r="I365" s="1290" t="s">
        <v>476</v>
      </c>
      <c r="J365" s="1291"/>
      <c r="K365" s="1291"/>
      <c r="L365" s="1291"/>
      <c r="M365" s="1291"/>
      <c r="N365" s="1291"/>
      <c r="O365" s="1291"/>
      <c r="P365" s="1291"/>
      <c r="Q365" s="1291"/>
    </row>
    <row r="366" spans="1:17" ht="18" hidden="1" customHeight="1">
      <c r="A366" s="35"/>
      <c r="B366" s="36"/>
      <c r="C366" s="36"/>
      <c r="D366" s="36"/>
      <c r="E366" s="36"/>
      <c r="F366" s="37"/>
      <c r="G366" s="198" t="s">
        <v>471</v>
      </c>
      <c r="H366" s="46"/>
      <c r="I366" s="1290" t="s">
        <v>476</v>
      </c>
      <c r="J366" s="1291"/>
      <c r="K366" s="1291"/>
      <c r="L366" s="1291"/>
      <c r="M366" s="1291"/>
      <c r="N366" s="1291"/>
      <c r="O366" s="1291"/>
      <c r="P366" s="1291"/>
      <c r="Q366" s="1291"/>
    </row>
    <row r="367" spans="1:17" ht="18" hidden="1" customHeight="1">
      <c r="A367" s="35"/>
      <c r="B367" s="36"/>
      <c r="C367" s="36"/>
      <c r="D367" s="36"/>
      <c r="E367" s="36"/>
      <c r="F367" s="37"/>
      <c r="G367" s="198" t="s">
        <v>471</v>
      </c>
      <c r="H367" s="46"/>
      <c r="I367" s="1290" t="s">
        <v>476</v>
      </c>
      <c r="J367" s="1291"/>
      <c r="K367" s="1291"/>
      <c r="L367" s="1291"/>
      <c r="M367" s="1291"/>
      <c r="N367" s="1291"/>
      <c r="O367" s="1291"/>
      <c r="P367" s="1291"/>
      <c r="Q367" s="1291"/>
    </row>
    <row r="368" spans="1:17" ht="18" hidden="1" customHeight="1" thickBot="1">
      <c r="A368" s="38"/>
      <c r="B368" s="39"/>
      <c r="C368" s="39"/>
      <c r="D368" s="39"/>
      <c r="E368" s="39"/>
      <c r="F368" s="40"/>
      <c r="G368" s="201"/>
      <c r="H368" s="195"/>
      <c r="I368" s="195"/>
      <c r="J368" s="195"/>
      <c r="K368" s="210" t="s">
        <v>474</v>
      </c>
      <c r="L368" s="195"/>
      <c r="M368" s="195"/>
      <c r="N368" s="195"/>
      <c r="O368" s="195"/>
      <c r="P368" s="195"/>
      <c r="Q368" s="195"/>
    </row>
    <row r="369" spans="1:17" ht="21" hidden="1" customHeight="1">
      <c r="A369" s="36"/>
      <c r="B369" s="36"/>
      <c r="C369" s="36"/>
      <c r="D369" s="36"/>
      <c r="E369" s="36"/>
      <c r="F369" s="36"/>
      <c r="G369" s="25"/>
      <c r="H369" s="25"/>
      <c r="I369" s="25"/>
      <c r="J369" s="25"/>
      <c r="K369" s="26"/>
      <c r="L369" s="25"/>
      <c r="M369" s="25"/>
      <c r="N369" s="25"/>
      <c r="O369" s="25"/>
      <c r="P369" s="25"/>
      <c r="Q369" s="25"/>
    </row>
    <row r="370" spans="1:17" ht="21" hidden="1" customHeight="1">
      <c r="A370" s="36"/>
      <c r="B370" s="36"/>
      <c r="C370" s="36"/>
      <c r="D370" s="36"/>
      <c r="E370" s="36"/>
      <c r="F370" s="36"/>
      <c r="G370" s="25"/>
      <c r="H370" s="25"/>
      <c r="I370" s="25"/>
      <c r="J370" s="25"/>
      <c r="K370" s="26"/>
      <c r="L370" s="25"/>
      <c r="M370" s="25"/>
      <c r="N370" s="25"/>
      <c r="O370" s="25"/>
      <c r="P370" s="25"/>
      <c r="Q370" s="25"/>
    </row>
    <row r="371" spans="1:17" ht="21" hidden="1" customHeight="1" thickBot="1">
      <c r="A371" s="176" t="s">
        <v>442</v>
      </c>
      <c r="G371" s="23"/>
      <c r="H371" s="23"/>
      <c r="I371" s="23"/>
      <c r="J371" s="23"/>
      <c r="K371" s="23"/>
      <c r="L371" s="23"/>
      <c r="M371" s="23"/>
      <c r="N371" s="23"/>
      <c r="O371" s="23"/>
      <c r="P371" s="23"/>
      <c r="Q371" s="23"/>
    </row>
    <row r="372" spans="1:17" ht="51.75" hidden="1" customHeight="1">
      <c r="A372" s="1285" t="s">
        <v>439</v>
      </c>
      <c r="B372" s="1286"/>
      <c r="C372" s="1286"/>
      <c r="D372" s="1286"/>
      <c r="E372" s="1286"/>
      <c r="F372" s="1287"/>
      <c r="G372" s="208" t="str">
        <f>+C374</f>
        <v xml:space="preserve">Outstanding Network Credits </v>
      </c>
      <c r="H372" s="205"/>
      <c r="I372" s="1288" t="s">
        <v>479</v>
      </c>
      <c r="J372" s="1289"/>
      <c r="K372" s="1289"/>
      <c r="L372" s="1289"/>
      <c r="M372" s="1289"/>
      <c r="N372" s="1289"/>
      <c r="O372" s="1289"/>
      <c r="P372" s="1289"/>
      <c r="Q372" s="1289"/>
    </row>
    <row r="373" spans="1:17" ht="15.75" hidden="1">
      <c r="A373" s="134"/>
      <c r="B373" s="69" t="s">
        <v>428</v>
      </c>
      <c r="C373" s="135"/>
      <c r="D373" s="76"/>
      <c r="E373" s="136"/>
      <c r="F373" s="103"/>
      <c r="G373" s="196"/>
      <c r="H373" s="25"/>
      <c r="I373" s="25"/>
      <c r="J373" s="25"/>
      <c r="K373" s="25"/>
      <c r="L373" s="25"/>
      <c r="M373" s="25"/>
      <c r="N373" s="25"/>
      <c r="O373" s="25"/>
      <c r="P373" s="25"/>
      <c r="Q373" s="25"/>
    </row>
    <row r="374" spans="1:17" ht="15.75" hidden="1">
      <c r="A374" s="113">
        <f>+A94</f>
        <v>57</v>
      </c>
      <c r="B374" s="94"/>
      <c r="C374" s="94" t="str">
        <f>+C94</f>
        <v xml:space="preserve">Outstanding Network Credits </v>
      </c>
      <c r="D374" s="94"/>
      <c r="E374" s="142" t="str">
        <f>+E94</f>
        <v>(Note M)</v>
      </c>
      <c r="F374" s="192" t="str">
        <f>+F94</f>
        <v>Attachment 5</v>
      </c>
      <c r="G374" s="199" t="s">
        <v>473</v>
      </c>
      <c r="H374" s="213"/>
      <c r="I374" s="1290" t="s">
        <v>477</v>
      </c>
      <c r="J374" s="1291"/>
      <c r="K374" s="1291"/>
      <c r="L374" s="1291"/>
      <c r="M374" s="1291"/>
      <c r="N374" s="1291"/>
      <c r="O374" s="1291"/>
      <c r="P374" s="1291"/>
      <c r="Q374" s="1291"/>
    </row>
    <row r="375" spans="1:17" ht="15.75" hidden="1">
      <c r="A375" s="113"/>
      <c r="B375" s="94"/>
      <c r="C375" s="94"/>
      <c r="D375" s="94"/>
      <c r="E375" s="142"/>
      <c r="F375" s="192"/>
      <c r="G375" s="196"/>
      <c r="H375" s="25"/>
      <c r="I375" s="25"/>
      <c r="J375" s="25"/>
      <c r="K375" s="25"/>
      <c r="L375" s="25"/>
      <c r="M375" s="25"/>
      <c r="N375" s="25"/>
      <c r="O375" s="25"/>
      <c r="P375" s="46"/>
      <c r="Q375" s="25"/>
    </row>
    <row r="376" spans="1:17" ht="15.75" hidden="1">
      <c r="A376" s="113"/>
      <c r="B376" s="94"/>
      <c r="C376" s="94"/>
      <c r="D376" s="94"/>
      <c r="E376" s="142"/>
      <c r="F376" s="192"/>
      <c r="G376" s="198" t="s">
        <v>471</v>
      </c>
      <c r="H376" s="46"/>
      <c r="I376" s="1290" t="s">
        <v>478</v>
      </c>
      <c r="J376" s="1291"/>
      <c r="K376" s="1291"/>
      <c r="L376" s="1291"/>
      <c r="M376" s="1291"/>
      <c r="N376" s="1291"/>
      <c r="O376" s="1291"/>
      <c r="P376" s="1291"/>
      <c r="Q376" s="1291"/>
    </row>
    <row r="377" spans="1:17" ht="15.75" hidden="1" customHeight="1">
      <c r="A377" s="113"/>
      <c r="B377" s="94"/>
      <c r="C377" s="94"/>
      <c r="D377" s="94"/>
      <c r="E377" s="142"/>
      <c r="F377" s="192"/>
      <c r="G377" s="198" t="s">
        <v>471</v>
      </c>
      <c r="H377" s="46"/>
      <c r="I377" s="1290" t="s">
        <v>478</v>
      </c>
      <c r="J377" s="1291"/>
      <c r="K377" s="1291"/>
      <c r="L377" s="1291"/>
      <c r="M377" s="1291"/>
      <c r="N377" s="1291"/>
      <c r="O377" s="1291"/>
      <c r="P377" s="1291"/>
      <c r="Q377" s="1291"/>
    </row>
    <row r="378" spans="1:17" ht="15.75" hidden="1" customHeight="1">
      <c r="A378" s="113"/>
      <c r="B378" s="94"/>
      <c r="C378" s="94"/>
      <c r="D378" s="94"/>
      <c r="E378" s="142"/>
      <c r="F378" s="192"/>
      <c r="G378" s="198" t="s">
        <v>471</v>
      </c>
      <c r="H378" s="46"/>
      <c r="I378" s="1290" t="s">
        <v>478</v>
      </c>
      <c r="J378" s="1291"/>
      <c r="K378" s="1291"/>
      <c r="L378" s="1291"/>
      <c r="M378" s="1291"/>
      <c r="N378" s="1291"/>
      <c r="O378" s="1291"/>
      <c r="P378" s="1291"/>
      <c r="Q378" s="1291"/>
    </row>
    <row r="379" spans="1:17" ht="15.75" hidden="1" customHeight="1">
      <c r="A379" s="113"/>
      <c r="B379" s="94"/>
      <c r="C379" s="94"/>
      <c r="D379" s="94"/>
      <c r="E379" s="142"/>
      <c r="F379" s="192"/>
      <c r="G379" s="198" t="s">
        <v>471</v>
      </c>
      <c r="H379" s="46"/>
      <c r="I379" s="1290" t="s">
        <v>478</v>
      </c>
      <c r="J379" s="1291"/>
      <c r="K379" s="1291"/>
      <c r="L379" s="1291"/>
      <c r="M379" s="1291"/>
      <c r="N379" s="1291"/>
      <c r="O379" s="1291"/>
      <c r="P379" s="1291"/>
      <c r="Q379" s="1291"/>
    </row>
    <row r="380" spans="1:17" ht="15.75" hidden="1" customHeight="1">
      <c r="A380" s="113"/>
      <c r="B380" s="94"/>
      <c r="C380" s="94"/>
      <c r="D380" s="94"/>
      <c r="E380" s="142"/>
      <c r="F380" s="192"/>
      <c r="G380" s="198" t="s">
        <v>471</v>
      </c>
      <c r="H380" s="46"/>
      <c r="I380" s="1290" t="s">
        <v>478</v>
      </c>
      <c r="J380" s="1291"/>
      <c r="K380" s="1291"/>
      <c r="L380" s="1291"/>
      <c r="M380" s="1291"/>
      <c r="N380" s="1291"/>
      <c r="O380" s="1291"/>
      <c r="P380" s="1291"/>
      <c r="Q380" s="1291"/>
    </row>
    <row r="381" spans="1:17" ht="15.75" hidden="1" customHeight="1">
      <c r="A381" s="113"/>
      <c r="B381" s="94"/>
      <c r="C381" s="94"/>
      <c r="D381" s="94"/>
      <c r="E381" s="142"/>
      <c r="F381" s="192"/>
      <c r="G381" s="198" t="s">
        <v>471</v>
      </c>
      <c r="H381" s="46"/>
      <c r="I381" s="1290" t="s">
        <v>478</v>
      </c>
      <c r="J381" s="1291"/>
      <c r="K381" s="1291"/>
      <c r="L381" s="1291"/>
      <c r="M381" s="1291"/>
      <c r="N381" s="1291"/>
      <c r="O381" s="1291"/>
      <c r="P381" s="1291"/>
      <c r="Q381" s="1291"/>
    </row>
    <row r="382" spans="1:17" ht="15.75" hidden="1" customHeight="1">
      <c r="A382" s="113"/>
      <c r="B382" s="94"/>
      <c r="C382" s="94"/>
      <c r="D382" s="94"/>
      <c r="E382" s="142"/>
      <c r="F382" s="192"/>
      <c r="G382" s="198" t="s">
        <v>471</v>
      </c>
      <c r="H382" s="46"/>
      <c r="I382" s="1290" t="s">
        <v>478</v>
      </c>
      <c r="J382" s="1291"/>
      <c r="K382" s="1291"/>
      <c r="L382" s="1291"/>
      <c r="M382" s="1291"/>
      <c r="N382" s="1291"/>
      <c r="O382" s="1291"/>
      <c r="P382" s="1291"/>
      <c r="Q382" s="1291"/>
    </row>
    <row r="383" spans="1:17" ht="16.5" hidden="1" thickBot="1">
      <c r="A383" s="166"/>
      <c r="B383" s="171"/>
      <c r="C383" s="171"/>
      <c r="D383" s="171"/>
      <c r="E383" s="179"/>
      <c r="F383" s="193"/>
      <c r="G383" s="201"/>
      <c r="H383" s="195"/>
      <c r="I383" s="195"/>
      <c r="J383" s="195"/>
      <c r="K383" s="210" t="s">
        <v>474</v>
      </c>
      <c r="L383" s="195"/>
      <c r="M383" s="195"/>
      <c r="N383" s="195"/>
      <c r="O383" s="195"/>
      <c r="P383" s="195"/>
      <c r="Q383" s="195"/>
    </row>
    <row r="384" spans="1:17" ht="21" hidden="1" customHeight="1">
      <c r="A384" s="94"/>
      <c r="B384" s="94"/>
      <c r="C384" s="94"/>
      <c r="D384" s="94"/>
      <c r="E384" s="142"/>
      <c r="F384" s="94"/>
      <c r="G384" s="25"/>
      <c r="H384" s="25"/>
      <c r="I384" s="25"/>
      <c r="J384" s="25"/>
      <c r="K384" s="26"/>
      <c r="L384" s="25"/>
      <c r="M384" s="25"/>
      <c r="N384" s="25"/>
      <c r="O384" s="25"/>
      <c r="P384" s="25"/>
      <c r="Q384" s="25"/>
    </row>
    <row r="385" spans="1:17" ht="21" hidden="1" customHeight="1">
      <c r="A385" s="94"/>
      <c r="B385" s="94"/>
      <c r="C385" s="94"/>
      <c r="D385" s="94"/>
      <c r="E385" s="142"/>
      <c r="F385" s="94"/>
      <c r="G385" s="25"/>
      <c r="H385" s="25"/>
      <c r="I385" s="25"/>
      <c r="J385" s="25"/>
      <c r="K385" s="26"/>
      <c r="L385" s="25"/>
      <c r="M385" s="25"/>
      <c r="N385" s="25"/>
      <c r="O385" s="25"/>
      <c r="P385" s="25"/>
      <c r="Q385" s="25"/>
    </row>
    <row r="386" spans="1:17" ht="21" hidden="1" customHeight="1">
      <c r="A386" s="94"/>
      <c r="B386" s="94"/>
      <c r="C386" s="94"/>
      <c r="D386" s="94"/>
      <c r="E386" s="142"/>
      <c r="F386" s="94"/>
      <c r="G386" s="25"/>
      <c r="H386" s="25"/>
      <c r="I386" s="25"/>
      <c r="J386" s="25"/>
      <c r="K386" s="26"/>
      <c r="L386" s="25"/>
      <c r="M386" s="25"/>
      <c r="N386" s="25"/>
      <c r="O386" s="25"/>
      <c r="P386" s="25"/>
      <c r="Q386" s="25"/>
    </row>
    <row r="387" spans="1:17" ht="21" hidden="1" customHeight="1" thickBot="1">
      <c r="A387" s="176" t="s">
        <v>481</v>
      </c>
      <c r="G387" s="23"/>
      <c r="H387" s="23"/>
      <c r="I387" s="23"/>
      <c r="J387" s="23"/>
      <c r="K387" s="23"/>
      <c r="L387" s="23"/>
      <c r="M387" s="23"/>
      <c r="N387" s="23"/>
      <c r="O387" s="23"/>
      <c r="P387" s="23"/>
      <c r="Q387" s="23"/>
    </row>
    <row r="388" spans="1:17" ht="50.25" hidden="1" customHeight="1">
      <c r="A388" s="1285" t="s">
        <v>439</v>
      </c>
      <c r="B388" s="1286"/>
      <c r="C388" s="1286"/>
      <c r="D388" s="1286"/>
      <c r="E388" s="1286"/>
      <c r="F388" s="1287"/>
      <c r="G388" s="208" t="str">
        <f>+C390</f>
        <v>Remove:  Interest on Network Credits</v>
      </c>
      <c r="H388" s="205"/>
      <c r="I388" s="1288" t="s">
        <v>482</v>
      </c>
      <c r="J388" s="1289"/>
      <c r="K388" s="1289"/>
      <c r="L388" s="1289"/>
      <c r="M388" s="1289"/>
      <c r="N388" s="1289"/>
      <c r="O388" s="1289"/>
      <c r="P388" s="1289"/>
      <c r="Q388" s="1289"/>
    </row>
    <row r="389" spans="1:17" ht="21" hidden="1" customHeight="1">
      <c r="A389" s="113"/>
      <c r="B389" s="69" t="str">
        <f>+B245</f>
        <v>Revenue Credits &amp; Interest on Network Credits</v>
      </c>
      <c r="C389" s="94"/>
      <c r="D389" s="94"/>
      <c r="E389" s="94"/>
      <c r="F389" s="192"/>
      <c r="G389" s="196"/>
      <c r="H389" s="25"/>
      <c r="I389" s="25"/>
      <c r="J389" s="25"/>
      <c r="K389" s="25"/>
      <c r="L389" s="25"/>
      <c r="M389" s="25"/>
      <c r="N389" s="25"/>
      <c r="O389" s="25"/>
      <c r="P389" s="25"/>
      <c r="Q389" s="25"/>
    </row>
    <row r="390" spans="1:17" ht="21" hidden="1" customHeight="1">
      <c r="A390" s="113">
        <f>+A247</f>
        <v>158</v>
      </c>
      <c r="B390" s="94"/>
      <c r="C390" s="94" t="str">
        <f>+C247</f>
        <v>Remove:  Interest on Network Credits</v>
      </c>
      <c r="D390" s="94"/>
      <c r="E390" s="142" t="str">
        <f>+E247</f>
        <v>(Note M)</v>
      </c>
      <c r="F390" s="192" t="str">
        <f>+F247</f>
        <v>Attachment 5</v>
      </c>
      <c r="G390" s="199" t="s">
        <v>473</v>
      </c>
      <c r="H390" s="213"/>
      <c r="I390" s="1290" t="s">
        <v>477</v>
      </c>
      <c r="J390" s="1291"/>
      <c r="K390" s="1291"/>
      <c r="L390" s="1291"/>
      <c r="M390" s="1291"/>
      <c r="N390" s="1291"/>
      <c r="O390" s="1291"/>
      <c r="P390" s="1291"/>
      <c r="Q390" s="1291"/>
    </row>
    <row r="391" spans="1:17" ht="21" hidden="1" customHeight="1">
      <c r="A391" s="113"/>
      <c r="B391" s="94"/>
      <c r="C391" s="94"/>
      <c r="D391" s="94"/>
      <c r="E391" s="142"/>
      <c r="F391" s="192"/>
      <c r="G391" s="196"/>
      <c r="H391" s="25"/>
      <c r="I391" s="25"/>
      <c r="J391" s="25"/>
      <c r="K391" s="25"/>
      <c r="L391" s="25"/>
      <c r="M391" s="25"/>
      <c r="N391" s="25"/>
      <c r="O391" s="25"/>
      <c r="P391" s="46"/>
      <c r="Q391" s="25"/>
    </row>
    <row r="392" spans="1:17" ht="21" hidden="1" customHeight="1">
      <c r="A392" s="113"/>
      <c r="B392" s="94"/>
      <c r="C392" s="94"/>
      <c r="D392" s="94"/>
      <c r="E392" s="142"/>
      <c r="F392" s="192"/>
      <c r="G392" s="198" t="s">
        <v>471</v>
      </c>
      <c r="H392" s="46"/>
      <c r="I392" s="1290" t="s">
        <v>483</v>
      </c>
      <c r="J392" s="1291"/>
      <c r="K392" s="1291"/>
      <c r="L392" s="1291"/>
      <c r="M392" s="1291"/>
      <c r="N392" s="1291"/>
      <c r="O392" s="1291"/>
      <c r="P392" s="1291"/>
      <c r="Q392" s="1291"/>
    </row>
    <row r="393" spans="1:17" ht="21" hidden="1" customHeight="1">
      <c r="A393" s="113"/>
      <c r="B393" s="94"/>
      <c r="C393" s="94"/>
      <c r="D393" s="94"/>
      <c r="E393" s="142"/>
      <c r="F393" s="192"/>
      <c r="G393" s="198" t="s">
        <v>471</v>
      </c>
      <c r="H393" s="46"/>
      <c r="I393" s="1290" t="s">
        <v>483</v>
      </c>
      <c r="J393" s="1291"/>
      <c r="K393" s="1291"/>
      <c r="L393" s="1291"/>
      <c r="M393" s="1291"/>
      <c r="N393" s="1291"/>
      <c r="O393" s="1291"/>
      <c r="P393" s="1291"/>
      <c r="Q393" s="1291"/>
    </row>
    <row r="394" spans="1:17" ht="21" hidden="1" customHeight="1">
      <c r="A394" s="113"/>
      <c r="B394" s="94"/>
      <c r="C394" s="94"/>
      <c r="D394" s="94"/>
      <c r="E394" s="142"/>
      <c r="F394" s="192"/>
      <c r="G394" s="198" t="s">
        <v>471</v>
      </c>
      <c r="H394" s="46"/>
      <c r="I394" s="1290" t="s">
        <v>483</v>
      </c>
      <c r="J394" s="1291"/>
      <c r="K394" s="1291"/>
      <c r="L394" s="1291"/>
      <c r="M394" s="1291"/>
      <c r="N394" s="1291"/>
      <c r="O394" s="1291"/>
      <c r="P394" s="1291"/>
      <c r="Q394" s="1291"/>
    </row>
    <row r="395" spans="1:17" ht="21" hidden="1" customHeight="1">
      <c r="A395" s="113"/>
      <c r="B395" s="94"/>
      <c r="C395" s="94"/>
      <c r="D395" s="94"/>
      <c r="E395" s="142"/>
      <c r="F395" s="192"/>
      <c r="G395" s="198" t="s">
        <v>471</v>
      </c>
      <c r="H395" s="46"/>
      <c r="I395" s="1290" t="s">
        <v>483</v>
      </c>
      <c r="J395" s="1291"/>
      <c r="K395" s="1291"/>
      <c r="L395" s="1291"/>
      <c r="M395" s="1291"/>
      <c r="N395" s="1291"/>
      <c r="O395" s="1291"/>
      <c r="P395" s="1291"/>
      <c r="Q395" s="1291"/>
    </row>
    <row r="396" spans="1:17" ht="21" hidden="1" customHeight="1">
      <c r="A396" s="113"/>
      <c r="B396" s="94"/>
      <c r="C396" s="94"/>
      <c r="D396" s="94"/>
      <c r="E396" s="142"/>
      <c r="F396" s="192"/>
      <c r="G396" s="198" t="s">
        <v>471</v>
      </c>
      <c r="H396" s="46"/>
      <c r="I396" s="1290" t="s">
        <v>483</v>
      </c>
      <c r="J396" s="1291"/>
      <c r="K396" s="1291"/>
      <c r="L396" s="1291"/>
      <c r="M396" s="1291"/>
      <c r="N396" s="1291"/>
      <c r="O396" s="1291"/>
      <c r="P396" s="1291"/>
      <c r="Q396" s="1291"/>
    </row>
    <row r="397" spans="1:17" ht="21" hidden="1" customHeight="1">
      <c r="A397" s="113"/>
      <c r="B397" s="94"/>
      <c r="C397" s="94"/>
      <c r="D397" s="94"/>
      <c r="E397" s="142"/>
      <c r="F397" s="192"/>
      <c r="G397" s="198" t="s">
        <v>471</v>
      </c>
      <c r="H397" s="46"/>
      <c r="I397" s="1290" t="s">
        <v>483</v>
      </c>
      <c r="J397" s="1291"/>
      <c r="K397" s="1291"/>
      <c r="L397" s="1291"/>
      <c r="M397" s="1291"/>
      <c r="N397" s="1291"/>
      <c r="O397" s="1291"/>
      <c r="P397" s="1291"/>
      <c r="Q397" s="1291"/>
    </row>
    <row r="398" spans="1:17" ht="21" hidden="1" customHeight="1">
      <c r="A398" s="113"/>
      <c r="B398" s="94"/>
      <c r="C398" s="94"/>
      <c r="D398" s="94"/>
      <c r="E398" s="142"/>
      <c r="F398" s="192"/>
      <c r="G398" s="198" t="s">
        <v>471</v>
      </c>
      <c r="H398" s="46"/>
      <c r="I398" s="1290" t="s">
        <v>483</v>
      </c>
      <c r="J398" s="1291"/>
      <c r="K398" s="1291"/>
      <c r="L398" s="1291"/>
      <c r="M398" s="1291"/>
      <c r="N398" s="1291"/>
      <c r="O398" s="1291"/>
      <c r="P398" s="1291"/>
      <c r="Q398" s="1291"/>
    </row>
    <row r="399" spans="1:17" ht="21" hidden="1" customHeight="1">
      <c r="A399" s="113"/>
      <c r="B399" s="94"/>
      <c r="C399" s="94"/>
      <c r="D399" s="94"/>
      <c r="E399" s="142"/>
      <c r="F399" s="192"/>
      <c r="G399" s="198" t="s">
        <v>471</v>
      </c>
      <c r="H399" s="46"/>
      <c r="I399" s="1290" t="s">
        <v>483</v>
      </c>
      <c r="J399" s="1291"/>
      <c r="K399" s="1291"/>
      <c r="L399" s="1291"/>
      <c r="M399" s="1291"/>
      <c r="N399" s="1291"/>
      <c r="O399" s="1291"/>
      <c r="P399" s="1291"/>
      <c r="Q399" s="1291"/>
    </row>
    <row r="400" spans="1:17" ht="21" hidden="1" customHeight="1">
      <c r="A400" s="113"/>
      <c r="B400" s="94"/>
      <c r="C400" s="94"/>
      <c r="D400" s="94"/>
      <c r="E400" s="142"/>
      <c r="F400" s="192"/>
      <c r="G400" s="198" t="s">
        <v>471</v>
      </c>
      <c r="H400" s="46"/>
      <c r="I400" s="1290" t="s">
        <v>483</v>
      </c>
      <c r="J400" s="1291"/>
      <c r="K400" s="1291"/>
      <c r="L400" s="1291"/>
      <c r="M400" s="1291"/>
      <c r="N400" s="1291"/>
      <c r="O400" s="1291"/>
      <c r="P400" s="1291"/>
      <c r="Q400" s="1291"/>
    </row>
    <row r="401" spans="1:17" ht="21" hidden="1" customHeight="1">
      <c r="A401" s="113"/>
      <c r="B401" s="94"/>
      <c r="C401" s="94"/>
      <c r="D401" s="94"/>
      <c r="E401" s="142"/>
      <c r="F401" s="192"/>
      <c r="G401" s="198" t="s">
        <v>471</v>
      </c>
      <c r="H401" s="46"/>
      <c r="I401" s="1290" t="s">
        <v>483</v>
      </c>
      <c r="J401" s="1291"/>
      <c r="K401" s="1291"/>
      <c r="L401" s="1291"/>
      <c r="M401" s="1291"/>
      <c r="N401" s="1291"/>
      <c r="O401" s="1291"/>
      <c r="P401" s="1291"/>
      <c r="Q401" s="1291"/>
    </row>
    <row r="402" spans="1:17" ht="21" hidden="1" customHeight="1" thickBot="1">
      <c r="A402" s="166"/>
      <c r="B402" s="171"/>
      <c r="C402" s="171"/>
      <c r="D402" s="171"/>
      <c r="E402" s="179"/>
      <c r="F402" s="193"/>
      <c r="G402" s="201"/>
      <c r="H402" s="195"/>
      <c r="I402" s="195"/>
      <c r="J402" s="195"/>
      <c r="K402" s="210" t="s">
        <v>474</v>
      </c>
      <c r="L402" s="195"/>
      <c r="M402" s="195"/>
      <c r="N402" s="195"/>
      <c r="O402" s="195"/>
      <c r="P402" s="195"/>
      <c r="Q402" s="195"/>
    </row>
    <row r="403" spans="1:17" ht="21" hidden="1" customHeight="1">
      <c r="A403" s="94"/>
      <c r="B403" s="94"/>
      <c r="C403" s="94"/>
      <c r="D403" s="94"/>
      <c r="E403" s="142"/>
      <c r="F403" s="94"/>
      <c r="G403" s="25"/>
      <c r="H403" s="25"/>
      <c r="I403" s="25"/>
      <c r="J403" s="25"/>
      <c r="K403" s="26"/>
      <c r="L403" s="25"/>
      <c r="M403" s="25"/>
      <c r="N403" s="25"/>
      <c r="O403" s="25"/>
      <c r="P403" s="25"/>
      <c r="Q403" s="25"/>
    </row>
    <row r="404" spans="1:17" ht="21" hidden="1" customHeight="1">
      <c r="G404" s="23"/>
      <c r="H404" s="23"/>
      <c r="I404" s="23"/>
      <c r="J404" s="23"/>
      <c r="K404" s="23"/>
      <c r="L404" s="23"/>
      <c r="M404" s="23"/>
      <c r="N404" s="23"/>
      <c r="O404" s="23"/>
      <c r="P404" s="23"/>
      <c r="Q404" s="23"/>
    </row>
    <row r="405" spans="1:17" ht="21" hidden="1" customHeight="1" thickBot="1">
      <c r="A405" s="176" t="s">
        <v>450</v>
      </c>
      <c r="G405" s="23"/>
      <c r="H405" s="23"/>
      <c r="I405" s="23"/>
      <c r="J405" s="23"/>
      <c r="K405" s="23"/>
      <c r="L405" s="23"/>
      <c r="M405" s="23"/>
      <c r="N405" s="23"/>
      <c r="O405" s="23"/>
      <c r="P405" s="23"/>
      <c r="Q405" s="23"/>
    </row>
    <row r="406" spans="1:17" ht="21" hidden="1" customHeight="1">
      <c r="A406" s="1285" t="s">
        <v>439</v>
      </c>
      <c r="B406" s="1286"/>
      <c r="C406" s="1286"/>
      <c r="D406" s="1286"/>
      <c r="E406" s="1286"/>
      <c r="F406" s="1287"/>
      <c r="G406" s="208" t="str">
        <f>+C408</f>
        <v>1 CP Peak</v>
      </c>
      <c r="H406" s="205"/>
      <c r="I406" s="1288" t="s">
        <v>480</v>
      </c>
      <c r="J406" s="1289"/>
      <c r="K406" s="1289"/>
      <c r="L406" s="1289"/>
      <c r="M406" s="1289"/>
      <c r="N406" s="1289"/>
      <c r="O406" s="1289"/>
      <c r="P406" s="1289"/>
      <c r="Q406" s="1289"/>
    </row>
    <row r="407" spans="1:17" ht="15.75" hidden="1">
      <c r="A407" s="113"/>
      <c r="B407" s="90" t="s">
        <v>437</v>
      </c>
      <c r="C407" s="50"/>
      <c r="D407" s="50"/>
      <c r="E407" s="51"/>
      <c r="F407" s="110"/>
      <c r="G407" s="196"/>
      <c r="H407" s="25"/>
      <c r="I407" s="25"/>
      <c r="J407" s="25"/>
      <c r="K407" s="25"/>
      <c r="L407" s="25"/>
      <c r="M407" s="25"/>
      <c r="N407" s="25"/>
      <c r="O407" s="25"/>
      <c r="P407" s="25"/>
      <c r="Q407" s="25"/>
    </row>
    <row r="408" spans="1:17" ht="16.5" hidden="1" thickBot="1">
      <c r="A408" s="166">
        <v>167</v>
      </c>
      <c r="B408" s="167"/>
      <c r="C408" s="168" t="s">
        <v>275</v>
      </c>
      <c r="D408" s="168"/>
      <c r="E408" s="169" t="s">
        <v>333</v>
      </c>
      <c r="F408" s="170" t="s">
        <v>438</v>
      </c>
      <c r="G408" s="203" t="s">
        <v>458</v>
      </c>
      <c r="H408" s="209"/>
      <c r="I408" s="1283" t="str">
        <f>+I406</f>
        <v xml:space="preserve">Description &amp; PJM Documentation </v>
      </c>
      <c r="J408" s="1284"/>
      <c r="K408" s="1284"/>
      <c r="L408" s="1284"/>
      <c r="M408" s="1284"/>
      <c r="N408" s="1284"/>
      <c r="O408" s="1284"/>
      <c r="P408" s="1284"/>
      <c r="Q408" s="1284"/>
    </row>
    <row r="409" spans="1:17" hidden="1">
      <c r="G409" s="23"/>
      <c r="H409" s="23"/>
      <c r="I409" s="23"/>
      <c r="J409" s="23"/>
      <c r="K409" s="23"/>
      <c r="L409" s="23"/>
      <c r="M409" s="23"/>
      <c r="N409" s="23"/>
      <c r="O409" s="23"/>
      <c r="P409" s="23"/>
      <c r="Q409" s="23"/>
    </row>
    <row r="410" spans="1:17" hidden="1">
      <c r="G410" s="23"/>
      <c r="H410" s="23"/>
      <c r="I410" s="23"/>
      <c r="J410" s="23"/>
      <c r="K410" s="23"/>
      <c r="L410" s="23"/>
      <c r="M410" s="23"/>
      <c r="N410" s="23"/>
      <c r="O410" s="23"/>
      <c r="P410" s="23"/>
      <c r="Q410" s="23"/>
    </row>
    <row r="411" spans="1:17" hidden="1">
      <c r="G411" s="23"/>
      <c r="H411" s="23"/>
      <c r="I411" s="23"/>
      <c r="J411" s="23"/>
      <c r="K411" s="23"/>
      <c r="L411" s="23"/>
      <c r="M411" s="23"/>
      <c r="N411" s="23"/>
      <c r="O411" s="23"/>
      <c r="P411" s="23"/>
      <c r="Q411" s="23"/>
    </row>
    <row r="412" spans="1:17" hidden="1">
      <c r="G412" s="23"/>
      <c r="H412" s="23"/>
      <c r="I412" s="23"/>
      <c r="J412" s="23"/>
      <c r="K412" s="23"/>
      <c r="L412" s="23"/>
      <c r="M412" s="23"/>
      <c r="N412" s="23"/>
      <c r="O412" s="23"/>
      <c r="P412" s="23"/>
      <c r="Q412" s="23"/>
    </row>
    <row r="413" spans="1:17" hidden="1">
      <c r="G413" s="23"/>
      <c r="H413" s="23"/>
      <c r="I413" s="23"/>
      <c r="J413" s="23"/>
      <c r="K413" s="23"/>
      <c r="L413" s="23"/>
      <c r="M413" s="23"/>
      <c r="N413" s="23"/>
      <c r="O413" s="23"/>
      <c r="P413" s="23"/>
      <c r="Q413" s="23"/>
    </row>
    <row r="414" spans="1:17" hidden="1">
      <c r="G414" s="23"/>
      <c r="H414" s="23"/>
      <c r="I414" s="23"/>
      <c r="J414" s="23"/>
      <c r="K414" s="23"/>
      <c r="L414" s="23"/>
      <c r="M414" s="23"/>
      <c r="N414" s="23"/>
      <c r="O414" s="23"/>
      <c r="P414" s="23"/>
      <c r="Q414" s="23"/>
    </row>
    <row r="415" spans="1:17" hidden="1">
      <c r="G415" s="23"/>
      <c r="H415" s="23"/>
      <c r="I415" s="23"/>
      <c r="J415" s="23"/>
      <c r="K415" s="23"/>
      <c r="L415" s="23"/>
      <c r="M415" s="23"/>
      <c r="N415" s="23"/>
      <c r="O415" s="23"/>
      <c r="P415" s="23"/>
      <c r="Q415" s="23"/>
    </row>
    <row r="416" spans="1:17" hidden="1">
      <c r="G416" s="23"/>
      <c r="H416" s="23"/>
      <c r="I416" s="23"/>
      <c r="J416" s="23"/>
      <c r="K416" s="23"/>
      <c r="L416" s="23"/>
      <c r="M416" s="23"/>
      <c r="N416" s="23"/>
      <c r="O416" s="23"/>
      <c r="P416" s="23"/>
      <c r="Q416" s="23"/>
    </row>
    <row r="417" spans="3:17">
      <c r="G417" s="23"/>
      <c r="H417" s="23"/>
      <c r="I417" s="23"/>
      <c r="J417" s="23"/>
      <c r="K417" s="23"/>
      <c r="L417" s="23"/>
      <c r="M417" s="23"/>
      <c r="N417" s="23"/>
      <c r="O417" s="23"/>
      <c r="P417" s="23"/>
      <c r="Q417" s="23"/>
    </row>
    <row r="418" spans="3:17">
      <c r="G418" s="23"/>
      <c r="H418" s="23"/>
      <c r="I418" s="23"/>
      <c r="J418" s="23"/>
      <c r="K418" s="23"/>
      <c r="L418" s="23"/>
      <c r="M418" s="23"/>
      <c r="N418" s="23"/>
      <c r="O418" s="23"/>
      <c r="P418" s="23"/>
      <c r="Q418" s="23"/>
    </row>
    <row r="419" spans="3:17" ht="20.25">
      <c r="C419" s="211"/>
      <c r="G419" s="23"/>
      <c r="H419" s="23"/>
      <c r="I419" s="23"/>
      <c r="J419" s="23"/>
      <c r="K419" s="23"/>
      <c r="L419" s="23"/>
      <c r="M419" s="23"/>
      <c r="N419" s="23"/>
      <c r="O419" s="23"/>
      <c r="P419" s="23"/>
      <c r="Q419" s="23"/>
    </row>
    <row r="420" spans="3:17" ht="20.25">
      <c r="C420" s="211"/>
      <c r="G420" s="23"/>
      <c r="H420" s="23"/>
      <c r="I420" s="23"/>
      <c r="J420" s="23"/>
      <c r="K420" s="23"/>
      <c r="L420" s="23"/>
      <c r="M420" s="23"/>
      <c r="N420" s="23"/>
      <c r="O420" s="23"/>
      <c r="P420" s="23"/>
      <c r="Q420" s="23"/>
    </row>
    <row r="421" spans="3:17">
      <c r="G421" s="23"/>
      <c r="H421" s="23"/>
      <c r="I421" s="23"/>
      <c r="J421" s="23"/>
      <c r="K421" s="23"/>
      <c r="L421" s="23"/>
      <c r="M421" s="23"/>
      <c r="N421" s="23"/>
      <c r="O421" s="23"/>
      <c r="P421" s="23"/>
      <c r="Q421" s="23"/>
    </row>
    <row r="422" spans="3:17">
      <c r="G422" s="23"/>
      <c r="H422" s="23"/>
      <c r="I422" s="23"/>
      <c r="J422" s="23"/>
      <c r="K422" s="23"/>
      <c r="L422" s="23"/>
      <c r="M422" s="23"/>
      <c r="N422" s="23"/>
      <c r="O422" s="23"/>
      <c r="P422" s="23"/>
      <c r="Q422" s="23"/>
    </row>
    <row r="423" spans="3:17">
      <c r="G423" s="23"/>
      <c r="H423" s="23"/>
      <c r="I423" s="23"/>
      <c r="J423" s="23"/>
      <c r="K423" s="23"/>
      <c r="L423" s="23"/>
      <c r="M423" s="23"/>
      <c r="N423" s="23"/>
      <c r="O423" s="23"/>
      <c r="P423" s="23"/>
      <c r="Q423" s="23"/>
    </row>
    <row r="424" spans="3:17">
      <c r="G424" s="23"/>
      <c r="H424" s="23"/>
      <c r="I424" s="23"/>
      <c r="J424" s="23"/>
      <c r="K424" s="23"/>
      <c r="L424" s="23"/>
      <c r="M424" s="23"/>
      <c r="N424" s="23"/>
      <c r="O424" s="23"/>
      <c r="P424" s="23"/>
      <c r="Q424" s="23"/>
    </row>
    <row r="425" spans="3:17">
      <c r="G425" s="23"/>
      <c r="H425" s="23"/>
      <c r="I425" s="23"/>
      <c r="J425" s="23"/>
      <c r="K425" s="23"/>
      <c r="L425" s="23"/>
      <c r="M425" s="23"/>
      <c r="N425" s="23"/>
      <c r="O425" s="23"/>
      <c r="P425" s="23"/>
      <c r="Q425" s="23"/>
    </row>
    <row r="426" spans="3:17">
      <c r="G426" s="23"/>
      <c r="H426" s="23"/>
      <c r="I426" s="23"/>
      <c r="J426" s="23"/>
      <c r="K426" s="23"/>
      <c r="L426" s="23"/>
      <c r="M426" s="23"/>
      <c r="N426" s="23"/>
      <c r="O426" s="23"/>
      <c r="P426" s="23"/>
      <c r="Q426" s="23"/>
    </row>
    <row r="427" spans="3:17">
      <c r="G427" s="23"/>
      <c r="H427" s="23"/>
      <c r="I427" s="23"/>
      <c r="J427" s="23"/>
      <c r="K427" s="23"/>
      <c r="L427" s="23"/>
      <c r="M427" s="23"/>
      <c r="N427" s="23"/>
      <c r="O427" s="23"/>
      <c r="P427" s="23"/>
      <c r="Q427" s="23"/>
    </row>
    <row r="428" spans="3:17">
      <c r="G428" s="23"/>
      <c r="H428" s="23"/>
      <c r="I428" s="23"/>
      <c r="J428" s="23"/>
      <c r="K428" s="23"/>
      <c r="L428" s="23"/>
      <c r="M428" s="23"/>
      <c r="N428" s="23"/>
      <c r="O428" s="23"/>
      <c r="P428" s="23"/>
      <c r="Q428" s="23"/>
    </row>
    <row r="429" spans="3:17">
      <c r="G429" s="23"/>
      <c r="H429" s="23"/>
      <c r="I429" s="23"/>
      <c r="J429" s="23"/>
      <c r="K429" s="23"/>
      <c r="L429" s="23"/>
      <c r="M429" s="23"/>
      <c r="N429" s="23"/>
      <c r="O429" s="23"/>
      <c r="P429" s="23"/>
      <c r="Q429" s="23"/>
    </row>
    <row r="430" spans="3:17">
      <c r="G430" s="23"/>
      <c r="H430" s="23"/>
      <c r="I430" s="23"/>
      <c r="J430" s="23"/>
      <c r="K430" s="23"/>
      <c r="L430" s="23"/>
      <c r="M430" s="23"/>
      <c r="N430" s="23"/>
      <c r="O430" s="23"/>
      <c r="P430" s="23"/>
      <c r="Q430" s="23"/>
    </row>
    <row r="431" spans="3:17">
      <c r="G431" s="23"/>
      <c r="H431" s="23"/>
      <c r="I431" s="23"/>
      <c r="J431" s="23"/>
      <c r="K431" s="23"/>
      <c r="L431" s="23"/>
      <c r="M431" s="23"/>
      <c r="N431" s="23"/>
      <c r="O431" s="23"/>
      <c r="P431" s="23"/>
      <c r="Q431" s="23"/>
    </row>
    <row r="432" spans="3:17">
      <c r="G432" s="23"/>
      <c r="H432" s="23"/>
      <c r="I432" s="23"/>
      <c r="J432" s="23"/>
      <c r="K432" s="23"/>
      <c r="L432" s="23"/>
      <c r="M432" s="23"/>
      <c r="N432" s="23"/>
      <c r="O432" s="23"/>
      <c r="P432" s="23"/>
      <c r="Q432" s="23"/>
    </row>
    <row r="433" spans="7:17">
      <c r="G433" s="23"/>
      <c r="H433" s="23"/>
      <c r="I433" s="23"/>
      <c r="J433" s="23"/>
      <c r="K433" s="23"/>
      <c r="L433" s="23"/>
      <c r="M433" s="23"/>
      <c r="N433" s="23"/>
      <c r="O433" s="23"/>
      <c r="P433" s="23"/>
      <c r="Q433" s="23"/>
    </row>
    <row r="434" spans="7:17">
      <c r="G434" s="23"/>
      <c r="H434" s="23"/>
      <c r="I434" s="23"/>
      <c r="J434" s="23"/>
      <c r="K434" s="23"/>
      <c r="L434" s="23"/>
      <c r="M434" s="23"/>
      <c r="N434" s="23"/>
      <c r="O434" s="23"/>
      <c r="P434" s="23"/>
      <c r="Q434" s="23"/>
    </row>
    <row r="435" spans="7:17">
      <c r="G435" s="23"/>
      <c r="H435" s="23"/>
      <c r="I435" s="23"/>
      <c r="J435" s="23"/>
      <c r="K435" s="23"/>
      <c r="L435" s="23"/>
      <c r="M435" s="23"/>
      <c r="N435" s="23"/>
      <c r="O435" s="23"/>
      <c r="P435" s="23"/>
      <c r="Q435" s="23"/>
    </row>
    <row r="436" spans="7:17">
      <c r="G436" s="23"/>
      <c r="H436" s="23"/>
      <c r="I436" s="23"/>
      <c r="J436" s="23"/>
      <c r="K436" s="23"/>
      <c r="L436" s="23"/>
      <c r="M436" s="23"/>
      <c r="N436" s="23"/>
      <c r="O436" s="23"/>
      <c r="P436" s="23"/>
      <c r="Q436" s="23"/>
    </row>
    <row r="437" spans="7:17">
      <c r="G437" s="23"/>
      <c r="H437" s="23"/>
      <c r="I437" s="23"/>
      <c r="J437" s="23"/>
      <c r="K437" s="23"/>
      <c r="L437" s="23"/>
      <c r="M437" s="23"/>
      <c r="N437" s="23"/>
      <c r="O437" s="23"/>
      <c r="P437" s="23"/>
      <c r="Q437" s="23"/>
    </row>
    <row r="438" spans="7:17">
      <c r="G438" s="23"/>
      <c r="H438" s="23"/>
      <c r="I438" s="23"/>
      <c r="J438" s="23"/>
      <c r="K438" s="23"/>
      <c r="L438" s="23"/>
      <c r="M438" s="23"/>
      <c r="N438" s="23"/>
      <c r="O438" s="23"/>
      <c r="P438" s="23"/>
      <c r="Q438" s="23"/>
    </row>
    <row r="439" spans="7:17">
      <c r="G439" s="23"/>
      <c r="H439" s="23"/>
      <c r="I439" s="23"/>
      <c r="J439" s="23"/>
      <c r="K439" s="23"/>
      <c r="L439" s="23"/>
      <c r="M439" s="23"/>
      <c r="N439" s="23"/>
      <c r="O439" s="23"/>
      <c r="P439" s="23"/>
      <c r="Q439" s="23"/>
    </row>
    <row r="440" spans="7:17" ht="16.5">
      <c r="G440" s="204"/>
      <c r="H440" s="204"/>
      <c r="I440" s="204"/>
      <c r="J440" s="204"/>
      <c r="K440" s="204"/>
      <c r="L440" s="204"/>
      <c r="M440" s="204"/>
      <c r="N440" s="204"/>
      <c r="O440" s="204"/>
      <c r="P440" s="204"/>
      <c r="Q440" s="204"/>
    </row>
    <row r="441" spans="7:17" ht="16.5">
      <c r="G441" s="204"/>
      <c r="H441" s="204"/>
      <c r="I441" s="204"/>
      <c r="J441" s="204"/>
      <c r="K441" s="204"/>
      <c r="L441" s="204"/>
      <c r="M441" s="204"/>
      <c r="N441" s="204"/>
      <c r="O441" s="204"/>
      <c r="P441" s="204"/>
      <c r="Q441" s="204"/>
    </row>
    <row r="442" spans="7:17" ht="16.5">
      <c r="G442" s="204"/>
      <c r="H442" s="204"/>
      <c r="I442" s="204"/>
      <c r="J442" s="204"/>
      <c r="K442" s="204"/>
      <c r="L442" s="204"/>
      <c r="M442" s="204"/>
      <c r="N442" s="204"/>
      <c r="O442" s="204"/>
      <c r="P442" s="204"/>
      <c r="Q442" s="204"/>
    </row>
    <row r="443" spans="7:17" ht="16.5">
      <c r="G443" s="204"/>
      <c r="H443" s="204"/>
      <c r="I443" s="204"/>
      <c r="J443" s="204"/>
      <c r="K443" s="204"/>
      <c r="L443" s="204"/>
      <c r="M443" s="204"/>
      <c r="N443" s="204"/>
      <c r="O443" s="204"/>
      <c r="P443" s="204"/>
      <c r="Q443" s="204"/>
    </row>
    <row r="444" spans="7:17" ht="16.5">
      <c r="G444" s="204"/>
      <c r="H444" s="204"/>
      <c r="I444" s="204"/>
      <c r="J444" s="204"/>
      <c r="K444" s="204"/>
      <c r="L444" s="204"/>
      <c r="M444" s="204"/>
      <c r="N444" s="204"/>
      <c r="O444" s="204"/>
      <c r="P444" s="204"/>
      <c r="Q444" s="204"/>
    </row>
    <row r="445" spans="7:17" ht="16.5">
      <c r="G445" s="204"/>
      <c r="H445" s="204"/>
      <c r="I445" s="204"/>
      <c r="J445" s="204"/>
      <c r="K445" s="204"/>
      <c r="L445" s="204"/>
      <c r="M445" s="204"/>
      <c r="N445" s="204"/>
      <c r="O445" s="204"/>
      <c r="P445" s="204"/>
      <c r="Q445" s="204"/>
    </row>
    <row r="446" spans="7:17" ht="16.5">
      <c r="G446" s="204"/>
      <c r="H446" s="204"/>
      <c r="I446" s="204"/>
      <c r="J446" s="204"/>
      <c r="K446" s="204"/>
      <c r="L446" s="204"/>
      <c r="M446" s="204"/>
      <c r="N446" s="204"/>
      <c r="O446" s="204"/>
      <c r="P446" s="204"/>
      <c r="Q446" s="204"/>
    </row>
    <row r="447" spans="7:17" ht="16.5">
      <c r="G447" s="204"/>
      <c r="H447" s="204"/>
      <c r="I447" s="204"/>
      <c r="J447" s="204"/>
      <c r="K447" s="204"/>
      <c r="L447" s="204"/>
      <c r="M447" s="204"/>
      <c r="N447" s="204"/>
      <c r="O447" s="204"/>
      <c r="P447" s="204"/>
      <c r="Q447" s="204"/>
    </row>
    <row r="448" spans="7:17" ht="16.5">
      <c r="G448" s="204"/>
      <c r="H448" s="204"/>
      <c r="I448" s="204"/>
      <c r="J448" s="204"/>
      <c r="K448" s="204"/>
      <c r="L448" s="204"/>
      <c r="M448" s="204"/>
      <c r="N448" s="204"/>
      <c r="O448" s="204"/>
      <c r="P448" s="204"/>
      <c r="Q448" s="204"/>
    </row>
    <row r="449" spans="7:17" ht="16.5">
      <c r="G449" s="204"/>
      <c r="H449" s="204"/>
      <c r="I449" s="204"/>
      <c r="J449" s="204"/>
      <c r="K449" s="204"/>
      <c r="L449" s="204"/>
      <c r="M449" s="204"/>
      <c r="N449" s="204"/>
      <c r="O449" s="204"/>
      <c r="P449" s="204"/>
      <c r="Q449" s="204"/>
    </row>
    <row r="450" spans="7:17" ht="16.5">
      <c r="G450" s="204"/>
      <c r="H450" s="204"/>
      <c r="I450" s="204"/>
      <c r="J450" s="204"/>
      <c r="K450" s="204"/>
      <c r="L450" s="204"/>
      <c r="M450" s="204"/>
      <c r="N450" s="204"/>
      <c r="O450" s="204"/>
      <c r="P450" s="204"/>
      <c r="Q450" s="204"/>
    </row>
    <row r="451" spans="7:17" ht="16.5">
      <c r="G451" s="204"/>
      <c r="H451" s="204"/>
      <c r="I451" s="204"/>
      <c r="J451" s="204"/>
      <c r="K451" s="204"/>
      <c r="L451" s="204"/>
      <c r="M451" s="204"/>
      <c r="N451" s="204"/>
      <c r="O451" s="204"/>
      <c r="P451" s="204"/>
      <c r="Q451" s="204"/>
    </row>
    <row r="452" spans="7:17" ht="16.5">
      <c r="G452" s="204"/>
      <c r="H452" s="204"/>
      <c r="I452" s="204"/>
      <c r="J452" s="204"/>
      <c r="K452" s="204"/>
      <c r="L452" s="204"/>
      <c r="M452" s="204"/>
      <c r="N452" s="204"/>
      <c r="O452" s="204"/>
      <c r="P452" s="204"/>
      <c r="Q452" s="204"/>
    </row>
    <row r="453" spans="7:17" ht="16.5">
      <c r="G453" s="204"/>
      <c r="H453" s="204"/>
      <c r="I453" s="204"/>
      <c r="J453" s="204"/>
      <c r="K453" s="204"/>
      <c r="L453" s="204"/>
      <c r="M453" s="204"/>
      <c r="N453" s="204"/>
      <c r="O453" s="204"/>
      <c r="P453" s="204"/>
      <c r="Q453" s="204"/>
    </row>
    <row r="454" spans="7:17" ht="16.5">
      <c r="G454" s="204"/>
      <c r="H454" s="204"/>
      <c r="I454" s="204"/>
      <c r="J454" s="204"/>
      <c r="K454" s="204"/>
      <c r="L454" s="204"/>
      <c r="M454" s="204"/>
      <c r="N454" s="204"/>
      <c r="O454" s="204"/>
      <c r="P454" s="204"/>
      <c r="Q454" s="204"/>
    </row>
    <row r="455" spans="7:17" ht="16.5">
      <c r="G455" s="204"/>
      <c r="H455" s="204"/>
      <c r="I455" s="204"/>
      <c r="J455" s="204"/>
      <c r="K455" s="204"/>
      <c r="L455" s="204"/>
      <c r="M455" s="204"/>
      <c r="N455" s="204"/>
      <c r="O455" s="204"/>
      <c r="P455" s="204"/>
      <c r="Q455" s="204"/>
    </row>
    <row r="456" spans="7:17" ht="16.5">
      <c r="G456" s="204"/>
      <c r="H456" s="204"/>
      <c r="I456" s="204"/>
      <c r="J456" s="204"/>
      <c r="K456" s="204"/>
      <c r="L456" s="204"/>
      <c r="M456" s="204"/>
      <c r="N456" s="204"/>
      <c r="O456" s="204"/>
      <c r="P456" s="204"/>
      <c r="Q456" s="204"/>
    </row>
    <row r="457" spans="7:17" ht="16.5">
      <c r="G457" s="204"/>
      <c r="H457" s="204"/>
      <c r="I457" s="204"/>
      <c r="J457" s="204"/>
      <c r="K457" s="204"/>
      <c r="L457" s="204"/>
      <c r="M457" s="204"/>
      <c r="N457" s="204"/>
      <c r="O457" s="204"/>
      <c r="P457" s="204"/>
      <c r="Q457" s="204"/>
    </row>
    <row r="458" spans="7:17" ht="16.5">
      <c r="G458" s="204"/>
      <c r="H458" s="204"/>
      <c r="I458" s="204"/>
      <c r="J458" s="204"/>
      <c r="K458" s="204"/>
      <c r="L458" s="204"/>
      <c r="M458" s="204"/>
      <c r="N458" s="204"/>
      <c r="O458" s="204"/>
      <c r="P458" s="204"/>
      <c r="Q458" s="204"/>
    </row>
    <row r="459" spans="7:17" ht="16.5">
      <c r="G459" s="204"/>
      <c r="H459" s="204"/>
      <c r="I459" s="204"/>
      <c r="J459" s="204"/>
      <c r="K459" s="204"/>
      <c r="L459" s="204"/>
      <c r="M459" s="204"/>
      <c r="N459" s="204"/>
      <c r="O459" s="204"/>
      <c r="P459" s="204"/>
      <c r="Q459" s="204"/>
    </row>
    <row r="460" spans="7:17" ht="16.5">
      <c r="G460" s="204"/>
      <c r="H460" s="204"/>
      <c r="I460" s="204"/>
      <c r="J460" s="204"/>
      <c r="K460" s="204"/>
      <c r="L460" s="204"/>
      <c r="M460" s="204"/>
      <c r="N460" s="204"/>
      <c r="O460" s="204"/>
      <c r="P460" s="204"/>
      <c r="Q460" s="204"/>
    </row>
    <row r="461" spans="7:17" ht="16.5">
      <c r="G461" s="204"/>
      <c r="H461" s="204"/>
      <c r="I461" s="204"/>
      <c r="J461" s="204"/>
      <c r="K461" s="204"/>
      <c r="L461" s="204"/>
      <c r="M461" s="204"/>
      <c r="N461" s="204"/>
      <c r="O461" s="204"/>
      <c r="P461" s="204"/>
      <c r="Q461" s="204"/>
    </row>
    <row r="462" spans="7:17" ht="16.5">
      <c r="G462" s="204"/>
      <c r="H462" s="204"/>
      <c r="I462" s="204"/>
      <c r="J462" s="204"/>
      <c r="K462" s="204"/>
      <c r="L462" s="204"/>
      <c r="M462" s="204"/>
      <c r="N462" s="204"/>
      <c r="O462" s="204"/>
      <c r="P462" s="204"/>
      <c r="Q462" s="204"/>
    </row>
    <row r="463" spans="7:17" ht="16.5">
      <c r="G463" s="204"/>
      <c r="H463" s="204"/>
      <c r="I463" s="204"/>
      <c r="J463" s="204"/>
      <c r="K463" s="204"/>
      <c r="L463" s="204"/>
      <c r="M463" s="204"/>
      <c r="N463" s="204"/>
      <c r="O463" s="204"/>
      <c r="P463" s="204"/>
      <c r="Q463" s="204"/>
    </row>
    <row r="464" spans="7:17" ht="16.5">
      <c r="G464" s="204"/>
      <c r="H464" s="204"/>
      <c r="I464" s="204"/>
      <c r="J464" s="204"/>
      <c r="K464" s="204"/>
      <c r="L464" s="204"/>
      <c r="M464" s="204"/>
      <c r="N464" s="204"/>
      <c r="O464" s="204"/>
      <c r="P464" s="204"/>
      <c r="Q464" s="204"/>
    </row>
    <row r="465" spans="7:17" ht="16.5">
      <c r="G465" s="204"/>
      <c r="H465" s="204"/>
      <c r="I465" s="204"/>
      <c r="J465" s="204"/>
      <c r="K465" s="204"/>
      <c r="L465" s="204"/>
      <c r="M465" s="204"/>
      <c r="N465" s="204"/>
      <c r="O465" s="204"/>
      <c r="P465" s="204"/>
      <c r="Q465" s="204"/>
    </row>
    <row r="466" spans="7:17" ht="16.5">
      <c r="G466" s="204"/>
      <c r="H466" s="204"/>
      <c r="I466" s="204"/>
      <c r="J466" s="204"/>
      <c r="K466" s="204"/>
      <c r="L466" s="204"/>
      <c r="M466" s="204"/>
      <c r="N466" s="204"/>
      <c r="O466" s="204"/>
      <c r="P466" s="204"/>
      <c r="Q466" s="204"/>
    </row>
    <row r="467" spans="7:17" ht="16.5">
      <c r="G467" s="204"/>
      <c r="H467" s="204"/>
      <c r="I467" s="204"/>
      <c r="J467" s="204"/>
      <c r="K467" s="204"/>
      <c r="L467" s="204"/>
      <c r="M467" s="204"/>
      <c r="N467" s="204"/>
      <c r="O467" s="204"/>
      <c r="P467" s="204"/>
      <c r="Q467" s="204"/>
    </row>
    <row r="468" spans="7:17" ht="16.5">
      <c r="G468" s="204"/>
      <c r="H468" s="204"/>
      <c r="I468" s="204"/>
      <c r="J468" s="204"/>
      <c r="K468" s="204"/>
      <c r="L468" s="204"/>
      <c r="M468" s="204"/>
      <c r="N468" s="204"/>
      <c r="O468" s="204"/>
      <c r="P468" s="204"/>
      <c r="Q468" s="204"/>
    </row>
    <row r="469" spans="7:17" ht="16.5">
      <c r="G469" s="204"/>
      <c r="H469" s="204"/>
      <c r="I469" s="204"/>
      <c r="J469" s="204"/>
      <c r="K469" s="204"/>
      <c r="L469" s="204"/>
      <c r="M469" s="204"/>
      <c r="N469" s="204"/>
      <c r="O469" s="204"/>
      <c r="P469" s="204"/>
      <c r="Q469" s="204"/>
    </row>
    <row r="470" spans="7:17" ht="16.5">
      <c r="G470" s="204"/>
      <c r="H470" s="204"/>
      <c r="I470" s="204"/>
      <c r="J470" s="204"/>
      <c r="K470" s="204"/>
      <c r="L470" s="204"/>
      <c r="M470" s="204"/>
      <c r="N470" s="204"/>
      <c r="O470" s="204"/>
      <c r="P470" s="204"/>
      <c r="Q470" s="204"/>
    </row>
    <row r="471" spans="7:17" ht="16.5">
      <c r="G471" s="204"/>
      <c r="H471" s="204"/>
      <c r="I471" s="204"/>
      <c r="J471" s="204"/>
      <c r="K471" s="204"/>
      <c r="L471" s="204"/>
      <c r="M471" s="204"/>
      <c r="N471" s="204"/>
      <c r="O471" s="204"/>
      <c r="P471" s="204"/>
      <c r="Q471" s="204"/>
    </row>
    <row r="472" spans="7:17" ht="16.5">
      <c r="G472" s="204"/>
      <c r="H472" s="204"/>
      <c r="I472" s="204"/>
      <c r="J472" s="204"/>
      <c r="K472" s="204"/>
      <c r="L472" s="204"/>
      <c r="M472" s="204"/>
      <c r="N472" s="204"/>
      <c r="O472" s="204"/>
      <c r="P472" s="204"/>
      <c r="Q472" s="204"/>
    </row>
    <row r="473" spans="7:17" ht="16.5">
      <c r="G473" s="204"/>
      <c r="H473" s="204"/>
      <c r="I473" s="204"/>
      <c r="J473" s="204"/>
      <c r="K473" s="204"/>
      <c r="L473" s="204"/>
      <c r="M473" s="204"/>
      <c r="N473" s="204"/>
      <c r="O473" s="204"/>
      <c r="P473" s="204"/>
      <c r="Q473" s="204"/>
    </row>
    <row r="474" spans="7:17" ht="16.5">
      <c r="G474" s="204"/>
      <c r="H474" s="204"/>
      <c r="I474" s="204"/>
      <c r="J474" s="204"/>
      <c r="K474" s="204"/>
      <c r="L474" s="204"/>
      <c r="M474" s="204"/>
      <c r="N474" s="204"/>
      <c r="O474" s="204"/>
      <c r="P474" s="204"/>
      <c r="Q474" s="204"/>
    </row>
    <row r="475" spans="7:17" ht="16.5">
      <c r="G475" s="204"/>
      <c r="H475" s="204"/>
      <c r="I475" s="204"/>
      <c r="J475" s="204"/>
      <c r="K475" s="204"/>
      <c r="L475" s="204"/>
      <c r="M475" s="204"/>
      <c r="N475" s="204"/>
      <c r="O475" s="204"/>
      <c r="P475" s="204"/>
      <c r="Q475" s="204"/>
    </row>
    <row r="476" spans="7:17" ht="16.5">
      <c r="G476" s="204"/>
      <c r="H476" s="204"/>
      <c r="I476" s="204"/>
      <c r="J476" s="204"/>
      <c r="K476" s="204"/>
      <c r="L476" s="204"/>
      <c r="M476" s="204"/>
      <c r="N476" s="204"/>
      <c r="O476" s="204"/>
      <c r="P476" s="204"/>
      <c r="Q476" s="204"/>
    </row>
    <row r="477" spans="7:17" ht="16.5">
      <c r="G477" s="204"/>
      <c r="H477" s="204"/>
      <c r="I477" s="204"/>
      <c r="J477" s="204"/>
      <c r="K477" s="204"/>
      <c r="L477" s="204"/>
      <c r="M477" s="204"/>
      <c r="N477" s="204"/>
      <c r="O477" s="204"/>
      <c r="P477" s="204"/>
      <c r="Q477" s="204"/>
    </row>
    <row r="478" spans="7:17" ht="16.5">
      <c r="G478" s="204"/>
      <c r="H478" s="204"/>
      <c r="I478" s="204"/>
      <c r="J478" s="204"/>
      <c r="K478" s="204"/>
      <c r="L478" s="204"/>
      <c r="M478" s="204"/>
      <c r="N478" s="204"/>
      <c r="O478" s="204"/>
      <c r="P478" s="204"/>
      <c r="Q478" s="204"/>
    </row>
    <row r="479" spans="7:17" ht="16.5">
      <c r="G479" s="204"/>
      <c r="H479" s="204"/>
      <c r="I479" s="204"/>
      <c r="J479" s="204"/>
      <c r="K479" s="204"/>
      <c r="L479" s="204"/>
      <c r="M479" s="204"/>
      <c r="N479" s="204"/>
      <c r="O479" s="204"/>
      <c r="P479" s="204"/>
      <c r="Q479" s="204"/>
    </row>
    <row r="480" spans="7:17" ht="16.5">
      <c r="G480" s="204"/>
      <c r="H480" s="204"/>
      <c r="I480" s="204"/>
      <c r="J480" s="204"/>
      <c r="K480" s="204"/>
      <c r="L480" s="204"/>
      <c r="M480" s="204"/>
      <c r="N480" s="204"/>
      <c r="O480" s="204"/>
      <c r="P480" s="204"/>
      <c r="Q480" s="204"/>
    </row>
    <row r="481" spans="7:17" ht="16.5">
      <c r="G481" s="204"/>
      <c r="H481" s="204"/>
      <c r="I481" s="204"/>
      <c r="J481" s="204"/>
      <c r="K481" s="204"/>
      <c r="L481" s="204"/>
      <c r="M481" s="204"/>
      <c r="N481" s="204"/>
      <c r="O481" s="204"/>
      <c r="P481" s="204"/>
      <c r="Q481" s="204"/>
    </row>
    <row r="482" spans="7:17" ht="16.5">
      <c r="G482" s="204"/>
      <c r="H482" s="204"/>
      <c r="I482" s="204"/>
      <c r="J482" s="204"/>
      <c r="K482" s="204"/>
      <c r="L482" s="204"/>
      <c r="M482" s="204"/>
      <c r="N482" s="204"/>
      <c r="O482" s="204"/>
      <c r="P482" s="204"/>
      <c r="Q482" s="204"/>
    </row>
    <row r="483" spans="7:17" ht="16.5">
      <c r="G483" s="204"/>
      <c r="H483" s="204"/>
      <c r="I483" s="204"/>
      <c r="J483" s="204"/>
      <c r="K483" s="204"/>
      <c r="L483" s="204"/>
      <c r="M483" s="204"/>
      <c r="N483" s="204"/>
      <c r="O483" s="204"/>
      <c r="P483" s="204"/>
      <c r="Q483" s="204"/>
    </row>
    <row r="484" spans="7:17" ht="16.5">
      <c r="G484" s="204"/>
      <c r="H484" s="204"/>
      <c r="I484" s="204"/>
      <c r="J484" s="204"/>
      <c r="K484" s="204"/>
      <c r="L484" s="204"/>
      <c r="M484" s="204"/>
      <c r="N484" s="204"/>
      <c r="O484" s="204"/>
      <c r="P484" s="204"/>
      <c r="Q484" s="204"/>
    </row>
    <row r="485" spans="7:17" ht="16.5">
      <c r="G485" s="204"/>
      <c r="H485" s="204"/>
      <c r="I485" s="204"/>
      <c r="J485" s="204"/>
      <c r="K485" s="204"/>
      <c r="L485" s="204"/>
      <c r="M485" s="204"/>
      <c r="N485" s="204"/>
      <c r="O485" s="204"/>
      <c r="P485" s="204"/>
      <c r="Q485" s="204"/>
    </row>
    <row r="486" spans="7:17" ht="16.5">
      <c r="G486" s="204"/>
      <c r="H486" s="204"/>
      <c r="I486" s="204"/>
      <c r="J486" s="204"/>
      <c r="K486" s="204"/>
      <c r="L486" s="204"/>
      <c r="M486" s="204"/>
      <c r="N486" s="204"/>
      <c r="O486" s="204"/>
      <c r="P486" s="204"/>
      <c r="Q486" s="204"/>
    </row>
    <row r="487" spans="7:17" ht="16.5">
      <c r="G487" s="204"/>
      <c r="H487" s="204"/>
      <c r="I487" s="204"/>
      <c r="J487" s="204"/>
      <c r="K487" s="204"/>
      <c r="L487" s="204"/>
      <c r="M487" s="204"/>
      <c r="N487" s="204"/>
      <c r="O487" s="204"/>
      <c r="P487" s="204"/>
      <c r="Q487" s="204"/>
    </row>
    <row r="488" spans="7:17" ht="16.5">
      <c r="G488" s="204"/>
      <c r="H488" s="204"/>
      <c r="I488" s="204"/>
      <c r="J488" s="204"/>
      <c r="K488" s="204"/>
      <c r="L488" s="204"/>
      <c r="M488" s="204"/>
      <c r="N488" s="204"/>
      <c r="O488" s="204"/>
      <c r="P488" s="204"/>
      <c r="Q488" s="204"/>
    </row>
    <row r="489" spans="7:17" ht="16.5">
      <c r="G489" s="204"/>
      <c r="H489" s="204"/>
      <c r="I489" s="204"/>
      <c r="J489" s="204"/>
      <c r="K489" s="204"/>
      <c r="L489" s="204"/>
      <c r="M489" s="204"/>
      <c r="N489" s="204"/>
      <c r="O489" s="204"/>
      <c r="P489" s="204"/>
      <c r="Q489" s="204"/>
    </row>
    <row r="490" spans="7:17" ht="16.5">
      <c r="G490" s="204"/>
      <c r="H490" s="204"/>
      <c r="I490" s="204"/>
      <c r="J490" s="204"/>
      <c r="K490" s="204"/>
      <c r="L490" s="204"/>
      <c r="M490" s="204"/>
      <c r="N490" s="204"/>
      <c r="O490" s="204"/>
      <c r="P490" s="204"/>
      <c r="Q490" s="204"/>
    </row>
    <row r="491" spans="7:17" ht="16.5">
      <c r="G491" s="204"/>
      <c r="H491" s="204"/>
      <c r="I491" s="204"/>
      <c r="J491" s="204"/>
      <c r="K491" s="204"/>
      <c r="L491" s="204"/>
      <c r="M491" s="204"/>
      <c r="N491" s="204"/>
      <c r="O491" s="204"/>
      <c r="P491" s="204"/>
      <c r="Q491" s="204"/>
    </row>
    <row r="492" spans="7:17" ht="16.5">
      <c r="G492" s="204"/>
      <c r="H492" s="204"/>
      <c r="I492" s="204"/>
      <c r="J492" s="204"/>
      <c r="K492" s="204"/>
      <c r="L492" s="204"/>
      <c r="M492" s="204"/>
      <c r="N492" s="204"/>
      <c r="O492" s="204"/>
      <c r="P492" s="204"/>
      <c r="Q492" s="204"/>
    </row>
    <row r="493" spans="7:17" ht="16.5">
      <c r="G493" s="204"/>
      <c r="H493" s="204"/>
      <c r="I493" s="204"/>
      <c r="J493" s="204"/>
      <c r="K493" s="204"/>
      <c r="L493" s="204"/>
      <c r="M493" s="204"/>
      <c r="N493" s="204"/>
      <c r="O493" s="204"/>
      <c r="P493" s="204"/>
      <c r="Q493" s="204"/>
    </row>
    <row r="494" spans="7:17" ht="16.5">
      <c r="G494" s="204"/>
      <c r="H494" s="204"/>
      <c r="I494" s="204"/>
      <c r="J494" s="204"/>
      <c r="K494" s="204"/>
      <c r="L494" s="204"/>
      <c r="M494" s="204"/>
      <c r="N494" s="204"/>
      <c r="O494" s="204"/>
      <c r="P494" s="204"/>
      <c r="Q494" s="204"/>
    </row>
    <row r="495" spans="7:17" ht="16.5">
      <c r="G495" s="204"/>
      <c r="H495" s="204"/>
      <c r="I495" s="204"/>
      <c r="J495" s="204"/>
      <c r="K495" s="204"/>
      <c r="L495" s="204"/>
      <c r="M495" s="204"/>
      <c r="N495" s="204"/>
      <c r="O495" s="204"/>
      <c r="P495" s="204"/>
      <c r="Q495" s="204"/>
    </row>
    <row r="496" spans="7:17" ht="16.5">
      <c r="G496" s="204"/>
      <c r="H496" s="204"/>
      <c r="I496" s="204"/>
      <c r="J496" s="204"/>
      <c r="K496" s="204"/>
      <c r="L496" s="204"/>
      <c r="M496" s="204"/>
      <c r="N496" s="204"/>
      <c r="O496" s="204"/>
      <c r="P496" s="204"/>
      <c r="Q496" s="204"/>
    </row>
  </sheetData>
  <mergeCells count="94">
    <mergeCell ref="A348:F348"/>
    <mergeCell ref="L343:Q343"/>
    <mergeCell ref="A323:F323"/>
    <mergeCell ref="A329:F329"/>
    <mergeCell ref="A335:F335"/>
    <mergeCell ref="A341:F341"/>
    <mergeCell ref="J323:Q323"/>
    <mergeCell ref="J325:Q325"/>
    <mergeCell ref="J324:Q324"/>
    <mergeCell ref="J329:Q329"/>
    <mergeCell ref="A354:F354"/>
    <mergeCell ref="A4:F4"/>
    <mergeCell ref="A280:F280"/>
    <mergeCell ref="J285:Q285"/>
    <mergeCell ref="J288:Q288"/>
    <mergeCell ref="J295:Q295"/>
    <mergeCell ref="J292:Q292"/>
    <mergeCell ref="J280:Q280"/>
    <mergeCell ref="J281:Q281"/>
    <mergeCell ref="J282:Q282"/>
    <mergeCell ref="J283:Q283"/>
    <mergeCell ref="J284:Q284"/>
    <mergeCell ref="J286:Q286"/>
    <mergeCell ref="J289:Q289"/>
    <mergeCell ref="J290:Q290"/>
    <mergeCell ref="J291:Q291"/>
    <mergeCell ref="J287:Q287"/>
    <mergeCell ref="J293:Q293"/>
    <mergeCell ref="J294:Q294"/>
    <mergeCell ref="J296:Q296"/>
    <mergeCell ref="A302:F302"/>
    <mergeCell ref="J297:Q297"/>
    <mergeCell ref="A313:F313"/>
    <mergeCell ref="J298:Q298"/>
    <mergeCell ref="J306:Q306"/>
    <mergeCell ref="J303:Q303"/>
    <mergeCell ref="J307:Q307"/>
    <mergeCell ref="J302:Q302"/>
    <mergeCell ref="J304:Q304"/>
    <mergeCell ref="J305:Q305"/>
    <mergeCell ref="J308:Q308"/>
    <mergeCell ref="J309:Q309"/>
    <mergeCell ref="J313:Q313"/>
    <mergeCell ref="J314:Q314"/>
    <mergeCell ref="J337:Q337"/>
    <mergeCell ref="L344:Q344"/>
    <mergeCell ref="J348:Q348"/>
    <mergeCell ref="I359:Q359"/>
    <mergeCell ref="J331:Q331"/>
    <mergeCell ref="J335:Q335"/>
    <mergeCell ref="J315:Q315"/>
    <mergeCell ref="J316:Q316"/>
    <mergeCell ref="J317:Q317"/>
    <mergeCell ref="J318:Q318"/>
    <mergeCell ref="J319:Q319"/>
    <mergeCell ref="L341:Q341"/>
    <mergeCell ref="J350:Q350"/>
    <mergeCell ref="I358:Q358"/>
    <mergeCell ref="I354:Q354"/>
    <mergeCell ref="I356:Q356"/>
    <mergeCell ref="I366:Q366"/>
    <mergeCell ref="I367:Q367"/>
    <mergeCell ref="I372:Q372"/>
    <mergeCell ref="I364:Q364"/>
    <mergeCell ref="I360:Q360"/>
    <mergeCell ref="I361:Q361"/>
    <mergeCell ref="I362:Q362"/>
    <mergeCell ref="I363:Q363"/>
    <mergeCell ref="I365:Q365"/>
    <mergeCell ref="I379:Q379"/>
    <mergeCell ref="I380:Q380"/>
    <mergeCell ref="I381:Q381"/>
    <mergeCell ref="A372:F372"/>
    <mergeCell ref="I399:Q399"/>
    <mergeCell ref="I382:Q382"/>
    <mergeCell ref="I395:Q395"/>
    <mergeCell ref="I378:Q378"/>
    <mergeCell ref="I377:Q377"/>
    <mergeCell ref="I374:Q374"/>
    <mergeCell ref="I376:Q376"/>
    <mergeCell ref="I408:Q408"/>
    <mergeCell ref="A388:F388"/>
    <mergeCell ref="I388:Q388"/>
    <mergeCell ref="I390:Q390"/>
    <mergeCell ref="I392:Q392"/>
    <mergeCell ref="I393:Q393"/>
    <mergeCell ref="I400:Q400"/>
    <mergeCell ref="I394:Q394"/>
    <mergeCell ref="I397:Q397"/>
    <mergeCell ref="I396:Q396"/>
    <mergeCell ref="I401:Q401"/>
    <mergeCell ref="I398:Q398"/>
    <mergeCell ref="I406:Q406"/>
    <mergeCell ref="A406:F406"/>
  </mergeCells>
  <phoneticPr fontId="0" type="noConversion"/>
  <printOptions horizontalCentered="1"/>
  <pageMargins left="0.25" right="0.25" top="0.75" bottom="0.75" header="0.5" footer="0.5"/>
  <pageSetup scale="46" orientation="landscape" r:id="rId1"/>
  <headerFooter alignWithMargins="0">
    <oddHeader>&amp;C&amp;16Cost Support Matrix</oddHeader>
    <oddFooter>Page &amp;P of &amp;N</oddFooter>
  </headerFooter>
  <rowBreaks count="2" manualBreakCount="2">
    <brk id="276" max="16" man="1"/>
    <brk id="310" max="16" man="1"/>
  </rowBreaks>
</worksheet>
</file>

<file path=xl/worksheets/sheet8.xml><?xml version="1.0" encoding="utf-8"?>
<worksheet xmlns="http://schemas.openxmlformats.org/spreadsheetml/2006/main" xmlns:r="http://schemas.openxmlformats.org/officeDocument/2006/relationships">
  <dimension ref="A1:W288"/>
  <sheetViews>
    <sheetView zoomScaleNormal="100" zoomScaleSheetLayoutView="120" workbookViewId="0">
      <selection activeCell="I16" sqref="I16"/>
    </sheetView>
  </sheetViews>
  <sheetFormatPr defaultColWidth="9.140625" defaultRowHeight="12.75"/>
  <cols>
    <col min="1" max="1" width="11" style="312" customWidth="1"/>
    <col min="2" max="2" width="4.28515625" style="312" customWidth="1"/>
    <col min="3" max="3" width="58" style="312" customWidth="1"/>
    <col min="4" max="4" width="38.5703125" style="312" customWidth="1"/>
    <col min="5" max="5" width="15.28515625" style="312" customWidth="1"/>
    <col min="6" max="6" width="27" style="312" bestFit="1" customWidth="1"/>
    <col min="7" max="7" width="16.42578125" style="312" customWidth="1"/>
    <col min="8" max="8" width="16.28515625" style="312" customWidth="1"/>
    <col min="9" max="9" width="14.7109375" style="312" customWidth="1"/>
    <col min="10" max="10" width="16" style="312" customWidth="1"/>
    <col min="11" max="11" width="15" style="312" customWidth="1"/>
    <col min="12" max="12" width="16.42578125" style="312" customWidth="1"/>
    <col min="13" max="13" width="12.140625" style="312" customWidth="1"/>
    <col min="14" max="14" width="13.42578125" style="312" customWidth="1"/>
    <col min="15" max="15" width="14.140625" style="312" customWidth="1"/>
    <col min="16" max="16" width="2.42578125" style="312" customWidth="1"/>
    <col min="17" max="17" width="3.28515625" style="312" customWidth="1"/>
    <col min="18" max="18" width="2.7109375" style="315" customWidth="1"/>
    <col min="19" max="19" width="9.140625" style="822"/>
    <col min="20" max="16384" width="9.140625" style="312"/>
  </cols>
  <sheetData>
    <row r="1" spans="1:19" ht="21" customHeight="1">
      <c r="A1" s="1325" t="str">
        <f>+'Appendix H-1'!A6</f>
        <v>South Carolina Electric &amp; Gas Company (SCEG)</v>
      </c>
      <c r="B1" s="1326"/>
      <c r="C1" s="1326"/>
      <c r="D1" s="1326"/>
      <c r="E1" s="1326"/>
      <c r="F1" s="1326"/>
      <c r="G1" s="1326"/>
      <c r="H1" s="1326"/>
      <c r="I1" s="1326"/>
      <c r="J1" s="1326"/>
      <c r="K1" s="1326"/>
      <c r="L1" s="1326"/>
      <c r="M1" s="1326"/>
      <c r="N1" s="1326"/>
      <c r="O1" s="1326"/>
      <c r="P1" s="1326"/>
      <c r="Q1" s="1326"/>
    </row>
    <row r="2" spans="1:19" ht="21" customHeight="1">
      <c r="A2" s="720"/>
      <c r="B2" s="4"/>
      <c r="C2" s="4"/>
      <c r="D2" s="4"/>
      <c r="E2" s="4"/>
      <c r="F2" s="4"/>
      <c r="G2" s="4"/>
      <c r="H2" s="4"/>
      <c r="I2" s="4"/>
      <c r="J2" s="4"/>
      <c r="K2" s="4"/>
      <c r="L2" s="4"/>
      <c r="M2" s="4"/>
      <c r="N2" s="4"/>
      <c r="O2" s="4"/>
      <c r="P2" s="4"/>
      <c r="Q2" s="4"/>
    </row>
    <row r="3" spans="1:19" ht="21" customHeight="1">
      <c r="A3" s="1281" t="s">
        <v>547</v>
      </c>
      <c r="B3" s="1327"/>
      <c r="C3" s="1327"/>
      <c r="D3" s="1327"/>
      <c r="E3" s="1327"/>
      <c r="F3" s="1327"/>
      <c r="G3" s="1327"/>
      <c r="H3" s="1327"/>
      <c r="I3" s="1327"/>
      <c r="J3" s="1327"/>
      <c r="K3" s="1327"/>
      <c r="L3" s="1327"/>
      <c r="M3" s="1327"/>
      <c r="N3" s="1327"/>
      <c r="O3" s="1327"/>
      <c r="P3" s="1327"/>
      <c r="Q3" s="1327"/>
    </row>
    <row r="4" spans="1:19" ht="21" customHeight="1"/>
    <row r="5" spans="1:19" ht="13.5" thickBot="1">
      <c r="A5" s="695" t="s">
        <v>524</v>
      </c>
      <c r="B5" s="669"/>
      <c r="D5" s="590"/>
      <c r="E5" s="46"/>
      <c r="F5" s="591"/>
      <c r="G5" s="23"/>
      <c r="H5" s="23"/>
      <c r="I5" s="23"/>
      <c r="J5" s="23"/>
      <c r="K5" s="23"/>
      <c r="L5" s="23"/>
      <c r="M5" s="23"/>
      <c r="N5" s="23"/>
      <c r="O5" s="23"/>
      <c r="P5" s="23"/>
      <c r="Q5" s="23"/>
    </row>
    <row r="6" spans="1:19" ht="39.75" customHeight="1">
      <c r="A6" s="1302" t="s">
        <v>688</v>
      </c>
      <c r="B6" s="1303"/>
      <c r="C6" s="1303"/>
      <c r="D6" s="1303"/>
      <c r="E6" s="1303"/>
      <c r="F6" s="1096" t="s">
        <v>865</v>
      </c>
      <c r="G6" s="208" t="s">
        <v>455</v>
      </c>
      <c r="H6" s="205" t="s">
        <v>440</v>
      </c>
      <c r="I6" s="205" t="s">
        <v>456</v>
      </c>
      <c r="J6" s="1288" t="s">
        <v>394</v>
      </c>
      <c r="K6" s="1293"/>
      <c r="L6" s="1293"/>
      <c r="M6" s="1293"/>
      <c r="N6" s="1293"/>
      <c r="O6" s="1293"/>
      <c r="P6" s="1293"/>
      <c r="Q6" s="1311"/>
    </row>
    <row r="7" spans="1:19" s="315" customFormat="1">
      <c r="A7" s="696"/>
      <c r="B7" s="697"/>
      <c r="C7" s="697"/>
      <c r="D7" s="697"/>
      <c r="E7" s="513"/>
      <c r="F7" s="698"/>
      <c r="G7" s="311"/>
      <c r="H7" s="833"/>
      <c r="I7" s="833"/>
      <c r="J7" s="833"/>
      <c r="K7" s="197"/>
      <c r="L7" s="197"/>
      <c r="M7" s="197"/>
      <c r="N7" s="197"/>
      <c r="O7" s="197"/>
      <c r="P7" s="197"/>
      <c r="Q7" s="442"/>
      <c r="S7" s="336"/>
    </row>
    <row r="8" spans="1:19">
      <c r="A8" s="222"/>
      <c r="B8" s="670" t="s">
        <v>300</v>
      </c>
      <c r="C8" s="590"/>
      <c r="D8" s="25"/>
      <c r="E8" s="221"/>
      <c r="F8" s="194"/>
      <c r="G8" s="196"/>
      <c r="H8" s="25"/>
      <c r="I8" s="25"/>
      <c r="J8" s="1300"/>
      <c r="K8" s="1291"/>
      <c r="L8" s="1291"/>
      <c r="M8" s="1291"/>
      <c r="N8" s="1291"/>
      <c r="O8" s="1291"/>
      <c r="P8" s="1291"/>
      <c r="Q8" s="1320"/>
    </row>
    <row r="9" spans="1:19">
      <c r="A9" s="222"/>
      <c r="B9" s="670"/>
      <c r="C9" s="590" t="s">
        <v>114</v>
      </c>
      <c r="D9" s="25"/>
      <c r="E9" s="221"/>
      <c r="F9" s="194" t="s">
        <v>583</v>
      </c>
      <c r="G9" s="1221">
        <v>9292178105</v>
      </c>
      <c r="H9" s="952">
        <f>G9</f>
        <v>9292178105</v>
      </c>
      <c r="I9" s="953"/>
      <c r="J9" s="833"/>
      <c r="K9" s="1307"/>
      <c r="L9" s="1307"/>
      <c r="M9" s="1307"/>
      <c r="N9" s="1307"/>
      <c r="O9" s="1307"/>
      <c r="P9" s="1307"/>
      <c r="Q9" s="1308"/>
      <c r="S9" s="828"/>
    </row>
    <row r="10" spans="1:19">
      <c r="A10" s="222"/>
      <c r="B10" s="670"/>
      <c r="C10" s="590" t="s">
        <v>117</v>
      </c>
      <c r="D10" s="25"/>
      <c r="E10" s="221"/>
      <c r="F10" s="194" t="s">
        <v>106</v>
      </c>
      <c r="G10" s="1221">
        <v>-2488730</v>
      </c>
      <c r="H10" s="952">
        <f t="shared" ref="H10:H17" si="0">G10</f>
        <v>-2488730</v>
      </c>
      <c r="I10" s="953"/>
      <c r="J10" s="833"/>
      <c r="K10" s="1307"/>
      <c r="L10" s="1307"/>
      <c r="M10" s="1307"/>
      <c r="N10" s="1307"/>
      <c r="O10" s="1307"/>
      <c r="P10" s="1307"/>
      <c r="Q10" s="1308"/>
      <c r="S10" s="828"/>
    </row>
    <row r="11" spans="1:19">
      <c r="A11" s="222"/>
      <c r="B11" s="670"/>
      <c r="C11" s="590" t="s">
        <v>118</v>
      </c>
      <c r="D11" s="25"/>
      <c r="E11" s="221"/>
      <c r="F11" s="194" t="s">
        <v>107</v>
      </c>
      <c r="G11" s="1221">
        <v>22893826</v>
      </c>
      <c r="H11" s="952">
        <f t="shared" si="0"/>
        <v>22893826</v>
      </c>
      <c r="I11" s="953"/>
      <c r="J11" s="833"/>
      <c r="K11" s="1307"/>
      <c r="L11" s="1307"/>
      <c r="M11" s="1307"/>
      <c r="N11" s="1307"/>
      <c r="O11" s="1307"/>
      <c r="P11" s="1307"/>
      <c r="Q11" s="1308"/>
      <c r="S11" s="828"/>
    </row>
    <row r="12" spans="1:19">
      <c r="A12" s="222"/>
      <c r="B12" s="670"/>
      <c r="C12" s="590" t="s">
        <v>119</v>
      </c>
      <c r="D12" s="25"/>
      <c r="E12" s="221"/>
      <c r="F12" s="194" t="s">
        <v>108</v>
      </c>
      <c r="G12" s="1221">
        <v>0</v>
      </c>
      <c r="H12" s="952">
        <f t="shared" si="0"/>
        <v>0</v>
      </c>
      <c r="I12" s="953"/>
      <c r="J12" s="833"/>
      <c r="K12" s="1307"/>
      <c r="L12" s="1307"/>
      <c r="M12" s="1307"/>
      <c r="N12" s="1307"/>
      <c r="O12" s="1307"/>
      <c r="P12" s="1307"/>
      <c r="Q12" s="1308"/>
      <c r="S12" s="828"/>
    </row>
    <row r="13" spans="1:19">
      <c r="A13" s="222"/>
      <c r="B13" s="670"/>
      <c r="C13" s="590" t="s">
        <v>120</v>
      </c>
      <c r="D13" s="25"/>
      <c r="E13" s="221"/>
      <c r="F13" s="194" t="s">
        <v>109</v>
      </c>
      <c r="G13" s="1221">
        <v>-5340517</v>
      </c>
      <c r="H13" s="952">
        <f t="shared" si="0"/>
        <v>-5340517</v>
      </c>
      <c r="I13" s="953"/>
      <c r="J13" s="833"/>
      <c r="K13" s="1307"/>
      <c r="L13" s="1307"/>
      <c r="M13" s="1307"/>
      <c r="N13" s="1307"/>
      <c r="O13" s="1307"/>
      <c r="P13" s="1307"/>
      <c r="Q13" s="1308"/>
      <c r="S13" s="828"/>
    </row>
    <row r="14" spans="1:19">
      <c r="A14" s="222"/>
      <c r="B14" s="670"/>
      <c r="C14" s="590" t="s">
        <v>121</v>
      </c>
      <c r="D14" s="25"/>
      <c r="E14" s="221"/>
      <c r="F14" s="194" t="s">
        <v>110</v>
      </c>
      <c r="G14" s="1221">
        <v>0</v>
      </c>
      <c r="H14" s="952">
        <f t="shared" si="0"/>
        <v>0</v>
      </c>
      <c r="I14" s="953"/>
      <c r="J14" s="833"/>
      <c r="K14" s="1307"/>
      <c r="L14" s="1307"/>
      <c r="M14" s="1307"/>
      <c r="N14" s="1307"/>
      <c r="O14" s="1307"/>
      <c r="P14" s="1307"/>
      <c r="Q14" s="1308"/>
      <c r="S14" s="828"/>
    </row>
    <row r="15" spans="1:19">
      <c r="A15" s="222"/>
      <c r="B15" s="670"/>
      <c r="C15" s="590" t="s">
        <v>122</v>
      </c>
      <c r="D15" s="25"/>
      <c r="E15" s="221"/>
      <c r="F15" s="194" t="s">
        <v>111</v>
      </c>
      <c r="G15" s="1221">
        <v>221056</v>
      </c>
      <c r="H15" s="952">
        <f t="shared" si="0"/>
        <v>221056</v>
      </c>
      <c r="I15" s="953"/>
      <c r="J15" s="833"/>
      <c r="K15" s="1307"/>
      <c r="L15" s="1307"/>
      <c r="M15" s="1307"/>
      <c r="N15" s="1307"/>
      <c r="O15" s="1307"/>
      <c r="P15" s="1307"/>
      <c r="Q15" s="1308"/>
      <c r="S15" s="828"/>
    </row>
    <row r="16" spans="1:19">
      <c r="A16" s="222"/>
      <c r="B16" s="670"/>
      <c r="C16" s="590" t="s">
        <v>123</v>
      </c>
      <c r="D16" s="25"/>
      <c r="E16" s="221"/>
      <c r="F16" s="194" t="s">
        <v>112</v>
      </c>
      <c r="G16" s="1221">
        <v>0</v>
      </c>
      <c r="H16" s="952">
        <f t="shared" si="0"/>
        <v>0</v>
      </c>
      <c r="I16" s="953"/>
      <c r="J16" s="833"/>
      <c r="K16" s="1307"/>
      <c r="L16" s="1307"/>
      <c r="M16" s="1307"/>
      <c r="N16" s="1307"/>
      <c r="O16" s="1307"/>
      <c r="P16" s="1307"/>
      <c r="Q16" s="1308"/>
      <c r="S16" s="828"/>
    </row>
    <row r="17" spans="1:19">
      <c r="A17" s="222"/>
      <c r="B17" s="670"/>
      <c r="C17" s="590" t="s">
        <v>124</v>
      </c>
      <c r="D17" s="25"/>
      <c r="E17" s="221"/>
      <c r="F17" s="194" t="s">
        <v>113</v>
      </c>
      <c r="G17" s="1222">
        <v>0</v>
      </c>
      <c r="H17" s="954">
        <f t="shared" si="0"/>
        <v>0</v>
      </c>
      <c r="I17" s="953"/>
      <c r="J17" s="833"/>
      <c r="K17" s="1307"/>
      <c r="L17" s="1307"/>
      <c r="M17" s="1307"/>
      <c r="N17" s="1307"/>
      <c r="O17" s="1307"/>
      <c r="P17" s="1307"/>
      <c r="Q17" s="1308"/>
      <c r="S17" s="828"/>
    </row>
    <row r="18" spans="1:19">
      <c r="A18" s="222">
        <f>'Appendix H-1'!A20</f>
        <v>6</v>
      </c>
      <c r="B18" s="670"/>
      <c r="C18" s="590" t="str">
        <f>'Appendix H-1'!C20</f>
        <v>Electric Plant in Service</v>
      </c>
      <c r="D18" s="25"/>
      <c r="E18" s="212" t="str">
        <f>'Appendix H-1'!E20</f>
        <v>(Note B)</v>
      </c>
      <c r="F18" s="194"/>
      <c r="G18" s="955">
        <f>G9-G10-G11-G12-G13-G14-G15-G16-G17</f>
        <v>9276892470</v>
      </c>
      <c r="H18" s="956">
        <f>H9-H10-H11-H12-H13-H14-H15-H16-H17</f>
        <v>9276892470</v>
      </c>
      <c r="I18" s="953"/>
      <c r="J18" s="833"/>
      <c r="K18" s="197"/>
      <c r="L18" s="197"/>
      <c r="M18" s="197"/>
      <c r="N18" s="197"/>
      <c r="O18" s="197"/>
      <c r="P18" s="197"/>
      <c r="Q18" s="442"/>
      <c r="S18" s="891"/>
    </row>
    <row r="19" spans="1:19">
      <c r="A19" s="222"/>
      <c r="B19" s="670"/>
      <c r="C19" s="590"/>
      <c r="D19" s="25"/>
      <c r="E19" s="212"/>
      <c r="F19" s="194"/>
      <c r="G19" s="957"/>
      <c r="H19" s="956"/>
      <c r="I19" s="953"/>
      <c r="J19" s="197" t="s">
        <v>180</v>
      </c>
      <c r="K19" s="197"/>
      <c r="L19" s="197"/>
      <c r="M19" s="197"/>
      <c r="N19" s="197"/>
      <c r="O19" s="197"/>
      <c r="P19" s="197"/>
      <c r="Q19" s="442"/>
      <c r="S19" s="312"/>
    </row>
    <row r="20" spans="1:19">
      <c r="A20" s="222"/>
      <c r="B20" s="670"/>
      <c r="C20" s="590"/>
      <c r="D20" s="25"/>
      <c r="E20" s="221"/>
      <c r="F20" s="194"/>
      <c r="G20" s="958"/>
      <c r="H20" s="953"/>
      <c r="I20" s="953"/>
      <c r="J20" s="903" t="s">
        <v>181</v>
      </c>
      <c r="K20" s="197"/>
      <c r="L20" s="197"/>
      <c r="M20" s="197"/>
      <c r="N20" s="197"/>
      <c r="O20" s="197"/>
      <c r="P20" s="197"/>
      <c r="Q20" s="442"/>
      <c r="S20" s="312"/>
    </row>
    <row r="21" spans="1:19">
      <c r="A21" s="222">
        <f>'Appendix H-1'!A24</f>
        <v>9</v>
      </c>
      <c r="B21" s="670"/>
      <c r="C21" s="590" t="str">
        <f>'Appendix H-1'!C24</f>
        <v>Accumulated Depreciation Electric Plant</v>
      </c>
      <c r="D21" s="25"/>
      <c r="E21" s="212" t="str">
        <f>'Appendix H-1'!E24</f>
        <v>(Note A)</v>
      </c>
      <c r="F21" s="674" t="s">
        <v>697</v>
      </c>
      <c r="G21" s="1223">
        <f>4061334367-G23</f>
        <v>3998718112</v>
      </c>
      <c r="H21" s="1224">
        <v>3592591410</v>
      </c>
      <c r="I21" s="1224">
        <v>406126702</v>
      </c>
      <c r="J21" s="834"/>
      <c r="K21" s="1307"/>
      <c r="L21" s="1307"/>
      <c r="M21" s="1307"/>
      <c r="N21" s="1307"/>
      <c r="O21" s="1307"/>
      <c r="P21" s="1307"/>
      <c r="Q21" s="1308"/>
    </row>
    <row r="22" spans="1:19" ht="15.75" customHeight="1">
      <c r="A22" s="222">
        <f>'Appendix H-1'!A25</f>
        <v>10</v>
      </c>
      <c r="B22" s="25"/>
      <c r="C22" s="590" t="str">
        <f>'Appendix H-1'!C25</f>
        <v>Accumulated Other Utility Plant Amortization - Electric Only</v>
      </c>
      <c r="D22" s="590"/>
      <c r="E22" s="212" t="str">
        <f>'Appendix H-1'!E25</f>
        <v>(Note A)</v>
      </c>
      <c r="F22" s="674" t="s">
        <v>698</v>
      </c>
      <c r="G22" s="1223">
        <f>203247204-G24</f>
        <v>83237285</v>
      </c>
      <c r="H22" s="1224">
        <v>72609983</v>
      </c>
      <c r="I22" s="1224">
        <v>10627302</v>
      </c>
      <c r="J22" s="896"/>
      <c r="K22" s="1307"/>
      <c r="L22" s="1307"/>
      <c r="M22" s="1307"/>
      <c r="N22" s="1307"/>
      <c r="O22" s="1307"/>
      <c r="P22" s="1307"/>
      <c r="Q22" s="1308"/>
    </row>
    <row r="23" spans="1:19" ht="12.75" customHeight="1">
      <c r="A23" s="222">
        <f>'Appendix H-1'!A26</f>
        <v>11</v>
      </c>
      <c r="B23" s="25"/>
      <c r="C23" s="590" t="str">
        <f>'Appendix H-1'!C26</f>
        <v>Accumulated Common Depreciation - Electric Only</v>
      </c>
      <c r="D23" s="590"/>
      <c r="E23" s="212" t="str">
        <f>'Appendix H-1'!E26</f>
        <v>(Note A)</v>
      </c>
      <c r="F23" s="674" t="s">
        <v>590</v>
      </c>
      <c r="G23" s="1223">
        <v>62616255</v>
      </c>
      <c r="H23" s="734">
        <f>G23*J23</f>
        <v>57087239.683499999</v>
      </c>
      <c r="I23" s="734">
        <f>G23-H23</f>
        <v>5529015.3165000007</v>
      </c>
      <c r="J23" s="1220">
        <v>0.91169999999999995</v>
      </c>
      <c r="K23" s="1307"/>
      <c r="L23" s="1307"/>
      <c r="M23" s="1307"/>
      <c r="N23" s="1307"/>
      <c r="O23" s="1307"/>
      <c r="P23" s="1307"/>
      <c r="Q23" s="1308"/>
      <c r="S23" s="891"/>
    </row>
    <row r="24" spans="1:19" ht="15.75" customHeight="1">
      <c r="A24" s="222">
        <f>'Appendix H-1'!A27</f>
        <v>12</v>
      </c>
      <c r="B24" s="590"/>
      <c r="C24" s="590" t="str">
        <f>'Appendix H-1'!C27</f>
        <v xml:space="preserve">Accumulated Common Other Utility Plant Amort. - Electric Only </v>
      </c>
      <c r="D24" s="590"/>
      <c r="E24" s="212" t="str">
        <f>'Appendix H-1'!E27</f>
        <v>(Note A)</v>
      </c>
      <c r="F24" s="674" t="s">
        <v>589</v>
      </c>
      <c r="G24" s="1223">
        <v>120009919</v>
      </c>
      <c r="H24" s="734">
        <f>G24*J24</f>
        <v>109413043.1523</v>
      </c>
      <c r="I24" s="734">
        <f>G24-H24</f>
        <v>10596875.8477</v>
      </c>
      <c r="J24" s="1220">
        <v>0.91169999999999995</v>
      </c>
      <c r="K24" s="1307"/>
      <c r="L24" s="1307"/>
      <c r="M24" s="1307"/>
      <c r="N24" s="1307"/>
      <c r="O24" s="1307"/>
      <c r="P24" s="1307"/>
      <c r="Q24" s="1308"/>
    </row>
    <row r="25" spans="1:19" ht="15.75" customHeight="1">
      <c r="A25" s="672">
        <f>'Appendix H-1'!A47</f>
        <v>24</v>
      </c>
      <c r="B25" s="590"/>
      <c r="C25" s="340" t="str">
        <f>'Appendix H-1'!C47</f>
        <v>Common Plant - Electric Only</v>
      </c>
      <c r="D25" s="590"/>
      <c r="E25" s="212" t="str">
        <f>'Appendix H-1'!E47</f>
        <v>(Notes A &amp; B)</v>
      </c>
      <c r="F25" s="842" t="s">
        <v>126</v>
      </c>
      <c r="G25" s="1223">
        <f>139438034+18841171+179913733+12085170+6592862+21011+2119934+151693+4579339+8158322+6569743</f>
        <v>378471012</v>
      </c>
      <c r="H25" s="734">
        <f>G25*J25</f>
        <v>345052021.64039999</v>
      </c>
      <c r="I25" s="734">
        <f>G25-H25</f>
        <v>33418990.359600008</v>
      </c>
      <c r="J25" s="1220">
        <v>0.91169999999999995</v>
      </c>
      <c r="K25" s="1307"/>
      <c r="L25" s="1307"/>
      <c r="M25" s="1307"/>
      <c r="N25" s="1307"/>
      <c r="O25" s="1307"/>
      <c r="P25" s="1307"/>
      <c r="Q25" s="1308"/>
    </row>
    <row r="26" spans="1:19" ht="15.75" customHeight="1">
      <c r="A26" s="672"/>
      <c r="B26" s="310"/>
      <c r="C26" s="675"/>
      <c r="D26" s="680"/>
      <c r="E26" s="296"/>
      <c r="F26" s="673"/>
      <c r="G26" s="295"/>
      <c r="H26" s="294"/>
      <c r="I26" s="296"/>
      <c r="J26" s="1328"/>
      <c r="K26" s="1328"/>
      <c r="L26" s="1328"/>
      <c r="M26" s="1328"/>
      <c r="N26" s="1328"/>
      <c r="O26" s="1328"/>
      <c r="P26" s="1328"/>
      <c r="Q26" s="1329"/>
    </row>
    <row r="27" spans="1:19">
      <c r="A27" s="222"/>
      <c r="B27" s="47" t="s">
        <v>207</v>
      </c>
      <c r="C27" s="25"/>
      <c r="D27" s="590"/>
      <c r="E27" s="221"/>
      <c r="F27" s="687"/>
      <c r="G27" s="959"/>
      <c r="H27" s="953"/>
      <c r="I27" s="952"/>
      <c r="J27" s="310"/>
      <c r="K27" s="310"/>
      <c r="L27" s="310"/>
      <c r="M27" s="310"/>
      <c r="N27" s="310"/>
      <c r="O27" s="310"/>
      <c r="P27" s="310"/>
      <c r="Q27" s="263"/>
    </row>
    <row r="28" spans="1:19">
      <c r="A28" s="222">
        <f>'Appendix H-1'!A153</f>
        <v>88</v>
      </c>
      <c r="B28" s="47"/>
      <c r="C28" s="25" t="str">
        <f>'Appendix H-1'!C153</f>
        <v>General Plant Depreciation - Electric Only</v>
      </c>
      <c r="D28" s="590"/>
      <c r="E28" s="212" t="str">
        <f>'Appendix H-1'!E153</f>
        <v>(Notes A and N)</v>
      </c>
      <c r="F28" s="674" t="s">
        <v>674</v>
      </c>
      <c r="G28" s="1223">
        <v>5300199</v>
      </c>
      <c r="H28" s="734">
        <f>G28</f>
        <v>5300199</v>
      </c>
      <c r="I28" s="952"/>
      <c r="J28" s="834"/>
      <c r="K28" s="1307"/>
      <c r="L28" s="1307"/>
      <c r="M28" s="1307"/>
      <c r="N28" s="1307"/>
      <c r="O28" s="1307"/>
      <c r="P28" s="1307"/>
      <c r="Q28" s="1308"/>
    </row>
    <row r="29" spans="1:19">
      <c r="A29" s="222">
        <f>'Appendix H-1'!A154</f>
        <v>89</v>
      </c>
      <c r="B29" s="688"/>
      <c r="C29" s="25" t="str">
        <f>'Appendix H-1'!C154</f>
        <v>Intangible Plant Amortization - Electric Only</v>
      </c>
      <c r="D29" s="340"/>
      <c r="E29" s="212" t="str">
        <f>'Appendix H-1'!E154</f>
        <v>(Notes A and N)</v>
      </c>
      <c r="F29" s="674" t="s">
        <v>675</v>
      </c>
      <c r="G29" s="1223">
        <v>5412654</v>
      </c>
      <c r="H29" s="734">
        <f>G29</f>
        <v>5412654</v>
      </c>
      <c r="I29" s="294"/>
      <c r="J29" s="721"/>
      <c r="K29" s="1307"/>
      <c r="L29" s="1307"/>
      <c r="M29" s="1307"/>
      <c r="N29" s="1307"/>
      <c r="O29" s="1307"/>
      <c r="P29" s="1307"/>
      <c r="Q29" s="1308"/>
      <c r="S29" s="891"/>
    </row>
    <row r="30" spans="1:19">
      <c r="A30" s="668">
        <f>'Appendix H-1'!A159</f>
        <v>93</v>
      </c>
      <c r="B30" s="684"/>
      <c r="C30" s="599" t="str">
        <f>'Appendix H-1'!C159</f>
        <v>Common Plant Depreciation - Electric Only</v>
      </c>
      <c r="D30" s="340"/>
      <c r="E30" s="600" t="str">
        <f>'Appendix H-1'!E159</f>
        <v>(Notes A and N)</v>
      </c>
      <c r="F30" s="685" t="s">
        <v>134</v>
      </c>
      <c r="G30" s="1223">
        <v>5865540</v>
      </c>
      <c r="H30" s="734">
        <f>G30</f>
        <v>5865540</v>
      </c>
      <c r="I30" s="294"/>
      <c r="J30" s="721"/>
      <c r="K30" s="1307"/>
      <c r="L30" s="1307"/>
      <c r="M30" s="1307"/>
      <c r="N30" s="1307"/>
      <c r="O30" s="1307"/>
      <c r="P30" s="1307"/>
      <c r="Q30" s="1308"/>
      <c r="S30" s="891"/>
    </row>
    <row r="31" spans="1:19">
      <c r="A31" s="668">
        <f>'Appendix H-1'!A160</f>
        <v>94</v>
      </c>
      <c r="B31" s="684"/>
      <c r="C31" s="599" t="str">
        <f>'Appendix H-1'!C160</f>
        <v>Common Plant Amortization - Electric Only</v>
      </c>
      <c r="D31" s="340"/>
      <c r="E31" s="600" t="str">
        <f>'Appendix H-1'!E160</f>
        <v>(Notes A and N)</v>
      </c>
      <c r="F31" s="685" t="s">
        <v>626</v>
      </c>
      <c r="G31" s="1223">
        <v>2624476</v>
      </c>
      <c r="H31" s="734">
        <f>G31</f>
        <v>2624476</v>
      </c>
      <c r="I31" s="294"/>
      <c r="J31" s="721"/>
      <c r="K31" s="1307"/>
      <c r="L31" s="1307"/>
      <c r="M31" s="1307"/>
      <c r="N31" s="1307"/>
      <c r="O31" s="1307"/>
      <c r="P31" s="1307"/>
      <c r="Q31" s="1308"/>
      <c r="S31" s="891"/>
    </row>
    <row r="32" spans="1:19" s="343" customFormat="1">
      <c r="A32" s="672"/>
      <c r="B32" s="684"/>
      <c r="C32" s="599"/>
      <c r="D32" s="340"/>
      <c r="E32" s="600"/>
      <c r="F32" s="685"/>
      <c r="G32" s="830"/>
      <c r="H32" s="296"/>
      <c r="I32" s="296"/>
      <c r="J32" s="834"/>
      <c r="K32" s="834"/>
      <c r="L32" s="834"/>
      <c r="M32" s="834"/>
      <c r="N32" s="834"/>
      <c r="O32" s="834"/>
      <c r="P32" s="834"/>
      <c r="Q32" s="835"/>
      <c r="S32" s="825"/>
    </row>
    <row r="33" spans="1:19" s="343" customFormat="1">
      <c r="A33" s="672"/>
      <c r="B33" s="684"/>
      <c r="C33" s="599"/>
      <c r="D33" s="340"/>
      <c r="E33" s="600"/>
      <c r="F33" s="685"/>
      <c r="G33" s="830"/>
      <c r="H33" s="296"/>
      <c r="I33" s="296"/>
      <c r="J33" s="834"/>
      <c r="K33" s="834"/>
      <c r="L33" s="834"/>
      <c r="M33" s="834"/>
      <c r="N33" s="834"/>
      <c r="O33" s="834"/>
      <c r="P33" s="834"/>
      <c r="Q33" s="835"/>
      <c r="S33" s="825"/>
    </row>
    <row r="34" spans="1:19">
      <c r="A34" s="672"/>
      <c r="B34" s="684"/>
      <c r="C34" s="599"/>
      <c r="D34" s="340"/>
      <c r="E34" s="600"/>
      <c r="F34" s="685"/>
      <c r="G34" s="836" t="s">
        <v>767</v>
      </c>
      <c r="H34" s="1000" t="s">
        <v>767</v>
      </c>
      <c r="I34" s="832"/>
      <c r="J34" s="832"/>
      <c r="K34" s="832"/>
      <c r="L34" s="1322"/>
      <c r="M34" s="1323"/>
      <c r="N34" s="1323"/>
      <c r="O34" s="1323"/>
      <c r="P34" s="1323"/>
      <c r="Q34" s="1324"/>
    </row>
    <row r="35" spans="1:19">
      <c r="A35" s="672"/>
      <c r="B35" s="684"/>
      <c r="C35" s="599"/>
      <c r="D35" s="340"/>
      <c r="E35" s="600"/>
      <c r="F35" s="685"/>
      <c r="G35" s="1133">
        <v>2015</v>
      </c>
      <c r="H35" s="1134">
        <v>2016</v>
      </c>
      <c r="I35" s="832"/>
      <c r="J35" s="832" t="s">
        <v>769</v>
      </c>
      <c r="K35" s="832" t="s">
        <v>770</v>
      </c>
      <c r="L35" s="832"/>
      <c r="M35" s="832"/>
      <c r="N35" s="832"/>
      <c r="O35" s="832"/>
      <c r="P35" s="832"/>
      <c r="Q35" s="832"/>
    </row>
    <row r="36" spans="1:19">
      <c r="A36" s="672"/>
      <c r="B36" s="684"/>
      <c r="C36" s="599"/>
      <c r="D36" s="340"/>
      <c r="E36" s="600"/>
      <c r="F36" s="685"/>
      <c r="G36" s="999" t="s">
        <v>455</v>
      </c>
      <c r="H36" s="1000" t="s">
        <v>455</v>
      </c>
      <c r="I36" s="832" t="s">
        <v>694</v>
      </c>
      <c r="J36" s="832" t="s">
        <v>768</v>
      </c>
      <c r="K36" s="832" t="s">
        <v>768</v>
      </c>
      <c r="L36" s="1322" t="s">
        <v>394</v>
      </c>
      <c r="M36" s="1323"/>
      <c r="N36" s="1323"/>
      <c r="O36" s="1323"/>
      <c r="P36" s="1323"/>
      <c r="Q36" s="1324"/>
    </row>
    <row r="37" spans="1:19">
      <c r="A37" s="672"/>
      <c r="B37" s="679" t="s">
        <v>245</v>
      </c>
      <c r="C37" s="599"/>
      <c r="D37" s="590"/>
      <c r="E37" s="221"/>
      <c r="F37" s="681"/>
      <c r="G37" s="196"/>
      <c r="H37" s="25"/>
      <c r="I37" s="25"/>
      <c r="J37" s="1328"/>
      <c r="K37" s="1328"/>
      <c r="L37" s="1328"/>
      <c r="M37" s="1328"/>
      <c r="N37" s="1328"/>
      <c r="O37" s="1328"/>
      <c r="P37" s="1328"/>
      <c r="Q37" s="1329"/>
    </row>
    <row r="38" spans="1:19" ht="15.75" customHeight="1">
      <c r="A38" s="672">
        <f>'Appendix H-1'!A83</f>
        <v>44</v>
      </c>
      <c r="B38" s="682"/>
      <c r="C38" s="599" t="str">
        <f>'Appendix H-1'!C83</f>
        <v>Prepayments - Labor Related (Account 165)</v>
      </c>
      <c r="D38" s="45"/>
      <c r="E38" s="221" t="str">
        <f>'Appendix H-1'!E83</f>
        <v>(Note A)</v>
      </c>
      <c r="F38" s="683"/>
      <c r="G38" s="1225">
        <v>72428534.319999993</v>
      </c>
      <c r="H38" s="1225">
        <v>76889917.900000006</v>
      </c>
      <c r="I38" s="734">
        <f>IF(H38&gt;0,AVERAGE(G38:H38),0)</f>
        <v>74659226.109999999</v>
      </c>
      <c r="J38" s="1244">
        <v>9002951.2100000009</v>
      </c>
      <c r="K38" s="1244">
        <v>65656274.899999999</v>
      </c>
      <c r="L38" s="1330" t="s">
        <v>176</v>
      </c>
      <c r="M38" s="1330"/>
      <c r="N38" s="1330"/>
      <c r="O38" s="1330"/>
      <c r="P38" s="1330"/>
      <c r="Q38" s="1331"/>
      <c r="S38" s="837"/>
    </row>
    <row r="39" spans="1:19" ht="15.75" customHeight="1">
      <c r="A39" s="672">
        <f>'Appendix H-1'!A84</f>
        <v>45</v>
      </c>
      <c r="B39" s="682"/>
      <c r="C39" s="599" t="str">
        <f>'Appendix H-1'!C84</f>
        <v>Prepayments - Plant Related (Account 165)</v>
      </c>
      <c r="D39" s="45"/>
      <c r="E39" s="221" t="str">
        <f>'Appendix H-1'!E84</f>
        <v>(Note A)</v>
      </c>
      <c r="F39" s="683"/>
      <c r="G39" s="1226">
        <v>10049000.529999999</v>
      </c>
      <c r="H39" s="1226">
        <v>10139184.369999999</v>
      </c>
      <c r="I39" s="807">
        <f>IF(H39&gt;0,AVERAGE(G39:H39),0)+1</f>
        <v>10094093.449999999</v>
      </c>
      <c r="J39" s="1245">
        <v>9640319.7699999996</v>
      </c>
      <c r="K39" s="1245">
        <v>453772.68</v>
      </c>
      <c r="L39" s="1330" t="s">
        <v>176</v>
      </c>
      <c r="M39" s="1330"/>
      <c r="N39" s="1330"/>
      <c r="O39" s="1330"/>
      <c r="P39" s="1330"/>
      <c r="Q39" s="1331"/>
    </row>
    <row r="40" spans="1:19" ht="15.75" customHeight="1" thickBot="1">
      <c r="A40" s="693"/>
      <c r="B40" s="904"/>
      <c r="C40" s="700"/>
      <c r="D40" s="706"/>
      <c r="E40" s="228"/>
      <c r="F40" s="905" t="s">
        <v>135</v>
      </c>
      <c r="G40" s="1227">
        <f>SUM(G38:G39)</f>
        <v>82477534.849999994</v>
      </c>
      <c r="H40" s="1227">
        <f>SUM(H38:H39)</f>
        <v>87029102.270000011</v>
      </c>
      <c r="I40" s="846">
        <f>I38+I39-1</f>
        <v>84753318.560000002</v>
      </c>
      <c r="J40" s="906">
        <f>J38+J39</f>
        <v>18643270.98</v>
      </c>
      <c r="K40" s="906">
        <f>K38+K39</f>
        <v>66110047.579999998</v>
      </c>
      <c r="L40" s="742"/>
      <c r="M40" s="742"/>
      <c r="N40" s="742"/>
      <c r="O40" s="742"/>
      <c r="P40" s="742"/>
      <c r="Q40" s="743"/>
    </row>
    <row r="41" spans="1:19">
      <c r="A41" s="977"/>
      <c r="B41" s="908"/>
      <c r="C41" s="909"/>
      <c r="D41" s="910"/>
      <c r="E41" s="977"/>
      <c r="F41" s="909"/>
      <c r="G41" s="911"/>
      <c r="H41" s="296"/>
      <c r="I41" s="912"/>
      <c r="J41" s="913"/>
      <c r="K41" s="913"/>
      <c r="L41" s="913"/>
      <c r="M41" s="913"/>
      <c r="N41" s="913"/>
      <c r="O41" s="913"/>
      <c r="P41" s="913"/>
      <c r="Q41" s="913"/>
    </row>
    <row r="42" spans="1:19">
      <c r="A42" s="328"/>
      <c r="B42" s="328"/>
      <c r="C42" s="328"/>
      <c r="D42" s="328"/>
      <c r="E42" s="328"/>
      <c r="F42" s="328"/>
      <c r="G42" s="25"/>
      <c r="H42" s="25"/>
      <c r="I42" s="25"/>
      <c r="J42" s="25"/>
      <c r="K42" s="25"/>
      <c r="L42" s="25"/>
      <c r="M42" s="25"/>
      <c r="N42" s="25"/>
      <c r="O42" s="25"/>
      <c r="P42" s="25"/>
      <c r="Q42" s="25"/>
    </row>
    <row r="43" spans="1:19" ht="13.5" thickBot="1">
      <c r="A43" s="978" t="s">
        <v>86</v>
      </c>
      <c r="B43" s="712"/>
      <c r="C43" s="712"/>
      <c r="D43" s="712"/>
      <c r="E43" s="712"/>
      <c r="F43" s="712"/>
      <c r="G43" s="195"/>
      <c r="H43" s="195"/>
      <c r="I43" s="195"/>
      <c r="J43" s="195"/>
      <c r="K43" s="195"/>
      <c r="L43" s="195"/>
      <c r="M43" s="195"/>
      <c r="N43" s="195"/>
      <c r="O43" s="195"/>
      <c r="P43" s="195"/>
      <c r="Q43" s="195"/>
    </row>
    <row r="44" spans="1:19">
      <c r="A44" s="1302" t="s">
        <v>688</v>
      </c>
      <c r="B44" s="1303"/>
      <c r="C44" s="1303"/>
      <c r="D44" s="1303"/>
      <c r="E44" s="1303"/>
      <c r="F44" s="1097" t="s">
        <v>865</v>
      </c>
      <c r="G44" s="205" t="s">
        <v>88</v>
      </c>
      <c r="H44" s="205"/>
      <c r="I44" s="205"/>
      <c r="J44" s="1288" t="s">
        <v>394</v>
      </c>
      <c r="K44" s="1293"/>
      <c r="L44" s="1293"/>
      <c r="M44" s="1293"/>
      <c r="N44" s="1293"/>
      <c r="O44" s="1293"/>
      <c r="P44" s="1293"/>
      <c r="Q44" s="1311"/>
    </row>
    <row r="45" spans="1:19">
      <c r="A45" s="672"/>
      <c r="B45" s="679" t="str">
        <f>'Appendix H-1'!B113</f>
        <v>Transmission O&amp;M</v>
      </c>
      <c r="D45" s="676"/>
      <c r="E45" s="600"/>
      <c r="F45" s="705"/>
      <c r="G45" s="830"/>
      <c r="H45" s="296"/>
      <c r="I45" s="294"/>
      <c r="J45" s="355"/>
      <c r="K45" s="355"/>
      <c r="L45" s="355"/>
      <c r="M45" s="355"/>
      <c r="N45" s="355"/>
      <c r="O45" s="355"/>
      <c r="P45" s="355"/>
      <c r="Q45" s="831"/>
    </row>
    <row r="46" spans="1:19">
      <c r="A46" s="672"/>
      <c r="B46" s="679"/>
      <c r="C46" s="679"/>
      <c r="D46" s="676"/>
      <c r="E46" s="600"/>
      <c r="F46" s="705"/>
      <c r="G46" s="830"/>
      <c r="H46" s="296"/>
      <c r="I46" s="294"/>
      <c r="J46" s="355"/>
      <c r="K46" s="355"/>
      <c r="L46" s="355"/>
      <c r="M46" s="355"/>
      <c r="N46" s="355"/>
      <c r="O46" s="355"/>
      <c r="P46" s="355"/>
      <c r="Q46" s="831"/>
      <c r="S46" s="837"/>
    </row>
    <row r="47" spans="1:19">
      <c r="A47" s="672"/>
      <c r="B47" s="679"/>
      <c r="C47" s="599" t="s">
        <v>90</v>
      </c>
      <c r="D47" s="676"/>
      <c r="E47" s="600"/>
      <c r="F47" s="685" t="s">
        <v>136</v>
      </c>
      <c r="G47" s="1223">
        <v>0</v>
      </c>
      <c r="H47" s="1309"/>
      <c r="I47" s="1309"/>
      <c r="J47" s="1309"/>
      <c r="K47" s="1309"/>
      <c r="L47" s="1309"/>
      <c r="M47" s="1309"/>
      <c r="N47" s="1309"/>
      <c r="O47" s="1309"/>
      <c r="P47" s="1309"/>
      <c r="Q47" s="1310"/>
    </row>
    <row r="48" spans="1:19">
      <c r="A48" s="672"/>
      <c r="B48" s="679"/>
      <c r="C48" s="599" t="s">
        <v>92</v>
      </c>
      <c r="D48" s="676"/>
      <c r="E48" s="600"/>
      <c r="F48" s="685" t="s">
        <v>137</v>
      </c>
      <c r="G48" s="1223">
        <v>1076009</v>
      </c>
      <c r="H48" s="1309"/>
      <c r="I48" s="1309"/>
      <c r="J48" s="1309"/>
      <c r="K48" s="1309"/>
      <c r="L48" s="1309"/>
      <c r="M48" s="1309"/>
      <c r="N48" s="1309"/>
      <c r="O48" s="1309"/>
      <c r="P48" s="1309"/>
      <c r="Q48" s="1310"/>
    </row>
    <row r="49" spans="1:19">
      <c r="A49" s="672"/>
      <c r="B49" s="679"/>
      <c r="C49" s="599" t="s">
        <v>91</v>
      </c>
      <c r="D49" s="676"/>
      <c r="E49" s="600"/>
      <c r="F49" s="685" t="s">
        <v>138</v>
      </c>
      <c r="G49" s="1223">
        <v>773525</v>
      </c>
      <c r="H49" s="1309"/>
      <c r="I49" s="1309"/>
      <c r="J49" s="1309"/>
      <c r="K49" s="1309"/>
      <c r="L49" s="1309"/>
      <c r="M49" s="1309"/>
      <c r="N49" s="1309"/>
      <c r="O49" s="1309"/>
      <c r="P49" s="1309"/>
      <c r="Q49" s="1310"/>
    </row>
    <row r="50" spans="1:19">
      <c r="A50" s="672"/>
      <c r="B50" s="679"/>
      <c r="C50" s="599" t="s">
        <v>93</v>
      </c>
      <c r="D50" s="676"/>
      <c r="E50" s="600"/>
      <c r="F50" s="685" t="s">
        <v>139</v>
      </c>
      <c r="G50" s="1223">
        <v>169113</v>
      </c>
      <c r="H50" s="1309"/>
      <c r="I50" s="1309"/>
      <c r="J50" s="1309"/>
      <c r="K50" s="1309"/>
      <c r="L50" s="1309"/>
      <c r="M50" s="1309"/>
      <c r="N50" s="1309"/>
      <c r="O50" s="1309"/>
      <c r="P50" s="1309"/>
      <c r="Q50" s="1310"/>
    </row>
    <row r="51" spans="1:19">
      <c r="A51" s="672"/>
      <c r="B51" s="679"/>
      <c r="C51" s="599" t="s">
        <v>94</v>
      </c>
      <c r="D51" s="676"/>
      <c r="E51" s="600"/>
      <c r="F51" s="685" t="s">
        <v>140</v>
      </c>
      <c r="G51" s="1228">
        <v>0</v>
      </c>
      <c r="H51" s="1309"/>
      <c r="I51" s="1309"/>
      <c r="J51" s="1309"/>
      <c r="K51" s="1309"/>
      <c r="L51" s="1309"/>
      <c r="M51" s="1309"/>
      <c r="N51" s="1309"/>
      <c r="O51" s="1309"/>
      <c r="P51" s="1309"/>
      <c r="Q51" s="1310"/>
    </row>
    <row r="52" spans="1:19">
      <c r="A52" s="672">
        <f>'Appendix H-1'!A116</f>
        <v>64</v>
      </c>
      <c r="B52" s="679"/>
      <c r="C52" s="599" t="str">
        <f>'Appendix H-1'!C116</f>
        <v xml:space="preserve">     Remove Expenses Associated with Schedule 1 Rate</v>
      </c>
      <c r="D52" s="676"/>
      <c r="E52" s="600"/>
      <c r="F52" s="685" t="s">
        <v>306</v>
      </c>
      <c r="G52" s="809">
        <f>G47+G48+G49+G50+G51</f>
        <v>2018647</v>
      </c>
      <c r="H52" s="296"/>
      <c r="I52" s="294"/>
      <c r="J52" s="355"/>
      <c r="K52" s="355"/>
      <c r="L52" s="355"/>
      <c r="M52" s="355"/>
      <c r="N52" s="355"/>
      <c r="O52" s="355"/>
      <c r="P52" s="355"/>
      <c r="Q52" s="831"/>
    </row>
    <row r="53" spans="1:19">
      <c r="A53" s="672"/>
      <c r="B53" s="679"/>
      <c r="C53" s="599"/>
      <c r="D53" s="676"/>
      <c r="E53" s="600"/>
      <c r="F53" s="705"/>
      <c r="G53" s="809"/>
      <c r="H53" s="296"/>
      <c r="I53" s="294"/>
      <c r="J53" s="355"/>
      <c r="K53" s="355"/>
      <c r="L53" s="355"/>
      <c r="M53" s="355"/>
      <c r="N53" s="355"/>
      <c r="O53" s="355"/>
      <c r="P53" s="355"/>
      <c r="Q53" s="831"/>
    </row>
    <row r="54" spans="1:19" ht="13.5" thickBot="1">
      <c r="A54" s="838">
        <f>'Appendix H-1'!A119</f>
        <v>67</v>
      </c>
      <c r="B54" s="712"/>
      <c r="C54" s="195" t="str">
        <f>'Appendix H-1'!C119</f>
        <v xml:space="preserve">     Remove NERC/SERC Assessments included in Account 566</v>
      </c>
      <c r="D54" s="829"/>
      <c r="E54" s="712"/>
      <c r="F54" s="701" t="s">
        <v>242</v>
      </c>
      <c r="G54" s="1246">
        <v>631026</v>
      </c>
      <c r="H54" s="1029"/>
      <c r="I54" s="1030"/>
      <c r="J54" s="1030"/>
      <c r="K54" s="1030"/>
      <c r="L54" s="1030"/>
      <c r="M54" s="1030"/>
      <c r="N54" s="1030"/>
      <c r="O54" s="1030"/>
      <c r="P54" s="1030"/>
      <c r="Q54" s="1031"/>
      <c r="S54" s="828"/>
    </row>
    <row r="55" spans="1:19">
      <c r="G55" s="844"/>
      <c r="H55" s="23"/>
      <c r="I55" s="23"/>
      <c r="J55" s="23"/>
      <c r="K55" s="23"/>
      <c r="L55" s="23"/>
      <c r="M55" s="23"/>
      <c r="N55" s="23"/>
      <c r="O55" s="23"/>
      <c r="P55" s="23"/>
      <c r="Q55" s="23"/>
    </row>
    <row r="56" spans="1:19">
      <c r="G56" s="23"/>
      <c r="H56" s="23"/>
      <c r="I56" s="23"/>
      <c r="J56" s="23"/>
      <c r="K56" s="23"/>
      <c r="L56" s="23"/>
      <c r="M56" s="23"/>
      <c r="N56" s="23"/>
      <c r="O56" s="23"/>
      <c r="P56" s="23"/>
      <c r="Q56" s="23"/>
    </row>
    <row r="57" spans="1:19" ht="13.5" thickBot="1">
      <c r="A57" s="695" t="s">
        <v>528</v>
      </c>
      <c r="G57" s="23"/>
      <c r="H57" s="23"/>
      <c r="I57" s="23"/>
      <c r="J57" s="23"/>
      <c r="K57" s="23"/>
      <c r="L57" s="23"/>
      <c r="M57" s="23"/>
      <c r="N57" s="23"/>
      <c r="O57" s="23"/>
      <c r="P57" s="23"/>
      <c r="Q57" s="23"/>
    </row>
    <row r="58" spans="1:19" ht="25.5">
      <c r="A58" s="1302" t="s">
        <v>688</v>
      </c>
      <c r="B58" s="1303"/>
      <c r="C58" s="1303"/>
      <c r="D58" s="1303"/>
      <c r="E58" s="1303"/>
      <c r="F58" s="1097" t="s">
        <v>865</v>
      </c>
      <c r="G58" s="205" t="s">
        <v>455</v>
      </c>
      <c r="H58" s="205" t="s">
        <v>459</v>
      </c>
      <c r="I58" s="205" t="s">
        <v>517</v>
      </c>
      <c r="J58" s="1288" t="s">
        <v>394</v>
      </c>
      <c r="K58" s="1293"/>
      <c r="L58" s="1293"/>
      <c r="M58" s="1293"/>
      <c r="N58" s="1293"/>
      <c r="O58" s="1293"/>
      <c r="P58" s="1293"/>
      <c r="Q58" s="1311"/>
    </row>
    <row r="59" spans="1:19">
      <c r="A59" s="672"/>
      <c r="B59" s="670" t="str">
        <f>'Appendix H-1'!B122</f>
        <v>Allocated General Expenses</v>
      </c>
      <c r="C59" s="340"/>
      <c r="D59" s="340"/>
      <c r="E59" s="296"/>
      <c r="F59" s="339"/>
      <c r="G59" s="25"/>
      <c r="H59" s="25"/>
      <c r="I59" s="25"/>
      <c r="J59" s="25"/>
      <c r="K59" s="25"/>
      <c r="L59" s="25"/>
      <c r="M59" s="25"/>
      <c r="N59" s="25"/>
      <c r="O59" s="25"/>
      <c r="P59" s="25"/>
      <c r="Q59" s="194"/>
    </row>
    <row r="60" spans="1:19">
      <c r="A60" s="672">
        <f>'Appendix H-1'!A127</f>
        <v>73</v>
      </c>
      <c r="B60" s="600"/>
      <c r="C60" s="675" t="str">
        <f>'Appendix H-1'!C127</f>
        <v xml:space="preserve">    Remove Regulatory Commission Exp Account 928</v>
      </c>
      <c r="D60" s="678"/>
      <c r="E60" s="600" t="str">
        <f>'Appendix H-1'!E127</f>
        <v>(Note E)</v>
      </c>
      <c r="F60" s="599" t="str">
        <f>'Appendix H-1'!F127</f>
        <v>p323.189b</v>
      </c>
      <c r="G60" s="1223">
        <v>5244577</v>
      </c>
      <c r="H60" s="313"/>
      <c r="I60" s="313"/>
      <c r="J60" s="1307"/>
      <c r="K60" s="1307"/>
      <c r="L60" s="1307"/>
      <c r="M60" s="1307"/>
      <c r="N60" s="1307"/>
      <c r="O60" s="1307"/>
      <c r="P60" s="1307"/>
      <c r="Q60" s="1308"/>
      <c r="S60" s="891"/>
    </row>
    <row r="61" spans="1:19">
      <c r="A61" s="672"/>
      <c r="B61" s="670" t="str">
        <f>'Appendix H-1'!B133</f>
        <v>Directly Assigned A&amp;G</v>
      </c>
      <c r="C61" s="310"/>
      <c r="D61" s="340"/>
      <c r="E61" s="294"/>
      <c r="F61" s="671"/>
      <c r="G61" s="960"/>
      <c r="H61" s="960"/>
      <c r="I61" s="960"/>
      <c r="J61" s="25"/>
      <c r="K61" s="25"/>
      <c r="L61" s="25"/>
      <c r="M61" s="25"/>
      <c r="N61" s="25"/>
      <c r="O61" s="25"/>
      <c r="P61" s="25"/>
      <c r="Q61" s="194"/>
    </row>
    <row r="62" spans="1:19" ht="13.5" thickBot="1">
      <c r="A62" s="693">
        <f>'Appendix H-1'!A134</f>
        <v>78</v>
      </c>
      <c r="B62" s="699"/>
      <c r="C62" s="700" t="str">
        <f>'Appendix H-1'!C134</f>
        <v>Regulatory Commission Exp Account 928 - Transmission Related</v>
      </c>
      <c r="D62" s="706"/>
      <c r="E62" s="1003" t="str">
        <f>'Appendix H-1'!E134</f>
        <v>(Note G)</v>
      </c>
      <c r="F62" s="701" t="s">
        <v>242</v>
      </c>
      <c r="G62" s="846">
        <f>G60</f>
        <v>5244577</v>
      </c>
      <c r="H62" s="1230">
        <v>295658</v>
      </c>
      <c r="I62" s="846">
        <f>G62-H62</f>
        <v>4948919</v>
      </c>
      <c r="J62" s="1318"/>
      <c r="K62" s="1318"/>
      <c r="L62" s="1318"/>
      <c r="M62" s="1318"/>
      <c r="N62" s="1318"/>
      <c r="O62" s="1318"/>
      <c r="P62" s="1318"/>
      <c r="Q62" s="1319"/>
    </row>
    <row r="63" spans="1:19">
      <c r="G63" s="23"/>
      <c r="H63" s="23"/>
      <c r="I63" s="23"/>
      <c r="J63" s="23"/>
      <c r="K63" s="23"/>
      <c r="L63" s="23"/>
      <c r="M63" s="23"/>
      <c r="N63" s="23"/>
      <c r="O63" s="23"/>
      <c r="P63" s="23"/>
      <c r="Q63" s="23"/>
    </row>
    <row r="64" spans="1:19">
      <c r="G64" s="23"/>
      <c r="H64" s="23"/>
      <c r="I64" s="23"/>
      <c r="J64" s="23"/>
      <c r="K64" s="23"/>
      <c r="L64" s="23"/>
      <c r="M64" s="23"/>
      <c r="N64" s="23"/>
      <c r="O64" s="23"/>
      <c r="P64" s="23"/>
      <c r="Q64" s="23"/>
    </row>
    <row r="65" spans="1:17" ht="13.5" thickBot="1">
      <c r="A65" s="695" t="s">
        <v>529</v>
      </c>
      <c r="G65" s="23"/>
      <c r="H65" s="23"/>
      <c r="I65" s="23"/>
      <c r="J65" s="23"/>
      <c r="K65" s="23"/>
      <c r="L65" s="23"/>
      <c r="M65" s="23"/>
      <c r="N65" s="23"/>
      <c r="O65" s="23"/>
      <c r="P65" s="23"/>
      <c r="Q65" s="23"/>
    </row>
    <row r="66" spans="1:17" ht="25.5">
      <c r="A66" s="1302" t="s">
        <v>688</v>
      </c>
      <c r="B66" s="1303"/>
      <c r="C66" s="1303"/>
      <c r="D66" s="1303"/>
      <c r="E66" s="1303"/>
      <c r="F66" s="1097" t="s">
        <v>865</v>
      </c>
      <c r="G66" s="208" t="s">
        <v>455</v>
      </c>
      <c r="H66" s="205" t="s">
        <v>460</v>
      </c>
      <c r="I66" s="205" t="s">
        <v>519</v>
      </c>
      <c r="J66" s="1288" t="s">
        <v>394</v>
      </c>
      <c r="K66" s="1293"/>
      <c r="L66" s="1293"/>
      <c r="M66" s="1293"/>
      <c r="N66" s="1293"/>
      <c r="O66" s="1293"/>
      <c r="P66" s="1293"/>
      <c r="Q66" s="1311"/>
    </row>
    <row r="67" spans="1:17">
      <c r="A67" s="672"/>
      <c r="B67" s="670" t="str">
        <f>'Appendix H-1'!B133</f>
        <v>Directly Assigned A&amp;G</v>
      </c>
      <c r="C67" s="310"/>
      <c r="D67" s="340"/>
      <c r="E67" s="294"/>
      <c r="F67" s="671"/>
      <c r="G67" s="25"/>
      <c r="H67" s="25"/>
      <c r="I67" s="25"/>
      <c r="J67" s="25"/>
      <c r="K67" s="25"/>
      <c r="L67" s="25"/>
      <c r="M67" s="25"/>
      <c r="N67" s="25"/>
      <c r="O67" s="25"/>
      <c r="P67" s="25"/>
      <c r="Q67" s="194"/>
    </row>
    <row r="68" spans="1:17" ht="14.25" thickBot="1">
      <c r="A68" s="707">
        <f>'Appendix H-1'!A139</f>
        <v>82</v>
      </c>
      <c r="B68" s="699"/>
      <c r="C68" s="700" t="str">
        <f>'Appendix H-1'!C139</f>
        <v>General Advertising Exp Account 930.1 - Safety</v>
      </c>
      <c r="D68" s="341"/>
      <c r="E68" s="1004" t="str">
        <f>'Appendix H-1'!E139</f>
        <v>(Note F)</v>
      </c>
      <c r="F68" s="701" t="s">
        <v>574</v>
      </c>
      <c r="G68" s="874">
        <f>H68+I68</f>
        <v>20700</v>
      </c>
      <c r="H68" s="1229">
        <v>0</v>
      </c>
      <c r="I68" s="1229">
        <v>20700</v>
      </c>
      <c r="J68" s="1332" t="s">
        <v>0</v>
      </c>
      <c r="K68" s="1332"/>
      <c r="L68" s="1332"/>
      <c r="M68" s="1332"/>
      <c r="N68" s="1332"/>
      <c r="O68" s="1332"/>
      <c r="P68" s="1332"/>
      <c r="Q68" s="1333"/>
    </row>
    <row r="69" spans="1:17">
      <c r="A69" s="669"/>
      <c r="B69" s="684"/>
      <c r="C69" s="599"/>
      <c r="D69" s="340"/>
      <c r="E69" s="212"/>
      <c r="F69" s="599"/>
      <c r="G69" s="845"/>
      <c r="H69" s="845"/>
      <c r="I69" s="845"/>
      <c r="J69" s="200"/>
      <c r="K69" s="197"/>
      <c r="L69" s="197"/>
      <c r="M69" s="197"/>
      <c r="N69" s="197"/>
      <c r="O69" s="197"/>
      <c r="P69" s="197"/>
      <c r="Q69" s="197"/>
    </row>
    <row r="70" spans="1:17">
      <c r="G70" s="23"/>
      <c r="H70" s="23"/>
      <c r="I70" s="23"/>
      <c r="J70" s="23"/>
      <c r="K70" s="23"/>
      <c r="L70" s="23"/>
      <c r="M70" s="23"/>
      <c r="N70" s="23"/>
      <c r="O70" s="23"/>
      <c r="P70" s="23"/>
      <c r="Q70" s="23"/>
    </row>
    <row r="71" spans="1:17" ht="13.5" thickBot="1">
      <c r="A71" s="695" t="s">
        <v>448</v>
      </c>
      <c r="G71" s="23"/>
      <c r="H71" s="23"/>
      <c r="I71" s="23"/>
      <c r="J71" s="23"/>
      <c r="K71" s="23"/>
      <c r="L71" s="23"/>
      <c r="M71" s="23"/>
      <c r="N71" s="23"/>
      <c r="O71" s="23"/>
      <c r="P71" s="23"/>
      <c r="Q71" s="23"/>
    </row>
    <row r="72" spans="1:17">
      <c r="A72" s="1302" t="s">
        <v>688</v>
      </c>
      <c r="B72" s="1303"/>
      <c r="C72" s="1303"/>
      <c r="D72" s="1303"/>
      <c r="E72" s="1303"/>
      <c r="F72" s="1304"/>
      <c r="G72" s="205" t="s">
        <v>464</v>
      </c>
      <c r="H72" s="205" t="s">
        <v>465</v>
      </c>
      <c r="I72" s="205" t="s">
        <v>466</v>
      </c>
      <c r="J72" s="205" t="s">
        <v>467</v>
      </c>
      <c r="K72" s="205" t="s">
        <v>468</v>
      </c>
      <c r="L72" s="1288" t="s">
        <v>394</v>
      </c>
      <c r="M72" s="1293"/>
      <c r="N72" s="1293"/>
      <c r="O72" s="1293"/>
      <c r="P72" s="1293"/>
      <c r="Q72" s="1311"/>
    </row>
    <row r="73" spans="1:17">
      <c r="A73" s="668" t="s">
        <v>212</v>
      </c>
      <c r="B73" s="689" t="s">
        <v>270</v>
      </c>
      <c r="C73" s="590"/>
      <c r="D73" s="590"/>
      <c r="E73" s="294"/>
      <c r="F73" s="674"/>
      <c r="G73" s="25"/>
      <c r="H73" s="25"/>
      <c r="I73" s="25"/>
      <c r="J73" s="25"/>
      <c r="K73" s="25"/>
      <c r="L73" s="25"/>
      <c r="M73" s="25"/>
      <c r="N73" s="25"/>
      <c r="O73" s="25"/>
      <c r="P73" s="25"/>
      <c r="Q73" s="194"/>
    </row>
    <row r="74" spans="1:17">
      <c r="A74" s="668"/>
      <c r="B74" s="689"/>
      <c r="C74" s="590"/>
      <c r="D74" s="590"/>
      <c r="E74" s="294"/>
      <c r="F74" s="674"/>
      <c r="G74" s="46" t="s">
        <v>564</v>
      </c>
      <c r="H74" s="46" t="s">
        <v>461</v>
      </c>
      <c r="I74" s="46" t="s">
        <v>461</v>
      </c>
      <c r="J74" s="46" t="s">
        <v>461</v>
      </c>
      <c r="K74" s="46" t="s">
        <v>461</v>
      </c>
      <c r="L74" s="1290" t="s">
        <v>463</v>
      </c>
      <c r="M74" s="1301"/>
      <c r="N74" s="1301"/>
      <c r="O74" s="1301"/>
      <c r="P74" s="1301"/>
      <c r="Q74" s="1324"/>
    </row>
    <row r="75" spans="1:17" ht="13.5" thickBot="1">
      <c r="A75" s="707">
        <f>'Appendix H-1'!A222</f>
        <v>133</v>
      </c>
      <c r="B75" s="694"/>
      <c r="C75" s="708" t="str">
        <f>'Appendix H-1'!C222</f>
        <v>SIT=State Income Tax Rate or Composite</v>
      </c>
      <c r="D75" s="709"/>
      <c r="E75" s="228" t="str">
        <f>'Appendix H-1'!E222</f>
        <v>(Note H)</v>
      </c>
      <c r="F75" s="710"/>
      <c r="G75" s="847">
        <v>0.05</v>
      </c>
      <c r="H75" s="228" t="s">
        <v>462</v>
      </c>
      <c r="I75" s="228" t="s">
        <v>462</v>
      </c>
      <c r="J75" s="228" t="s">
        <v>462</v>
      </c>
      <c r="K75" s="228" t="s">
        <v>462</v>
      </c>
      <c r="L75" s="1318" t="s">
        <v>664</v>
      </c>
      <c r="M75" s="1318"/>
      <c r="N75" s="1318"/>
      <c r="O75" s="1318"/>
      <c r="P75" s="1318"/>
      <c r="Q75" s="1319"/>
    </row>
    <row r="76" spans="1:17">
      <c r="G76" s="23"/>
      <c r="H76" s="23"/>
      <c r="I76" s="23"/>
      <c r="J76" s="23"/>
      <c r="K76" s="23"/>
      <c r="L76" s="23"/>
      <c r="M76" s="23"/>
      <c r="N76" s="23"/>
      <c r="O76" s="23"/>
      <c r="P76" s="23"/>
      <c r="Q76" s="23"/>
    </row>
    <row r="77" spans="1:17">
      <c r="G77" s="23"/>
      <c r="H77" s="23"/>
      <c r="I77" s="23"/>
      <c r="J77" s="23"/>
      <c r="K77" s="23"/>
      <c r="L77" s="23"/>
      <c r="M77" s="23"/>
      <c r="N77" s="23"/>
      <c r="O77" s="23"/>
      <c r="P77" s="23"/>
      <c r="Q77" s="23"/>
    </row>
    <row r="78" spans="1:17" ht="13.5" thickBot="1">
      <c r="A78" s="695" t="s">
        <v>530</v>
      </c>
      <c r="G78" s="23"/>
      <c r="H78" s="23"/>
      <c r="I78" s="23"/>
      <c r="J78" s="23"/>
      <c r="K78" s="23"/>
      <c r="L78" s="23"/>
      <c r="M78" s="23"/>
      <c r="N78" s="23"/>
      <c r="O78" s="23"/>
      <c r="P78" s="23"/>
      <c r="Q78" s="23"/>
    </row>
    <row r="79" spans="1:17" ht="25.5">
      <c r="A79" s="1302" t="s">
        <v>688</v>
      </c>
      <c r="B79" s="1303"/>
      <c r="C79" s="1303"/>
      <c r="D79" s="1303"/>
      <c r="E79" s="1303"/>
      <c r="F79" s="1097" t="s">
        <v>865</v>
      </c>
      <c r="G79" s="208" t="s">
        <v>455</v>
      </c>
      <c r="H79" s="205" t="s">
        <v>469</v>
      </c>
      <c r="I79" s="205" t="s">
        <v>470</v>
      </c>
      <c r="J79" s="1288" t="s">
        <v>394</v>
      </c>
      <c r="K79" s="1293"/>
      <c r="L79" s="1293"/>
      <c r="M79" s="1293"/>
      <c r="N79" s="1293"/>
      <c r="O79" s="1293"/>
      <c r="P79" s="1293"/>
      <c r="Q79" s="1311"/>
    </row>
    <row r="80" spans="1:17">
      <c r="A80" s="672"/>
      <c r="B80" s="670" t="str">
        <f>'Appendix H-1'!B133</f>
        <v>Directly Assigned A&amp;G</v>
      </c>
      <c r="C80" s="310"/>
      <c r="D80" s="340"/>
      <c r="E80" s="294"/>
      <c r="F80" s="671"/>
      <c r="G80" s="25"/>
      <c r="H80" s="25"/>
      <c r="I80" s="25"/>
      <c r="J80" s="25"/>
      <c r="K80" s="25"/>
      <c r="L80" s="25"/>
      <c r="M80" s="25"/>
      <c r="N80" s="25"/>
      <c r="O80" s="25"/>
      <c r="P80" s="25"/>
      <c r="Q80" s="194"/>
    </row>
    <row r="81" spans="1:19" ht="13.5" thickBot="1">
      <c r="A81" s="707">
        <f>'Appendix H-1'!A135</f>
        <v>79</v>
      </c>
      <c r="B81" s="699"/>
      <c r="C81" s="700" t="str">
        <f>'Appendix H-1'!C135</f>
        <v>General Advertising Exp Account 930.1 - Education &amp; Outreach</v>
      </c>
      <c r="D81" s="703"/>
      <c r="E81" s="1004" t="str">
        <f>'Appendix H-1'!E135</f>
        <v>(Note J)</v>
      </c>
      <c r="F81" s="701" t="s">
        <v>574</v>
      </c>
      <c r="G81" s="874">
        <f>G68</f>
        <v>20700</v>
      </c>
      <c r="H81" s="1229">
        <v>0</v>
      </c>
      <c r="I81" s="1229">
        <v>20700</v>
      </c>
      <c r="J81" s="1340" t="str">
        <f>+J68</f>
        <v>Remove from A&amp;G in Formula.  This amount is not significant - no need to look for trans-related costs.</v>
      </c>
      <c r="K81" s="1341"/>
      <c r="L81" s="1341"/>
      <c r="M81" s="1341"/>
      <c r="N81" s="1341"/>
      <c r="O81" s="1341"/>
      <c r="P81" s="1341"/>
      <c r="Q81" s="1342"/>
    </row>
    <row r="82" spans="1:19">
      <c r="G82" s="23"/>
      <c r="H82" s="23"/>
      <c r="I82" s="23"/>
      <c r="J82" s="23"/>
      <c r="K82" s="23"/>
      <c r="L82" s="23"/>
      <c r="M82" s="23"/>
      <c r="N82" s="23"/>
      <c r="O82" s="23"/>
      <c r="P82" s="23"/>
      <c r="Q82" s="23"/>
    </row>
    <row r="83" spans="1:19">
      <c r="G83" s="23"/>
      <c r="H83" s="23"/>
      <c r="I83" s="23"/>
      <c r="J83" s="23"/>
      <c r="K83" s="23"/>
      <c r="L83" s="23"/>
      <c r="M83" s="23"/>
      <c r="N83" s="23"/>
      <c r="O83" s="23"/>
      <c r="P83" s="23"/>
      <c r="Q83" s="23"/>
    </row>
    <row r="84" spans="1:19" ht="13.5" thickBot="1">
      <c r="A84" s="695" t="s">
        <v>532</v>
      </c>
      <c r="G84" s="23"/>
      <c r="H84" s="23"/>
      <c r="I84" s="23"/>
      <c r="J84" s="23"/>
      <c r="K84" s="23"/>
      <c r="L84" s="23"/>
      <c r="M84" s="23"/>
      <c r="N84" s="23"/>
      <c r="O84" s="23"/>
      <c r="P84" s="23"/>
      <c r="Q84" s="23"/>
    </row>
    <row r="85" spans="1:19" ht="51">
      <c r="A85" s="1302" t="s">
        <v>688</v>
      </c>
      <c r="B85" s="1303"/>
      <c r="C85" s="1303"/>
      <c r="D85" s="1303"/>
      <c r="E85" s="1303"/>
      <c r="F85" s="1303"/>
      <c r="G85" s="208" t="str">
        <f>+C87</f>
        <v xml:space="preserve">     Remove Excluded Transmission Facilities</v>
      </c>
      <c r="H85" s="1288" t="s">
        <v>472</v>
      </c>
      <c r="I85" s="1289"/>
      <c r="J85" s="1289"/>
      <c r="K85" s="1289"/>
      <c r="L85" s="1289"/>
      <c r="M85" s="1289"/>
      <c r="N85" s="1289"/>
      <c r="O85" s="1289"/>
      <c r="P85" s="1289"/>
      <c r="Q85" s="1312"/>
    </row>
    <row r="86" spans="1:19">
      <c r="A86" s="692"/>
      <c r="B86" s="47" t="s">
        <v>233</v>
      </c>
      <c r="C86" s="670"/>
      <c r="D86" s="691"/>
      <c r="E86" s="690"/>
      <c r="F86" s="677"/>
      <c r="G86" s="196"/>
      <c r="H86" s="25"/>
      <c r="I86" s="25"/>
      <c r="J86" s="25"/>
      <c r="K86" s="25"/>
      <c r="L86" s="25"/>
      <c r="M86" s="25"/>
      <c r="N86" s="25"/>
      <c r="O86" s="25"/>
      <c r="P86" s="25"/>
      <c r="Q86" s="194"/>
    </row>
    <row r="87" spans="1:19">
      <c r="A87" s="672">
        <f>'Appendix H-1'!A243</f>
        <v>145</v>
      </c>
      <c r="B87" s="600"/>
      <c r="C87" s="675" t="str">
        <f>'Appendix H-1'!C243</f>
        <v xml:space="preserve">     Remove Excluded Transmission Facilities</v>
      </c>
      <c r="D87" s="691"/>
      <c r="E87" s="296" t="str">
        <f>'Appendix H-1'!E243</f>
        <v>(Note L)</v>
      </c>
      <c r="F87" s="678" t="s">
        <v>242</v>
      </c>
      <c r="G87" s="1145">
        <v>75834086.469999999</v>
      </c>
      <c r="H87" s="1313" t="s">
        <v>871</v>
      </c>
      <c r="I87" s="1313"/>
      <c r="J87" s="1313"/>
      <c r="K87" s="1313"/>
      <c r="L87" s="1313"/>
      <c r="M87" s="1313"/>
      <c r="N87" s="1313"/>
      <c r="O87" s="1313"/>
      <c r="P87" s="1313"/>
      <c r="Q87" s="1314"/>
      <c r="S87" s="891"/>
    </row>
    <row r="88" spans="1:19" ht="13.5" thickBot="1">
      <c r="A88" s="711"/>
      <c r="B88" s="712"/>
      <c r="C88" s="712"/>
      <c r="D88" s="712"/>
      <c r="E88" s="712"/>
      <c r="F88" s="713"/>
      <c r="G88" s="201"/>
      <c r="H88" s="195"/>
      <c r="I88" s="195"/>
      <c r="J88" s="195"/>
      <c r="K88" s="210"/>
      <c r="L88" s="195"/>
      <c r="M88" s="195"/>
      <c r="N88" s="195"/>
      <c r="O88" s="195"/>
      <c r="P88" s="195"/>
      <c r="Q88" s="202"/>
    </row>
    <row r="89" spans="1:19">
      <c r="A89" s="328"/>
      <c r="B89" s="328"/>
      <c r="C89" s="328"/>
      <c r="D89" s="328"/>
      <c r="E89" s="328"/>
      <c r="F89" s="328"/>
      <c r="G89" s="25"/>
      <c r="H89" s="25"/>
      <c r="I89" s="25"/>
      <c r="J89" s="25"/>
      <c r="K89" s="26"/>
      <c r="L89" s="25"/>
      <c r="M89" s="25"/>
      <c r="N89" s="25"/>
      <c r="O89" s="25"/>
      <c r="P89" s="25"/>
      <c r="Q89" s="25"/>
    </row>
    <row r="90" spans="1:19">
      <c r="A90" s="328"/>
      <c r="B90" s="328"/>
      <c r="C90" s="328"/>
      <c r="D90" s="328"/>
      <c r="E90" s="328"/>
      <c r="F90" s="328"/>
      <c r="G90" s="25"/>
      <c r="H90" s="25"/>
      <c r="I90" s="25"/>
      <c r="J90" s="25"/>
      <c r="K90" s="26"/>
      <c r="L90" s="25"/>
      <c r="M90" s="25"/>
      <c r="N90" s="25"/>
      <c r="O90" s="25"/>
      <c r="P90" s="25"/>
      <c r="Q90" s="25"/>
    </row>
    <row r="91" spans="1:19" ht="13.5" thickBot="1">
      <c r="A91" s="695" t="s">
        <v>533</v>
      </c>
      <c r="G91" s="23"/>
      <c r="H91" s="23"/>
      <c r="I91" s="23"/>
      <c r="J91" s="23"/>
      <c r="K91" s="23"/>
      <c r="L91" s="23"/>
      <c r="M91" s="23"/>
      <c r="N91" s="23"/>
      <c r="O91" s="23"/>
      <c r="P91" s="23"/>
      <c r="Q91" s="23"/>
    </row>
    <row r="92" spans="1:19" ht="25.5">
      <c r="A92" s="1302" t="s">
        <v>688</v>
      </c>
      <c r="B92" s="1303"/>
      <c r="C92" s="1303"/>
      <c r="D92" s="1303"/>
      <c r="E92" s="1303"/>
      <c r="F92" s="1303"/>
      <c r="G92" s="208" t="str">
        <f>+C94</f>
        <v xml:space="preserve">Outstanding Network Credits </v>
      </c>
      <c r="H92" s="1288" t="s">
        <v>479</v>
      </c>
      <c r="I92" s="1289"/>
      <c r="J92" s="1289"/>
      <c r="K92" s="1289"/>
      <c r="L92" s="1289"/>
      <c r="M92" s="1289"/>
      <c r="N92" s="1289"/>
      <c r="O92" s="1289"/>
      <c r="P92" s="1289"/>
      <c r="Q92" s="1312"/>
    </row>
    <row r="93" spans="1:19">
      <c r="A93" s="199"/>
      <c r="B93" s="679" t="s">
        <v>428</v>
      </c>
      <c r="C93" s="213"/>
      <c r="D93" s="686"/>
      <c r="E93" s="294"/>
      <c r="F93" s="839"/>
      <c r="G93" s="196"/>
      <c r="H93" s="25"/>
      <c r="I93" s="25"/>
      <c r="J93" s="25"/>
      <c r="K93" s="25"/>
      <c r="L93" s="25"/>
      <c r="M93" s="25"/>
      <c r="N93" s="25"/>
      <c r="O93" s="25"/>
      <c r="P93" s="25"/>
      <c r="Q93" s="194"/>
    </row>
    <row r="94" spans="1:19" ht="15.75" customHeight="1">
      <c r="A94" s="672">
        <f>'Appendix H-1'!A102</f>
        <v>57</v>
      </c>
      <c r="B94" s="600"/>
      <c r="C94" s="599" t="str">
        <f>'Appendix H-1'!C102</f>
        <v xml:space="preserve">Outstanding Network Credits </v>
      </c>
      <c r="D94" s="600"/>
      <c r="E94" s="600" t="str">
        <f>'Appendix H-1'!E102</f>
        <v>(Note M)</v>
      </c>
      <c r="F94" s="914"/>
      <c r="G94" s="1223">
        <v>0</v>
      </c>
      <c r="H94" s="1315"/>
      <c r="I94" s="1316"/>
      <c r="J94" s="1316"/>
      <c r="K94" s="1316"/>
      <c r="L94" s="1316"/>
      <c r="M94" s="1316"/>
      <c r="N94" s="1316"/>
      <c r="O94" s="1316"/>
      <c r="P94" s="1316"/>
      <c r="Q94" s="1317"/>
      <c r="S94" s="891"/>
    </row>
    <row r="95" spans="1:19">
      <c r="A95" s="672"/>
      <c r="B95" s="600"/>
      <c r="C95" s="600"/>
      <c r="D95" s="600"/>
      <c r="E95" s="600"/>
      <c r="F95" s="685"/>
      <c r="G95" s="961"/>
      <c r="H95" s="1290"/>
      <c r="I95" s="1291"/>
      <c r="J95" s="1291"/>
      <c r="K95" s="1291"/>
      <c r="L95" s="1291"/>
      <c r="M95" s="1291"/>
      <c r="N95" s="1291"/>
      <c r="O95" s="1291"/>
      <c r="P95" s="1291"/>
      <c r="Q95" s="1320"/>
    </row>
    <row r="96" spans="1:19" ht="13.5" thickBot="1">
      <c r="A96" s="693">
        <f>+'Appendix H-1'!A103</f>
        <v>58</v>
      </c>
      <c r="B96" s="702"/>
      <c r="C96" s="700" t="str">
        <f>+'Appendix H-1'!C103</f>
        <v xml:space="preserve">    Remove Accumulated Depreciation Associated with Facilities with Outstanding Network Credits</v>
      </c>
      <c r="D96" s="702"/>
      <c r="E96" s="702" t="str">
        <f>+'Appendix H-1'!E103</f>
        <v>(Note M)</v>
      </c>
      <c r="F96" s="975" t="s">
        <v>242</v>
      </c>
      <c r="G96" s="1246">
        <v>0</v>
      </c>
      <c r="H96" s="1318"/>
      <c r="I96" s="1318"/>
      <c r="J96" s="1318"/>
      <c r="K96" s="1318"/>
      <c r="L96" s="1318"/>
      <c r="M96" s="1318"/>
      <c r="N96" s="1318"/>
      <c r="O96" s="1318"/>
      <c r="P96" s="1318"/>
      <c r="Q96" s="1319"/>
      <c r="S96" s="891"/>
    </row>
    <row r="97" spans="1:23">
      <c r="A97" s="600"/>
      <c r="B97" s="600"/>
      <c r="C97" s="600"/>
      <c r="D97" s="600"/>
      <c r="E97" s="600"/>
      <c r="F97" s="600"/>
      <c r="G97" s="25"/>
      <c r="H97" s="25"/>
      <c r="I97" s="25"/>
      <c r="J97" s="25"/>
      <c r="K97" s="26"/>
      <c r="L97" s="25"/>
      <c r="M97" s="25"/>
      <c r="N97" s="25"/>
      <c r="O97" s="25"/>
      <c r="P97" s="25"/>
      <c r="Q97" s="25"/>
    </row>
    <row r="98" spans="1:23">
      <c r="A98" s="600"/>
      <c r="B98" s="600"/>
      <c r="C98" s="600"/>
      <c r="D98" s="600"/>
      <c r="E98" s="600"/>
      <c r="F98" s="600"/>
      <c r="G98" s="25"/>
      <c r="H98" s="25"/>
      <c r="I98" s="25"/>
      <c r="J98" s="25"/>
      <c r="K98" s="26"/>
      <c r="L98" s="25"/>
      <c r="M98" s="25"/>
      <c r="N98" s="25"/>
      <c r="O98" s="25"/>
      <c r="P98" s="25"/>
      <c r="Q98" s="25"/>
    </row>
    <row r="99" spans="1:23" ht="13.5" thickBot="1">
      <c r="A99" s="695" t="s">
        <v>535</v>
      </c>
      <c r="G99" s="23"/>
      <c r="H99" s="23"/>
      <c r="I99" s="23"/>
      <c r="J99" s="23"/>
      <c r="K99" s="23"/>
      <c r="L99" s="23"/>
      <c r="M99" s="23"/>
      <c r="N99" s="23"/>
      <c r="O99" s="23"/>
      <c r="P99" s="23"/>
      <c r="Q99" s="23"/>
    </row>
    <row r="100" spans="1:23" ht="41.25" customHeight="1">
      <c r="A100" s="1302" t="s">
        <v>688</v>
      </c>
      <c r="B100" s="1303"/>
      <c r="C100" s="1303"/>
      <c r="D100" s="1303"/>
      <c r="E100" s="1303"/>
      <c r="F100" s="1303"/>
      <c r="G100" s="208" t="str">
        <f>+C102</f>
        <v>Remove:  Interest on Network Credits</v>
      </c>
      <c r="H100" s="1288" t="s">
        <v>482</v>
      </c>
      <c r="I100" s="1289"/>
      <c r="J100" s="1289"/>
      <c r="K100" s="1289"/>
      <c r="L100" s="1289"/>
      <c r="M100" s="1289"/>
      <c r="N100" s="1289"/>
      <c r="O100" s="1289"/>
      <c r="P100" s="1289"/>
      <c r="Q100" s="1312"/>
    </row>
    <row r="101" spans="1:23">
      <c r="A101" s="672"/>
      <c r="B101" s="679" t="s">
        <v>430</v>
      </c>
      <c r="C101" s="600"/>
      <c r="D101" s="600"/>
      <c r="E101" s="600"/>
      <c r="F101" s="705"/>
      <c r="G101" s="196"/>
      <c r="H101" s="25"/>
      <c r="I101" s="25"/>
      <c r="J101" s="25"/>
      <c r="K101" s="25"/>
      <c r="L101" s="25"/>
      <c r="M101" s="25"/>
      <c r="N101" s="25"/>
      <c r="O101" s="25"/>
      <c r="P101" s="25"/>
      <c r="Q101" s="194"/>
    </row>
    <row r="102" spans="1:23" ht="14.25" customHeight="1" thickBot="1">
      <c r="A102" s="693">
        <f>'Appendix H-1'!A261</f>
        <v>158</v>
      </c>
      <c r="B102" s="702"/>
      <c r="C102" s="700" t="str">
        <f>'Appendix H-1'!C261</f>
        <v>Remove:  Interest on Network Credits</v>
      </c>
      <c r="D102" s="702"/>
      <c r="E102" s="702" t="str">
        <f>'Appendix H-1'!E261</f>
        <v>(Note M)</v>
      </c>
      <c r="F102" s="975" t="s">
        <v>242</v>
      </c>
      <c r="G102" s="1246">
        <v>0</v>
      </c>
      <c r="H102" s="1318" t="s">
        <v>1</v>
      </c>
      <c r="I102" s="1318"/>
      <c r="J102" s="1318"/>
      <c r="K102" s="1318"/>
      <c r="L102" s="1318"/>
      <c r="M102" s="1318"/>
      <c r="N102" s="1318"/>
      <c r="O102" s="1318"/>
      <c r="P102" s="1318"/>
      <c r="Q102" s="1319"/>
    </row>
    <row r="103" spans="1:23">
      <c r="A103" s="600"/>
      <c r="B103" s="600"/>
      <c r="C103" s="600"/>
      <c r="D103" s="600"/>
      <c r="E103" s="600"/>
      <c r="F103" s="600"/>
      <c r="G103" s="25"/>
      <c r="H103" s="25"/>
      <c r="I103" s="25"/>
      <c r="J103" s="25"/>
      <c r="K103" s="26"/>
      <c r="L103" s="25"/>
      <c r="M103" s="25"/>
      <c r="N103" s="25"/>
      <c r="O103" s="25"/>
      <c r="P103" s="25"/>
      <c r="Q103" s="25"/>
    </row>
    <row r="104" spans="1:23">
      <c r="A104" s="600"/>
      <c r="B104" s="600"/>
      <c r="C104" s="600"/>
      <c r="D104" s="600"/>
      <c r="E104" s="600"/>
      <c r="F104" s="600"/>
      <c r="G104" s="25"/>
      <c r="H104" s="25"/>
      <c r="I104" s="25"/>
      <c r="J104" s="25"/>
      <c r="K104" s="26"/>
      <c r="L104" s="25"/>
      <c r="M104" s="25"/>
      <c r="N104" s="25"/>
      <c r="O104" s="25"/>
      <c r="P104" s="25"/>
      <c r="Q104" s="25"/>
    </row>
    <row r="105" spans="1:23" ht="13.5" thickBot="1">
      <c r="A105" s="695" t="s">
        <v>50</v>
      </c>
      <c r="D105" s="343"/>
      <c r="E105" s="343"/>
      <c r="F105" s="343"/>
      <c r="G105" s="310"/>
      <c r="H105" s="310"/>
      <c r="I105" s="310"/>
      <c r="J105" s="310"/>
      <c r="K105" s="310"/>
      <c r="L105" s="310"/>
      <c r="M105" s="310"/>
      <c r="N105" s="310"/>
      <c r="O105" s="310"/>
      <c r="P105" s="310"/>
      <c r="Q105" s="310"/>
    </row>
    <row r="106" spans="1:23">
      <c r="A106" s="1302" t="s">
        <v>688</v>
      </c>
      <c r="B106" s="1303"/>
      <c r="C106" s="1303"/>
      <c r="D106" s="1303"/>
      <c r="E106" s="1303"/>
      <c r="F106" s="1096" t="s">
        <v>865</v>
      </c>
      <c r="G106" s="342" t="s">
        <v>47</v>
      </c>
      <c r="H106" s="1288"/>
      <c r="I106" s="1289"/>
      <c r="J106" s="1289"/>
      <c r="K106" s="1289"/>
      <c r="L106" s="1289"/>
      <c r="M106" s="1289"/>
      <c r="N106" s="1289"/>
      <c r="O106" s="1289"/>
      <c r="P106" s="1289"/>
      <c r="Q106" s="1312"/>
    </row>
    <row r="107" spans="1:23" ht="13.5" thickBot="1">
      <c r="A107" s="714"/>
      <c r="B107" s="679"/>
      <c r="C107" s="308"/>
      <c r="D107" s="335"/>
      <c r="E107" s="296"/>
      <c r="F107" s="673"/>
      <c r="G107" s="356"/>
      <c r="H107" s="889"/>
      <c r="I107" s="310"/>
      <c r="J107" s="889"/>
      <c r="K107" s="889"/>
      <c r="L107" s="310"/>
      <c r="M107" s="310"/>
      <c r="N107" s="310"/>
      <c r="O107" s="310"/>
      <c r="P107" s="310"/>
      <c r="Q107" s="263"/>
    </row>
    <row r="108" spans="1:23">
      <c r="A108" s="672"/>
      <c r="B108" s="600"/>
      <c r="C108" s="599"/>
      <c r="D108" s="600"/>
      <c r="E108" s="600"/>
      <c r="F108" s="1038"/>
      <c r="G108" s="780" t="s">
        <v>7</v>
      </c>
      <c r="H108" s="780" t="s">
        <v>6</v>
      </c>
      <c r="I108" s="821"/>
      <c r="J108" s="197"/>
      <c r="K108" s="197"/>
      <c r="L108" s="197"/>
      <c r="M108" s="197"/>
      <c r="N108" s="197"/>
      <c r="O108" s="197"/>
      <c r="P108" s="197"/>
      <c r="Q108" s="442"/>
      <c r="S108" s="891"/>
    </row>
    <row r="109" spans="1:23">
      <c r="A109" s="356">
        <f>'Appendix H-1'!A118</f>
        <v>66</v>
      </c>
      <c r="B109" s="310"/>
      <c r="C109" s="982" t="s">
        <v>103</v>
      </c>
      <c r="D109" s="310"/>
      <c r="E109" s="310"/>
      <c r="F109" s="1039" t="s">
        <v>8</v>
      </c>
      <c r="G109" s="1231">
        <v>3600428</v>
      </c>
      <c r="H109" s="1232">
        <v>0</v>
      </c>
      <c r="I109" s="820"/>
      <c r="J109" s="197"/>
      <c r="K109" s="821"/>
      <c r="L109" s="197"/>
      <c r="M109" s="197"/>
      <c r="N109" s="197"/>
      <c r="O109" s="197"/>
      <c r="P109" s="197"/>
      <c r="Q109" s="442"/>
      <c r="S109" s="336"/>
      <c r="T109" s="315"/>
      <c r="U109" s="899"/>
      <c r="V109" s="899"/>
      <c r="W109" s="899"/>
    </row>
    <row r="110" spans="1:23" ht="13.5" thickBot="1">
      <c r="A110" s="693"/>
      <c r="B110" s="702"/>
      <c r="C110" s="700"/>
      <c r="D110" s="702"/>
      <c r="E110" s="702"/>
      <c r="F110" s="1040"/>
      <c r="G110" s="781"/>
      <c r="H110" s="781"/>
      <c r="I110" s="314"/>
      <c r="J110" s="314"/>
      <c r="K110" s="314"/>
      <c r="L110" s="314"/>
      <c r="M110" s="314"/>
      <c r="N110" s="314"/>
      <c r="O110" s="314"/>
      <c r="P110" s="314"/>
      <c r="Q110" s="782"/>
    </row>
    <row r="111" spans="1:23">
      <c r="A111" s="328"/>
      <c r="B111" s="328"/>
      <c r="C111" s="328"/>
      <c r="D111" s="328"/>
      <c r="E111" s="328"/>
      <c r="F111" s="328"/>
      <c r="G111" s="25"/>
      <c r="H111" s="25"/>
      <c r="I111" s="25"/>
      <c r="J111" s="25"/>
      <c r="K111" s="26"/>
      <c r="L111" s="25"/>
      <c r="M111" s="25"/>
      <c r="N111" s="25"/>
      <c r="O111" s="25"/>
      <c r="P111" s="25"/>
      <c r="Q111" s="25"/>
    </row>
    <row r="112" spans="1:23">
      <c r="A112" s="328"/>
      <c r="B112" s="328"/>
      <c r="C112" s="328"/>
      <c r="D112" s="328"/>
      <c r="E112" s="328"/>
      <c r="F112" s="328"/>
      <c r="G112" s="25"/>
      <c r="H112" s="25"/>
      <c r="I112" s="25"/>
      <c r="J112" s="25"/>
      <c r="K112" s="26"/>
      <c r="L112" s="25"/>
      <c r="M112" s="25"/>
      <c r="N112" s="25"/>
      <c r="O112" s="25"/>
      <c r="P112" s="25"/>
      <c r="Q112" s="25"/>
    </row>
    <row r="113" spans="1:20" ht="13.5" thickBot="1">
      <c r="A113" s="695" t="s">
        <v>651</v>
      </c>
      <c r="G113" s="23"/>
      <c r="H113" s="23"/>
      <c r="I113" s="23"/>
      <c r="J113" s="23"/>
      <c r="K113" s="23"/>
      <c r="L113" s="23"/>
      <c r="M113" s="23"/>
      <c r="N113" s="23"/>
      <c r="O113" s="23"/>
      <c r="P113" s="23"/>
      <c r="Q113" s="23"/>
    </row>
    <row r="114" spans="1:20" ht="54" customHeight="1">
      <c r="A114" s="1302" t="s">
        <v>688</v>
      </c>
      <c r="B114" s="1303"/>
      <c r="C114" s="1303"/>
      <c r="D114" s="1303"/>
      <c r="E114" s="1303"/>
      <c r="F114" s="1096" t="s">
        <v>865</v>
      </c>
      <c r="G114" s="208" t="s">
        <v>182</v>
      </c>
      <c r="H114" s="907" t="s">
        <v>771</v>
      </c>
      <c r="I114" s="907" t="s">
        <v>772</v>
      </c>
      <c r="J114" s="205" t="s">
        <v>758</v>
      </c>
      <c r="K114" s="205" t="s">
        <v>759</v>
      </c>
      <c r="L114" s="739" t="s">
        <v>652</v>
      </c>
      <c r="M114" s="723"/>
      <c r="N114" s="740"/>
      <c r="O114" s="740"/>
      <c r="P114" s="740"/>
      <c r="Q114" s="741"/>
      <c r="R114" s="1060"/>
      <c r="S114" s="916"/>
    </row>
    <row r="115" spans="1:20">
      <c r="A115" s="715"/>
      <c r="B115" s="716" t="s">
        <v>437</v>
      </c>
      <c r="C115" s="716"/>
      <c r="D115" s="716"/>
      <c r="E115" s="840"/>
      <c r="F115" s="841"/>
      <c r="G115" s="196"/>
      <c r="H115" s="25"/>
      <c r="I115" s="25"/>
      <c r="J115" s="25"/>
      <c r="K115" s="25"/>
      <c r="L115" s="25"/>
      <c r="M115" s="328"/>
      <c r="N115" s="25"/>
      <c r="O115" s="25"/>
      <c r="P115" s="25"/>
      <c r="Q115" s="194"/>
      <c r="R115" s="310"/>
      <c r="S115" s="823"/>
    </row>
    <row r="116" spans="1:20" s="328" customFormat="1" ht="12.75" customHeight="1">
      <c r="A116" s="672">
        <f>'Appendix H-1'!A289</f>
        <v>176</v>
      </c>
      <c r="B116" s="716"/>
      <c r="C116" s="840" t="str">
        <f>'Appendix H-1'!C289</f>
        <v>12 CP Average</v>
      </c>
      <c r="D116" s="716"/>
      <c r="E116" s="296" t="str">
        <f>'Appendix H-1'!E296</f>
        <v>(Note K)</v>
      </c>
      <c r="F116" s="841" t="s">
        <v>866</v>
      </c>
      <c r="G116" s="1233">
        <v>50423</v>
      </c>
      <c r="H116" s="1234">
        <v>153</v>
      </c>
      <c r="I116" s="1234">
        <v>0</v>
      </c>
      <c r="J116" s="357">
        <f>G116-H116-I116</f>
        <v>50270</v>
      </c>
      <c r="K116" s="744">
        <f>J116/12</f>
        <v>4189.166666666667</v>
      </c>
      <c r="L116" s="1328" t="s">
        <v>760</v>
      </c>
      <c r="M116" s="1328"/>
      <c r="N116" s="1328"/>
      <c r="O116" s="1328"/>
      <c r="P116" s="1328"/>
      <c r="Q116" s="722"/>
      <c r="R116" s="721"/>
      <c r="S116" s="917"/>
    </row>
    <row r="117" spans="1:20">
      <c r="A117" s="718"/>
      <c r="B117" s="716"/>
      <c r="C117" s="716"/>
      <c r="D117" s="716"/>
      <c r="E117" s="716"/>
      <c r="F117" s="717"/>
      <c r="G117" s="738"/>
      <c r="H117" s="197"/>
      <c r="I117" s="197"/>
      <c r="J117" s="197"/>
      <c r="K117" s="744"/>
      <c r="L117" s="834"/>
      <c r="M117" s="443"/>
      <c r="N117" s="834"/>
      <c r="O117" s="834"/>
      <c r="P117" s="834"/>
      <c r="Q117" s="442"/>
      <c r="R117" s="1059"/>
      <c r="S117" s="823"/>
    </row>
    <row r="118" spans="1:20" ht="13.5" customHeight="1" thickBot="1">
      <c r="A118" s="693"/>
      <c r="B118" s="702"/>
      <c r="C118" s="702"/>
      <c r="D118" s="702"/>
      <c r="E118" s="702"/>
      <c r="F118" s="704"/>
      <c r="G118" s="843"/>
      <c r="H118" s="742"/>
      <c r="I118" s="742"/>
      <c r="J118" s="750"/>
      <c r="K118" s="750"/>
      <c r="L118" s="1321"/>
      <c r="M118" s="1321"/>
      <c r="N118" s="1321"/>
      <c r="O118" s="1321"/>
      <c r="P118" s="897"/>
      <c r="Q118" s="743"/>
      <c r="R118" s="721"/>
      <c r="S118" s="823"/>
    </row>
    <row r="119" spans="1:20">
      <c r="G119" s="23"/>
      <c r="H119" s="23"/>
      <c r="I119" s="23"/>
      <c r="J119" s="23"/>
      <c r="K119" s="23"/>
      <c r="L119" s="23"/>
      <c r="M119" s="23"/>
      <c r="N119" s="23"/>
      <c r="O119" s="23"/>
      <c r="P119" s="23"/>
      <c r="Q119" s="23"/>
      <c r="R119" s="343"/>
      <c r="S119" s="823"/>
    </row>
    <row r="120" spans="1:20">
      <c r="G120" s="23"/>
      <c r="H120" s="23"/>
      <c r="I120" s="23"/>
      <c r="J120" s="23"/>
      <c r="K120" s="23"/>
      <c r="L120" s="23"/>
      <c r="M120" s="23"/>
      <c r="N120" s="23"/>
      <c r="O120" s="23"/>
      <c r="P120" s="23"/>
      <c r="Q120" s="23"/>
      <c r="R120" s="343"/>
      <c r="S120" s="823"/>
    </row>
    <row r="121" spans="1:20" s="328" customFormat="1" ht="13.5" thickBot="1">
      <c r="A121" s="695" t="s">
        <v>859</v>
      </c>
      <c r="B121" s="310"/>
      <c r="C121" s="310"/>
      <c r="D121" s="1098"/>
      <c r="E121" s="310"/>
      <c r="F121" s="310"/>
      <c r="G121" s="310"/>
      <c r="H121" s="310"/>
      <c r="I121" s="310"/>
      <c r="J121" s="310"/>
      <c r="K121" s="310"/>
      <c r="L121" s="310"/>
      <c r="M121" s="310"/>
      <c r="N121" s="310"/>
      <c r="O121" s="257"/>
      <c r="P121" s="310"/>
      <c r="Q121" s="310"/>
      <c r="R121" s="310"/>
      <c r="S121" s="918"/>
    </row>
    <row r="122" spans="1:20">
      <c r="A122" s="725" t="s">
        <v>688</v>
      </c>
      <c r="B122" s="1147"/>
      <c r="C122" s="1112"/>
      <c r="D122" s="1148"/>
      <c r="E122" s="1114"/>
      <c r="F122" s="1115"/>
      <c r="G122" s="1116"/>
      <c r="H122" s="1113"/>
      <c r="I122" s="1117"/>
      <c r="J122" s="1118"/>
      <c r="K122" s="1119"/>
      <c r="L122" s="1119"/>
      <c r="M122" s="1120"/>
      <c r="N122" s="1120"/>
      <c r="O122" s="1120"/>
      <c r="P122" s="1120"/>
      <c r="Q122" s="1121"/>
      <c r="R122" s="1063"/>
      <c r="S122" s="918"/>
      <c r="T122" s="328"/>
    </row>
    <row r="123" spans="1:20" ht="33.75" customHeight="1">
      <c r="A123" s="1149"/>
      <c r="B123" s="1150"/>
      <c r="C123" s="1125" t="s">
        <v>858</v>
      </c>
      <c r="D123" s="1151"/>
      <c r="E123" s="1005"/>
      <c r="F123" s="727"/>
      <c r="G123" s="729"/>
      <c r="H123" s="726"/>
      <c r="I123" s="730"/>
      <c r="J123" s="731"/>
      <c r="K123" s="728"/>
      <c r="L123" s="728"/>
      <c r="M123" s="732"/>
      <c r="N123" s="732"/>
      <c r="O123" s="732"/>
      <c r="P123" s="732"/>
      <c r="Q123" s="733"/>
      <c r="R123" s="1063"/>
      <c r="S123" s="918"/>
      <c r="T123" s="328"/>
    </row>
    <row r="124" spans="1:20" s="315" customFormat="1">
      <c r="A124" s="1152"/>
      <c r="B124" s="1153"/>
      <c r="C124" s="1146" t="s">
        <v>867</v>
      </c>
      <c r="D124" s="1154"/>
      <c r="E124" s="308"/>
      <c r="F124" s="1089"/>
      <c r="G124" s="1090"/>
      <c r="H124" s="1088"/>
      <c r="I124" s="1091"/>
      <c r="J124" s="1092"/>
      <c r="K124" s="1093"/>
      <c r="L124" s="1093"/>
      <c r="M124" s="1063"/>
      <c r="N124" s="1063"/>
      <c r="O124" s="1063"/>
      <c r="P124" s="1063"/>
      <c r="Q124" s="1094"/>
      <c r="R124" s="1063"/>
      <c r="S124" s="921"/>
      <c r="T124" s="343"/>
    </row>
    <row r="125" spans="1:20" s="315" customFormat="1">
      <c r="A125" s="1152"/>
      <c r="B125" s="1153"/>
      <c r="C125" s="1123" t="s">
        <v>868</v>
      </c>
      <c r="D125" s="1154"/>
      <c r="E125" s="308"/>
      <c r="F125" s="1089"/>
      <c r="G125" s="1090"/>
      <c r="H125" s="1088"/>
      <c r="I125" s="1091"/>
      <c r="J125" s="1092"/>
      <c r="K125" s="1093"/>
      <c r="L125" s="1093"/>
      <c r="M125" s="1063"/>
      <c r="N125" s="1063"/>
      <c r="O125" s="1063"/>
      <c r="P125" s="1063"/>
      <c r="Q125" s="1094"/>
      <c r="R125" s="1063"/>
      <c r="S125" s="921"/>
      <c r="T125" s="343"/>
    </row>
    <row r="126" spans="1:20">
      <c r="A126" s="1152"/>
      <c r="B126" s="1153"/>
      <c r="C126" s="1124" t="s">
        <v>869</v>
      </c>
      <c r="D126" s="1154"/>
      <c r="E126" s="308"/>
      <c r="F126" s="1089"/>
      <c r="G126" s="1090"/>
      <c r="H126" s="1088"/>
      <c r="I126" s="1091"/>
      <c r="J126" s="1092"/>
      <c r="K126" s="1093"/>
      <c r="L126" s="1093"/>
      <c r="M126" s="1063"/>
      <c r="N126" s="1063"/>
      <c r="O126" s="1063"/>
      <c r="P126" s="1063"/>
      <c r="Q126" s="1094"/>
      <c r="R126" s="1063"/>
      <c r="S126" s="918"/>
      <c r="T126" s="328"/>
    </row>
    <row r="127" spans="1:20">
      <c r="A127" s="1152"/>
      <c r="B127" s="1153"/>
      <c r="C127" s="1146" t="s">
        <v>870</v>
      </c>
      <c r="D127" s="1154"/>
      <c r="E127" s="308"/>
      <c r="F127" s="1089"/>
      <c r="G127" s="1090"/>
      <c r="H127" s="1088"/>
      <c r="I127" s="1091"/>
      <c r="J127" s="1092"/>
      <c r="K127" s="1093"/>
      <c r="L127" s="1093"/>
      <c r="M127" s="1063"/>
      <c r="N127" s="1063"/>
      <c r="O127" s="1063"/>
      <c r="P127" s="1063"/>
      <c r="Q127" s="1094"/>
      <c r="R127" s="1063"/>
      <c r="S127" s="918"/>
      <c r="T127" s="328"/>
    </row>
    <row r="128" spans="1:20">
      <c r="A128" s="1086"/>
      <c r="B128" s="1087"/>
      <c r="C128" s="1085"/>
      <c r="D128" s="1088"/>
      <c r="E128" s="308"/>
      <c r="F128" s="1089"/>
      <c r="G128" s="1090"/>
      <c r="H128" s="1088"/>
      <c r="I128" s="1091"/>
      <c r="J128" s="1092"/>
      <c r="K128" s="1093"/>
      <c r="L128" s="1093"/>
      <c r="M128" s="1063"/>
      <c r="N128" s="1063"/>
      <c r="O128" s="1063"/>
      <c r="P128" s="1063"/>
      <c r="Q128" s="1094"/>
      <c r="R128" s="1063"/>
      <c r="S128" s="918"/>
      <c r="T128" s="328"/>
    </row>
    <row r="129" spans="1:20" ht="13.5" thickBot="1">
      <c r="A129" s="1101"/>
      <c r="B129" s="1102"/>
      <c r="C129" s="1103"/>
      <c r="D129" s="1104"/>
      <c r="E129" s="1105"/>
      <c r="F129" s="1106"/>
      <c r="G129" s="1107"/>
      <c r="H129" s="1104"/>
      <c r="I129" s="1108"/>
      <c r="J129" s="1109"/>
      <c r="K129" s="1110"/>
      <c r="L129" s="1110"/>
      <c r="M129" s="1111"/>
      <c r="N129" s="1111"/>
      <c r="O129" s="1111"/>
      <c r="P129" s="1111"/>
      <c r="Q129" s="1126"/>
      <c r="R129" s="1063"/>
      <c r="S129" s="918"/>
      <c r="T129" s="328"/>
    </row>
    <row r="130" spans="1:20">
      <c r="E130" s="328"/>
      <c r="F130" s="328"/>
      <c r="G130" s="25"/>
      <c r="H130" s="25"/>
      <c r="I130" s="25"/>
      <c r="J130" s="25"/>
      <c r="K130" s="25"/>
      <c r="L130" s="25"/>
      <c r="M130" s="25"/>
      <c r="N130" s="25"/>
      <c r="O130" s="25"/>
      <c r="P130" s="25"/>
      <c r="Q130" s="25"/>
    </row>
    <row r="131" spans="1:20">
      <c r="E131" s="328"/>
      <c r="F131" s="328"/>
      <c r="G131" s="25"/>
      <c r="H131" s="25"/>
      <c r="I131" s="25"/>
      <c r="J131" s="25"/>
      <c r="K131" s="25"/>
      <c r="L131" s="25"/>
      <c r="M131" s="25"/>
      <c r="N131" s="25"/>
      <c r="O131" s="25"/>
      <c r="P131" s="25"/>
      <c r="Q131" s="25"/>
    </row>
    <row r="132" spans="1:20" ht="15.75" thickBot="1">
      <c r="A132" s="1155" t="s">
        <v>681</v>
      </c>
      <c r="B132" s="23"/>
      <c r="C132" s="23"/>
      <c r="D132" s="724"/>
      <c r="E132" s="310"/>
      <c r="F132" s="310"/>
      <c r="G132" s="310"/>
      <c r="H132" s="310"/>
      <c r="I132" s="310"/>
      <c r="J132" s="310"/>
      <c r="K132" s="310"/>
      <c r="L132" s="310"/>
      <c r="M132" s="310"/>
      <c r="N132" s="310"/>
      <c r="O132" s="310"/>
      <c r="P132" s="310"/>
      <c r="Q132" s="310"/>
      <c r="R132" s="310"/>
      <c r="S132" s="918"/>
      <c r="T132" s="328"/>
    </row>
    <row r="133" spans="1:20" ht="15">
      <c r="A133" s="1156" t="s">
        <v>688</v>
      </c>
      <c r="B133" s="1157"/>
      <c r="C133" s="1157"/>
      <c r="D133" s="1157"/>
      <c r="E133" s="1157"/>
      <c r="F133" s="1158"/>
      <c r="G133" s="1157"/>
      <c r="H133" s="1157"/>
      <c r="I133" s="1157"/>
      <c r="J133" s="1157"/>
      <c r="K133" s="1159"/>
      <c r="L133" s="1160"/>
      <c r="M133" s="1157"/>
      <c r="N133" s="1157"/>
      <c r="O133" s="1157"/>
      <c r="P133" s="1161"/>
      <c r="Q133" s="1162"/>
      <c r="R133" s="1061"/>
      <c r="S133" s="918"/>
      <c r="T133" s="328"/>
    </row>
    <row r="134" spans="1:20" ht="45">
      <c r="A134" s="1163"/>
      <c r="B134" s="1164"/>
      <c r="C134" s="1164"/>
      <c r="D134" s="1164"/>
      <c r="E134" s="1164"/>
      <c r="F134" s="1165"/>
      <c r="G134" s="1166" t="s">
        <v>392</v>
      </c>
      <c r="H134" s="1166"/>
      <c r="I134" s="1167" t="s">
        <v>914</v>
      </c>
      <c r="J134" s="1167" t="s">
        <v>915</v>
      </c>
      <c r="K134" s="1168" t="s">
        <v>916</v>
      </c>
      <c r="L134" s="1169" t="s">
        <v>917</v>
      </c>
      <c r="M134" s="1164"/>
      <c r="N134" s="1164"/>
      <c r="O134" s="1164"/>
      <c r="P134" s="1170"/>
      <c r="Q134" s="1171"/>
      <c r="R134" s="1062"/>
      <c r="S134" s="918"/>
      <c r="T134" s="328"/>
    </row>
    <row r="135" spans="1:20" ht="15">
      <c r="A135" s="35"/>
      <c r="B135" s="36"/>
      <c r="C135" s="1172" t="s">
        <v>682</v>
      </c>
      <c r="D135" s="36"/>
      <c r="E135" s="36"/>
      <c r="F135" s="37"/>
      <c r="G135" s="1173"/>
      <c r="H135" s="1173"/>
      <c r="I135" s="1174"/>
      <c r="J135" s="1174"/>
      <c r="K135" s="1175"/>
      <c r="L135" s="1176"/>
      <c r="M135" s="36"/>
      <c r="N135" s="36"/>
      <c r="O135" s="36"/>
      <c r="P135" s="36"/>
      <c r="Q135" s="37"/>
      <c r="R135" s="1063"/>
      <c r="S135" s="918"/>
      <c r="T135" s="328"/>
    </row>
    <row r="136" spans="1:20" s="315" customFormat="1">
      <c r="A136" s="35"/>
      <c r="B136" s="36"/>
      <c r="C136" s="1177">
        <v>352</v>
      </c>
      <c r="D136" s="36" t="s">
        <v>918</v>
      </c>
      <c r="E136" s="36"/>
      <c r="F136" s="37"/>
      <c r="G136" s="1173"/>
      <c r="H136" s="1173"/>
      <c r="I136" s="1174"/>
      <c r="J136" s="1174"/>
      <c r="K136" s="1175"/>
      <c r="L136" s="1176"/>
      <c r="M136" s="36"/>
      <c r="N136" s="36"/>
      <c r="O136" s="36"/>
      <c r="P136" s="36"/>
      <c r="Q136" s="37"/>
      <c r="R136" s="1127"/>
      <c r="S136" s="921"/>
      <c r="T136" s="343"/>
    </row>
    <row r="137" spans="1:20">
      <c r="A137" s="35"/>
      <c r="B137" s="36"/>
      <c r="C137" s="1177"/>
      <c r="D137" s="260" t="s">
        <v>919</v>
      </c>
      <c r="E137" s="260"/>
      <c r="F137" s="1178"/>
      <c r="G137" s="1173">
        <v>65</v>
      </c>
      <c r="H137" s="1173"/>
      <c r="I137" s="1173" t="s">
        <v>908</v>
      </c>
      <c r="J137" s="1173">
        <v>10</v>
      </c>
      <c r="K137" s="1179">
        <v>1.52</v>
      </c>
      <c r="L137" s="1180">
        <v>24.1</v>
      </c>
      <c r="M137" s="1181" t="s">
        <v>920</v>
      </c>
      <c r="N137" s="36"/>
      <c r="O137" s="36"/>
      <c r="P137" s="36"/>
      <c r="Q137" s="37"/>
      <c r="R137" s="719"/>
      <c r="S137" s="918"/>
      <c r="T137" s="328"/>
    </row>
    <row r="138" spans="1:20">
      <c r="A138" s="35"/>
      <c r="B138" s="36"/>
      <c r="C138" s="1177"/>
      <c r="D138" s="260" t="s">
        <v>921</v>
      </c>
      <c r="E138" s="260"/>
      <c r="F138" s="1178"/>
      <c r="G138" s="1173">
        <v>65</v>
      </c>
      <c r="H138" s="1173"/>
      <c r="I138" s="1173" t="s">
        <v>908</v>
      </c>
      <c r="J138" s="1173">
        <v>10</v>
      </c>
      <c r="K138" s="1182">
        <v>1.78</v>
      </c>
      <c r="L138" s="1180">
        <v>51.2</v>
      </c>
      <c r="M138" s="36"/>
      <c r="N138" s="36"/>
      <c r="O138" s="36"/>
      <c r="P138" s="36"/>
      <c r="Q138" s="37"/>
      <c r="R138" s="719"/>
      <c r="S138" s="918"/>
      <c r="T138" s="328"/>
    </row>
    <row r="139" spans="1:20">
      <c r="A139" s="35"/>
      <c r="B139" s="36"/>
      <c r="C139" s="1177"/>
      <c r="D139" s="36"/>
      <c r="E139" s="260"/>
      <c r="F139" s="1178"/>
      <c r="G139" s="36"/>
      <c r="H139" s="36"/>
      <c r="I139" s="36"/>
      <c r="J139" s="36"/>
      <c r="K139" s="1182"/>
      <c r="L139" s="1183"/>
      <c r="M139" s="36"/>
      <c r="N139" s="36"/>
      <c r="O139" s="36"/>
      <c r="P139" s="36"/>
      <c r="Q139" s="37"/>
      <c r="R139" s="719"/>
      <c r="S139" s="919"/>
      <c r="T139" s="328"/>
    </row>
    <row r="140" spans="1:20">
      <c r="A140" s="35"/>
      <c r="B140" s="36"/>
      <c r="C140" s="1177">
        <v>353</v>
      </c>
      <c r="D140" s="36" t="s">
        <v>684</v>
      </c>
      <c r="E140" s="260"/>
      <c r="F140" s="1178"/>
      <c r="G140" s="36"/>
      <c r="H140" s="36"/>
      <c r="I140" s="36"/>
      <c r="J140" s="36"/>
      <c r="K140" s="1182"/>
      <c r="L140" s="1183"/>
      <c r="M140" s="36"/>
      <c r="N140" s="36"/>
      <c r="O140" s="36"/>
      <c r="P140" s="36"/>
      <c r="Q140" s="37"/>
      <c r="R140" s="719"/>
      <c r="S140" s="918"/>
      <c r="T140" s="328"/>
    </row>
    <row r="141" spans="1:20">
      <c r="A141" s="35"/>
      <c r="B141" s="36"/>
      <c r="C141" s="1177"/>
      <c r="D141" s="260" t="s">
        <v>919</v>
      </c>
      <c r="E141" s="260"/>
      <c r="F141" s="1178"/>
      <c r="G141" s="1173">
        <v>60</v>
      </c>
      <c r="H141" s="1173"/>
      <c r="I141" s="1173" t="s">
        <v>756</v>
      </c>
      <c r="J141" s="1173">
        <v>15</v>
      </c>
      <c r="K141" s="1179">
        <v>3.28</v>
      </c>
      <c r="L141" s="1180">
        <v>25.8</v>
      </c>
      <c r="M141" s="36"/>
      <c r="N141" s="36"/>
      <c r="O141" s="36"/>
      <c r="P141" s="36"/>
      <c r="Q141" s="37"/>
      <c r="R141" s="719"/>
      <c r="S141" s="918"/>
      <c r="T141" s="328"/>
    </row>
    <row r="142" spans="1:20">
      <c r="A142" s="35"/>
      <c r="B142" s="36"/>
      <c r="C142" s="1177"/>
      <c r="D142" s="260" t="s">
        <v>922</v>
      </c>
      <c r="E142" s="260"/>
      <c r="F142" s="1178"/>
      <c r="G142" s="1173">
        <v>60</v>
      </c>
      <c r="H142" s="1173"/>
      <c r="I142" s="1173" t="s">
        <v>756</v>
      </c>
      <c r="J142" s="1173">
        <v>15</v>
      </c>
      <c r="K142" s="1179">
        <v>2.29</v>
      </c>
      <c r="L142" s="1180">
        <v>22.6</v>
      </c>
      <c r="M142" s="36"/>
      <c r="N142" s="36"/>
      <c r="O142" s="36"/>
      <c r="P142" s="36"/>
      <c r="Q142" s="37"/>
      <c r="R142" s="719"/>
      <c r="S142" s="918"/>
      <c r="T142" s="328"/>
    </row>
    <row r="143" spans="1:20">
      <c r="A143" s="35"/>
      <c r="B143" s="36"/>
      <c r="C143" s="1177"/>
      <c r="D143" s="260" t="s">
        <v>923</v>
      </c>
      <c r="E143" s="260"/>
      <c r="F143" s="1178"/>
      <c r="G143" s="1173">
        <v>60</v>
      </c>
      <c r="H143" s="1173"/>
      <c r="I143" s="1173" t="s">
        <v>756</v>
      </c>
      <c r="J143" s="1173">
        <v>15</v>
      </c>
      <c r="K143" s="1179">
        <v>0.4</v>
      </c>
      <c r="L143" s="1180">
        <v>45.1</v>
      </c>
      <c r="M143" s="36"/>
      <c r="N143" s="36"/>
      <c r="O143" s="36"/>
      <c r="P143" s="36"/>
      <c r="Q143" s="37"/>
      <c r="R143" s="719"/>
      <c r="S143" s="918"/>
      <c r="T143" s="328"/>
    </row>
    <row r="144" spans="1:20">
      <c r="A144" s="35"/>
      <c r="B144" s="36"/>
      <c r="C144" s="1177"/>
      <c r="D144" s="260" t="s">
        <v>924</v>
      </c>
      <c r="E144" s="260"/>
      <c r="F144" s="1178"/>
      <c r="G144" s="1173">
        <v>60</v>
      </c>
      <c r="H144" s="1173"/>
      <c r="I144" s="1173" t="s">
        <v>756</v>
      </c>
      <c r="J144" s="1173">
        <v>15</v>
      </c>
      <c r="K144" s="1179">
        <v>2.2999999999999998</v>
      </c>
      <c r="L144" s="1180">
        <v>29.5</v>
      </c>
      <c r="M144" s="36"/>
      <c r="N144" s="36"/>
      <c r="O144" s="36"/>
      <c r="P144" s="36"/>
      <c r="Q144" s="37"/>
      <c r="R144" s="719"/>
      <c r="S144" s="918"/>
      <c r="T144" s="328"/>
    </row>
    <row r="145" spans="1:20">
      <c r="A145" s="35"/>
      <c r="B145" s="36"/>
      <c r="C145" s="1177"/>
      <c r="D145" s="260" t="s">
        <v>925</v>
      </c>
      <c r="E145" s="260"/>
      <c r="F145" s="1178"/>
      <c r="G145" s="1173">
        <v>60</v>
      </c>
      <c r="H145" s="1173"/>
      <c r="I145" s="1173" t="s">
        <v>756</v>
      </c>
      <c r="J145" s="1173">
        <v>15</v>
      </c>
      <c r="K145" s="1179">
        <v>4.58</v>
      </c>
      <c r="L145" s="1180">
        <v>18.600000000000001</v>
      </c>
      <c r="M145" s="36"/>
      <c r="N145" s="36"/>
      <c r="O145" s="36"/>
      <c r="P145" s="36"/>
      <c r="Q145" s="37"/>
      <c r="R145" s="719"/>
      <c r="S145" s="918"/>
      <c r="T145" s="328"/>
    </row>
    <row r="146" spans="1:20">
      <c r="A146" s="35"/>
      <c r="B146" s="36"/>
      <c r="C146" s="1177"/>
      <c r="D146" s="260" t="s">
        <v>926</v>
      </c>
      <c r="E146" s="260"/>
      <c r="F146" s="1178"/>
      <c r="G146" s="259">
        <v>60</v>
      </c>
      <c r="H146" s="259"/>
      <c r="I146" s="259" t="s">
        <v>756</v>
      </c>
      <c r="J146" s="259">
        <v>15</v>
      </c>
      <c r="K146" s="1184">
        <v>0.22</v>
      </c>
      <c r="L146" s="1185">
        <v>14.3</v>
      </c>
      <c r="M146" s="36"/>
      <c r="N146" s="36"/>
      <c r="O146" s="36"/>
      <c r="P146" s="36"/>
      <c r="Q146" s="37"/>
      <c r="R146" s="719"/>
      <c r="S146" s="918"/>
      <c r="T146" s="328"/>
    </row>
    <row r="147" spans="1:20">
      <c r="A147" s="35"/>
      <c r="B147" s="36"/>
      <c r="C147" s="1177"/>
      <c r="D147" s="260" t="s">
        <v>921</v>
      </c>
      <c r="E147" s="260"/>
      <c r="F147" s="1178"/>
      <c r="G147" s="259">
        <v>60</v>
      </c>
      <c r="H147" s="259"/>
      <c r="I147" s="259" t="s">
        <v>756</v>
      </c>
      <c r="J147" s="259">
        <v>15</v>
      </c>
      <c r="K147" s="1184">
        <v>1.81</v>
      </c>
      <c r="L147" s="1185">
        <v>47.9</v>
      </c>
      <c r="M147" s="36"/>
      <c r="N147" s="36"/>
      <c r="O147" s="36"/>
      <c r="P147" s="36"/>
      <c r="Q147" s="37"/>
      <c r="R147" s="719"/>
      <c r="S147" s="918"/>
      <c r="T147" s="328"/>
    </row>
    <row r="148" spans="1:20">
      <c r="A148" s="35"/>
      <c r="B148" s="36"/>
      <c r="C148" s="1177"/>
      <c r="D148" s="36"/>
      <c r="E148" s="260"/>
      <c r="F148" s="1178"/>
      <c r="G148" s="1173"/>
      <c r="H148" s="1173"/>
      <c r="I148" s="1173"/>
      <c r="J148" s="1173"/>
      <c r="K148" s="1179"/>
      <c r="L148" s="1180"/>
      <c r="M148" s="36"/>
      <c r="N148" s="36"/>
      <c r="O148" s="36"/>
      <c r="P148" s="36"/>
      <c r="Q148" s="37"/>
      <c r="R148" s="719"/>
      <c r="S148" s="918"/>
      <c r="T148" s="328"/>
    </row>
    <row r="149" spans="1:20">
      <c r="A149" s="35"/>
      <c r="B149" s="36"/>
      <c r="C149" s="1186">
        <v>353.1</v>
      </c>
      <c r="D149" s="260" t="s">
        <v>927</v>
      </c>
      <c r="E149" s="260"/>
      <c r="F149" s="1178"/>
      <c r="G149" s="1173"/>
      <c r="H149" s="1173"/>
      <c r="I149" s="1173"/>
      <c r="J149" s="1173"/>
      <c r="K149" s="1179"/>
      <c r="L149" s="1180"/>
      <c r="M149" s="36"/>
      <c r="N149" s="36"/>
      <c r="O149" s="36"/>
      <c r="P149" s="36"/>
      <c r="Q149" s="37"/>
      <c r="R149" s="719"/>
      <c r="S149" s="918"/>
      <c r="T149" s="328"/>
    </row>
    <row r="150" spans="1:20">
      <c r="A150" s="35"/>
      <c r="B150" s="36"/>
      <c r="C150" s="1177"/>
      <c r="D150" s="260" t="s">
        <v>928</v>
      </c>
      <c r="E150" s="260"/>
      <c r="F150" s="1178"/>
      <c r="G150" s="1173">
        <v>55</v>
      </c>
      <c r="H150" s="1173"/>
      <c r="I150" s="1173" t="s">
        <v>909</v>
      </c>
      <c r="J150" s="1173">
        <v>15</v>
      </c>
      <c r="K150" s="1179">
        <v>3.62</v>
      </c>
      <c r="L150" s="1180">
        <v>26.3</v>
      </c>
      <c r="M150" s="36"/>
      <c r="N150" s="36"/>
      <c r="O150" s="36"/>
      <c r="P150" s="36"/>
      <c r="Q150" s="37"/>
      <c r="R150" s="719"/>
      <c r="S150" s="918"/>
      <c r="T150" s="328"/>
    </row>
    <row r="151" spans="1:20">
      <c r="A151" s="35"/>
      <c r="B151" s="36"/>
      <c r="C151" s="1177"/>
      <c r="D151" s="260" t="s">
        <v>929</v>
      </c>
      <c r="E151" s="260"/>
      <c r="F151" s="1178"/>
      <c r="G151" s="1173">
        <v>55</v>
      </c>
      <c r="H151" s="1173"/>
      <c r="I151" s="1173" t="s">
        <v>909</v>
      </c>
      <c r="J151" s="1173">
        <v>15</v>
      </c>
      <c r="K151" s="1179">
        <v>2.5299999999999998</v>
      </c>
      <c r="L151" s="1180">
        <v>17.2</v>
      </c>
      <c r="M151" s="36"/>
      <c r="N151" s="36"/>
      <c r="O151" s="36"/>
      <c r="P151" s="36"/>
      <c r="Q151" s="37"/>
      <c r="R151" s="719"/>
      <c r="S151" s="918"/>
      <c r="T151" s="328"/>
    </row>
    <row r="152" spans="1:20">
      <c r="A152" s="35"/>
      <c r="B152" s="36"/>
      <c r="C152" s="1177"/>
      <c r="D152" s="260" t="s">
        <v>930</v>
      </c>
      <c r="E152" s="260"/>
      <c r="F152" s="1178"/>
      <c r="G152" s="1173">
        <v>55</v>
      </c>
      <c r="H152" s="1173"/>
      <c r="I152" s="1173" t="s">
        <v>909</v>
      </c>
      <c r="J152" s="1173">
        <v>15</v>
      </c>
      <c r="K152" s="1179">
        <v>1.85</v>
      </c>
      <c r="L152" s="1180">
        <v>46.2</v>
      </c>
      <c r="M152" s="36"/>
      <c r="N152" s="36"/>
      <c r="O152" s="36"/>
      <c r="P152" s="36"/>
      <c r="Q152" s="37"/>
      <c r="R152" s="719"/>
      <c r="S152" s="918"/>
      <c r="T152" s="328"/>
    </row>
    <row r="153" spans="1:20">
      <c r="A153" s="35"/>
      <c r="B153" s="36"/>
      <c r="C153" s="1177"/>
      <c r="D153" s="260" t="s">
        <v>931</v>
      </c>
      <c r="E153" s="260"/>
      <c r="F153" s="1178"/>
      <c r="G153" s="1173">
        <v>55</v>
      </c>
      <c r="H153" s="1173"/>
      <c r="I153" s="1173" t="s">
        <v>909</v>
      </c>
      <c r="J153" s="1173">
        <v>15</v>
      </c>
      <c r="K153" s="1179">
        <v>1.51</v>
      </c>
      <c r="L153" s="1180">
        <v>22.9</v>
      </c>
      <c r="M153" s="36"/>
      <c r="N153" s="36"/>
      <c r="O153" s="36"/>
      <c r="P153" s="36"/>
      <c r="Q153" s="37"/>
      <c r="R153" s="719"/>
      <c r="S153" s="918"/>
      <c r="T153" s="328"/>
    </row>
    <row r="154" spans="1:20">
      <c r="A154" s="35"/>
      <c r="B154" s="36"/>
      <c r="C154" s="1177"/>
      <c r="D154" s="36" t="s">
        <v>932</v>
      </c>
      <c r="E154" s="36"/>
      <c r="F154" s="37"/>
      <c r="G154" s="1173">
        <v>55</v>
      </c>
      <c r="H154" s="1173"/>
      <c r="I154" s="1173" t="s">
        <v>909</v>
      </c>
      <c r="J154" s="1173">
        <v>15</v>
      </c>
      <c r="K154" s="1179">
        <v>4.21</v>
      </c>
      <c r="L154" s="1180">
        <v>24.4</v>
      </c>
      <c r="M154" s="36"/>
      <c r="N154" s="36"/>
      <c r="O154" s="36"/>
      <c r="P154" s="36"/>
      <c r="Q154" s="37"/>
      <c r="R154" s="719"/>
      <c r="S154" s="918"/>
      <c r="T154" s="328"/>
    </row>
    <row r="155" spans="1:20">
      <c r="A155" s="35"/>
      <c r="B155" s="36"/>
      <c r="C155" s="1177"/>
      <c r="D155" s="36" t="s">
        <v>933</v>
      </c>
      <c r="E155" s="36"/>
      <c r="F155" s="37"/>
      <c r="G155" s="1173">
        <v>55</v>
      </c>
      <c r="H155" s="1173"/>
      <c r="I155" s="1173" t="s">
        <v>909</v>
      </c>
      <c r="J155" s="1173">
        <v>15</v>
      </c>
      <c r="K155" s="1179">
        <v>2.36</v>
      </c>
      <c r="L155" s="1180">
        <v>13.6</v>
      </c>
      <c r="M155" s="36"/>
      <c r="N155" s="36"/>
      <c r="O155" s="36"/>
      <c r="P155" s="36"/>
      <c r="Q155" s="37"/>
      <c r="R155" s="719"/>
      <c r="S155" s="918"/>
      <c r="T155" s="328"/>
    </row>
    <row r="156" spans="1:20">
      <c r="A156" s="35"/>
      <c r="B156" s="36"/>
      <c r="C156" s="1177"/>
      <c r="D156" s="36" t="s">
        <v>934</v>
      </c>
      <c r="E156" s="36"/>
      <c r="F156" s="37"/>
      <c r="G156" s="1173">
        <v>55</v>
      </c>
      <c r="H156" s="1173"/>
      <c r="I156" s="1173" t="s">
        <v>909</v>
      </c>
      <c r="J156" s="1173">
        <v>15</v>
      </c>
      <c r="K156" s="1179">
        <v>1.88</v>
      </c>
      <c r="L156" s="1180">
        <v>9.5</v>
      </c>
      <c r="M156" s="36"/>
      <c r="N156" s="36"/>
      <c r="O156" s="36"/>
      <c r="P156" s="36"/>
      <c r="Q156" s="37"/>
      <c r="R156" s="719"/>
      <c r="S156" s="918"/>
      <c r="T156" s="328"/>
    </row>
    <row r="157" spans="1:20">
      <c r="A157" s="35"/>
      <c r="B157" s="36"/>
      <c r="C157" s="1177"/>
      <c r="D157" s="36" t="s">
        <v>935</v>
      </c>
      <c r="E157" s="36"/>
      <c r="F157" s="37"/>
      <c r="G157" s="1173">
        <v>55</v>
      </c>
      <c r="H157" s="1173"/>
      <c r="I157" s="1173" t="s">
        <v>909</v>
      </c>
      <c r="J157" s="1173">
        <v>15</v>
      </c>
      <c r="K157" s="1179">
        <v>2.21</v>
      </c>
      <c r="L157" s="1180">
        <v>25.1</v>
      </c>
      <c r="M157" s="36"/>
      <c r="N157" s="36"/>
      <c r="O157" s="36"/>
      <c r="P157" s="36"/>
      <c r="Q157" s="37"/>
      <c r="R157" s="719"/>
      <c r="S157" s="918"/>
      <c r="T157" s="328"/>
    </row>
    <row r="158" spans="1:20">
      <c r="A158" s="35"/>
      <c r="B158" s="36"/>
      <c r="C158" s="1177"/>
      <c r="D158" s="36" t="s">
        <v>936</v>
      </c>
      <c r="E158" s="36"/>
      <c r="F158" s="37"/>
      <c r="G158" s="1173">
        <v>55</v>
      </c>
      <c r="H158" s="1173"/>
      <c r="I158" s="1173" t="s">
        <v>909</v>
      </c>
      <c r="J158" s="1173">
        <v>15</v>
      </c>
      <c r="K158" s="1179">
        <v>2.1800000000000002</v>
      </c>
      <c r="L158" s="1180">
        <v>34.1</v>
      </c>
      <c r="M158" s="36"/>
      <c r="N158" s="36"/>
      <c r="O158" s="36"/>
      <c r="P158" s="36"/>
      <c r="Q158" s="37"/>
      <c r="R158" s="719"/>
      <c r="S158" s="918"/>
      <c r="T158" s="328"/>
    </row>
    <row r="159" spans="1:20">
      <c r="A159" s="35"/>
      <c r="B159" s="36"/>
      <c r="C159" s="1177"/>
      <c r="D159" s="36" t="s">
        <v>937</v>
      </c>
      <c r="E159" s="36"/>
      <c r="F159" s="37"/>
      <c r="G159" s="1173">
        <v>55</v>
      </c>
      <c r="H159" s="1173"/>
      <c r="I159" s="1173" t="s">
        <v>909</v>
      </c>
      <c r="J159" s="1173">
        <v>15</v>
      </c>
      <c r="K159" s="1179">
        <v>1.97</v>
      </c>
      <c r="L159" s="1180">
        <v>9</v>
      </c>
      <c r="M159" s="36"/>
      <c r="N159" s="36"/>
      <c r="O159" s="36"/>
      <c r="P159" s="36"/>
      <c r="Q159" s="37"/>
      <c r="R159" s="719"/>
      <c r="S159" s="918"/>
      <c r="T159" s="328"/>
    </row>
    <row r="160" spans="1:20">
      <c r="A160" s="35"/>
      <c r="B160" s="36"/>
      <c r="C160" s="1177"/>
      <c r="D160" s="36" t="s">
        <v>938</v>
      </c>
      <c r="E160" s="36"/>
      <c r="F160" s="37"/>
      <c r="G160" s="1173">
        <v>55</v>
      </c>
      <c r="H160" s="1173"/>
      <c r="I160" s="1173" t="s">
        <v>909</v>
      </c>
      <c r="J160" s="1173">
        <v>15</v>
      </c>
      <c r="K160" s="1179">
        <v>1.6</v>
      </c>
      <c r="L160" s="1180">
        <v>15.8</v>
      </c>
      <c r="M160" s="36"/>
      <c r="N160" s="36"/>
      <c r="O160" s="36"/>
      <c r="P160" s="36"/>
      <c r="Q160" s="37"/>
      <c r="R160" s="719"/>
      <c r="S160" s="918"/>
      <c r="T160" s="328"/>
    </row>
    <row r="161" spans="1:20">
      <c r="A161" s="35"/>
      <c r="B161" s="36"/>
      <c r="C161" s="1177"/>
      <c r="D161" s="36" t="s">
        <v>939</v>
      </c>
      <c r="E161" s="36"/>
      <c r="F161" s="37"/>
      <c r="G161" s="1173">
        <v>55</v>
      </c>
      <c r="H161" s="1173"/>
      <c r="I161" s="1173" t="s">
        <v>909</v>
      </c>
      <c r="J161" s="1173">
        <v>15</v>
      </c>
      <c r="K161" s="1179">
        <v>1.04</v>
      </c>
      <c r="L161" s="1180">
        <v>1.5</v>
      </c>
      <c r="M161" s="36"/>
      <c r="N161" s="36"/>
      <c r="O161" s="36"/>
      <c r="P161" s="36"/>
      <c r="Q161" s="37"/>
      <c r="R161" s="719"/>
      <c r="S161" s="918"/>
      <c r="T161" s="328"/>
    </row>
    <row r="162" spans="1:20">
      <c r="A162" s="35"/>
      <c r="B162" s="36"/>
      <c r="C162" s="1177"/>
      <c r="D162" s="36" t="s">
        <v>940</v>
      </c>
      <c r="E162" s="36"/>
      <c r="F162" s="37"/>
      <c r="G162" s="1173">
        <v>55</v>
      </c>
      <c r="H162" s="1173"/>
      <c r="I162" s="1173" t="s">
        <v>909</v>
      </c>
      <c r="J162" s="1173">
        <v>15</v>
      </c>
      <c r="K162" s="1179">
        <v>2.7</v>
      </c>
      <c r="L162" s="1180">
        <v>1</v>
      </c>
      <c r="M162" s="36"/>
      <c r="N162" s="36"/>
      <c r="O162" s="36"/>
      <c r="P162" s="36"/>
      <c r="Q162" s="37"/>
      <c r="R162" s="719"/>
      <c r="S162" s="918"/>
      <c r="T162" s="328"/>
    </row>
    <row r="163" spans="1:20">
      <c r="A163" s="35"/>
      <c r="B163" s="36"/>
      <c r="C163" s="1177"/>
      <c r="D163" s="36" t="s">
        <v>941</v>
      </c>
      <c r="E163" s="36"/>
      <c r="F163" s="37"/>
      <c r="G163" s="1173">
        <v>55</v>
      </c>
      <c r="H163" s="1173"/>
      <c r="I163" s="1173" t="s">
        <v>909</v>
      </c>
      <c r="J163" s="1173">
        <v>15</v>
      </c>
      <c r="K163" s="1179">
        <v>1.31</v>
      </c>
      <c r="L163" s="1180">
        <v>28.1</v>
      </c>
      <c r="M163" s="36"/>
      <c r="N163" s="36"/>
      <c r="O163" s="36"/>
      <c r="P163" s="36"/>
      <c r="Q163" s="37"/>
      <c r="R163" s="719"/>
      <c r="S163" s="918"/>
      <c r="T163" s="328"/>
    </row>
    <row r="164" spans="1:20">
      <c r="A164" s="35"/>
      <c r="B164" s="36"/>
      <c r="C164" s="1177"/>
      <c r="D164" s="36" t="s">
        <v>942</v>
      </c>
      <c r="E164" s="36"/>
      <c r="F164" s="37"/>
      <c r="G164" s="1173">
        <v>55</v>
      </c>
      <c r="H164" s="1173"/>
      <c r="I164" s="1173" t="s">
        <v>909</v>
      </c>
      <c r="J164" s="1173">
        <v>15</v>
      </c>
      <c r="K164" s="1179">
        <v>1.92</v>
      </c>
      <c r="L164" s="1180">
        <v>29.1</v>
      </c>
      <c r="M164" s="36"/>
      <c r="N164" s="36"/>
      <c r="O164" s="36"/>
      <c r="P164" s="36"/>
      <c r="Q164" s="37"/>
      <c r="R164" s="719"/>
      <c r="S164" s="918"/>
      <c r="T164" s="328"/>
    </row>
    <row r="165" spans="1:20">
      <c r="A165" s="35"/>
      <c r="B165" s="36"/>
      <c r="C165" s="1177"/>
      <c r="D165" s="36" t="s">
        <v>943</v>
      </c>
      <c r="E165" s="36"/>
      <c r="F165" s="37"/>
      <c r="G165" s="1173">
        <v>55</v>
      </c>
      <c r="H165" s="1173"/>
      <c r="I165" s="1173" t="s">
        <v>909</v>
      </c>
      <c r="J165" s="1173">
        <v>15</v>
      </c>
      <c r="K165" s="1179">
        <v>2.21</v>
      </c>
      <c r="L165" s="1180">
        <v>40.5</v>
      </c>
      <c r="M165" s="36"/>
      <c r="N165" s="36"/>
      <c r="O165" s="36"/>
      <c r="P165" s="36"/>
      <c r="Q165" s="37"/>
      <c r="R165" s="719"/>
      <c r="S165" s="918"/>
      <c r="T165" s="328"/>
    </row>
    <row r="166" spans="1:20">
      <c r="A166" s="35"/>
      <c r="B166" s="36"/>
      <c r="C166" s="1177"/>
      <c r="D166" s="36"/>
      <c r="E166" s="36"/>
      <c r="F166" s="37"/>
      <c r="G166" s="36"/>
      <c r="H166" s="36"/>
      <c r="I166" s="36"/>
      <c r="J166" s="36"/>
      <c r="K166" s="1182"/>
      <c r="L166" s="1183"/>
      <c r="M166" s="36"/>
      <c r="N166" s="36"/>
      <c r="O166" s="36"/>
      <c r="P166" s="36"/>
      <c r="Q166" s="37"/>
      <c r="R166" s="719"/>
      <c r="S166" s="918"/>
      <c r="T166" s="328"/>
    </row>
    <row r="167" spans="1:20">
      <c r="A167" s="35"/>
      <c r="B167" s="36"/>
      <c r="C167" s="1177">
        <v>353.8</v>
      </c>
      <c r="D167" s="260" t="s">
        <v>944</v>
      </c>
      <c r="E167" s="260"/>
      <c r="F167" s="1178"/>
      <c r="G167" s="1173">
        <v>20</v>
      </c>
      <c r="H167" s="1173"/>
      <c r="I167" s="1173" t="s">
        <v>757</v>
      </c>
      <c r="J167" s="1173">
        <v>0</v>
      </c>
      <c r="K167" s="1182">
        <v>5.9</v>
      </c>
      <c r="L167" s="1183">
        <v>9.3000000000000007</v>
      </c>
      <c r="M167" s="36"/>
      <c r="N167" s="36"/>
      <c r="O167" s="36"/>
      <c r="P167" s="36"/>
      <c r="Q167" s="37"/>
      <c r="R167" s="719"/>
      <c r="S167" s="918"/>
      <c r="T167" s="328"/>
    </row>
    <row r="168" spans="1:20">
      <c r="A168" s="35"/>
      <c r="B168" s="36"/>
      <c r="C168" s="1177"/>
      <c r="D168" s="260"/>
      <c r="E168" s="260"/>
      <c r="F168" s="1178"/>
      <c r="G168" s="36"/>
      <c r="H168" s="36"/>
      <c r="I168" s="36"/>
      <c r="J168" s="36"/>
      <c r="K168" s="1182"/>
      <c r="L168" s="1183"/>
      <c r="M168" s="36"/>
      <c r="N168" s="36"/>
      <c r="O168" s="36"/>
      <c r="P168" s="36"/>
      <c r="Q168" s="37"/>
      <c r="R168" s="719"/>
      <c r="S168" s="918"/>
      <c r="T168" s="328"/>
    </row>
    <row r="169" spans="1:20">
      <c r="A169" s="35"/>
      <c r="B169" s="36"/>
      <c r="C169" s="1177">
        <v>354</v>
      </c>
      <c r="D169" s="260" t="s">
        <v>685</v>
      </c>
      <c r="E169" s="260"/>
      <c r="F169" s="1178"/>
      <c r="G169" s="1173">
        <v>75</v>
      </c>
      <c r="H169" s="1173"/>
      <c r="I169" s="1173" t="s">
        <v>683</v>
      </c>
      <c r="J169" s="1173">
        <v>40</v>
      </c>
      <c r="K169" s="1182">
        <v>1.37</v>
      </c>
      <c r="L169" s="1183">
        <v>40</v>
      </c>
      <c r="M169" s="36"/>
      <c r="N169" s="36"/>
      <c r="O169" s="36"/>
      <c r="P169" s="36"/>
      <c r="Q169" s="37"/>
      <c r="R169" s="719"/>
      <c r="S169" s="918"/>
      <c r="T169" s="328"/>
    </row>
    <row r="170" spans="1:20">
      <c r="A170" s="35"/>
      <c r="B170" s="36"/>
      <c r="C170" s="1177"/>
      <c r="D170" s="260"/>
      <c r="E170" s="260"/>
      <c r="F170" s="1178"/>
      <c r="G170" s="1173"/>
      <c r="H170" s="1173"/>
      <c r="I170" s="1173"/>
      <c r="J170" s="1173"/>
      <c r="K170" s="1182"/>
      <c r="L170" s="1183"/>
      <c r="M170" s="36"/>
      <c r="N170" s="36"/>
      <c r="O170" s="36"/>
      <c r="P170" s="36"/>
      <c r="Q170" s="37"/>
      <c r="R170" s="719"/>
      <c r="S170" s="918"/>
      <c r="T170" s="328"/>
    </row>
    <row r="171" spans="1:20">
      <c r="A171" s="35"/>
      <c r="B171" s="36"/>
      <c r="C171" s="1177">
        <v>355</v>
      </c>
      <c r="D171" s="260" t="s">
        <v>686</v>
      </c>
      <c r="E171" s="260"/>
      <c r="F171" s="1178"/>
      <c r="G171" s="1173">
        <v>53</v>
      </c>
      <c r="H171" s="1173"/>
      <c r="I171" s="1173" t="s">
        <v>910</v>
      </c>
      <c r="J171" s="1173">
        <v>70</v>
      </c>
      <c r="K171" s="1187">
        <v>3.33</v>
      </c>
      <c r="L171" s="1183">
        <v>41.6</v>
      </c>
      <c r="M171" s="36"/>
      <c r="N171" s="36"/>
      <c r="O171" s="36"/>
      <c r="P171" s="36"/>
      <c r="Q171" s="37"/>
      <c r="R171" s="719"/>
      <c r="S171" s="918"/>
      <c r="T171" s="328"/>
    </row>
    <row r="172" spans="1:20">
      <c r="A172" s="35"/>
      <c r="B172" s="36"/>
      <c r="C172" s="1177"/>
      <c r="D172" s="260"/>
      <c r="E172" s="260"/>
      <c r="F172" s="1178"/>
      <c r="G172" s="1173"/>
      <c r="H172" s="1173"/>
      <c r="I172" s="1173"/>
      <c r="J172" s="1173"/>
      <c r="K172" s="1187"/>
      <c r="L172" s="1183"/>
      <c r="M172" s="36"/>
      <c r="N172" s="36"/>
      <c r="O172" s="36"/>
      <c r="P172" s="36"/>
      <c r="Q172" s="37"/>
      <c r="R172" s="719"/>
      <c r="S172" s="918"/>
      <c r="T172" s="328"/>
    </row>
    <row r="173" spans="1:20">
      <c r="A173" s="35"/>
      <c r="B173" s="36"/>
      <c r="C173" s="1177">
        <v>355.8</v>
      </c>
      <c r="D173" s="260" t="s">
        <v>945</v>
      </c>
      <c r="E173" s="260"/>
      <c r="F173" s="1178"/>
      <c r="G173" s="1173">
        <v>20</v>
      </c>
      <c r="H173" s="1173"/>
      <c r="I173" s="1173" t="s">
        <v>757</v>
      </c>
      <c r="J173" s="1173">
        <v>0</v>
      </c>
      <c r="K173" s="1187">
        <v>5.74</v>
      </c>
      <c r="L173" s="1183">
        <v>16.7</v>
      </c>
      <c r="M173" s="36"/>
      <c r="N173" s="36"/>
      <c r="O173" s="36"/>
      <c r="P173" s="36"/>
      <c r="Q173" s="37"/>
      <c r="R173" s="719"/>
      <c r="S173" s="918"/>
      <c r="T173" s="328"/>
    </row>
    <row r="174" spans="1:20">
      <c r="A174" s="35"/>
      <c r="B174" s="36"/>
      <c r="C174" s="1177"/>
      <c r="D174" s="260"/>
      <c r="E174" s="260"/>
      <c r="F174" s="1178"/>
      <c r="G174" s="1173"/>
      <c r="H174" s="1173"/>
      <c r="I174" s="1173"/>
      <c r="J174" s="1173"/>
      <c r="K174" s="1187"/>
      <c r="L174" s="1183"/>
      <c r="M174" s="36"/>
      <c r="N174" s="36"/>
      <c r="O174" s="36"/>
      <c r="P174" s="36"/>
      <c r="Q174" s="37"/>
      <c r="R174" s="719"/>
      <c r="S174" s="918"/>
      <c r="T174" s="328"/>
    </row>
    <row r="175" spans="1:20">
      <c r="A175" s="35"/>
      <c r="B175" s="36"/>
      <c r="C175" s="1177">
        <v>356.1</v>
      </c>
      <c r="D175" s="260" t="s">
        <v>946</v>
      </c>
      <c r="E175" s="260"/>
      <c r="F175" s="1178"/>
      <c r="G175" s="1173">
        <v>60</v>
      </c>
      <c r="H175" s="1173"/>
      <c r="I175" s="1173" t="s">
        <v>687</v>
      </c>
      <c r="J175" s="1173">
        <v>45</v>
      </c>
      <c r="K175" s="1187">
        <v>2.5</v>
      </c>
      <c r="L175" s="1183">
        <v>43.7</v>
      </c>
      <c r="M175" s="36"/>
      <c r="N175" s="36"/>
      <c r="O175" s="36"/>
      <c r="P175" s="36"/>
      <c r="Q175" s="37"/>
      <c r="R175" s="719"/>
      <c r="S175" s="918"/>
      <c r="T175" s="328"/>
    </row>
    <row r="176" spans="1:20">
      <c r="A176" s="35"/>
      <c r="B176" s="36"/>
      <c r="C176" s="1177"/>
      <c r="D176" s="260"/>
      <c r="E176" s="260"/>
      <c r="F176" s="1178"/>
      <c r="G176" s="1173"/>
      <c r="H176" s="1173"/>
      <c r="I176" s="1173"/>
      <c r="J176" s="1173"/>
      <c r="K176" s="1187"/>
      <c r="L176" s="1183"/>
      <c r="M176" s="36"/>
      <c r="N176" s="36"/>
      <c r="O176" s="36"/>
      <c r="P176" s="36"/>
      <c r="Q176" s="37"/>
      <c r="R176" s="719"/>
      <c r="S176" s="918"/>
      <c r="T176" s="328"/>
    </row>
    <row r="177" spans="1:20">
      <c r="A177" s="35"/>
      <c r="B177" s="36"/>
      <c r="C177" s="1177">
        <v>356.2</v>
      </c>
      <c r="D177" s="260" t="s">
        <v>947</v>
      </c>
      <c r="E177" s="260"/>
      <c r="F177" s="1178"/>
      <c r="G177" s="1173">
        <v>60</v>
      </c>
      <c r="H177" s="1173"/>
      <c r="I177" s="1173" t="s">
        <v>687</v>
      </c>
      <c r="J177" s="1173">
        <v>45</v>
      </c>
      <c r="K177" s="1187">
        <v>2.4700000000000002</v>
      </c>
      <c r="L177" s="1183">
        <v>45.8</v>
      </c>
      <c r="M177" s="36"/>
      <c r="N177" s="36"/>
      <c r="O177" s="36"/>
      <c r="P177" s="36"/>
      <c r="Q177" s="37"/>
      <c r="R177" s="719"/>
      <c r="S177" s="918"/>
      <c r="T177" s="328"/>
    </row>
    <row r="178" spans="1:20">
      <c r="A178" s="35"/>
      <c r="B178" s="36"/>
      <c r="C178" s="1177"/>
      <c r="D178" s="260"/>
      <c r="E178" s="260"/>
      <c r="F178" s="1178"/>
      <c r="G178" s="1173"/>
      <c r="H178" s="1173"/>
      <c r="I178" s="1173"/>
      <c r="J178" s="1173"/>
      <c r="K178" s="1187"/>
      <c r="L178" s="1183"/>
      <c r="M178" s="36"/>
      <c r="N178" s="36"/>
      <c r="O178" s="36"/>
      <c r="P178" s="36"/>
      <c r="Q178" s="37"/>
      <c r="R178" s="719"/>
      <c r="S178" s="918"/>
      <c r="T178" s="328"/>
    </row>
    <row r="179" spans="1:20">
      <c r="A179" s="35"/>
      <c r="B179" s="36"/>
      <c r="C179" s="1177">
        <v>356.8</v>
      </c>
      <c r="D179" s="260" t="s">
        <v>948</v>
      </c>
      <c r="E179" s="260"/>
      <c r="F179" s="1178"/>
      <c r="G179" s="1173">
        <v>20</v>
      </c>
      <c r="H179" s="1173"/>
      <c r="I179" s="1173" t="s">
        <v>757</v>
      </c>
      <c r="J179" s="1173">
        <v>0</v>
      </c>
      <c r="K179" s="1187">
        <v>11.57</v>
      </c>
      <c r="L179" s="1183">
        <v>4</v>
      </c>
      <c r="M179" s="36"/>
      <c r="N179" s="36"/>
      <c r="O179" s="36"/>
      <c r="P179" s="36"/>
      <c r="Q179" s="37"/>
      <c r="R179" s="735"/>
      <c r="S179" s="918"/>
      <c r="T179" s="328"/>
    </row>
    <row r="180" spans="1:20">
      <c r="A180" s="35"/>
      <c r="B180" s="36"/>
      <c r="C180" s="1177"/>
      <c r="D180" s="36"/>
      <c r="E180" s="36"/>
      <c r="F180" s="37"/>
      <c r="G180" s="1173"/>
      <c r="H180" s="1173"/>
      <c r="I180" s="1173"/>
      <c r="J180" s="1173"/>
      <c r="K180" s="1187"/>
      <c r="L180" s="1183"/>
      <c r="M180" s="36"/>
      <c r="N180" s="36"/>
      <c r="O180" s="36"/>
      <c r="P180" s="36"/>
      <c r="Q180" s="37"/>
      <c r="R180" s="735"/>
      <c r="S180" s="918"/>
      <c r="T180" s="328"/>
    </row>
    <row r="181" spans="1:20">
      <c r="A181" s="35"/>
      <c r="B181" s="36"/>
      <c r="C181" s="1177">
        <v>357</v>
      </c>
      <c r="D181" s="36" t="s">
        <v>911</v>
      </c>
      <c r="E181" s="36"/>
      <c r="F181" s="37"/>
      <c r="G181" s="1173">
        <v>60</v>
      </c>
      <c r="H181" s="1173"/>
      <c r="I181" s="1173" t="s">
        <v>683</v>
      </c>
      <c r="J181" s="1173">
        <v>0</v>
      </c>
      <c r="K181" s="1187">
        <v>1.62</v>
      </c>
      <c r="L181" s="1183">
        <v>52.3</v>
      </c>
      <c r="M181" s="36"/>
      <c r="N181" s="36"/>
      <c r="O181" s="36"/>
      <c r="P181" s="36"/>
      <c r="Q181" s="37"/>
      <c r="R181" s="735"/>
      <c r="S181" s="918"/>
      <c r="T181" s="328"/>
    </row>
    <row r="182" spans="1:20">
      <c r="A182" s="35"/>
      <c r="B182" s="36"/>
      <c r="C182" s="1177"/>
      <c r="D182" s="36"/>
      <c r="E182" s="36"/>
      <c r="F182" s="37"/>
      <c r="G182" s="1173"/>
      <c r="H182" s="1173"/>
      <c r="I182" s="1173"/>
      <c r="J182" s="1173"/>
      <c r="K182" s="1187"/>
      <c r="L182" s="1183"/>
      <c r="M182" s="36"/>
      <c r="N182" s="36"/>
      <c r="O182" s="36"/>
      <c r="P182" s="36"/>
      <c r="Q182" s="37"/>
      <c r="R182" s="310"/>
      <c r="S182" s="918"/>
      <c r="T182" s="328"/>
    </row>
    <row r="183" spans="1:20">
      <c r="A183" s="35"/>
      <c r="B183" s="36"/>
      <c r="C183" s="1177">
        <v>358</v>
      </c>
      <c r="D183" s="36" t="s">
        <v>949</v>
      </c>
      <c r="E183" s="36"/>
      <c r="F183" s="37"/>
      <c r="G183" s="1173">
        <v>50</v>
      </c>
      <c r="H183" s="1173"/>
      <c r="I183" s="1173" t="s">
        <v>683</v>
      </c>
      <c r="J183" s="1173">
        <v>0</v>
      </c>
      <c r="K183" s="1187">
        <v>1.96</v>
      </c>
      <c r="L183" s="1183">
        <v>44.7</v>
      </c>
      <c r="M183" s="36"/>
      <c r="N183" s="36"/>
      <c r="O183" s="36"/>
      <c r="P183" s="36"/>
      <c r="Q183" s="37"/>
      <c r="R183" s="310"/>
      <c r="S183" s="918"/>
      <c r="T183" s="328"/>
    </row>
    <row r="184" spans="1:20">
      <c r="A184" s="35"/>
      <c r="B184" s="36"/>
      <c r="C184" s="1177"/>
      <c r="D184" s="36"/>
      <c r="E184" s="36"/>
      <c r="F184" s="37"/>
      <c r="G184" s="1173"/>
      <c r="H184" s="1173"/>
      <c r="I184" s="1173"/>
      <c r="J184" s="1173"/>
      <c r="K184" s="1187"/>
      <c r="L184" s="1183"/>
      <c r="M184" s="36"/>
      <c r="N184" s="36"/>
      <c r="O184" s="36"/>
      <c r="P184" s="36"/>
      <c r="Q184" s="37"/>
      <c r="R184" s="310"/>
      <c r="S184" s="918"/>
      <c r="T184" s="328"/>
    </row>
    <row r="185" spans="1:20">
      <c r="A185" s="35"/>
      <c r="B185" s="36"/>
      <c r="C185" s="1177">
        <v>359</v>
      </c>
      <c r="D185" s="36" t="s">
        <v>695</v>
      </c>
      <c r="E185" s="36"/>
      <c r="F185" s="37"/>
      <c r="G185" s="1173">
        <v>65</v>
      </c>
      <c r="H185" s="1173"/>
      <c r="I185" s="1173" t="s">
        <v>912</v>
      </c>
      <c r="J185" s="1173">
        <v>0</v>
      </c>
      <c r="K185" s="1187">
        <v>1.41</v>
      </c>
      <c r="L185" s="1183">
        <v>55.6</v>
      </c>
      <c r="M185" s="36"/>
      <c r="N185" s="36"/>
      <c r="O185" s="36"/>
      <c r="P185" s="36"/>
      <c r="Q185" s="37"/>
      <c r="R185" s="310"/>
      <c r="S185" s="918"/>
      <c r="T185" s="328"/>
    </row>
    <row r="186" spans="1:20">
      <c r="A186" s="35"/>
      <c r="B186" s="36"/>
      <c r="C186" s="1177"/>
      <c r="D186" s="36"/>
      <c r="E186" s="36"/>
      <c r="F186" s="37"/>
      <c r="G186" s="1173"/>
      <c r="H186" s="1173"/>
      <c r="I186" s="1173"/>
      <c r="J186" s="1173"/>
      <c r="K186" s="1187"/>
      <c r="L186" s="1183"/>
      <c r="M186" s="36"/>
      <c r="N186" s="36"/>
      <c r="O186" s="36"/>
      <c r="P186" s="36"/>
      <c r="Q186" s="37"/>
      <c r="R186" s="310"/>
      <c r="S186" s="918"/>
      <c r="T186" s="328"/>
    </row>
    <row r="187" spans="1:20">
      <c r="A187" s="35"/>
      <c r="B187" s="36"/>
      <c r="C187" s="1177"/>
      <c r="D187" s="36"/>
      <c r="E187" s="36"/>
      <c r="F187" s="37"/>
      <c r="G187" s="1173"/>
      <c r="H187" s="1173"/>
      <c r="I187" s="1173"/>
      <c r="J187" s="1173"/>
      <c r="K187" s="1187"/>
      <c r="L187" s="1183"/>
      <c r="M187" s="36"/>
      <c r="N187" s="36"/>
      <c r="O187" s="36"/>
      <c r="P187" s="36"/>
      <c r="Q187" s="37"/>
      <c r="R187" s="310"/>
      <c r="S187" s="918"/>
      <c r="T187" s="328"/>
    </row>
    <row r="188" spans="1:20" ht="15">
      <c r="A188" s="35"/>
      <c r="B188" s="36"/>
      <c r="C188" s="1188" t="s">
        <v>751</v>
      </c>
      <c r="D188" s="36"/>
      <c r="E188" s="36"/>
      <c r="F188" s="37"/>
      <c r="G188" s="1173"/>
      <c r="H188" s="1173"/>
      <c r="I188" s="1173"/>
      <c r="J188" s="1173"/>
      <c r="K188" s="1187"/>
      <c r="L188" s="1183"/>
      <c r="M188" s="36"/>
      <c r="N188" s="36"/>
      <c r="O188" s="36"/>
      <c r="P188" s="36"/>
      <c r="Q188" s="37"/>
      <c r="R188" s="310"/>
      <c r="S188" s="918"/>
      <c r="T188" s="328"/>
    </row>
    <row r="189" spans="1:20">
      <c r="A189" s="35"/>
      <c r="B189" s="36"/>
      <c r="C189" s="1177">
        <v>390.1</v>
      </c>
      <c r="D189" s="36" t="s">
        <v>752</v>
      </c>
      <c r="E189" s="36"/>
      <c r="F189" s="37"/>
      <c r="G189" s="1173">
        <v>50</v>
      </c>
      <c r="H189" s="1173"/>
      <c r="I189" s="1173" t="s">
        <v>913</v>
      </c>
      <c r="J189" s="1173">
        <v>10</v>
      </c>
      <c r="K189" s="1187">
        <v>1.91</v>
      </c>
      <c r="L189" s="1183">
        <v>44.5</v>
      </c>
      <c r="M189" s="36"/>
      <c r="N189" s="36"/>
      <c r="O189" s="36"/>
      <c r="P189" s="36"/>
      <c r="Q189" s="37"/>
      <c r="R189" s="310"/>
      <c r="S189" s="918"/>
      <c r="T189" s="328"/>
    </row>
    <row r="190" spans="1:20">
      <c r="A190" s="35"/>
      <c r="B190" s="36"/>
      <c r="C190" s="1177">
        <v>390.2</v>
      </c>
      <c r="D190" s="36" t="s">
        <v>950</v>
      </c>
      <c r="E190" s="36"/>
      <c r="F190" s="37"/>
      <c r="G190" s="1173">
        <v>50</v>
      </c>
      <c r="H190" s="1173"/>
      <c r="I190" s="1173" t="s">
        <v>687</v>
      </c>
      <c r="J190" s="1173">
        <v>10</v>
      </c>
      <c r="K190" s="1187">
        <v>2.27</v>
      </c>
      <c r="L190" s="1183">
        <v>42.9</v>
      </c>
      <c r="M190" s="36"/>
      <c r="N190" s="36"/>
      <c r="O190" s="36"/>
      <c r="P190" s="36"/>
      <c r="Q190" s="37"/>
      <c r="R190" s="310"/>
      <c r="S190" s="918"/>
      <c r="T190" s="328"/>
    </row>
    <row r="191" spans="1:20">
      <c r="A191" s="35"/>
      <c r="B191" s="36"/>
      <c r="C191" s="1177">
        <v>390.8</v>
      </c>
      <c r="D191" s="260" t="s">
        <v>951</v>
      </c>
      <c r="E191" s="260"/>
      <c r="F191" s="1178"/>
      <c r="G191" s="1173">
        <v>50</v>
      </c>
      <c r="H191" s="1173"/>
      <c r="I191" s="1173" t="s">
        <v>913</v>
      </c>
      <c r="J191" s="1173">
        <v>10</v>
      </c>
      <c r="K191" s="1187">
        <v>0.53</v>
      </c>
      <c r="L191" s="1183">
        <v>35.299999999999997</v>
      </c>
      <c r="M191" s="36"/>
      <c r="N191" s="36"/>
      <c r="O191" s="36"/>
      <c r="P191" s="36"/>
      <c r="Q191" s="37"/>
      <c r="R191" s="310"/>
      <c r="S191" s="918"/>
      <c r="T191" s="328"/>
    </row>
    <row r="192" spans="1:20">
      <c r="A192" s="35"/>
      <c r="B192" s="36"/>
      <c r="C192" s="1177">
        <v>390.9</v>
      </c>
      <c r="D192" s="260" t="s">
        <v>952</v>
      </c>
      <c r="E192" s="260"/>
      <c r="F192" s="1178"/>
      <c r="G192" s="1173">
        <v>50</v>
      </c>
      <c r="H192" s="1173"/>
      <c r="I192" s="1173" t="s">
        <v>687</v>
      </c>
      <c r="J192" s="1173">
        <v>10</v>
      </c>
      <c r="K192" s="1187">
        <v>2.79</v>
      </c>
      <c r="L192" s="1183">
        <v>28.1</v>
      </c>
      <c r="M192" s="36"/>
      <c r="N192" s="36"/>
      <c r="O192" s="36"/>
      <c r="P192" s="36"/>
      <c r="Q192" s="37"/>
      <c r="R192" s="310"/>
      <c r="S192" s="918"/>
      <c r="T192" s="328"/>
    </row>
    <row r="193" spans="1:20">
      <c r="A193" s="35"/>
      <c r="B193" s="36"/>
      <c r="C193" s="1177">
        <v>391.1</v>
      </c>
      <c r="D193" s="260" t="s">
        <v>953</v>
      </c>
      <c r="E193" s="260"/>
      <c r="F193" s="1178"/>
      <c r="G193" s="1173">
        <v>20</v>
      </c>
      <c r="H193" s="1173"/>
      <c r="I193" s="1173" t="s">
        <v>757</v>
      </c>
      <c r="J193" s="1173">
        <v>0</v>
      </c>
      <c r="K193" s="1187">
        <v>5.25</v>
      </c>
      <c r="L193" s="1183">
        <v>13.5</v>
      </c>
      <c r="M193" s="36"/>
      <c r="N193" s="36"/>
      <c r="O193" s="36"/>
      <c r="P193" s="36"/>
      <c r="Q193" s="37"/>
      <c r="R193" s="310"/>
      <c r="S193" s="918"/>
      <c r="T193" s="328"/>
    </row>
    <row r="194" spans="1:20">
      <c r="A194" s="35"/>
      <c r="B194" s="36"/>
      <c r="C194" s="1177">
        <v>3912</v>
      </c>
      <c r="D194" s="260" t="s">
        <v>954</v>
      </c>
      <c r="E194" s="260"/>
      <c r="F194" s="1178"/>
      <c r="G194" s="1173">
        <v>5</v>
      </c>
      <c r="H194" s="1173"/>
      <c r="I194" s="1173" t="s">
        <v>757</v>
      </c>
      <c r="J194" s="1173">
        <v>0</v>
      </c>
      <c r="K194" s="1187">
        <v>20</v>
      </c>
      <c r="L194" s="1183">
        <v>1.8</v>
      </c>
      <c r="M194" s="36"/>
      <c r="N194" s="36"/>
      <c r="O194" s="36"/>
      <c r="P194" s="36"/>
      <c r="Q194" s="37"/>
      <c r="R194" s="310"/>
      <c r="S194" s="918"/>
      <c r="T194" s="328"/>
    </row>
    <row r="195" spans="1:20">
      <c r="A195" s="35"/>
      <c r="B195" s="36"/>
      <c r="C195" s="1177">
        <v>3913</v>
      </c>
      <c r="D195" s="260" t="s">
        <v>955</v>
      </c>
      <c r="E195" s="260"/>
      <c r="F195" s="1178"/>
      <c r="G195" s="1173">
        <v>20</v>
      </c>
      <c r="H195" s="1173"/>
      <c r="I195" s="1173" t="s">
        <v>757</v>
      </c>
      <c r="J195" s="1173">
        <v>0</v>
      </c>
      <c r="K195" s="1187">
        <v>6.43</v>
      </c>
      <c r="L195" s="1183">
        <v>9</v>
      </c>
      <c r="M195" s="36"/>
      <c r="N195" s="36"/>
      <c r="O195" s="36"/>
      <c r="P195" s="36"/>
      <c r="Q195" s="37"/>
      <c r="R195" s="310"/>
      <c r="S195" s="918"/>
      <c r="T195" s="328"/>
    </row>
    <row r="196" spans="1:20">
      <c r="A196" s="35"/>
      <c r="B196" s="36"/>
      <c r="C196" s="1177">
        <v>393</v>
      </c>
      <c r="D196" s="260" t="s">
        <v>753</v>
      </c>
      <c r="E196" s="260"/>
      <c r="F196" s="1178"/>
      <c r="G196" s="1173">
        <v>25</v>
      </c>
      <c r="H196" s="1173"/>
      <c r="I196" s="1173" t="s">
        <v>757</v>
      </c>
      <c r="J196" s="1173">
        <v>0</v>
      </c>
      <c r="K196" s="1187">
        <v>3.52</v>
      </c>
      <c r="L196" s="1183">
        <v>6.4</v>
      </c>
      <c r="M196" s="36"/>
      <c r="N196" s="36"/>
      <c r="O196" s="36"/>
      <c r="P196" s="36"/>
      <c r="Q196" s="37"/>
      <c r="R196" s="310"/>
      <c r="S196" s="918"/>
      <c r="T196" s="328"/>
    </row>
    <row r="197" spans="1:20">
      <c r="A197" s="35"/>
      <c r="B197" s="36"/>
      <c r="C197" s="1177">
        <v>394.1</v>
      </c>
      <c r="D197" s="260" t="s">
        <v>956</v>
      </c>
      <c r="E197" s="260"/>
      <c r="F197" s="1178"/>
      <c r="G197" s="1173">
        <v>20</v>
      </c>
      <c r="H197" s="1173"/>
      <c r="I197" s="1173" t="s">
        <v>757</v>
      </c>
      <c r="J197" s="1173">
        <v>0</v>
      </c>
      <c r="K197" s="1187">
        <v>5.33</v>
      </c>
      <c r="L197" s="1183">
        <v>10.1</v>
      </c>
      <c r="M197" s="36"/>
      <c r="N197" s="36"/>
      <c r="O197" s="36"/>
      <c r="P197" s="36"/>
      <c r="Q197" s="37"/>
      <c r="R197" s="310"/>
      <c r="S197" s="918"/>
      <c r="T197" s="328"/>
    </row>
    <row r="198" spans="1:20">
      <c r="A198" s="35"/>
      <c r="B198" s="36"/>
      <c r="C198" s="1177">
        <v>394.2</v>
      </c>
      <c r="D198" s="260" t="s">
        <v>957</v>
      </c>
      <c r="E198" s="260"/>
      <c r="F198" s="1178"/>
      <c r="G198" s="1173">
        <v>20</v>
      </c>
      <c r="H198" s="1173"/>
      <c r="I198" s="1173" t="s">
        <v>757</v>
      </c>
      <c r="J198" s="1173">
        <v>0</v>
      </c>
      <c r="K198" s="1187">
        <v>3.1</v>
      </c>
      <c r="L198" s="1183">
        <v>14.4</v>
      </c>
      <c r="M198" s="36"/>
      <c r="N198" s="36"/>
      <c r="O198" s="36"/>
      <c r="P198" s="36"/>
      <c r="Q198" s="37"/>
      <c r="R198" s="310"/>
      <c r="S198" s="918"/>
      <c r="T198" s="328"/>
    </row>
    <row r="199" spans="1:20">
      <c r="A199" s="35"/>
      <c r="B199" s="36"/>
      <c r="C199" s="1177">
        <v>394.3</v>
      </c>
      <c r="D199" s="260" t="s">
        <v>958</v>
      </c>
      <c r="E199" s="260"/>
      <c r="F199" s="1178"/>
      <c r="G199" s="1173">
        <v>20</v>
      </c>
      <c r="H199" s="1173"/>
      <c r="I199" s="1173" t="s">
        <v>757</v>
      </c>
      <c r="J199" s="1173">
        <v>0</v>
      </c>
      <c r="K199" s="1187">
        <v>6.78</v>
      </c>
      <c r="L199" s="1183">
        <v>7.6</v>
      </c>
      <c r="M199" s="36"/>
      <c r="N199" s="36"/>
      <c r="O199" s="36"/>
      <c r="P199" s="36"/>
      <c r="Q199" s="37"/>
      <c r="R199" s="310"/>
      <c r="S199" s="918"/>
      <c r="T199" s="328"/>
    </row>
    <row r="200" spans="1:20">
      <c r="A200" s="35"/>
      <c r="B200" s="36"/>
      <c r="C200" s="1177">
        <v>394.4</v>
      </c>
      <c r="D200" s="260" t="s">
        <v>959</v>
      </c>
      <c r="E200" s="260"/>
      <c r="F200" s="1178"/>
      <c r="G200" s="1173">
        <v>20</v>
      </c>
      <c r="H200" s="1173"/>
      <c r="I200" s="1173" t="s">
        <v>757</v>
      </c>
      <c r="J200" s="1173">
        <v>0</v>
      </c>
      <c r="K200" s="1187">
        <v>6.9</v>
      </c>
      <c r="L200" s="1183">
        <v>11.3</v>
      </c>
      <c r="M200" s="36"/>
      <c r="N200" s="36"/>
      <c r="O200" s="36"/>
      <c r="P200" s="36"/>
      <c r="Q200" s="37"/>
      <c r="R200" s="310"/>
      <c r="S200" s="918"/>
      <c r="T200" s="328"/>
    </row>
    <row r="201" spans="1:20">
      <c r="A201" s="35"/>
      <c r="B201" s="36"/>
      <c r="C201" s="1177">
        <v>395.1</v>
      </c>
      <c r="D201" s="260" t="s">
        <v>960</v>
      </c>
      <c r="E201" s="260"/>
      <c r="F201" s="1178"/>
      <c r="G201" s="1173">
        <v>20</v>
      </c>
      <c r="H201" s="1173"/>
      <c r="I201" s="1173" t="s">
        <v>757</v>
      </c>
      <c r="J201" s="1173">
        <v>0</v>
      </c>
      <c r="K201" s="1187">
        <v>1.86</v>
      </c>
      <c r="L201" s="1183">
        <v>14.5</v>
      </c>
      <c r="M201" s="36"/>
      <c r="N201" s="36"/>
      <c r="O201" s="36"/>
      <c r="P201" s="36"/>
      <c r="Q201" s="37"/>
      <c r="R201" s="310"/>
      <c r="S201" s="918"/>
      <c r="T201" s="328"/>
    </row>
    <row r="202" spans="1:20">
      <c r="A202" s="35"/>
      <c r="B202" s="36"/>
      <c r="C202" s="1177">
        <v>395.2</v>
      </c>
      <c r="D202" s="260" t="s">
        <v>961</v>
      </c>
      <c r="E202" s="260"/>
      <c r="F202" s="1178"/>
      <c r="G202" s="1173">
        <v>20</v>
      </c>
      <c r="H202" s="1173"/>
      <c r="I202" s="1173" t="s">
        <v>757</v>
      </c>
      <c r="J202" s="1173">
        <v>0</v>
      </c>
      <c r="K202" s="1187">
        <v>5.34</v>
      </c>
      <c r="L202" s="1183">
        <v>12.1</v>
      </c>
      <c r="M202" s="36"/>
      <c r="N202" s="36"/>
      <c r="O202" s="36"/>
      <c r="P202" s="36"/>
      <c r="Q202" s="37"/>
      <c r="R202" s="310"/>
      <c r="S202" s="918"/>
      <c r="T202" s="328"/>
    </row>
    <row r="203" spans="1:20">
      <c r="A203" s="35"/>
      <c r="B203" s="36"/>
      <c r="C203" s="1177">
        <v>395.3</v>
      </c>
      <c r="D203" s="260" t="s">
        <v>962</v>
      </c>
      <c r="E203" s="260"/>
      <c r="F203" s="1178"/>
      <c r="G203" s="1173">
        <v>20</v>
      </c>
      <c r="H203" s="1173"/>
      <c r="I203" s="1173" t="s">
        <v>757</v>
      </c>
      <c r="J203" s="1173">
        <v>0</v>
      </c>
      <c r="K203" s="1187">
        <v>5.01</v>
      </c>
      <c r="L203" s="1183">
        <v>10.8</v>
      </c>
      <c r="M203" s="36"/>
      <c r="N203" s="36"/>
      <c r="O203" s="36"/>
      <c r="P203" s="36"/>
      <c r="Q203" s="37"/>
      <c r="R203" s="310"/>
      <c r="S203" s="918"/>
      <c r="T203" s="328"/>
    </row>
    <row r="204" spans="1:20">
      <c r="A204" s="35"/>
      <c r="B204" s="36"/>
      <c r="C204" s="1177">
        <v>397</v>
      </c>
      <c r="D204" s="260" t="s">
        <v>754</v>
      </c>
      <c r="E204" s="260"/>
      <c r="F204" s="1178"/>
      <c r="G204" s="1173">
        <v>8</v>
      </c>
      <c r="H204" s="1173"/>
      <c r="I204" s="1173" t="s">
        <v>757</v>
      </c>
      <c r="J204" s="1173">
        <v>0</v>
      </c>
      <c r="K204" s="1187">
        <v>5.09</v>
      </c>
      <c r="L204" s="1183">
        <v>4.3</v>
      </c>
      <c r="M204" s="36"/>
      <c r="N204" s="36"/>
      <c r="O204" s="36"/>
      <c r="P204" s="36"/>
      <c r="Q204" s="37"/>
      <c r="R204" s="310"/>
      <c r="S204" s="918"/>
      <c r="T204" s="328"/>
    </row>
    <row r="205" spans="1:20">
      <c r="A205" s="35"/>
      <c r="B205" s="36"/>
      <c r="C205" s="1177">
        <v>398</v>
      </c>
      <c r="D205" s="36" t="s">
        <v>755</v>
      </c>
      <c r="E205" s="36"/>
      <c r="F205" s="37"/>
      <c r="G205" s="1173">
        <v>20</v>
      </c>
      <c r="H205" s="1173"/>
      <c r="I205" s="1173" t="s">
        <v>757</v>
      </c>
      <c r="J205" s="1173">
        <v>0</v>
      </c>
      <c r="K205" s="1187">
        <v>3.75</v>
      </c>
      <c r="L205" s="1183">
        <v>13.2</v>
      </c>
      <c r="M205" s="36"/>
      <c r="N205" s="36"/>
      <c r="O205" s="36"/>
      <c r="P205" s="36"/>
      <c r="Q205" s="37"/>
      <c r="R205" s="310"/>
      <c r="S205" s="918"/>
      <c r="T205" s="328"/>
    </row>
    <row r="206" spans="1:20">
      <c r="A206" s="35"/>
      <c r="B206" s="36"/>
      <c r="C206" s="36"/>
      <c r="D206" s="36"/>
      <c r="E206" s="36"/>
      <c r="F206" s="37"/>
      <c r="G206" s="36"/>
      <c r="H206" s="36"/>
      <c r="I206" s="36"/>
      <c r="J206" s="36"/>
      <c r="K206" s="1182"/>
      <c r="L206" s="1183"/>
      <c r="M206" s="36"/>
      <c r="N206" s="36"/>
      <c r="O206" s="36"/>
      <c r="P206" s="36"/>
      <c r="Q206" s="37"/>
      <c r="R206" s="310"/>
      <c r="S206" s="918"/>
      <c r="T206" s="328"/>
    </row>
    <row r="207" spans="1:20">
      <c r="A207" s="35"/>
      <c r="B207" s="36"/>
      <c r="C207" s="36"/>
      <c r="D207" s="36"/>
      <c r="E207" s="36"/>
      <c r="F207" s="37"/>
      <c r="G207" s="36"/>
      <c r="H207" s="36"/>
      <c r="I207" s="36"/>
      <c r="J207" s="36"/>
      <c r="K207" s="1182"/>
      <c r="L207" s="1183"/>
      <c r="M207" s="36"/>
      <c r="N207" s="36"/>
      <c r="O207" s="36"/>
      <c r="P207" s="36"/>
      <c r="Q207" s="37"/>
      <c r="R207" s="310"/>
      <c r="S207" s="918"/>
      <c r="T207" s="328"/>
    </row>
    <row r="208" spans="1:20">
      <c r="A208" s="255"/>
      <c r="B208" s="310"/>
      <c r="C208" s="260" t="s">
        <v>963</v>
      </c>
      <c r="D208" s="1191">
        <v>28750010</v>
      </c>
      <c r="E208" s="310"/>
      <c r="F208" s="263"/>
      <c r="G208" s="310"/>
      <c r="H208" s="310"/>
      <c r="I208" s="310"/>
      <c r="J208" s="310"/>
      <c r="K208" s="310"/>
      <c r="L208" s="310"/>
      <c r="M208" s="310"/>
      <c r="N208" s="310"/>
      <c r="O208" s="257"/>
      <c r="P208" s="310"/>
      <c r="Q208" s="263"/>
      <c r="R208" s="310"/>
      <c r="S208" s="918"/>
      <c r="T208" s="328"/>
    </row>
    <row r="209" spans="1:20" s="328" customFormat="1">
      <c r="A209" s="255"/>
      <c r="B209" s="310"/>
      <c r="C209" s="260" t="s">
        <v>964</v>
      </c>
      <c r="D209" s="1191">
        <v>5300199</v>
      </c>
      <c r="E209" s="310"/>
      <c r="F209" s="263"/>
      <c r="G209" s="310"/>
      <c r="H209" s="310"/>
      <c r="I209" s="310"/>
      <c r="J209" s="310"/>
      <c r="K209" s="310"/>
      <c r="L209" s="310"/>
      <c r="M209" s="310"/>
      <c r="N209" s="310"/>
      <c r="O209" s="257"/>
      <c r="P209" s="310"/>
      <c r="Q209" s="263"/>
      <c r="R209" s="310"/>
      <c r="S209" s="918"/>
    </row>
    <row r="210" spans="1:20" s="328" customFormat="1" ht="13.5" thickBot="1">
      <c r="A210" s="1128"/>
      <c r="B210" s="345"/>
      <c r="C210" s="345"/>
      <c r="D210" s="1099"/>
      <c r="E210" s="345"/>
      <c r="F210" s="1122"/>
      <c r="G210" s="345"/>
      <c r="H210" s="345"/>
      <c r="I210" s="345"/>
      <c r="J210" s="345"/>
      <c r="K210" s="345"/>
      <c r="L210" s="345"/>
      <c r="M210" s="345"/>
      <c r="N210" s="345"/>
      <c r="O210" s="1100"/>
      <c r="P210" s="345"/>
      <c r="Q210" s="1122"/>
      <c r="R210" s="310"/>
      <c r="S210" s="918"/>
    </row>
    <row r="211" spans="1:20" s="328" customFormat="1">
      <c r="A211" s="1129"/>
      <c r="B211" s="310"/>
      <c r="C211" s="310"/>
      <c r="D211" s="1098"/>
      <c r="E211" s="310"/>
      <c r="F211" s="310"/>
      <c r="G211" s="310"/>
      <c r="H211" s="310"/>
      <c r="I211" s="310"/>
      <c r="J211" s="310"/>
      <c r="K211" s="310"/>
      <c r="L211" s="310"/>
      <c r="M211" s="310"/>
      <c r="N211" s="310"/>
      <c r="O211" s="257"/>
      <c r="P211" s="310"/>
      <c r="Q211" s="310"/>
      <c r="R211" s="310"/>
      <c r="S211" s="918"/>
    </row>
    <row r="212" spans="1:20">
      <c r="A212" s="310"/>
      <c r="B212" s="310"/>
      <c r="C212" s="23"/>
      <c r="D212" s="23"/>
      <c r="E212" s="310"/>
      <c r="F212" s="310"/>
      <c r="G212" s="310"/>
      <c r="H212" s="310"/>
      <c r="I212" s="310"/>
      <c r="J212" s="310"/>
      <c r="K212" s="310"/>
      <c r="L212" s="344"/>
      <c r="M212" s="736"/>
      <c r="N212" s="736"/>
      <c r="O212" s="736"/>
      <c r="P212" s="736"/>
      <c r="Q212" s="736"/>
      <c r="R212" s="736"/>
      <c r="S212" s="918"/>
      <c r="T212" s="328"/>
    </row>
    <row r="213" spans="1:20" ht="15.75" thickBot="1">
      <c r="A213" s="1155" t="s">
        <v>965</v>
      </c>
      <c r="B213" s="1155"/>
      <c r="C213" s="1155"/>
      <c r="D213" s="1155"/>
      <c r="E213" s="1155"/>
      <c r="F213" s="1155"/>
      <c r="G213" s="1155"/>
      <c r="H213" s="1155"/>
      <c r="I213" s="1155"/>
      <c r="J213" s="1155"/>
      <c r="K213" s="1192"/>
      <c r="L213" s="1193"/>
      <c r="M213" s="1155"/>
      <c r="N213" s="1155"/>
      <c r="O213" s="1155"/>
      <c r="P213" s="1194"/>
      <c r="Q213" s="1194"/>
      <c r="R213" s="310"/>
      <c r="S213" s="918"/>
      <c r="T213" s="328"/>
    </row>
    <row r="214" spans="1:20" ht="15">
      <c r="A214" s="1156"/>
      <c r="B214" s="1157"/>
      <c r="C214" s="1157"/>
      <c r="D214" s="1157"/>
      <c r="E214" s="1157"/>
      <c r="F214" s="1157"/>
      <c r="G214" s="1195"/>
      <c r="H214" s="1157"/>
      <c r="I214" s="1157"/>
      <c r="J214" s="1157"/>
      <c r="K214" s="1159"/>
      <c r="L214" s="1160"/>
      <c r="M214" s="1196" t="s">
        <v>966</v>
      </c>
      <c r="N214" s="1334" t="s">
        <v>394</v>
      </c>
      <c r="O214" s="1334"/>
      <c r="P214" s="1334"/>
      <c r="Q214" s="1335"/>
      <c r="R214" s="310"/>
      <c r="S214" s="920"/>
      <c r="T214" s="328"/>
    </row>
    <row r="215" spans="1:20" ht="15">
      <c r="A215" s="1163"/>
      <c r="B215" s="1164"/>
      <c r="C215" s="1164"/>
      <c r="D215" s="1164"/>
      <c r="E215" s="1164"/>
      <c r="F215" s="1164"/>
      <c r="G215" s="1197"/>
      <c r="H215" s="1164"/>
      <c r="I215" s="1164"/>
      <c r="J215" s="1198" t="s">
        <v>967</v>
      </c>
      <c r="K215" s="1199"/>
      <c r="L215" s="1200" t="s">
        <v>968</v>
      </c>
      <c r="M215" s="1166" t="s">
        <v>969</v>
      </c>
      <c r="N215" s="1336"/>
      <c r="O215" s="1336"/>
      <c r="P215" s="1336"/>
      <c r="Q215" s="1337"/>
      <c r="R215" s="310"/>
      <c r="S215" s="920"/>
      <c r="T215" s="328"/>
    </row>
    <row r="216" spans="1:20" ht="15">
      <c r="A216" s="1163"/>
      <c r="B216" s="1164"/>
      <c r="C216" s="1164"/>
      <c r="D216" s="1164"/>
      <c r="E216" s="1164"/>
      <c r="F216" s="1164"/>
      <c r="G216" s="1197"/>
      <c r="H216" s="1166" t="s">
        <v>970</v>
      </c>
      <c r="I216" s="1166" t="s">
        <v>971</v>
      </c>
      <c r="J216" s="1198" t="s">
        <v>971</v>
      </c>
      <c r="K216" s="1200" t="s">
        <v>972</v>
      </c>
      <c r="L216" s="1200" t="s">
        <v>973</v>
      </c>
      <c r="M216" s="1166" t="s">
        <v>974</v>
      </c>
      <c r="N216" s="1336"/>
      <c r="O216" s="1336"/>
      <c r="P216" s="1336"/>
      <c r="Q216" s="1337"/>
      <c r="R216" s="310"/>
      <c r="S216" s="920"/>
      <c r="T216" s="328"/>
    </row>
    <row r="217" spans="1:20" ht="15">
      <c r="A217" s="1338" t="s">
        <v>975</v>
      </c>
      <c r="B217" s="1339"/>
      <c r="C217" s="1339"/>
      <c r="D217" s="1339"/>
      <c r="E217" s="1164"/>
      <c r="F217" s="1166"/>
      <c r="G217" s="1201" t="s">
        <v>691</v>
      </c>
      <c r="H217" s="1166" t="s">
        <v>976</v>
      </c>
      <c r="I217" s="1166" t="s">
        <v>977</v>
      </c>
      <c r="J217" s="1198" t="s">
        <v>977</v>
      </c>
      <c r="K217" s="1200" t="s">
        <v>978</v>
      </c>
      <c r="L217" s="1200" t="s">
        <v>979</v>
      </c>
      <c r="M217" s="1166" t="s">
        <v>769</v>
      </c>
      <c r="N217" s="1336"/>
      <c r="O217" s="1336"/>
      <c r="P217" s="1336"/>
      <c r="Q217" s="1337"/>
      <c r="R217" s="310"/>
      <c r="S217" s="920"/>
      <c r="T217" s="328"/>
    </row>
    <row r="218" spans="1:20">
      <c r="A218" s="35"/>
      <c r="B218" s="36"/>
      <c r="C218" s="36"/>
      <c r="D218" s="36"/>
      <c r="E218" s="36"/>
      <c r="F218" s="36"/>
      <c r="G218" s="1202"/>
      <c r="H218" s="36"/>
      <c r="I218" s="36"/>
      <c r="J218" s="36"/>
      <c r="K218" s="1182"/>
      <c r="L218" s="1183"/>
      <c r="M218" s="36"/>
      <c r="N218" s="36"/>
      <c r="O218" s="36"/>
      <c r="P218" s="36"/>
      <c r="Q218" s="37"/>
      <c r="R218" s="310"/>
      <c r="S218" s="918"/>
      <c r="T218" s="328"/>
    </row>
    <row r="219" spans="1:20">
      <c r="A219" s="35"/>
      <c r="B219" s="36"/>
      <c r="C219" s="36"/>
      <c r="D219" s="36"/>
      <c r="E219" s="36"/>
      <c r="F219" s="36"/>
      <c r="G219" s="1203"/>
      <c r="H219" s="36"/>
      <c r="I219" s="36"/>
      <c r="J219" s="36"/>
      <c r="K219" s="1182"/>
      <c r="L219" s="1183"/>
      <c r="M219" s="36"/>
      <c r="N219" s="36"/>
      <c r="O219" s="36"/>
      <c r="P219" s="36"/>
      <c r="Q219" s="37"/>
      <c r="R219" s="24"/>
      <c r="S219" s="824"/>
    </row>
    <row r="220" spans="1:20">
      <c r="A220" s="35"/>
      <c r="B220" s="36" t="s">
        <v>980</v>
      </c>
      <c r="C220" s="36"/>
      <c r="D220" s="36"/>
      <c r="E220" s="36"/>
      <c r="F220" s="36"/>
      <c r="G220" s="1202"/>
      <c r="H220" s="36"/>
      <c r="I220" s="36"/>
      <c r="J220" s="36"/>
      <c r="K220" s="1182"/>
      <c r="L220" s="1183"/>
      <c r="M220" s="36"/>
      <c r="N220" s="36"/>
      <c r="O220" s="36"/>
      <c r="P220" s="36"/>
      <c r="Q220" s="37"/>
      <c r="R220" s="24"/>
      <c r="S220" s="915"/>
    </row>
    <row r="221" spans="1:20">
      <c r="A221" s="1204">
        <v>70</v>
      </c>
      <c r="B221" s="36"/>
      <c r="C221" s="36" t="s">
        <v>981</v>
      </c>
      <c r="D221" s="36"/>
      <c r="E221" s="1173" t="s">
        <v>982</v>
      </c>
      <c r="F221" s="36"/>
      <c r="G221" s="1235">
        <v>0</v>
      </c>
      <c r="H221" s="1207"/>
      <c r="I221" s="1237">
        <v>1</v>
      </c>
      <c r="J221" s="1237">
        <v>0.4178</v>
      </c>
      <c r="K221" s="1207"/>
      <c r="L221" s="1207"/>
      <c r="M221" s="1206"/>
      <c r="N221" s="1305"/>
      <c r="O221" s="1305"/>
      <c r="P221" s="1305"/>
      <c r="Q221" s="1306"/>
      <c r="R221" s="24"/>
      <c r="S221" s="891"/>
    </row>
    <row r="222" spans="1:20">
      <c r="A222" s="1204">
        <v>71</v>
      </c>
      <c r="B222" s="36"/>
      <c r="C222" s="36" t="s">
        <v>983</v>
      </c>
      <c r="D222" s="36"/>
      <c r="E222" s="1173" t="s">
        <v>982</v>
      </c>
      <c r="F222" s="36" t="s">
        <v>242</v>
      </c>
      <c r="G222" s="1235">
        <v>6437782</v>
      </c>
      <c r="H222" s="1236">
        <v>17329157</v>
      </c>
      <c r="I222" s="1207">
        <f>(H222*I221)</f>
        <v>17329157</v>
      </c>
      <c r="J222" s="1207">
        <f>J221*I222</f>
        <v>7240121.7945999997</v>
      </c>
      <c r="K222" s="1236">
        <v>-802340</v>
      </c>
      <c r="L222" s="1236">
        <v>0</v>
      </c>
      <c r="M222" s="1207">
        <f>SUM(J222:L222)</f>
        <v>6437781.7945999997</v>
      </c>
      <c r="N222" s="1305"/>
      <c r="O222" s="1305"/>
      <c r="P222" s="1305"/>
      <c r="Q222" s="1306"/>
      <c r="R222" s="24"/>
      <c r="S222" s="915"/>
    </row>
    <row r="223" spans="1:20" ht="13.5" thickBot="1">
      <c r="A223" s="38"/>
      <c r="B223" s="39"/>
      <c r="C223" s="39"/>
      <c r="D223" s="39"/>
      <c r="E223" s="39"/>
      <c r="F223" s="39"/>
      <c r="G223" s="1205"/>
      <c r="H223" s="39"/>
      <c r="I223" s="39"/>
      <c r="J223" s="39"/>
      <c r="K223" s="1189"/>
      <c r="L223" s="1190"/>
      <c r="M223" s="39"/>
      <c r="N223" s="39"/>
      <c r="O223" s="39"/>
      <c r="P223" s="39"/>
      <c r="Q223" s="40"/>
      <c r="R223" s="24"/>
      <c r="S223" s="915"/>
    </row>
    <row r="224" spans="1:20">
      <c r="A224" s="25"/>
      <c r="B224" s="25"/>
      <c r="C224" s="25"/>
      <c r="D224" s="25"/>
      <c r="E224" s="25"/>
      <c r="F224" s="25"/>
      <c r="G224" s="25"/>
      <c r="H224" s="25"/>
      <c r="I224" s="25"/>
      <c r="J224" s="25"/>
      <c r="K224" s="25"/>
      <c r="L224" s="25"/>
      <c r="M224" s="25"/>
      <c r="N224" s="25"/>
      <c r="O224" s="25"/>
      <c r="P224" s="25"/>
      <c r="Q224" s="25"/>
      <c r="R224" s="24"/>
      <c r="S224" s="824"/>
    </row>
    <row r="225" spans="1:19">
      <c r="A225" s="25"/>
      <c r="B225" s="25"/>
      <c r="C225" s="25"/>
      <c r="D225" s="25"/>
      <c r="E225" s="25"/>
      <c r="F225" s="25"/>
      <c r="G225" s="25"/>
      <c r="H225" s="25"/>
      <c r="I225" s="25"/>
      <c r="J225" s="25"/>
      <c r="K225" s="25"/>
      <c r="L225" s="25"/>
      <c r="M225" s="25"/>
      <c r="N225" s="25"/>
      <c r="O225" s="25"/>
      <c r="P225" s="25"/>
      <c r="Q225" s="25"/>
      <c r="R225" s="24"/>
      <c r="S225" s="824"/>
    </row>
    <row r="226" spans="1:19">
      <c r="A226" s="23"/>
      <c r="B226" s="23"/>
      <c r="C226" s="23"/>
      <c r="D226" s="23"/>
      <c r="E226" s="23"/>
      <c r="F226" s="23"/>
      <c r="G226" s="23"/>
      <c r="H226" s="23"/>
      <c r="I226" s="23"/>
      <c r="J226" s="23"/>
      <c r="K226" s="23"/>
      <c r="L226" s="23"/>
      <c r="M226" s="23"/>
      <c r="N226" s="23"/>
      <c r="O226" s="23"/>
      <c r="P226" s="23"/>
      <c r="Q226" s="23"/>
      <c r="R226" s="24"/>
      <c r="S226" s="824"/>
    </row>
    <row r="227" spans="1:19">
      <c r="A227" s="23"/>
      <c r="B227" s="23"/>
      <c r="C227" s="23"/>
      <c r="D227" s="23"/>
      <c r="E227" s="23"/>
      <c r="F227" s="23"/>
      <c r="G227" s="23"/>
      <c r="H227" s="23"/>
      <c r="I227" s="23"/>
      <c r="J227" s="23"/>
      <c r="K227" s="23"/>
      <c r="L227" s="23"/>
      <c r="M227" s="23"/>
      <c r="N227" s="23"/>
      <c r="O227" s="23"/>
      <c r="P227" s="23"/>
      <c r="Q227" s="23"/>
      <c r="R227" s="24"/>
      <c r="S227" s="824"/>
    </row>
    <row r="228" spans="1:19">
      <c r="A228" s="23"/>
      <c r="B228" s="23"/>
      <c r="C228" s="23"/>
      <c r="D228" s="23"/>
      <c r="E228" s="23"/>
      <c r="F228" s="23"/>
      <c r="G228" s="23"/>
      <c r="H228" s="23"/>
      <c r="I228" s="23"/>
      <c r="J228" s="23"/>
      <c r="K228" s="23"/>
      <c r="L228" s="23"/>
      <c r="M228" s="23"/>
      <c r="N228" s="23"/>
      <c r="O228" s="23"/>
      <c r="P228" s="23"/>
      <c r="Q228" s="23"/>
      <c r="R228" s="24"/>
      <c r="S228" s="824"/>
    </row>
    <row r="229" spans="1:19">
      <c r="A229" s="23"/>
      <c r="B229" s="23"/>
      <c r="C229" s="23"/>
      <c r="D229" s="23"/>
      <c r="E229" s="23"/>
      <c r="F229" s="23"/>
      <c r="G229" s="23"/>
      <c r="H229" s="23"/>
      <c r="I229" s="23"/>
      <c r="J229" s="23"/>
      <c r="K229" s="23"/>
      <c r="L229" s="23"/>
      <c r="M229" s="23"/>
      <c r="N229" s="23"/>
      <c r="O229" s="23"/>
      <c r="P229" s="23"/>
      <c r="Q229" s="23"/>
      <c r="R229" s="24"/>
      <c r="S229" s="824"/>
    </row>
    <row r="230" spans="1:19">
      <c r="A230" s="23"/>
      <c r="B230" s="23"/>
      <c r="C230" s="23"/>
      <c r="D230" s="23"/>
      <c r="E230" s="23"/>
      <c r="F230" s="23"/>
      <c r="G230" s="23"/>
      <c r="H230" s="23"/>
      <c r="I230" s="23"/>
      <c r="J230" s="23"/>
      <c r="K230" s="23"/>
      <c r="L230" s="23"/>
      <c r="M230" s="23"/>
      <c r="N230" s="23"/>
      <c r="O230" s="23"/>
      <c r="P230" s="23"/>
      <c r="Q230" s="23"/>
      <c r="R230" s="24"/>
      <c r="S230" s="824"/>
    </row>
    <row r="231" spans="1:19">
      <c r="A231" s="23"/>
      <c r="B231" s="23"/>
      <c r="C231" s="23"/>
      <c r="D231" s="23"/>
      <c r="E231" s="23"/>
      <c r="F231" s="23"/>
      <c r="G231" s="23"/>
      <c r="H231" s="23"/>
      <c r="I231" s="23"/>
      <c r="J231" s="23"/>
      <c r="K231" s="23"/>
      <c r="L231" s="23"/>
      <c r="M231" s="23"/>
      <c r="N231" s="23"/>
      <c r="O231" s="23"/>
      <c r="P231" s="23"/>
      <c r="Q231" s="23"/>
      <c r="R231" s="24"/>
      <c r="S231" s="824"/>
    </row>
    <row r="232" spans="1:19">
      <c r="A232" s="23"/>
      <c r="B232" s="23"/>
      <c r="C232" s="23"/>
      <c r="D232" s="23"/>
      <c r="E232" s="23"/>
      <c r="F232" s="23"/>
      <c r="G232" s="23"/>
      <c r="H232" s="23"/>
      <c r="I232" s="23"/>
      <c r="J232" s="23"/>
      <c r="K232" s="23"/>
      <c r="L232" s="23"/>
      <c r="M232" s="23"/>
      <c r="N232" s="23"/>
      <c r="O232" s="23"/>
      <c r="P232" s="23"/>
      <c r="Q232" s="23"/>
      <c r="R232" s="24"/>
      <c r="S232" s="824"/>
    </row>
    <row r="233" spans="1:19">
      <c r="A233" s="23"/>
      <c r="B233" s="23"/>
      <c r="C233" s="23"/>
      <c r="D233" s="23"/>
      <c r="E233" s="23"/>
      <c r="F233" s="23"/>
      <c r="G233" s="23"/>
      <c r="H233" s="23"/>
      <c r="I233" s="23"/>
      <c r="J233" s="23"/>
      <c r="K233" s="23"/>
      <c r="L233" s="23"/>
      <c r="M233" s="23"/>
      <c r="N233" s="23"/>
      <c r="O233" s="23"/>
      <c r="P233" s="23"/>
      <c r="Q233" s="23"/>
      <c r="R233" s="24"/>
      <c r="S233" s="824"/>
    </row>
    <row r="234" spans="1:19">
      <c r="A234" s="23"/>
      <c r="B234" s="23"/>
      <c r="C234" s="23"/>
      <c r="D234" s="23"/>
      <c r="E234" s="23"/>
      <c r="F234" s="23"/>
      <c r="G234" s="23"/>
      <c r="H234" s="23"/>
      <c r="I234" s="23"/>
      <c r="J234" s="23"/>
      <c r="K234" s="23"/>
      <c r="L234" s="23"/>
      <c r="M234" s="23"/>
      <c r="N234" s="23"/>
      <c r="O234" s="23"/>
      <c r="P234" s="23"/>
      <c r="Q234" s="23"/>
      <c r="R234" s="24"/>
      <c r="S234" s="824"/>
    </row>
    <row r="235" spans="1:19">
      <c r="A235" s="23"/>
      <c r="B235" s="23"/>
      <c r="C235" s="23"/>
      <c r="D235" s="23"/>
      <c r="E235" s="23"/>
      <c r="F235" s="23"/>
      <c r="G235" s="23"/>
      <c r="H235" s="23"/>
      <c r="I235" s="23"/>
      <c r="J235" s="23"/>
      <c r="K235" s="23"/>
      <c r="L235" s="23"/>
      <c r="M235" s="23"/>
      <c r="N235" s="23"/>
      <c r="O235" s="23"/>
      <c r="P235" s="23"/>
      <c r="Q235" s="23"/>
      <c r="R235" s="24"/>
      <c r="S235" s="824"/>
    </row>
    <row r="236" spans="1:19">
      <c r="A236" s="23"/>
      <c r="B236" s="23"/>
      <c r="C236" s="23"/>
      <c r="D236" s="23"/>
      <c r="E236" s="23"/>
      <c r="F236" s="23"/>
      <c r="G236" s="23"/>
      <c r="H236" s="23"/>
      <c r="I236" s="23"/>
      <c r="J236" s="23"/>
      <c r="K236" s="23"/>
      <c r="L236" s="23"/>
      <c r="M236" s="23"/>
      <c r="N236" s="23"/>
      <c r="O236" s="23"/>
      <c r="P236" s="23"/>
      <c r="Q236" s="23"/>
      <c r="R236" s="24"/>
      <c r="S236" s="824"/>
    </row>
    <row r="237" spans="1:19">
      <c r="A237" s="23"/>
      <c r="B237" s="23"/>
      <c r="C237" s="23"/>
      <c r="D237" s="23"/>
      <c r="E237" s="23"/>
      <c r="F237" s="23"/>
      <c r="G237" s="23"/>
      <c r="H237" s="23"/>
      <c r="I237" s="23"/>
      <c r="J237" s="23"/>
      <c r="K237" s="23"/>
      <c r="L237" s="23"/>
      <c r="M237" s="23"/>
      <c r="N237" s="23"/>
      <c r="O237" s="23"/>
      <c r="P237" s="23"/>
      <c r="Q237" s="23"/>
      <c r="R237" s="24"/>
      <c r="S237" s="824"/>
    </row>
    <row r="238" spans="1:19">
      <c r="A238" s="23"/>
      <c r="B238" s="23"/>
      <c r="C238" s="23"/>
      <c r="D238" s="23"/>
      <c r="E238" s="23"/>
      <c r="F238" s="23"/>
      <c r="G238" s="23"/>
      <c r="H238" s="23"/>
      <c r="I238" s="23"/>
      <c r="J238" s="23"/>
      <c r="K238" s="23"/>
      <c r="L238" s="23"/>
      <c r="M238" s="23"/>
      <c r="N238" s="23"/>
      <c r="O238" s="23"/>
      <c r="P238" s="23"/>
      <c r="Q238" s="23"/>
      <c r="R238" s="24"/>
      <c r="S238" s="824"/>
    </row>
    <row r="239" spans="1:19">
      <c r="A239" s="23"/>
      <c r="B239" s="23"/>
      <c r="C239" s="23"/>
      <c r="D239" s="23"/>
      <c r="E239" s="23"/>
      <c r="F239" s="23"/>
      <c r="G239" s="23"/>
      <c r="H239" s="23"/>
      <c r="I239" s="23"/>
      <c r="J239" s="23"/>
      <c r="K239" s="23"/>
      <c r="L239" s="23"/>
      <c r="M239" s="23"/>
      <c r="N239" s="23"/>
      <c r="O239" s="23"/>
      <c r="P239" s="23"/>
      <c r="Q239" s="23"/>
      <c r="R239" s="24"/>
      <c r="S239" s="824"/>
    </row>
    <row r="240" spans="1:19">
      <c r="A240" s="23"/>
      <c r="B240" s="23"/>
      <c r="C240" s="23"/>
      <c r="D240" s="23"/>
      <c r="E240" s="23"/>
      <c r="F240" s="23"/>
      <c r="G240" s="23"/>
      <c r="H240" s="23"/>
      <c r="I240" s="23"/>
      <c r="J240" s="23"/>
      <c r="K240" s="23"/>
      <c r="L240" s="23"/>
      <c r="M240" s="23"/>
      <c r="N240" s="23"/>
      <c r="O240" s="23"/>
      <c r="P240" s="23"/>
      <c r="Q240" s="23"/>
      <c r="R240" s="24"/>
      <c r="S240" s="824"/>
    </row>
    <row r="241" spans="1:19">
      <c r="A241" s="23"/>
      <c r="B241" s="23"/>
      <c r="C241" s="23"/>
      <c r="D241" s="23"/>
      <c r="E241" s="23"/>
      <c r="F241" s="23"/>
      <c r="G241" s="23"/>
      <c r="H241" s="23"/>
      <c r="I241" s="23"/>
      <c r="J241" s="23"/>
      <c r="K241" s="23"/>
      <c r="L241" s="23"/>
      <c r="M241" s="23"/>
      <c r="N241" s="23"/>
      <c r="O241" s="23"/>
      <c r="P241" s="23"/>
      <c r="Q241" s="23"/>
      <c r="R241" s="24"/>
      <c r="S241" s="824"/>
    </row>
    <row r="242" spans="1:19">
      <c r="A242" s="23"/>
      <c r="B242" s="23"/>
      <c r="C242" s="23"/>
      <c r="D242" s="23"/>
      <c r="E242" s="23"/>
      <c r="F242" s="23"/>
      <c r="G242" s="23"/>
      <c r="H242" s="23"/>
      <c r="I242" s="23"/>
      <c r="J242" s="23"/>
      <c r="K242" s="23"/>
      <c r="L242" s="23"/>
      <c r="M242" s="23"/>
      <c r="N242" s="23"/>
      <c r="O242" s="23"/>
      <c r="P242" s="23"/>
      <c r="Q242" s="23"/>
      <c r="R242" s="24"/>
      <c r="S242" s="824"/>
    </row>
    <row r="243" spans="1:19">
      <c r="A243" s="23"/>
      <c r="B243" s="23"/>
      <c r="C243" s="23"/>
      <c r="D243" s="23"/>
      <c r="E243" s="23"/>
      <c r="F243" s="23"/>
      <c r="G243" s="23"/>
      <c r="H243" s="23"/>
      <c r="I243" s="23"/>
      <c r="J243" s="23"/>
      <c r="K243" s="23"/>
      <c r="L243" s="23"/>
      <c r="M243" s="23"/>
      <c r="N243" s="23"/>
      <c r="O243" s="23"/>
      <c r="P243" s="23"/>
      <c r="Q243" s="23"/>
      <c r="R243" s="24"/>
      <c r="S243" s="824"/>
    </row>
    <row r="244" spans="1:19">
      <c r="A244" s="23"/>
      <c r="B244" s="23"/>
      <c r="C244" s="23"/>
      <c r="D244" s="23"/>
      <c r="E244" s="23"/>
      <c r="F244" s="23"/>
      <c r="G244" s="23"/>
      <c r="H244" s="23"/>
      <c r="I244" s="23"/>
      <c r="J244" s="23"/>
      <c r="K244" s="23"/>
      <c r="L244" s="23"/>
      <c r="M244" s="23"/>
      <c r="N244" s="23"/>
      <c r="O244" s="23"/>
      <c r="P244" s="23"/>
      <c r="Q244" s="23"/>
      <c r="R244" s="24"/>
      <c r="S244" s="824"/>
    </row>
    <row r="245" spans="1:19">
      <c r="A245" s="23"/>
      <c r="B245" s="23"/>
      <c r="C245" s="23"/>
      <c r="D245" s="23"/>
      <c r="E245" s="23"/>
      <c r="F245" s="23"/>
      <c r="G245" s="23"/>
      <c r="H245" s="23"/>
      <c r="I245" s="23"/>
      <c r="J245" s="23"/>
      <c r="K245" s="23"/>
      <c r="L245" s="23"/>
      <c r="M245" s="23"/>
      <c r="N245" s="23"/>
      <c r="O245" s="23"/>
      <c r="P245" s="23"/>
      <c r="Q245" s="23"/>
      <c r="R245" s="24"/>
      <c r="S245" s="824"/>
    </row>
    <row r="246" spans="1:19">
      <c r="A246" s="23"/>
      <c r="B246" s="23"/>
      <c r="C246" s="23"/>
      <c r="D246" s="23"/>
      <c r="E246" s="23"/>
      <c r="F246" s="23"/>
      <c r="G246" s="23"/>
      <c r="H246" s="23"/>
      <c r="I246" s="23"/>
      <c r="J246" s="23"/>
      <c r="K246" s="23"/>
      <c r="L246" s="23"/>
      <c r="M246" s="23"/>
      <c r="N246" s="23"/>
      <c r="O246" s="23"/>
      <c r="P246" s="23"/>
      <c r="Q246" s="23"/>
      <c r="R246" s="24"/>
      <c r="S246" s="824"/>
    </row>
    <row r="247" spans="1:19">
      <c r="A247" s="23"/>
      <c r="B247" s="23"/>
      <c r="C247" s="23"/>
      <c r="D247" s="23"/>
      <c r="E247" s="23"/>
      <c r="F247" s="23"/>
      <c r="G247" s="23"/>
      <c r="H247" s="23"/>
      <c r="I247" s="23"/>
      <c r="J247" s="23"/>
      <c r="K247" s="23"/>
      <c r="L247" s="23"/>
      <c r="M247" s="23"/>
      <c r="N247" s="23"/>
      <c r="O247" s="23"/>
      <c r="P247" s="23"/>
      <c r="Q247" s="23"/>
      <c r="R247" s="24"/>
      <c r="S247" s="824"/>
    </row>
    <row r="248" spans="1:19">
      <c r="A248" s="23"/>
      <c r="B248" s="23"/>
      <c r="C248" s="23"/>
      <c r="D248" s="23"/>
      <c r="E248" s="23"/>
      <c r="F248" s="23"/>
      <c r="G248" s="23"/>
      <c r="H248" s="23"/>
      <c r="I248" s="23"/>
      <c r="J248" s="23"/>
      <c r="K248" s="23"/>
      <c r="L248" s="23"/>
      <c r="M248" s="23"/>
      <c r="N248" s="23"/>
      <c r="O248" s="23"/>
      <c r="P248" s="23"/>
      <c r="Q248" s="23"/>
      <c r="R248" s="24"/>
      <c r="S248" s="824"/>
    </row>
    <row r="249" spans="1:19">
      <c r="A249" s="23"/>
      <c r="B249" s="23"/>
      <c r="C249" s="23"/>
      <c r="D249" s="23"/>
      <c r="E249" s="23"/>
      <c r="F249" s="23"/>
      <c r="G249" s="23"/>
      <c r="H249" s="23"/>
      <c r="I249" s="23"/>
      <c r="J249" s="23"/>
      <c r="K249" s="23"/>
      <c r="L249" s="23"/>
      <c r="M249" s="23"/>
      <c r="N249" s="23"/>
      <c r="O249" s="23"/>
      <c r="P249" s="23"/>
      <c r="Q249" s="23"/>
      <c r="R249" s="24"/>
      <c r="S249" s="824"/>
    </row>
    <row r="250" spans="1:19">
      <c r="A250" s="23"/>
      <c r="B250" s="23"/>
      <c r="C250" s="23"/>
      <c r="D250" s="23"/>
      <c r="E250" s="23"/>
      <c r="F250" s="23"/>
      <c r="G250" s="23"/>
      <c r="H250" s="23"/>
      <c r="I250" s="23"/>
      <c r="J250" s="23"/>
      <c r="K250" s="23"/>
      <c r="L250" s="23"/>
      <c r="M250" s="23"/>
      <c r="N250" s="23"/>
      <c r="O250" s="23"/>
      <c r="P250" s="23"/>
      <c r="Q250" s="23"/>
      <c r="R250" s="24"/>
      <c r="S250" s="824"/>
    </row>
    <row r="251" spans="1:19">
      <c r="A251" s="23"/>
      <c r="B251" s="23"/>
      <c r="C251" s="23"/>
      <c r="D251" s="23"/>
      <c r="E251" s="23"/>
      <c r="F251" s="23"/>
      <c r="G251" s="23"/>
      <c r="H251" s="23"/>
      <c r="I251" s="23"/>
      <c r="J251" s="23"/>
      <c r="K251" s="23"/>
      <c r="L251" s="23"/>
      <c r="M251" s="23"/>
      <c r="N251" s="23"/>
      <c r="O251" s="23"/>
      <c r="P251" s="23"/>
      <c r="Q251" s="23"/>
      <c r="R251" s="24"/>
      <c r="S251" s="824"/>
    </row>
    <row r="252" spans="1:19">
      <c r="A252" s="23"/>
      <c r="B252" s="23"/>
      <c r="C252" s="23"/>
      <c r="D252" s="23"/>
      <c r="E252" s="23"/>
      <c r="F252" s="23"/>
      <c r="G252" s="23"/>
      <c r="H252" s="23"/>
      <c r="I252" s="23"/>
      <c r="J252" s="23"/>
      <c r="K252" s="23"/>
      <c r="L252" s="23"/>
      <c r="M252" s="23"/>
      <c r="N252" s="23"/>
      <c r="O252" s="23"/>
      <c r="P252" s="23"/>
      <c r="Q252" s="23"/>
      <c r="R252" s="24"/>
      <c r="S252" s="824"/>
    </row>
    <row r="253" spans="1:19">
      <c r="A253" s="23"/>
      <c r="B253" s="23"/>
      <c r="C253" s="23"/>
      <c r="D253" s="23"/>
      <c r="E253" s="23"/>
      <c r="F253" s="23"/>
      <c r="G253" s="23"/>
      <c r="H253" s="23"/>
      <c r="I253" s="23"/>
      <c r="J253" s="23"/>
      <c r="K253" s="23"/>
      <c r="L253" s="23"/>
      <c r="M253" s="23"/>
      <c r="N253" s="23"/>
      <c r="O253" s="23"/>
      <c r="P253" s="23"/>
      <c r="Q253" s="23"/>
      <c r="R253" s="24"/>
      <c r="S253" s="824"/>
    </row>
    <row r="254" spans="1:19">
      <c r="A254" s="23"/>
      <c r="B254" s="23"/>
      <c r="C254" s="23"/>
      <c r="D254" s="23"/>
      <c r="E254" s="23"/>
      <c r="F254" s="23"/>
      <c r="G254" s="23"/>
      <c r="H254" s="23"/>
      <c r="I254" s="23"/>
      <c r="J254" s="23"/>
      <c r="K254" s="23"/>
      <c r="L254" s="23"/>
      <c r="M254" s="23"/>
      <c r="N254" s="23"/>
      <c r="O254" s="23"/>
      <c r="P254" s="23"/>
      <c r="Q254" s="23"/>
      <c r="R254" s="24"/>
      <c r="S254" s="824"/>
    </row>
    <row r="255" spans="1:19">
      <c r="A255" s="23"/>
      <c r="B255" s="23"/>
      <c r="C255" s="23"/>
      <c r="D255" s="23"/>
      <c r="E255" s="23"/>
      <c r="F255" s="23"/>
      <c r="G255" s="23"/>
      <c r="H255" s="23"/>
      <c r="I255" s="23"/>
      <c r="J255" s="23"/>
      <c r="K255" s="23"/>
      <c r="L255" s="23"/>
      <c r="M255" s="23"/>
      <c r="N255" s="23"/>
      <c r="O255" s="23"/>
      <c r="P255" s="23"/>
      <c r="Q255" s="23"/>
      <c r="R255" s="24"/>
      <c r="S255" s="824"/>
    </row>
    <row r="256" spans="1:19">
      <c r="A256" s="23"/>
      <c r="B256" s="23"/>
      <c r="C256" s="23"/>
      <c r="D256" s="23"/>
      <c r="E256" s="23"/>
      <c r="F256" s="23"/>
      <c r="G256" s="23"/>
      <c r="H256" s="23"/>
      <c r="I256" s="23"/>
      <c r="J256" s="23"/>
      <c r="K256" s="23"/>
      <c r="L256" s="23"/>
      <c r="M256" s="23"/>
      <c r="N256" s="23"/>
      <c r="O256" s="23"/>
      <c r="P256" s="23"/>
      <c r="Q256" s="23"/>
      <c r="R256" s="24"/>
      <c r="S256" s="824"/>
    </row>
    <row r="257" spans="1:19">
      <c r="A257" s="23"/>
      <c r="B257" s="23"/>
      <c r="C257" s="23"/>
      <c r="D257" s="23"/>
      <c r="E257" s="23"/>
      <c r="F257" s="23"/>
      <c r="G257" s="23"/>
      <c r="H257" s="23"/>
      <c r="I257" s="23"/>
      <c r="J257" s="23"/>
      <c r="K257" s="23"/>
      <c r="L257" s="23"/>
      <c r="M257" s="23"/>
      <c r="N257" s="23"/>
      <c r="O257" s="23"/>
      <c r="P257" s="23"/>
      <c r="Q257" s="23"/>
      <c r="R257" s="24"/>
      <c r="S257" s="824"/>
    </row>
    <row r="258" spans="1:19">
      <c r="A258" s="23"/>
      <c r="B258" s="23"/>
      <c r="C258" s="23"/>
      <c r="D258" s="23"/>
      <c r="E258" s="23"/>
      <c r="F258" s="23"/>
      <c r="G258" s="23"/>
      <c r="H258" s="23"/>
      <c r="I258" s="23"/>
      <c r="J258" s="23"/>
      <c r="K258" s="23"/>
      <c r="L258" s="23"/>
      <c r="M258" s="23"/>
      <c r="N258" s="23"/>
      <c r="O258" s="23"/>
      <c r="P258" s="23"/>
      <c r="Q258" s="23"/>
      <c r="R258" s="24"/>
      <c r="S258" s="824"/>
    </row>
    <row r="259" spans="1:19">
      <c r="A259" s="23"/>
      <c r="B259" s="23"/>
      <c r="C259" s="23"/>
      <c r="D259" s="23"/>
      <c r="E259" s="23"/>
      <c r="F259" s="23"/>
      <c r="G259" s="23"/>
      <c r="H259" s="23"/>
      <c r="I259" s="23"/>
      <c r="J259" s="23"/>
      <c r="K259" s="23"/>
      <c r="L259" s="23"/>
      <c r="M259" s="23"/>
      <c r="N259" s="23"/>
      <c r="O259" s="23"/>
      <c r="P259" s="23"/>
      <c r="Q259" s="23"/>
      <c r="R259" s="24"/>
      <c r="S259" s="824"/>
    </row>
    <row r="260" spans="1:19">
      <c r="A260" s="23"/>
      <c r="B260" s="23"/>
      <c r="C260" s="23"/>
      <c r="D260" s="23"/>
      <c r="E260" s="23"/>
      <c r="F260" s="23"/>
      <c r="G260" s="23"/>
      <c r="H260" s="23"/>
      <c r="I260" s="23"/>
      <c r="J260" s="23"/>
      <c r="K260" s="23"/>
      <c r="L260" s="23"/>
      <c r="M260" s="23"/>
      <c r="N260" s="23"/>
      <c r="O260" s="23"/>
      <c r="P260" s="23"/>
      <c r="Q260" s="23"/>
      <c r="R260" s="24"/>
      <c r="S260" s="824"/>
    </row>
    <row r="261" spans="1:19">
      <c r="A261" s="23"/>
      <c r="B261" s="23"/>
      <c r="C261" s="23"/>
      <c r="D261" s="23"/>
      <c r="E261" s="23"/>
      <c r="F261" s="23"/>
      <c r="G261" s="23"/>
      <c r="H261" s="23"/>
      <c r="I261" s="23"/>
      <c r="J261" s="23"/>
      <c r="K261" s="23"/>
      <c r="L261" s="23"/>
      <c r="M261" s="23"/>
      <c r="N261" s="23"/>
      <c r="O261" s="23"/>
      <c r="P261" s="23"/>
      <c r="Q261" s="23"/>
      <c r="R261" s="24"/>
      <c r="S261" s="824"/>
    </row>
    <row r="262" spans="1:19">
      <c r="A262" s="23"/>
      <c r="B262" s="23"/>
      <c r="C262" s="23"/>
      <c r="D262" s="23"/>
      <c r="E262" s="23"/>
      <c r="F262" s="23"/>
      <c r="G262" s="23"/>
      <c r="H262" s="23"/>
      <c r="I262" s="23"/>
      <c r="J262" s="23"/>
      <c r="K262" s="23"/>
      <c r="L262" s="23"/>
      <c r="M262" s="23"/>
      <c r="N262" s="23"/>
      <c r="O262" s="23"/>
      <c r="P262" s="23"/>
      <c r="Q262" s="23"/>
      <c r="R262" s="24"/>
      <c r="S262" s="824"/>
    </row>
    <row r="263" spans="1:19">
      <c r="A263" s="23"/>
      <c r="B263" s="23"/>
      <c r="C263" s="23"/>
      <c r="D263" s="23"/>
      <c r="E263" s="23"/>
      <c r="F263" s="23"/>
      <c r="G263" s="23"/>
      <c r="H263" s="23"/>
      <c r="I263" s="23"/>
      <c r="J263" s="23"/>
      <c r="K263" s="23"/>
      <c r="L263" s="23"/>
      <c r="M263" s="23"/>
      <c r="N263" s="23"/>
      <c r="O263" s="23"/>
      <c r="P263" s="23"/>
      <c r="Q263" s="23"/>
      <c r="R263" s="24"/>
      <c r="S263" s="824"/>
    </row>
    <row r="264" spans="1:19">
      <c r="A264" s="23"/>
      <c r="B264" s="23"/>
      <c r="C264" s="23"/>
      <c r="D264" s="23"/>
      <c r="E264" s="23"/>
      <c r="F264" s="23"/>
      <c r="G264" s="23"/>
      <c r="H264" s="23"/>
      <c r="I264" s="23"/>
      <c r="J264" s="23"/>
      <c r="K264" s="23"/>
      <c r="L264" s="23"/>
      <c r="M264" s="23"/>
      <c r="N264" s="23"/>
      <c r="O264" s="23"/>
      <c r="P264" s="23"/>
      <c r="Q264" s="23"/>
      <c r="R264" s="24"/>
      <c r="S264" s="824"/>
    </row>
    <row r="265" spans="1:19">
      <c r="A265" s="23"/>
      <c r="B265" s="23"/>
      <c r="C265" s="23"/>
      <c r="D265" s="23"/>
      <c r="E265" s="23"/>
      <c r="F265" s="23"/>
      <c r="G265" s="23"/>
      <c r="H265" s="23"/>
      <c r="I265" s="23"/>
      <c r="J265" s="23"/>
      <c r="K265" s="23"/>
      <c r="L265" s="23"/>
      <c r="M265" s="23"/>
      <c r="N265" s="23"/>
      <c r="O265" s="23"/>
      <c r="P265" s="23"/>
      <c r="Q265" s="23"/>
      <c r="R265" s="24"/>
      <c r="S265" s="824"/>
    </row>
    <row r="266" spans="1:19">
      <c r="A266" s="23"/>
      <c r="B266" s="23"/>
      <c r="C266" s="23"/>
      <c r="D266" s="23"/>
      <c r="E266" s="23"/>
      <c r="F266" s="23"/>
      <c r="G266" s="23"/>
      <c r="H266" s="23"/>
      <c r="I266" s="23"/>
      <c r="J266" s="23"/>
      <c r="K266" s="23"/>
      <c r="L266" s="23"/>
      <c r="M266" s="23"/>
      <c r="N266" s="23"/>
      <c r="O266" s="23"/>
      <c r="P266" s="23"/>
      <c r="Q266" s="23"/>
      <c r="R266" s="24"/>
      <c r="S266" s="824"/>
    </row>
    <row r="267" spans="1:19">
      <c r="A267" s="23"/>
      <c r="B267" s="23"/>
      <c r="C267" s="23"/>
      <c r="D267" s="23"/>
      <c r="E267" s="23"/>
      <c r="F267" s="23"/>
      <c r="G267" s="23"/>
      <c r="H267" s="23"/>
      <c r="I267" s="23"/>
      <c r="J267" s="23"/>
      <c r="K267" s="23"/>
      <c r="L267" s="23"/>
      <c r="M267" s="23"/>
      <c r="N267" s="23"/>
      <c r="O267" s="23"/>
      <c r="P267" s="23"/>
      <c r="Q267" s="23"/>
      <c r="R267" s="24"/>
      <c r="S267" s="824"/>
    </row>
    <row r="268" spans="1:19">
      <c r="A268" s="23"/>
      <c r="B268" s="23"/>
      <c r="C268" s="23"/>
      <c r="D268" s="23"/>
      <c r="E268" s="23"/>
      <c r="F268" s="23"/>
      <c r="G268" s="23"/>
      <c r="H268" s="23"/>
      <c r="I268" s="23"/>
      <c r="J268" s="23"/>
      <c r="K268" s="23"/>
      <c r="L268" s="23"/>
      <c r="M268" s="23"/>
      <c r="N268" s="23"/>
      <c r="O268" s="23"/>
      <c r="P268" s="23"/>
      <c r="Q268" s="23"/>
      <c r="R268" s="24"/>
      <c r="S268" s="824"/>
    </row>
    <row r="269" spans="1:19">
      <c r="A269" s="23"/>
      <c r="B269" s="23"/>
      <c r="C269" s="23"/>
      <c r="D269" s="23"/>
      <c r="E269" s="23"/>
      <c r="F269" s="23"/>
      <c r="G269" s="23"/>
      <c r="H269" s="23"/>
      <c r="I269" s="23"/>
      <c r="J269" s="23"/>
      <c r="K269" s="23"/>
      <c r="L269" s="23"/>
      <c r="M269" s="23"/>
      <c r="N269" s="23"/>
      <c r="O269" s="23"/>
      <c r="P269" s="23"/>
      <c r="Q269" s="23"/>
      <c r="R269" s="24"/>
      <c r="S269" s="824"/>
    </row>
    <row r="270" spans="1:19">
      <c r="A270" s="23"/>
      <c r="B270" s="23"/>
      <c r="C270" s="23"/>
      <c r="D270" s="23"/>
      <c r="E270" s="23"/>
      <c r="F270" s="23"/>
      <c r="G270" s="23"/>
      <c r="H270" s="23"/>
      <c r="I270" s="23"/>
      <c r="J270" s="23"/>
      <c r="K270" s="23"/>
      <c r="L270" s="23"/>
      <c r="M270" s="23"/>
      <c r="N270" s="23"/>
      <c r="O270" s="23"/>
      <c r="P270" s="23"/>
      <c r="Q270" s="23"/>
      <c r="R270" s="24"/>
      <c r="S270" s="824"/>
    </row>
    <row r="271" spans="1:19">
      <c r="A271" s="23"/>
      <c r="B271" s="23"/>
      <c r="C271" s="23"/>
      <c r="D271" s="23"/>
      <c r="E271" s="23"/>
      <c r="F271" s="23"/>
      <c r="G271" s="23"/>
      <c r="H271" s="23"/>
      <c r="I271" s="23"/>
      <c r="J271" s="23"/>
      <c r="K271" s="23"/>
      <c r="L271" s="23"/>
      <c r="M271" s="23"/>
      <c r="N271" s="23"/>
      <c r="O271" s="23"/>
      <c r="P271" s="23"/>
      <c r="Q271" s="23"/>
      <c r="R271" s="24"/>
      <c r="S271" s="824"/>
    </row>
    <row r="272" spans="1:19">
      <c r="A272" s="23"/>
      <c r="B272" s="23"/>
      <c r="C272" s="23"/>
      <c r="D272" s="23"/>
      <c r="E272" s="23"/>
      <c r="F272" s="23"/>
      <c r="G272" s="23"/>
      <c r="H272" s="23"/>
      <c r="I272" s="23"/>
      <c r="J272" s="23"/>
      <c r="K272" s="23"/>
      <c r="L272" s="23"/>
      <c r="M272" s="23"/>
      <c r="N272" s="23"/>
      <c r="O272" s="23"/>
      <c r="P272" s="23"/>
      <c r="Q272" s="23"/>
      <c r="R272" s="24"/>
      <c r="S272" s="824"/>
    </row>
    <row r="273" spans="1:19">
      <c r="A273" s="23"/>
      <c r="B273" s="23"/>
      <c r="C273" s="23"/>
      <c r="D273" s="23"/>
      <c r="E273" s="23"/>
      <c r="F273" s="23"/>
      <c r="G273" s="23"/>
      <c r="H273" s="23"/>
      <c r="I273" s="23"/>
      <c r="J273" s="23"/>
      <c r="K273" s="23"/>
      <c r="L273" s="23"/>
      <c r="M273" s="23"/>
      <c r="N273" s="23"/>
      <c r="O273" s="23"/>
      <c r="P273" s="23"/>
      <c r="Q273" s="23"/>
      <c r="R273" s="24"/>
      <c r="S273" s="824"/>
    </row>
    <row r="274" spans="1:19">
      <c r="A274" s="23"/>
      <c r="B274" s="23"/>
      <c r="C274" s="23"/>
      <c r="D274" s="23"/>
      <c r="E274" s="23"/>
      <c r="F274" s="23"/>
      <c r="G274" s="23"/>
      <c r="H274" s="23"/>
      <c r="I274" s="23"/>
      <c r="J274" s="23"/>
      <c r="K274" s="23"/>
      <c r="L274" s="23"/>
      <c r="M274" s="23"/>
      <c r="N274" s="23"/>
      <c r="O274" s="23"/>
      <c r="P274" s="23"/>
      <c r="Q274" s="23"/>
      <c r="R274" s="24"/>
      <c r="S274" s="824"/>
    </row>
    <row r="275" spans="1:19">
      <c r="A275" s="23"/>
      <c r="B275" s="23"/>
      <c r="C275" s="23"/>
      <c r="D275" s="23"/>
      <c r="E275" s="23"/>
      <c r="F275" s="23"/>
      <c r="G275" s="23"/>
      <c r="H275" s="23"/>
      <c r="I275" s="23"/>
      <c r="J275" s="23"/>
      <c r="K275" s="23"/>
      <c r="L275" s="23"/>
      <c r="M275" s="23"/>
      <c r="N275" s="23"/>
      <c r="O275" s="23"/>
      <c r="P275" s="23"/>
      <c r="Q275" s="23"/>
      <c r="R275" s="24"/>
      <c r="S275" s="824"/>
    </row>
    <row r="276" spans="1:19">
      <c r="A276" s="23"/>
      <c r="B276" s="23"/>
      <c r="C276" s="23"/>
      <c r="D276" s="23"/>
      <c r="E276" s="23"/>
      <c r="F276" s="23"/>
      <c r="G276" s="23"/>
      <c r="H276" s="23"/>
      <c r="I276" s="23"/>
      <c r="J276" s="23"/>
      <c r="K276" s="23"/>
      <c r="L276" s="23"/>
      <c r="M276" s="23"/>
      <c r="N276" s="23"/>
      <c r="O276" s="23"/>
      <c r="P276" s="23"/>
      <c r="Q276" s="23"/>
      <c r="R276" s="24"/>
      <c r="S276" s="824"/>
    </row>
    <row r="277" spans="1:19">
      <c r="A277" s="23"/>
      <c r="B277" s="23"/>
      <c r="C277" s="23"/>
      <c r="D277" s="23"/>
      <c r="E277" s="23"/>
      <c r="F277" s="23"/>
      <c r="G277" s="23"/>
      <c r="H277" s="23"/>
      <c r="I277" s="23"/>
      <c r="J277" s="23"/>
      <c r="K277" s="23"/>
      <c r="L277" s="23"/>
      <c r="M277" s="23"/>
      <c r="N277" s="23"/>
      <c r="O277" s="23"/>
      <c r="P277" s="23"/>
      <c r="Q277" s="23"/>
      <c r="R277" s="24"/>
      <c r="S277" s="824"/>
    </row>
    <row r="278" spans="1:19">
      <c r="A278" s="23"/>
      <c r="B278" s="23"/>
      <c r="C278" s="23"/>
      <c r="D278" s="23"/>
      <c r="E278" s="23"/>
      <c r="F278" s="23"/>
      <c r="G278" s="23"/>
      <c r="H278" s="23"/>
      <c r="I278" s="23"/>
      <c r="J278" s="23"/>
      <c r="K278" s="23"/>
      <c r="L278" s="23"/>
      <c r="M278" s="23"/>
      <c r="N278" s="23"/>
      <c r="O278" s="23"/>
      <c r="P278" s="23"/>
      <c r="Q278" s="23"/>
      <c r="R278" s="24"/>
      <c r="S278" s="824"/>
    </row>
    <row r="279" spans="1:19">
      <c r="G279" s="23"/>
      <c r="H279" s="23"/>
      <c r="I279" s="23"/>
      <c r="J279" s="23"/>
      <c r="K279" s="23"/>
      <c r="L279" s="23"/>
      <c r="M279" s="23"/>
      <c r="N279" s="23"/>
      <c r="O279" s="23"/>
      <c r="P279" s="23"/>
      <c r="Q279" s="23"/>
    </row>
    <row r="280" spans="1:19">
      <c r="G280" s="23"/>
      <c r="H280" s="23"/>
      <c r="I280" s="23"/>
      <c r="J280" s="23"/>
      <c r="K280" s="23"/>
      <c r="L280" s="23"/>
      <c r="M280" s="23"/>
      <c r="N280" s="23"/>
      <c r="O280" s="23"/>
      <c r="P280" s="23"/>
      <c r="Q280" s="23"/>
    </row>
    <row r="281" spans="1:19">
      <c r="G281" s="23"/>
      <c r="H281" s="23"/>
      <c r="I281" s="23"/>
      <c r="J281" s="23"/>
      <c r="K281" s="23"/>
      <c r="L281" s="23"/>
      <c r="M281" s="23"/>
      <c r="N281" s="23"/>
      <c r="O281" s="23"/>
      <c r="P281" s="23"/>
      <c r="Q281" s="23"/>
    </row>
    <row r="282" spans="1:19">
      <c r="G282" s="23"/>
      <c r="H282" s="23"/>
      <c r="I282" s="23"/>
      <c r="J282" s="23"/>
      <c r="K282" s="23"/>
      <c r="L282" s="23"/>
      <c r="M282" s="23"/>
      <c r="N282" s="23"/>
      <c r="O282" s="23"/>
      <c r="P282" s="23"/>
      <c r="Q282" s="23"/>
    </row>
    <row r="283" spans="1:19">
      <c r="G283" s="23"/>
      <c r="H283" s="23"/>
      <c r="I283" s="23"/>
      <c r="J283" s="23"/>
      <c r="K283" s="23"/>
      <c r="L283" s="23"/>
      <c r="M283" s="23"/>
      <c r="N283" s="23"/>
      <c r="O283" s="23"/>
      <c r="P283" s="23"/>
      <c r="Q283" s="23"/>
    </row>
    <row r="284" spans="1:19">
      <c r="G284" s="23"/>
      <c r="H284" s="23"/>
      <c r="I284" s="23"/>
      <c r="J284" s="23"/>
      <c r="K284" s="23"/>
      <c r="L284" s="23"/>
      <c r="M284" s="23"/>
      <c r="N284" s="23"/>
      <c r="O284" s="23"/>
      <c r="P284" s="23"/>
      <c r="Q284" s="23"/>
    </row>
    <row r="285" spans="1:19">
      <c r="G285" s="23"/>
      <c r="H285" s="23"/>
      <c r="I285" s="23"/>
      <c r="J285" s="23"/>
      <c r="K285" s="23"/>
      <c r="L285" s="23"/>
      <c r="M285" s="23"/>
      <c r="N285" s="23"/>
      <c r="O285" s="23"/>
      <c r="P285" s="23"/>
      <c r="Q285" s="23"/>
    </row>
    <row r="286" spans="1:19">
      <c r="G286" s="23"/>
      <c r="H286" s="23"/>
      <c r="I286" s="23"/>
      <c r="J286" s="23"/>
      <c r="K286" s="23"/>
      <c r="L286" s="23"/>
      <c r="M286" s="23"/>
      <c r="N286" s="23"/>
      <c r="O286" s="23"/>
      <c r="P286" s="23"/>
      <c r="Q286" s="23"/>
    </row>
    <row r="287" spans="1:19">
      <c r="G287" s="23"/>
      <c r="H287" s="23"/>
      <c r="I287" s="23"/>
      <c r="J287" s="23"/>
      <c r="K287" s="23"/>
      <c r="L287" s="23"/>
      <c r="M287" s="23"/>
      <c r="N287" s="23"/>
      <c r="O287" s="23"/>
      <c r="P287" s="23"/>
      <c r="Q287" s="23"/>
    </row>
    <row r="288" spans="1:19">
      <c r="G288" s="23"/>
      <c r="H288" s="23"/>
      <c r="I288" s="23"/>
      <c r="J288" s="23"/>
      <c r="K288" s="23"/>
      <c r="L288" s="23"/>
      <c r="M288" s="23"/>
      <c r="N288" s="23"/>
      <c r="O288" s="23"/>
      <c r="P288" s="23"/>
      <c r="Q288" s="23"/>
    </row>
  </sheetData>
  <mergeCells count="70">
    <mergeCell ref="N214:Q217"/>
    <mergeCell ref="A217:D217"/>
    <mergeCell ref="J81:Q81"/>
    <mergeCell ref="L75:Q75"/>
    <mergeCell ref="J60:Q60"/>
    <mergeCell ref="L74:Q74"/>
    <mergeCell ref="H85:Q85"/>
    <mergeCell ref="A85:F85"/>
    <mergeCell ref="H102:Q102"/>
    <mergeCell ref="A92:F92"/>
    <mergeCell ref="A100:F100"/>
    <mergeCell ref="H106:Q106"/>
    <mergeCell ref="L116:P116"/>
    <mergeCell ref="A79:E79"/>
    <mergeCell ref="A106:E106"/>
    <mergeCell ref="A114:E114"/>
    <mergeCell ref="H49:Q49"/>
    <mergeCell ref="H50:Q50"/>
    <mergeCell ref="H51:Q51"/>
    <mergeCell ref="J66:Q66"/>
    <mergeCell ref="L72:Q72"/>
    <mergeCell ref="J62:Q62"/>
    <mergeCell ref="J68:Q68"/>
    <mergeCell ref="A1:Q1"/>
    <mergeCell ref="A3:Q3"/>
    <mergeCell ref="J58:Q58"/>
    <mergeCell ref="J26:Q26"/>
    <mergeCell ref="J37:Q37"/>
    <mergeCell ref="J6:Q6"/>
    <mergeCell ref="J8:Q8"/>
    <mergeCell ref="L34:Q34"/>
    <mergeCell ref="K9:Q9"/>
    <mergeCell ref="K10:Q10"/>
    <mergeCell ref="K11:Q11"/>
    <mergeCell ref="K12:Q12"/>
    <mergeCell ref="K13:Q13"/>
    <mergeCell ref="L38:Q38"/>
    <mergeCell ref="L39:Q39"/>
    <mergeCell ref="K14:Q14"/>
    <mergeCell ref="K15:Q15"/>
    <mergeCell ref="K16:Q16"/>
    <mergeCell ref="K17:Q17"/>
    <mergeCell ref="K21:Q21"/>
    <mergeCell ref="K22:Q22"/>
    <mergeCell ref="K23:Q23"/>
    <mergeCell ref="K24:Q24"/>
    <mergeCell ref="K25:Q25"/>
    <mergeCell ref="K28:Q28"/>
    <mergeCell ref="L36:Q36"/>
    <mergeCell ref="N221:Q221"/>
    <mergeCell ref="N222:Q222"/>
    <mergeCell ref="K29:Q29"/>
    <mergeCell ref="K30:Q30"/>
    <mergeCell ref="K31:Q31"/>
    <mergeCell ref="H47:Q47"/>
    <mergeCell ref="H48:Q48"/>
    <mergeCell ref="J79:Q79"/>
    <mergeCell ref="H100:Q100"/>
    <mergeCell ref="H87:Q87"/>
    <mergeCell ref="H94:Q94"/>
    <mergeCell ref="H92:Q92"/>
    <mergeCell ref="H96:Q96"/>
    <mergeCell ref="H95:Q95"/>
    <mergeCell ref="J44:Q44"/>
    <mergeCell ref="L118:O118"/>
    <mergeCell ref="A6:E6"/>
    <mergeCell ref="A44:E44"/>
    <mergeCell ref="A58:E58"/>
    <mergeCell ref="A66:E66"/>
    <mergeCell ref="A72:F72"/>
  </mergeCells>
  <phoneticPr fontId="0" type="noConversion"/>
  <printOptions horizontalCentered="1"/>
  <pageMargins left="0.25" right="0.25" top="1" bottom="0.5" header="0.5" footer="0.5"/>
  <pageSetup scale="34" fitToHeight="4" orientation="portrait" r:id="rId1"/>
  <headerFooter alignWithMargins="0">
    <oddHeader>&amp;RPage &amp;P of &amp;N</oddHeader>
  </headerFooter>
  <rowBreaks count="2" manualBreakCount="2">
    <brk id="69" max="17" man="1"/>
    <brk id="131" max="17" man="1"/>
  </rowBreaks>
</worksheet>
</file>

<file path=xl/worksheets/sheet9.xml><?xml version="1.0" encoding="utf-8"?>
<worksheet xmlns="http://schemas.openxmlformats.org/spreadsheetml/2006/main" xmlns:r="http://schemas.openxmlformats.org/officeDocument/2006/relationships">
  <sheetPr>
    <pageSetUpPr fitToPage="1"/>
  </sheetPr>
  <dimension ref="A1:Q345"/>
  <sheetViews>
    <sheetView zoomScaleNormal="100" zoomScaleSheetLayoutView="100" workbookViewId="0">
      <selection activeCell="K18" sqref="K18"/>
    </sheetView>
  </sheetViews>
  <sheetFormatPr defaultColWidth="9.140625" defaultRowHeight="13.5"/>
  <cols>
    <col min="1" max="1" width="4.140625" style="264" customWidth="1"/>
    <col min="2" max="2" width="7" style="264" bestFit="1" customWidth="1"/>
    <col min="3" max="3" width="7.28515625" style="264" customWidth="1"/>
    <col min="4" max="4" width="14.5703125" style="265" customWidth="1"/>
    <col min="5" max="5" width="16.42578125" style="265" customWidth="1"/>
    <col min="6" max="6" width="13" style="265" customWidth="1"/>
    <col min="7" max="7" width="12.85546875" style="265" customWidth="1"/>
    <col min="8" max="8" width="11.42578125" style="970" customWidth="1"/>
    <col min="9" max="9" width="13.5703125" style="265" customWidth="1"/>
    <col min="10" max="10" width="12.28515625" style="265" customWidth="1"/>
    <col min="11" max="11" width="12.42578125" style="265" customWidth="1"/>
    <col min="12" max="12" width="11.7109375" style="265" customWidth="1"/>
    <col min="13" max="13" width="5.85546875" style="265" bestFit="1" customWidth="1"/>
    <col min="14" max="14" width="13.28515625" style="265" customWidth="1"/>
    <col min="15" max="15" width="11.5703125" style="265" customWidth="1"/>
    <col min="16" max="16" width="19.28515625" style="265" customWidth="1"/>
    <col min="17" max="17" width="10.28515625" style="265" customWidth="1"/>
    <col min="18" max="16384" width="9.140625" style="265"/>
  </cols>
  <sheetData>
    <row r="1" spans="1:16">
      <c r="A1" s="1343" t="str">
        <f>'Appendix H-1'!A6</f>
        <v>South Carolina Electric &amp; Gas Company (SCEG)</v>
      </c>
      <c r="B1" s="1343"/>
      <c r="C1" s="1343"/>
      <c r="D1" s="1343"/>
      <c r="E1" s="1343"/>
      <c r="F1" s="1343"/>
      <c r="G1" s="1343"/>
      <c r="H1" s="1343"/>
      <c r="I1" s="1343"/>
      <c r="J1" s="1343"/>
      <c r="K1" s="1343"/>
      <c r="L1" s="1343"/>
      <c r="M1" s="1343"/>
      <c r="N1" s="1343"/>
      <c r="O1" s="1343"/>
      <c r="P1" s="1343"/>
    </row>
    <row r="2" spans="1:16">
      <c r="A2" s="1013"/>
    </row>
    <row r="3" spans="1:16">
      <c r="A3" s="1344" t="s">
        <v>549</v>
      </c>
      <c r="B3" s="1344"/>
      <c r="C3" s="1344"/>
      <c r="D3" s="1344"/>
      <c r="E3" s="1344"/>
      <c r="F3" s="1344"/>
      <c r="G3" s="1344"/>
      <c r="H3" s="1344"/>
      <c r="I3" s="1344"/>
      <c r="J3" s="1344"/>
      <c r="K3" s="1344"/>
      <c r="L3" s="1344"/>
      <c r="M3" s="1344"/>
      <c r="N3" s="1344"/>
      <c r="O3" s="1344"/>
      <c r="P3" s="1344"/>
    </row>
    <row r="6" spans="1:16">
      <c r="A6" s="264" t="s">
        <v>490</v>
      </c>
      <c r="B6" s="264" t="s">
        <v>491</v>
      </c>
      <c r="C6" s="264" t="s">
        <v>492</v>
      </c>
      <c r="D6" s="264" t="s">
        <v>493</v>
      </c>
    </row>
    <row r="8" spans="1:16">
      <c r="A8" s="266" t="s">
        <v>804</v>
      </c>
    </row>
    <row r="9" spans="1:16">
      <c r="A9" s="264">
        <v>1</v>
      </c>
      <c r="B9" s="264" t="s">
        <v>494</v>
      </c>
      <c r="C9" s="1006">
        <v>2016</v>
      </c>
      <c r="D9" s="270" t="s">
        <v>814</v>
      </c>
    </row>
    <row r="10" spans="1:16">
      <c r="A10" s="264">
        <v>2</v>
      </c>
      <c r="B10" s="264" t="s">
        <v>495</v>
      </c>
      <c r="C10" s="783">
        <f>C9</f>
        <v>2016</v>
      </c>
      <c r="D10" s="784" t="s">
        <v>779</v>
      </c>
    </row>
    <row r="11" spans="1:16">
      <c r="A11" s="264">
        <v>3</v>
      </c>
      <c r="B11" s="267" t="s">
        <v>496</v>
      </c>
      <c r="C11" s="783">
        <f>+C10</f>
        <v>2016</v>
      </c>
      <c r="D11" s="270" t="s">
        <v>778</v>
      </c>
    </row>
    <row r="12" spans="1:16">
      <c r="C12" s="783"/>
      <c r="D12" s="270"/>
    </row>
    <row r="13" spans="1:16">
      <c r="A13" s="264">
        <v>4</v>
      </c>
      <c r="B13" s="264" t="s">
        <v>494</v>
      </c>
      <c r="C13" s="1006">
        <v>2017</v>
      </c>
      <c r="D13" s="270" t="s">
        <v>795</v>
      </c>
    </row>
    <row r="14" spans="1:16">
      <c r="A14" s="264">
        <v>5</v>
      </c>
      <c r="B14" s="264" t="str">
        <f t="shared" ref="B14:C16" si="0">+B13</f>
        <v>April</v>
      </c>
      <c r="C14" s="264">
        <f t="shared" si="0"/>
        <v>2017</v>
      </c>
      <c r="D14" s="270" t="s">
        <v>784</v>
      </c>
    </row>
    <row r="15" spans="1:16">
      <c r="A15" s="264">
        <v>6</v>
      </c>
      <c r="B15" s="264" t="str">
        <f t="shared" si="0"/>
        <v>April</v>
      </c>
      <c r="C15" s="264">
        <f t="shared" si="0"/>
        <v>2017</v>
      </c>
      <c r="D15" s="270" t="s">
        <v>815</v>
      </c>
      <c r="E15" s="1014"/>
      <c r="F15" s="1014"/>
      <c r="G15" s="1014"/>
      <c r="H15" s="1015"/>
      <c r="I15" s="1014"/>
      <c r="J15" s="1014"/>
      <c r="K15" s="1014"/>
      <c r="L15" s="1014"/>
      <c r="M15" s="1014"/>
      <c r="N15" s="1014"/>
      <c r="O15" s="1014"/>
      <c r="P15" s="1014"/>
    </row>
    <row r="16" spans="1:16">
      <c r="A16" s="264">
        <v>7</v>
      </c>
      <c r="B16" s="264" t="str">
        <f t="shared" si="0"/>
        <v>April</v>
      </c>
      <c r="C16" s="264">
        <f t="shared" si="0"/>
        <v>2017</v>
      </c>
      <c r="D16" s="270" t="s">
        <v>801</v>
      </c>
      <c r="E16" s="1014"/>
      <c r="F16" s="1014"/>
      <c r="G16" s="1014"/>
      <c r="H16" s="1015"/>
      <c r="I16" s="1014"/>
      <c r="J16" s="1014"/>
      <c r="K16" s="1014"/>
      <c r="L16" s="1014"/>
      <c r="M16" s="1014"/>
      <c r="N16" s="1014"/>
      <c r="O16" s="1014"/>
      <c r="P16" s="1014"/>
    </row>
    <row r="17" spans="1:16">
      <c r="A17" s="783">
        <v>8</v>
      </c>
      <c r="B17" s="783" t="s">
        <v>494</v>
      </c>
      <c r="C17" s="264">
        <f>+C15</f>
        <v>2017</v>
      </c>
      <c r="D17" s="784" t="s">
        <v>803</v>
      </c>
      <c r="E17" s="1016"/>
      <c r="F17" s="1016"/>
      <c r="G17" s="1016"/>
      <c r="H17" s="1017"/>
      <c r="I17" s="1016"/>
      <c r="J17" s="1016"/>
      <c r="K17" s="1016"/>
      <c r="L17" s="1016"/>
      <c r="M17" s="1016"/>
      <c r="N17" s="1016"/>
      <c r="O17" s="1014"/>
      <c r="P17" s="1014"/>
    </row>
    <row r="18" spans="1:16">
      <c r="A18" s="264">
        <v>9</v>
      </c>
      <c r="B18" s="264" t="str">
        <f>+B15</f>
        <v>April</v>
      </c>
      <c r="C18" s="264">
        <f>+C15</f>
        <v>2017</v>
      </c>
      <c r="D18" s="270" t="s">
        <v>808</v>
      </c>
    </row>
    <row r="19" spans="1:16">
      <c r="A19" s="264">
        <v>10</v>
      </c>
      <c r="B19" s="264" t="str">
        <f>+B16</f>
        <v>April</v>
      </c>
      <c r="C19" s="264">
        <f>+C16</f>
        <v>2017</v>
      </c>
      <c r="D19" s="289" t="s">
        <v>800</v>
      </c>
    </row>
    <row r="20" spans="1:16">
      <c r="A20" s="264">
        <v>11</v>
      </c>
      <c r="B20" s="264" t="s">
        <v>495</v>
      </c>
      <c r="C20" s="264">
        <f>+C18</f>
        <v>2017</v>
      </c>
      <c r="D20" s="784" t="s">
        <v>780</v>
      </c>
    </row>
    <row r="21" spans="1:16">
      <c r="A21" s="264">
        <v>12</v>
      </c>
      <c r="B21" s="267" t="s">
        <v>496</v>
      </c>
      <c r="C21" s="264">
        <f>+C20</f>
        <v>2017</v>
      </c>
      <c r="D21" s="270" t="s">
        <v>783</v>
      </c>
    </row>
    <row r="22" spans="1:16">
      <c r="B22" s="267"/>
      <c r="D22" s="270"/>
    </row>
    <row r="23" spans="1:16">
      <c r="B23" s="267"/>
      <c r="D23" s="270"/>
    </row>
    <row r="25" spans="1:16">
      <c r="A25" s="266" t="s">
        <v>805</v>
      </c>
      <c r="D25" s="268"/>
    </row>
    <row r="26" spans="1:16">
      <c r="A26" s="264" t="s">
        <v>490</v>
      </c>
      <c r="B26" s="264" t="s">
        <v>491</v>
      </c>
      <c r="C26" s="264" t="s">
        <v>492</v>
      </c>
      <c r="D26" s="264" t="s">
        <v>493</v>
      </c>
    </row>
    <row r="27" spans="1:16">
      <c r="A27" s="264">
        <f>A9</f>
        <v>1</v>
      </c>
      <c r="B27" s="264" t="str">
        <f>B9</f>
        <v>April</v>
      </c>
      <c r="C27" s="264">
        <f>C9</f>
        <v>2016</v>
      </c>
      <c r="D27" s="270" t="str">
        <f>+D9</f>
        <v>TO entered estimated Transmission Plant Additions during Prior calendar year weighted based on Months expected to be in service</v>
      </c>
      <c r="J27" s="265" t="s">
        <v>797</v>
      </c>
    </row>
    <row r="28" spans="1:16">
      <c r="D28" s="270"/>
      <c r="E28" s="264" t="s">
        <v>729</v>
      </c>
      <c r="F28" s="264" t="s">
        <v>730</v>
      </c>
      <c r="G28" s="264" t="s">
        <v>855</v>
      </c>
      <c r="H28" s="971" t="s">
        <v>731</v>
      </c>
      <c r="I28" s="365" t="s">
        <v>732</v>
      </c>
      <c r="J28" s="365" t="s">
        <v>733</v>
      </c>
      <c r="K28" s="365" t="s">
        <v>734</v>
      </c>
      <c r="L28" s="365" t="s">
        <v>735</v>
      </c>
      <c r="M28" s="365" t="s">
        <v>736</v>
      </c>
      <c r="N28" s="365" t="s">
        <v>737</v>
      </c>
      <c r="O28" s="264"/>
    </row>
    <row r="29" spans="1:16">
      <c r="E29" s="363" t="s">
        <v>738</v>
      </c>
      <c r="F29" s="363" t="s">
        <v>738</v>
      </c>
      <c r="G29" s="363" t="s">
        <v>738</v>
      </c>
      <c r="H29" s="971" t="s">
        <v>497</v>
      </c>
      <c r="I29" s="363" t="s">
        <v>750</v>
      </c>
      <c r="J29" s="363" t="s">
        <v>740</v>
      </c>
      <c r="K29" s="363" t="s">
        <v>741</v>
      </c>
      <c r="L29" s="363" t="str">
        <f>I29</f>
        <v>TX Plant Cap. Ads</v>
      </c>
      <c r="M29" s="363" t="s">
        <v>740</v>
      </c>
      <c r="N29" s="363" t="s">
        <v>741</v>
      </c>
      <c r="O29" s="264"/>
    </row>
    <row r="30" spans="1:16">
      <c r="E30" s="363" t="s">
        <v>750</v>
      </c>
      <c r="F30" s="363" t="s">
        <v>740</v>
      </c>
      <c r="G30" s="363" t="s">
        <v>741</v>
      </c>
      <c r="H30" s="971"/>
      <c r="I30" s="363" t="s">
        <v>742</v>
      </c>
      <c r="J30" s="363" t="s">
        <v>743</v>
      </c>
      <c r="K30" s="363" t="s">
        <v>744</v>
      </c>
      <c r="L30" s="363" t="s">
        <v>745</v>
      </c>
      <c r="M30" s="363" t="s">
        <v>746</v>
      </c>
      <c r="N30" s="363" t="s">
        <v>747</v>
      </c>
    </row>
    <row r="31" spans="1:16">
      <c r="D31" s="265" t="s">
        <v>748</v>
      </c>
      <c r="E31" s="363"/>
      <c r="F31" s="283"/>
      <c r="G31" s="283"/>
      <c r="H31" s="971">
        <v>12</v>
      </c>
      <c r="I31" s="363"/>
      <c r="J31" s="963"/>
      <c r="K31" s="963"/>
      <c r="L31" s="964"/>
      <c r="M31" s="964"/>
      <c r="N31" s="964"/>
    </row>
    <row r="32" spans="1:16">
      <c r="D32" s="265" t="s">
        <v>499</v>
      </c>
      <c r="E32" s="283">
        <v>-73763.400000000023</v>
      </c>
      <c r="F32" s="974"/>
      <c r="G32" s="974"/>
      <c r="H32" s="971">
        <v>11.5</v>
      </c>
      <c r="I32" s="963">
        <f>E32*H32</f>
        <v>-848279.10000000033</v>
      </c>
      <c r="J32" s="963">
        <f>F32*$H32</f>
        <v>0</v>
      </c>
      <c r="K32" s="963">
        <f t="shared" ref="J32:K43" si="1">G32*$H32</f>
        <v>0</v>
      </c>
      <c r="L32" s="963">
        <f>I32/12</f>
        <v>-70689.925000000032</v>
      </c>
      <c r="M32" s="1011">
        <f t="shared" ref="M32:M43" si="2">J32/12</f>
        <v>0</v>
      </c>
      <c r="N32" s="1011">
        <f t="shared" ref="N32:N43" si="3">K32/12</f>
        <v>0</v>
      </c>
      <c r="O32" s="963"/>
    </row>
    <row r="33" spans="1:15">
      <c r="D33" s="265" t="s">
        <v>500</v>
      </c>
      <c r="E33" s="283">
        <v>44312.590000000317</v>
      </c>
      <c r="F33" s="974"/>
      <c r="G33" s="974"/>
      <c r="H33" s="971">
        <v>10.5</v>
      </c>
      <c r="I33" s="963">
        <f t="shared" ref="I33:I43" si="4">E33*H33</f>
        <v>465282.19500000332</v>
      </c>
      <c r="J33" s="963">
        <f t="shared" si="1"/>
        <v>0</v>
      </c>
      <c r="K33" s="963">
        <f t="shared" si="1"/>
        <v>0</v>
      </c>
      <c r="L33" s="963">
        <f t="shared" ref="L33:L43" si="5">I33/12</f>
        <v>38773.516250000277</v>
      </c>
      <c r="M33" s="1011">
        <f t="shared" si="2"/>
        <v>0</v>
      </c>
      <c r="N33" s="1011">
        <f t="shared" si="3"/>
        <v>0</v>
      </c>
      <c r="O33" s="963"/>
    </row>
    <row r="34" spans="1:15">
      <c r="D34" s="265" t="s">
        <v>501</v>
      </c>
      <c r="E34" s="283">
        <v>11594912.23</v>
      </c>
      <c r="F34" s="974"/>
      <c r="G34" s="974"/>
      <c r="H34" s="971">
        <v>9.5</v>
      </c>
      <c r="I34" s="963">
        <f t="shared" si="4"/>
        <v>110151666.185</v>
      </c>
      <c r="J34" s="963">
        <f t="shared" si="1"/>
        <v>0</v>
      </c>
      <c r="K34" s="963">
        <f t="shared" si="1"/>
        <v>0</v>
      </c>
      <c r="L34" s="963">
        <f t="shared" si="5"/>
        <v>9179305.5154166669</v>
      </c>
      <c r="M34" s="1011">
        <f t="shared" si="2"/>
        <v>0</v>
      </c>
      <c r="N34" s="1011">
        <f t="shared" si="3"/>
        <v>0</v>
      </c>
      <c r="O34" s="963"/>
    </row>
    <row r="35" spans="1:15">
      <c r="D35" s="265" t="s">
        <v>502</v>
      </c>
      <c r="E35" s="283">
        <v>5487065.555555556</v>
      </c>
      <c r="F35" s="974"/>
      <c r="G35" s="974"/>
      <c r="H35" s="971">
        <f t="shared" ref="H35:H43" si="6">+H34-1</f>
        <v>8.5</v>
      </c>
      <c r="I35" s="963">
        <f t="shared" si="4"/>
        <v>46640057.222222224</v>
      </c>
      <c r="J35" s="963">
        <f t="shared" si="1"/>
        <v>0</v>
      </c>
      <c r="K35" s="963">
        <f t="shared" si="1"/>
        <v>0</v>
      </c>
      <c r="L35" s="963">
        <f t="shared" si="5"/>
        <v>3886671.4351851852</v>
      </c>
      <c r="M35" s="1011">
        <f t="shared" si="2"/>
        <v>0</v>
      </c>
      <c r="N35" s="1011">
        <f t="shared" si="3"/>
        <v>0</v>
      </c>
      <c r="O35" s="963"/>
    </row>
    <row r="36" spans="1:15">
      <c r="D36" s="265" t="s">
        <v>495</v>
      </c>
      <c r="E36" s="283">
        <v>5487065.555555556</v>
      </c>
      <c r="F36" s="974"/>
      <c r="G36" s="974"/>
      <c r="H36" s="971">
        <f t="shared" si="6"/>
        <v>7.5</v>
      </c>
      <c r="I36" s="963">
        <f t="shared" si="4"/>
        <v>41152991.666666672</v>
      </c>
      <c r="J36" s="963">
        <f t="shared" si="1"/>
        <v>0</v>
      </c>
      <c r="K36" s="963">
        <f t="shared" si="1"/>
        <v>0</v>
      </c>
      <c r="L36" s="963">
        <f t="shared" si="5"/>
        <v>3429415.9722222225</v>
      </c>
      <c r="M36" s="1011">
        <f t="shared" si="2"/>
        <v>0</v>
      </c>
      <c r="N36" s="1011">
        <f t="shared" si="3"/>
        <v>0</v>
      </c>
      <c r="O36" s="963"/>
    </row>
    <row r="37" spans="1:15">
      <c r="D37" s="265" t="s">
        <v>503</v>
      </c>
      <c r="E37" s="283">
        <v>5487065.555555556</v>
      </c>
      <c r="F37" s="974"/>
      <c r="G37" s="974"/>
      <c r="H37" s="971">
        <f t="shared" si="6"/>
        <v>6.5</v>
      </c>
      <c r="I37" s="963">
        <f t="shared" si="4"/>
        <v>35665926.111111112</v>
      </c>
      <c r="J37" s="963">
        <f t="shared" si="1"/>
        <v>0</v>
      </c>
      <c r="K37" s="963">
        <f t="shared" si="1"/>
        <v>0</v>
      </c>
      <c r="L37" s="963">
        <f t="shared" si="5"/>
        <v>2972160.5092592593</v>
      </c>
      <c r="M37" s="1011">
        <f t="shared" si="2"/>
        <v>0</v>
      </c>
      <c r="N37" s="1011">
        <f t="shared" si="3"/>
        <v>0</v>
      </c>
      <c r="O37" s="963"/>
    </row>
    <row r="38" spans="1:15">
      <c r="D38" s="265" t="s">
        <v>504</v>
      </c>
      <c r="E38" s="283">
        <v>5487065.555555556</v>
      </c>
      <c r="F38" s="974"/>
      <c r="G38" s="974"/>
      <c r="H38" s="971">
        <f t="shared" si="6"/>
        <v>5.5</v>
      </c>
      <c r="I38" s="963">
        <f t="shared" si="4"/>
        <v>30178860.55555556</v>
      </c>
      <c r="J38" s="963">
        <f t="shared" si="1"/>
        <v>0</v>
      </c>
      <c r="K38" s="963">
        <f t="shared" si="1"/>
        <v>0</v>
      </c>
      <c r="L38" s="963">
        <f t="shared" si="5"/>
        <v>2514905.0462962966</v>
      </c>
      <c r="M38" s="1011">
        <f t="shared" si="2"/>
        <v>0</v>
      </c>
      <c r="N38" s="1011">
        <f t="shared" si="3"/>
        <v>0</v>
      </c>
      <c r="O38" s="963"/>
    </row>
    <row r="39" spans="1:15">
      <c r="D39" s="265" t="s">
        <v>505</v>
      </c>
      <c r="E39" s="283">
        <v>5487065.555555556</v>
      </c>
      <c r="F39" s="974"/>
      <c r="G39" s="974"/>
      <c r="H39" s="971">
        <f t="shared" si="6"/>
        <v>4.5</v>
      </c>
      <c r="I39" s="963">
        <f t="shared" si="4"/>
        <v>24691795</v>
      </c>
      <c r="J39" s="963">
        <f t="shared" si="1"/>
        <v>0</v>
      </c>
      <c r="K39" s="963">
        <f t="shared" si="1"/>
        <v>0</v>
      </c>
      <c r="L39" s="963">
        <f t="shared" si="5"/>
        <v>2057649.5833333333</v>
      </c>
      <c r="M39" s="1011">
        <f t="shared" si="2"/>
        <v>0</v>
      </c>
      <c r="N39" s="1011">
        <f t="shared" si="3"/>
        <v>0</v>
      </c>
      <c r="O39" s="963"/>
    </row>
    <row r="40" spans="1:15">
      <c r="D40" s="265" t="s">
        <v>506</v>
      </c>
      <c r="E40" s="283">
        <v>5487065.555555556</v>
      </c>
      <c r="F40" s="974"/>
      <c r="G40" s="974"/>
      <c r="H40" s="971">
        <f t="shared" si="6"/>
        <v>3.5</v>
      </c>
      <c r="I40" s="963">
        <f t="shared" si="4"/>
        <v>19204729.444444448</v>
      </c>
      <c r="J40" s="963">
        <f t="shared" si="1"/>
        <v>0</v>
      </c>
      <c r="K40" s="963">
        <f t="shared" si="1"/>
        <v>0</v>
      </c>
      <c r="L40" s="963">
        <f t="shared" si="5"/>
        <v>1600394.1203703706</v>
      </c>
      <c r="M40" s="1011">
        <f t="shared" si="2"/>
        <v>0</v>
      </c>
      <c r="N40" s="1011">
        <f t="shared" si="3"/>
        <v>0</v>
      </c>
      <c r="O40" s="963"/>
    </row>
    <row r="41" spans="1:15">
      <c r="D41" s="265" t="s">
        <v>507</v>
      </c>
      <c r="E41" s="283">
        <v>5487065.555555556</v>
      </c>
      <c r="F41" s="974"/>
      <c r="G41" s="974"/>
      <c r="H41" s="971">
        <f t="shared" si="6"/>
        <v>2.5</v>
      </c>
      <c r="I41" s="963">
        <f t="shared" si="4"/>
        <v>13717663.88888889</v>
      </c>
      <c r="J41" s="963">
        <f t="shared" si="1"/>
        <v>0</v>
      </c>
      <c r="K41" s="963">
        <f t="shared" si="1"/>
        <v>0</v>
      </c>
      <c r="L41" s="963">
        <f t="shared" si="5"/>
        <v>1143138.6574074074</v>
      </c>
      <c r="M41" s="1011">
        <f t="shared" si="2"/>
        <v>0</v>
      </c>
      <c r="N41" s="1011">
        <f t="shared" si="3"/>
        <v>0</v>
      </c>
      <c r="O41" s="963"/>
    </row>
    <row r="42" spans="1:15">
      <c r="D42" s="265" t="s">
        <v>508</v>
      </c>
      <c r="E42" s="283">
        <v>5487065.555555556</v>
      </c>
      <c r="F42" s="974"/>
      <c r="G42" s="974"/>
      <c r="H42" s="971">
        <f t="shared" si="6"/>
        <v>1.5</v>
      </c>
      <c r="I42" s="963">
        <f t="shared" si="4"/>
        <v>8230598.333333334</v>
      </c>
      <c r="J42" s="963">
        <f t="shared" si="1"/>
        <v>0</v>
      </c>
      <c r="K42" s="963">
        <f t="shared" si="1"/>
        <v>0</v>
      </c>
      <c r="L42" s="963">
        <f t="shared" si="5"/>
        <v>685883.1944444445</v>
      </c>
      <c r="M42" s="1011">
        <f t="shared" si="2"/>
        <v>0</v>
      </c>
      <c r="N42" s="1011">
        <f t="shared" si="3"/>
        <v>0</v>
      </c>
      <c r="O42" s="963"/>
    </row>
    <row r="43" spans="1:15">
      <c r="D43" s="265" t="s">
        <v>509</v>
      </c>
      <c r="E43" s="1238">
        <v>5487065.555555556</v>
      </c>
      <c r="F43" s="974"/>
      <c r="G43" s="974"/>
      <c r="H43" s="971">
        <f t="shared" si="6"/>
        <v>0.5</v>
      </c>
      <c r="I43" s="963">
        <f t="shared" si="4"/>
        <v>2743532.777777778</v>
      </c>
      <c r="J43" s="963">
        <f t="shared" si="1"/>
        <v>0</v>
      </c>
      <c r="K43" s="963">
        <f t="shared" si="1"/>
        <v>0</v>
      </c>
      <c r="L43" s="963">
        <f t="shared" si="5"/>
        <v>228627.73148148149</v>
      </c>
      <c r="M43" s="1011">
        <f t="shared" si="2"/>
        <v>0</v>
      </c>
      <c r="N43" s="1011">
        <f t="shared" si="3"/>
        <v>0</v>
      </c>
      <c r="O43" s="963"/>
    </row>
    <row r="44" spans="1:15">
      <c r="D44" s="265" t="s">
        <v>306</v>
      </c>
      <c r="E44" s="963">
        <f>SUM(E32:E43)</f>
        <v>60949051.419999987</v>
      </c>
      <c r="F44" s="963"/>
      <c r="G44" s="963"/>
      <c r="I44" s="963"/>
      <c r="J44" s="963"/>
      <c r="K44" s="963"/>
      <c r="L44" s="963"/>
      <c r="M44" s="963"/>
      <c r="N44" s="965"/>
    </row>
    <row r="45" spans="1:15">
      <c r="D45" s="265" t="s">
        <v>773</v>
      </c>
      <c r="E45" s="963"/>
      <c r="F45" s="963"/>
      <c r="G45" s="963"/>
      <c r="I45" s="963"/>
      <c r="J45" s="966"/>
      <c r="K45" s="963"/>
      <c r="L45" s="963">
        <f>SUM(L32:L43)</f>
        <v>27666235.356666666</v>
      </c>
      <c r="M45" s="963"/>
      <c r="N45" s="967"/>
    </row>
    <row r="46" spans="1:15">
      <c r="C46" s="265"/>
      <c r="E46" s="963"/>
      <c r="F46" s="963"/>
      <c r="G46" s="963"/>
      <c r="I46" s="963"/>
      <c r="J46" s="968"/>
      <c r="K46" s="963"/>
      <c r="L46" s="963"/>
      <c r="M46" s="963">
        <f>SUM(M32:M45)</f>
        <v>0</v>
      </c>
      <c r="N46" s="963"/>
    </row>
    <row r="47" spans="1:15">
      <c r="J47" s="364"/>
      <c r="N47" s="963">
        <f>SUM(N32:N43)</f>
        <v>0</v>
      </c>
    </row>
    <row r="48" spans="1:15">
      <c r="A48" s="264">
        <f>A10</f>
        <v>2</v>
      </c>
      <c r="B48" s="264" t="str">
        <f t="shared" ref="B48:C48" si="7">B10</f>
        <v>May</v>
      </c>
      <c r="C48" s="264">
        <f t="shared" si="7"/>
        <v>2016</v>
      </c>
      <c r="D48" s="265" t="str">
        <f>D10</f>
        <v>Previously posted on SCE&amp;G web site - Annual Transmission Revenue Requirement (ATRR)</v>
      </c>
    </row>
    <row r="49" spans="1:17">
      <c r="D49" s="1084">
        <v>145691227</v>
      </c>
      <c r="E49" s="285" t="s">
        <v>802</v>
      </c>
    </row>
    <row r="50" spans="1:17">
      <c r="D50" s="269"/>
    </row>
    <row r="51" spans="1:17">
      <c r="A51" s="264">
        <f>+A11</f>
        <v>3</v>
      </c>
      <c r="B51" s="264" t="str">
        <f>+B11</f>
        <v>June</v>
      </c>
      <c r="C51" s="264">
        <f>+C11</f>
        <v>2016</v>
      </c>
      <c r="D51" s="270" t="str">
        <f>+D11</f>
        <v>Previous rate went into effect</v>
      </c>
    </row>
    <row r="52" spans="1:17">
      <c r="D52" s="274"/>
    </row>
    <row r="53" spans="1:17">
      <c r="A53" s="287"/>
      <c r="B53" s="287"/>
      <c r="C53" s="287"/>
      <c r="D53" s="288"/>
      <c r="E53" s="288"/>
      <c r="F53" s="288"/>
      <c r="G53" s="288"/>
      <c r="H53" s="972"/>
      <c r="I53" s="288"/>
      <c r="J53" s="288"/>
      <c r="K53" s="288"/>
      <c r="L53" s="288"/>
      <c r="M53" s="288"/>
      <c r="N53" s="288"/>
      <c r="O53" s="288"/>
      <c r="P53" s="288"/>
      <c r="Q53" s="288"/>
    </row>
    <row r="54" spans="1:17">
      <c r="A54" s="264">
        <f>+A13</f>
        <v>4</v>
      </c>
      <c r="B54" s="264" t="str">
        <f>+B13</f>
        <v>April</v>
      </c>
      <c r="C54" s="264">
        <f>+C13</f>
        <v>2017</v>
      </c>
      <c r="D54" s="270" t="str">
        <f>+D13</f>
        <v>TO populates the formula with Current Form 1 year data</v>
      </c>
    </row>
    <row r="55" spans="1:17">
      <c r="D55" s="275"/>
    </row>
    <row r="56" spans="1:17">
      <c r="A56" s="264">
        <f>+A14</f>
        <v>5</v>
      </c>
      <c r="B56" s="264" t="str">
        <f>+B14</f>
        <v>April</v>
      </c>
      <c r="C56" s="264">
        <f>+C14</f>
        <v>2017</v>
      </c>
      <c r="D56" s="270" t="str">
        <f>+D14</f>
        <v>TO estimates Transmission Plant Additions during Current calendar year weighted based on Months expected to be in service</v>
      </c>
      <c r="J56" s="265" t="s">
        <v>797</v>
      </c>
    </row>
    <row r="57" spans="1:17">
      <c r="E57" s="264" t="s">
        <v>729</v>
      </c>
      <c r="F57" s="264" t="s">
        <v>730</v>
      </c>
      <c r="G57" s="264" t="s">
        <v>855</v>
      </c>
      <c r="H57" s="971" t="s">
        <v>731</v>
      </c>
      <c r="I57" s="365" t="s">
        <v>732</v>
      </c>
      <c r="J57" s="365" t="s">
        <v>733</v>
      </c>
      <c r="K57" s="365" t="s">
        <v>734</v>
      </c>
      <c r="L57" s="365" t="s">
        <v>735</v>
      </c>
      <c r="M57" s="365" t="s">
        <v>736</v>
      </c>
      <c r="N57" s="365" t="s">
        <v>737</v>
      </c>
      <c r="O57" s="264"/>
    </row>
    <row r="58" spans="1:17">
      <c r="B58" s="1064"/>
      <c r="E58" s="363" t="s">
        <v>738</v>
      </c>
      <c r="F58" s="363" t="s">
        <v>738</v>
      </c>
      <c r="G58" s="363" t="s">
        <v>738</v>
      </c>
      <c r="H58" s="971"/>
      <c r="I58" s="363" t="s">
        <v>739</v>
      </c>
      <c r="J58" s="363" t="s">
        <v>740</v>
      </c>
      <c r="K58" s="363" t="s">
        <v>741</v>
      </c>
      <c r="L58" s="363" t="s">
        <v>739</v>
      </c>
      <c r="M58" s="363" t="s">
        <v>740</v>
      </c>
      <c r="N58" s="363" t="s">
        <v>741</v>
      </c>
      <c r="O58" s="264"/>
    </row>
    <row r="59" spans="1:17">
      <c r="E59" s="363" t="s">
        <v>739</v>
      </c>
      <c r="F59" s="363" t="s">
        <v>740</v>
      </c>
      <c r="G59" s="363" t="s">
        <v>741</v>
      </c>
      <c r="H59" s="971" t="s">
        <v>497</v>
      </c>
      <c r="I59" s="363" t="s">
        <v>742</v>
      </c>
      <c r="J59" s="363" t="s">
        <v>743</v>
      </c>
      <c r="K59" s="363" t="s">
        <v>744</v>
      </c>
      <c r="L59" s="363" t="s">
        <v>745</v>
      </c>
      <c r="M59" s="363" t="s">
        <v>746</v>
      </c>
      <c r="N59" s="363" t="s">
        <v>747</v>
      </c>
    </row>
    <row r="60" spans="1:17">
      <c r="D60" s="265" t="str">
        <f>$D$31</f>
        <v>Dec (prior year)</v>
      </c>
      <c r="E60" s="363"/>
      <c r="F60" s="283"/>
      <c r="G60" s="363"/>
      <c r="H60" s="971">
        <v>12</v>
      </c>
      <c r="I60" s="363"/>
      <c r="J60" s="272"/>
      <c r="K60" s="272"/>
      <c r="L60" s="363"/>
      <c r="M60" s="440"/>
      <c r="N60" s="363"/>
    </row>
    <row r="61" spans="1:17">
      <c r="D61" s="265" t="s">
        <v>499</v>
      </c>
      <c r="E61" s="1261"/>
      <c r="F61" s="969"/>
      <c r="G61" s="969"/>
      <c r="H61" s="971">
        <v>11.5</v>
      </c>
      <c r="I61" s="963">
        <f>E61*H61</f>
        <v>0</v>
      </c>
      <c r="J61" s="963">
        <f>F61*$H61</f>
        <v>0</v>
      </c>
      <c r="K61" s="963">
        <f t="shared" ref="K61:K72" si="8">G61*$H61</f>
        <v>0</v>
      </c>
      <c r="L61" s="963">
        <f>I61/12</f>
        <v>0</v>
      </c>
      <c r="M61" s="1011">
        <f>J61/12</f>
        <v>0</v>
      </c>
      <c r="N61" s="965">
        <f>+K61/12</f>
        <v>0</v>
      </c>
      <c r="P61" s="282"/>
    </row>
    <row r="62" spans="1:17">
      <c r="D62" s="265" t="s">
        <v>500</v>
      </c>
      <c r="E62" s="1261"/>
      <c r="F62" s="969"/>
      <c r="G62" s="969"/>
      <c r="H62" s="971">
        <v>10.5</v>
      </c>
      <c r="I62" s="963">
        <f t="shared" ref="I62:I72" si="9">E62*H62</f>
        <v>0</v>
      </c>
      <c r="J62" s="963">
        <f t="shared" ref="J62:J72" si="10">F62*$H62</f>
        <v>0</v>
      </c>
      <c r="K62" s="963">
        <f t="shared" si="8"/>
        <v>0</v>
      </c>
      <c r="L62" s="963">
        <f>I62/12</f>
        <v>0</v>
      </c>
      <c r="M62" s="1011">
        <f t="shared" ref="M62:M72" si="11">J62/12</f>
        <v>0</v>
      </c>
      <c r="N62" s="965">
        <f t="shared" ref="N62:N72" si="12">+K62/12</f>
        <v>0</v>
      </c>
      <c r="P62" s="282"/>
    </row>
    <row r="63" spans="1:17">
      <c r="D63" s="265" t="s">
        <v>501</v>
      </c>
      <c r="E63" s="1261"/>
      <c r="F63" s="969"/>
      <c r="G63" s="969"/>
      <c r="H63" s="971">
        <v>9.5</v>
      </c>
      <c r="I63" s="963">
        <f t="shared" si="9"/>
        <v>0</v>
      </c>
      <c r="J63" s="963">
        <f t="shared" si="10"/>
        <v>0</v>
      </c>
      <c r="K63" s="963">
        <f t="shared" si="8"/>
        <v>0</v>
      </c>
      <c r="L63" s="963">
        <f>I63/12</f>
        <v>0</v>
      </c>
      <c r="M63" s="1011">
        <f t="shared" si="11"/>
        <v>0</v>
      </c>
      <c r="N63" s="965">
        <f t="shared" si="12"/>
        <v>0</v>
      </c>
      <c r="P63" s="282"/>
    </row>
    <row r="64" spans="1:17">
      <c r="D64" s="265" t="s">
        <v>502</v>
      </c>
      <c r="E64" s="1261"/>
      <c r="F64" s="969"/>
      <c r="G64" s="969"/>
      <c r="H64" s="971">
        <f t="shared" ref="H64:H72" si="13">+H63-1</f>
        <v>8.5</v>
      </c>
      <c r="I64" s="963">
        <f t="shared" si="9"/>
        <v>0</v>
      </c>
      <c r="J64" s="963">
        <f t="shared" si="10"/>
        <v>0</v>
      </c>
      <c r="K64" s="963">
        <f t="shared" si="8"/>
        <v>0</v>
      </c>
      <c r="L64" s="963">
        <f t="shared" ref="L64:L71" si="14">I64/12</f>
        <v>0</v>
      </c>
      <c r="M64" s="1011">
        <f t="shared" si="11"/>
        <v>0</v>
      </c>
      <c r="N64" s="965">
        <f t="shared" si="12"/>
        <v>0</v>
      </c>
      <c r="P64" s="282"/>
    </row>
    <row r="65" spans="1:16">
      <c r="D65" s="265" t="s">
        <v>495</v>
      </c>
      <c r="E65" s="1261"/>
      <c r="F65" s="969"/>
      <c r="G65" s="969"/>
      <c r="H65" s="971">
        <f t="shared" si="13"/>
        <v>7.5</v>
      </c>
      <c r="I65" s="963">
        <f t="shared" si="9"/>
        <v>0</v>
      </c>
      <c r="J65" s="963">
        <f t="shared" si="10"/>
        <v>0</v>
      </c>
      <c r="K65" s="963">
        <f t="shared" si="8"/>
        <v>0</v>
      </c>
      <c r="L65" s="963">
        <f t="shared" si="14"/>
        <v>0</v>
      </c>
      <c r="M65" s="1011">
        <f t="shared" si="11"/>
        <v>0</v>
      </c>
      <c r="N65" s="965">
        <f t="shared" si="12"/>
        <v>0</v>
      </c>
      <c r="P65" s="282"/>
    </row>
    <row r="66" spans="1:16">
      <c r="D66" s="265" t="s">
        <v>503</v>
      </c>
      <c r="E66" s="1261"/>
      <c r="F66" s="969"/>
      <c r="G66" s="969"/>
      <c r="H66" s="971">
        <f t="shared" si="13"/>
        <v>6.5</v>
      </c>
      <c r="I66" s="963">
        <f t="shared" si="9"/>
        <v>0</v>
      </c>
      <c r="J66" s="963">
        <f t="shared" si="10"/>
        <v>0</v>
      </c>
      <c r="K66" s="963">
        <f t="shared" si="8"/>
        <v>0</v>
      </c>
      <c r="L66" s="963">
        <f t="shared" si="14"/>
        <v>0</v>
      </c>
      <c r="M66" s="1011">
        <f t="shared" si="11"/>
        <v>0</v>
      </c>
      <c r="N66" s="965">
        <f t="shared" si="12"/>
        <v>0</v>
      </c>
      <c r="P66" s="282"/>
    </row>
    <row r="67" spans="1:16">
      <c r="D67" s="265" t="s">
        <v>504</v>
      </c>
      <c r="E67" s="1261"/>
      <c r="F67" s="969"/>
      <c r="G67" s="969"/>
      <c r="H67" s="971">
        <f t="shared" si="13"/>
        <v>5.5</v>
      </c>
      <c r="I67" s="963">
        <f t="shared" si="9"/>
        <v>0</v>
      </c>
      <c r="J67" s="963">
        <f t="shared" si="10"/>
        <v>0</v>
      </c>
      <c r="K67" s="963">
        <f t="shared" si="8"/>
        <v>0</v>
      </c>
      <c r="L67" s="963">
        <f t="shared" si="14"/>
        <v>0</v>
      </c>
      <c r="M67" s="1011">
        <f t="shared" si="11"/>
        <v>0</v>
      </c>
      <c r="N67" s="965">
        <f t="shared" si="12"/>
        <v>0</v>
      </c>
      <c r="P67" s="282"/>
    </row>
    <row r="68" spans="1:16">
      <c r="D68" s="265" t="s">
        <v>505</v>
      </c>
      <c r="E68" s="1261"/>
      <c r="F68" s="969"/>
      <c r="G68" s="969"/>
      <c r="H68" s="971">
        <f t="shared" si="13"/>
        <v>4.5</v>
      </c>
      <c r="I68" s="963">
        <f t="shared" si="9"/>
        <v>0</v>
      </c>
      <c r="J68" s="963">
        <f t="shared" si="10"/>
        <v>0</v>
      </c>
      <c r="K68" s="963">
        <f t="shared" si="8"/>
        <v>0</v>
      </c>
      <c r="L68" s="963">
        <f t="shared" si="14"/>
        <v>0</v>
      </c>
      <c r="M68" s="1011">
        <f t="shared" si="11"/>
        <v>0</v>
      </c>
      <c r="N68" s="965">
        <f t="shared" si="12"/>
        <v>0</v>
      </c>
      <c r="P68" s="282"/>
    </row>
    <row r="69" spans="1:16">
      <c r="D69" s="265" t="s">
        <v>506</v>
      </c>
      <c r="E69" s="1261"/>
      <c r="F69" s="969"/>
      <c r="G69" s="969"/>
      <c r="H69" s="971">
        <f t="shared" si="13"/>
        <v>3.5</v>
      </c>
      <c r="I69" s="963">
        <f t="shared" si="9"/>
        <v>0</v>
      </c>
      <c r="J69" s="963">
        <f t="shared" si="10"/>
        <v>0</v>
      </c>
      <c r="K69" s="963">
        <f t="shared" si="8"/>
        <v>0</v>
      </c>
      <c r="L69" s="963">
        <f t="shared" si="14"/>
        <v>0</v>
      </c>
      <c r="M69" s="1011">
        <f t="shared" si="11"/>
        <v>0</v>
      </c>
      <c r="N69" s="965">
        <f t="shared" si="12"/>
        <v>0</v>
      </c>
      <c r="P69" s="282"/>
    </row>
    <row r="70" spans="1:16">
      <c r="D70" s="265" t="s">
        <v>507</v>
      </c>
      <c r="E70" s="1261"/>
      <c r="F70" s="969"/>
      <c r="G70" s="969"/>
      <c r="H70" s="971">
        <f t="shared" si="13"/>
        <v>2.5</v>
      </c>
      <c r="I70" s="963">
        <f t="shared" si="9"/>
        <v>0</v>
      </c>
      <c r="J70" s="963">
        <f t="shared" si="10"/>
        <v>0</v>
      </c>
      <c r="K70" s="963">
        <f t="shared" si="8"/>
        <v>0</v>
      </c>
      <c r="L70" s="963">
        <f t="shared" si="14"/>
        <v>0</v>
      </c>
      <c r="M70" s="1011">
        <f t="shared" si="11"/>
        <v>0</v>
      </c>
      <c r="N70" s="965">
        <f t="shared" si="12"/>
        <v>0</v>
      </c>
      <c r="P70" s="282"/>
    </row>
    <row r="71" spans="1:16">
      <c r="D71" s="265" t="s">
        <v>508</v>
      </c>
      <c r="E71" s="1261"/>
      <c r="F71" s="969"/>
      <c r="G71" s="969"/>
      <c r="H71" s="971">
        <f t="shared" si="13"/>
        <v>1.5</v>
      </c>
      <c r="I71" s="963">
        <f t="shared" si="9"/>
        <v>0</v>
      </c>
      <c r="J71" s="963">
        <f t="shared" si="10"/>
        <v>0</v>
      </c>
      <c r="K71" s="963">
        <f t="shared" si="8"/>
        <v>0</v>
      </c>
      <c r="L71" s="963">
        <f t="shared" si="14"/>
        <v>0</v>
      </c>
      <c r="M71" s="1011">
        <f t="shared" si="11"/>
        <v>0</v>
      </c>
      <c r="N71" s="965">
        <f t="shared" si="12"/>
        <v>0</v>
      </c>
      <c r="P71" s="282"/>
    </row>
    <row r="72" spans="1:16">
      <c r="D72" s="265" t="s">
        <v>509</v>
      </c>
      <c r="E72" s="1261"/>
      <c r="F72" s="969"/>
      <c r="G72" s="969"/>
      <c r="H72" s="971">
        <f t="shared" si="13"/>
        <v>0.5</v>
      </c>
      <c r="I72" s="963">
        <f t="shared" si="9"/>
        <v>0</v>
      </c>
      <c r="J72" s="963">
        <f t="shared" si="10"/>
        <v>0</v>
      </c>
      <c r="K72" s="963">
        <f t="shared" si="8"/>
        <v>0</v>
      </c>
      <c r="L72" s="963">
        <f>I72/12</f>
        <v>0</v>
      </c>
      <c r="M72" s="1011">
        <f t="shared" si="11"/>
        <v>0</v>
      </c>
      <c r="N72" s="965">
        <f t="shared" si="12"/>
        <v>0</v>
      </c>
      <c r="P72" s="282"/>
    </row>
    <row r="73" spans="1:16">
      <c r="D73" s="265" t="s">
        <v>306</v>
      </c>
      <c r="E73" s="963">
        <f>SUM(E61:E72)</f>
        <v>0</v>
      </c>
      <c r="F73" s="963"/>
      <c r="G73" s="963"/>
      <c r="I73" s="963"/>
      <c r="J73" s="963"/>
      <c r="K73" s="963"/>
      <c r="L73" s="963"/>
      <c r="M73" s="963"/>
      <c r="N73" s="965"/>
      <c r="P73" s="285"/>
    </row>
    <row r="74" spans="1:16">
      <c r="D74" s="265" t="s">
        <v>774</v>
      </c>
      <c r="E74" s="963"/>
      <c r="F74" s="963"/>
      <c r="G74" s="963"/>
      <c r="I74" s="1345" t="s">
        <v>775</v>
      </c>
      <c r="J74" s="1345"/>
      <c r="K74" s="1345"/>
      <c r="L74" s="963">
        <f>SUM(L61:L72)</f>
        <v>0</v>
      </c>
      <c r="M74" s="963"/>
      <c r="N74" s="967"/>
      <c r="P74" s="285"/>
    </row>
    <row r="75" spans="1:16">
      <c r="E75" s="963"/>
      <c r="F75" s="963"/>
      <c r="G75" s="963"/>
      <c r="I75" s="1345" t="s">
        <v>786</v>
      </c>
      <c r="J75" s="1345"/>
      <c r="K75" s="1345"/>
      <c r="L75" s="963"/>
      <c r="M75" s="963">
        <f>SUM(M61:M72)</f>
        <v>0</v>
      </c>
      <c r="N75" s="963"/>
      <c r="P75" s="285"/>
    </row>
    <row r="76" spans="1:16">
      <c r="I76" s="1346" t="s">
        <v>787</v>
      </c>
      <c r="J76" s="1346"/>
      <c r="K76" s="1346"/>
      <c r="N76" s="963">
        <f>SUM(N61:N72)</f>
        <v>0</v>
      </c>
      <c r="P76" s="285"/>
    </row>
    <row r="77" spans="1:16">
      <c r="I77" s="1007"/>
      <c r="J77" s="1007"/>
      <c r="K77" s="1007"/>
      <c r="N77" s="963"/>
      <c r="P77" s="285"/>
    </row>
    <row r="78" spans="1:16">
      <c r="A78" s="264">
        <f>+A15</f>
        <v>6</v>
      </c>
      <c r="B78" s="264" t="str">
        <f>+B15</f>
        <v>April</v>
      </c>
      <c r="C78" s="264">
        <f>+C15</f>
        <v>2017</v>
      </c>
      <c r="D78" s="270" t="str">
        <f>+D15</f>
        <v>True-up - TO inputs actual monthly Transmission Plant Additions placed in service during the Current Form 1 year and calculates weighted average Transmission Plant Additions amount</v>
      </c>
      <c r="E78" s="1014"/>
      <c r="F78" s="1014"/>
      <c r="G78" s="1014"/>
      <c r="H78" s="1015"/>
      <c r="I78" s="1014"/>
      <c r="J78" s="1014"/>
      <c r="K78" s="1014"/>
      <c r="L78" s="1014"/>
      <c r="M78" s="1014"/>
      <c r="N78" s="1014"/>
      <c r="O78" s="1014"/>
      <c r="P78" s="1014"/>
    </row>
    <row r="79" spans="1:16">
      <c r="D79" s="1014"/>
      <c r="E79" s="1014"/>
      <c r="F79" s="1014"/>
      <c r="G79" s="1014"/>
      <c r="H79" s="1015"/>
      <c r="I79" s="1014"/>
      <c r="J79" s="1014"/>
      <c r="K79" s="1014"/>
      <c r="L79" s="1014"/>
      <c r="M79" s="1014"/>
      <c r="N79" s="1014"/>
      <c r="O79" s="1014"/>
      <c r="P79" s="1014"/>
    </row>
    <row r="80" spans="1:16">
      <c r="D80" s="1018"/>
      <c r="E80" s="1018"/>
      <c r="F80" s="1018"/>
      <c r="G80" s="1018"/>
      <c r="H80" s="1019"/>
      <c r="I80" s="1018"/>
      <c r="J80" s="1018"/>
      <c r="K80" s="1018"/>
      <c r="L80" s="1018"/>
      <c r="M80" s="1018"/>
      <c r="N80" s="1018"/>
      <c r="O80" s="1018"/>
      <c r="P80" s="1018"/>
    </row>
    <row r="81" spans="4:16">
      <c r="D81" s="290"/>
      <c r="E81" s="264" t="s">
        <v>729</v>
      </c>
      <c r="F81" s="264" t="s">
        <v>730</v>
      </c>
      <c r="G81" s="264" t="s">
        <v>855</v>
      </c>
      <c r="H81" s="971" t="s">
        <v>731</v>
      </c>
      <c r="I81" s="365" t="s">
        <v>732</v>
      </c>
      <c r="J81" s="365" t="s">
        <v>733</v>
      </c>
      <c r="K81" s="365" t="s">
        <v>734</v>
      </c>
      <c r="L81" s="365" t="s">
        <v>735</v>
      </c>
      <c r="M81" s="365" t="s">
        <v>736</v>
      </c>
      <c r="N81" s="365" t="s">
        <v>737</v>
      </c>
      <c r="O81" s="264"/>
    </row>
    <row r="82" spans="4:16">
      <c r="D82" s="290"/>
      <c r="E82" s="363" t="s">
        <v>738</v>
      </c>
      <c r="F82" s="363" t="s">
        <v>738</v>
      </c>
      <c r="G82" s="363" t="s">
        <v>738</v>
      </c>
      <c r="H82" s="971"/>
      <c r="I82" s="363" t="s">
        <v>739</v>
      </c>
      <c r="J82" s="363" t="s">
        <v>740</v>
      </c>
      <c r="K82" s="363" t="s">
        <v>741</v>
      </c>
      <c r="L82" s="363" t="s">
        <v>739</v>
      </c>
      <c r="M82" s="363" t="s">
        <v>740</v>
      </c>
      <c r="N82" s="363" t="s">
        <v>741</v>
      </c>
      <c r="O82" s="264"/>
    </row>
    <row r="83" spans="4:16">
      <c r="D83" s="290"/>
      <c r="E83" s="363" t="s">
        <v>739</v>
      </c>
      <c r="F83" s="363" t="s">
        <v>740</v>
      </c>
      <c r="G83" s="363" t="s">
        <v>741</v>
      </c>
      <c r="H83" s="971" t="s">
        <v>497</v>
      </c>
      <c r="I83" s="363" t="s">
        <v>742</v>
      </c>
      <c r="J83" s="363" t="s">
        <v>743</v>
      </c>
      <c r="K83" s="363" t="s">
        <v>744</v>
      </c>
      <c r="L83" s="363" t="s">
        <v>745</v>
      </c>
      <c r="M83" s="363" t="s">
        <v>746</v>
      </c>
      <c r="N83" s="363" t="s">
        <v>747</v>
      </c>
    </row>
    <row r="84" spans="4:16">
      <c r="D84" s="265" t="str">
        <f>$D$31</f>
        <v>Dec (prior year)</v>
      </c>
      <c r="E84" s="264"/>
      <c r="F84" s="271"/>
      <c r="G84" s="264"/>
      <c r="H84" s="971">
        <v>12</v>
      </c>
      <c r="I84" s="264"/>
      <c r="J84" s="264"/>
      <c r="K84" s="264" t="s">
        <v>384</v>
      </c>
      <c r="L84" s="264"/>
      <c r="M84" s="264"/>
      <c r="N84" s="264" t="s">
        <v>498</v>
      </c>
    </row>
    <row r="85" spans="4:16">
      <c r="D85" s="265" t="s">
        <v>499</v>
      </c>
      <c r="E85" s="974">
        <v>-73763.400000000023</v>
      </c>
      <c r="F85" s="974"/>
      <c r="G85" s="974"/>
      <c r="H85" s="971">
        <v>11.5</v>
      </c>
      <c r="I85" s="963">
        <f>E85*H85</f>
        <v>-848279.10000000033</v>
      </c>
      <c r="J85" s="963">
        <f>F85*$H85</f>
        <v>0</v>
      </c>
      <c r="K85" s="963">
        <f t="shared" ref="K85:K96" si="15">G85*$H85</f>
        <v>0</v>
      </c>
      <c r="L85" s="963">
        <f>I85/12</f>
        <v>-70689.925000000032</v>
      </c>
      <c r="M85" s="963">
        <f>J85/12</f>
        <v>0</v>
      </c>
      <c r="N85" s="965">
        <f t="shared" ref="N85:N96" si="16">+K85/12</f>
        <v>0</v>
      </c>
      <c r="P85" s="282"/>
    </row>
    <row r="86" spans="4:16">
      <c r="D86" s="265" t="s">
        <v>500</v>
      </c>
      <c r="E86" s="974">
        <v>44312.590000000317</v>
      </c>
      <c r="F86" s="974"/>
      <c r="G86" s="974"/>
      <c r="H86" s="971">
        <v>10.5</v>
      </c>
      <c r="I86" s="963">
        <f t="shared" ref="I86:I96" si="17">E86*H86</f>
        <v>465282.19500000332</v>
      </c>
      <c r="J86" s="963">
        <f t="shared" ref="J86:J96" si="18">F86*$H86</f>
        <v>0</v>
      </c>
      <c r="K86" s="963">
        <f t="shared" si="15"/>
        <v>0</v>
      </c>
      <c r="L86" s="963">
        <f t="shared" ref="L86:L96" si="19">I86/12</f>
        <v>38773.516250000277</v>
      </c>
      <c r="M86" s="963">
        <f t="shared" ref="M86:M96" si="20">J86/12</f>
        <v>0</v>
      </c>
      <c r="N86" s="965">
        <f t="shared" si="16"/>
        <v>0</v>
      </c>
      <c r="P86" s="282"/>
    </row>
    <row r="87" spans="4:16">
      <c r="D87" s="265" t="s">
        <v>501</v>
      </c>
      <c r="E87" s="974">
        <v>11594912.23</v>
      </c>
      <c r="F87" s="974"/>
      <c r="G87" s="974"/>
      <c r="H87" s="971">
        <v>9.5</v>
      </c>
      <c r="I87" s="963">
        <f t="shared" si="17"/>
        <v>110151666.185</v>
      </c>
      <c r="J87" s="963">
        <f t="shared" si="18"/>
        <v>0</v>
      </c>
      <c r="K87" s="963">
        <f t="shared" si="15"/>
        <v>0</v>
      </c>
      <c r="L87" s="963">
        <f t="shared" si="19"/>
        <v>9179305.5154166669</v>
      </c>
      <c r="M87" s="963">
        <f t="shared" si="20"/>
        <v>0</v>
      </c>
      <c r="N87" s="965">
        <f t="shared" si="16"/>
        <v>0</v>
      </c>
      <c r="P87" s="282"/>
    </row>
    <row r="88" spans="4:16">
      <c r="D88" s="265" t="s">
        <v>502</v>
      </c>
      <c r="E88" s="974">
        <v>4071369.3599999994</v>
      </c>
      <c r="F88" s="974"/>
      <c r="G88" s="974"/>
      <c r="H88" s="971">
        <f t="shared" ref="H88:H96" si="21">+H87-1</f>
        <v>8.5</v>
      </c>
      <c r="I88" s="963">
        <f t="shared" si="17"/>
        <v>34606639.559999995</v>
      </c>
      <c r="J88" s="963">
        <f t="shared" si="18"/>
        <v>0</v>
      </c>
      <c r="K88" s="963">
        <f t="shared" si="15"/>
        <v>0</v>
      </c>
      <c r="L88" s="963">
        <f t="shared" si="19"/>
        <v>2883886.6299999994</v>
      </c>
      <c r="M88" s="963">
        <f t="shared" si="20"/>
        <v>0</v>
      </c>
      <c r="N88" s="965">
        <f t="shared" si="16"/>
        <v>0</v>
      </c>
      <c r="P88" s="282"/>
    </row>
    <row r="89" spans="4:16">
      <c r="D89" s="265" t="s">
        <v>495</v>
      </c>
      <c r="E89" s="974">
        <v>10100367.579999996</v>
      </c>
      <c r="F89" s="974"/>
      <c r="G89" s="974"/>
      <c r="H89" s="971">
        <f t="shared" si="21"/>
        <v>7.5</v>
      </c>
      <c r="I89" s="963">
        <f t="shared" si="17"/>
        <v>75752756.849999979</v>
      </c>
      <c r="J89" s="963">
        <f t="shared" si="18"/>
        <v>0</v>
      </c>
      <c r="K89" s="963">
        <f t="shared" si="15"/>
        <v>0</v>
      </c>
      <c r="L89" s="963">
        <f t="shared" si="19"/>
        <v>6312729.737499998</v>
      </c>
      <c r="M89" s="963">
        <f t="shared" si="20"/>
        <v>0</v>
      </c>
      <c r="N89" s="965">
        <f t="shared" si="16"/>
        <v>0</v>
      </c>
      <c r="P89" s="282"/>
    </row>
    <row r="90" spans="4:16">
      <c r="D90" s="265" t="s">
        <v>503</v>
      </c>
      <c r="E90" s="974">
        <v>10972050.680000003</v>
      </c>
      <c r="F90" s="974"/>
      <c r="G90" s="974"/>
      <c r="H90" s="971">
        <f t="shared" si="21"/>
        <v>6.5</v>
      </c>
      <c r="I90" s="963">
        <f t="shared" si="17"/>
        <v>71318329.420000017</v>
      </c>
      <c r="J90" s="963">
        <f t="shared" si="18"/>
        <v>0</v>
      </c>
      <c r="K90" s="963">
        <f t="shared" si="15"/>
        <v>0</v>
      </c>
      <c r="L90" s="963">
        <f t="shared" si="19"/>
        <v>5943194.118333335</v>
      </c>
      <c r="M90" s="963">
        <f t="shared" si="20"/>
        <v>0</v>
      </c>
      <c r="N90" s="965">
        <f t="shared" si="16"/>
        <v>0</v>
      </c>
      <c r="P90" s="282"/>
    </row>
    <row r="91" spans="4:16">
      <c r="D91" s="265" t="s">
        <v>504</v>
      </c>
      <c r="E91" s="974">
        <v>9922265.5500000045</v>
      </c>
      <c r="F91" s="974"/>
      <c r="G91" s="974"/>
      <c r="H91" s="971">
        <f t="shared" si="21"/>
        <v>5.5</v>
      </c>
      <c r="I91" s="963">
        <f t="shared" si="17"/>
        <v>54572460.525000021</v>
      </c>
      <c r="J91" s="963">
        <f t="shared" si="18"/>
        <v>0</v>
      </c>
      <c r="K91" s="963">
        <f t="shared" si="15"/>
        <v>0</v>
      </c>
      <c r="L91" s="963">
        <f t="shared" si="19"/>
        <v>4547705.043750002</v>
      </c>
      <c r="M91" s="963">
        <f t="shared" si="20"/>
        <v>0</v>
      </c>
      <c r="N91" s="965">
        <f t="shared" si="16"/>
        <v>0</v>
      </c>
      <c r="P91" s="282"/>
    </row>
    <row r="92" spans="4:16">
      <c r="D92" s="265" t="s">
        <v>505</v>
      </c>
      <c r="E92" s="974">
        <v>-119074.85000000894</v>
      </c>
      <c r="F92" s="974"/>
      <c r="G92" s="974"/>
      <c r="H92" s="971">
        <f t="shared" si="21"/>
        <v>4.5</v>
      </c>
      <c r="I92" s="963">
        <f t="shared" si="17"/>
        <v>-535836.82500004023</v>
      </c>
      <c r="J92" s="963">
        <f t="shared" si="18"/>
        <v>0</v>
      </c>
      <c r="K92" s="963">
        <f t="shared" si="15"/>
        <v>0</v>
      </c>
      <c r="L92" s="963">
        <f t="shared" si="19"/>
        <v>-44653.068750003353</v>
      </c>
      <c r="M92" s="963">
        <f t="shared" si="20"/>
        <v>0</v>
      </c>
      <c r="N92" s="965">
        <f t="shared" si="16"/>
        <v>0</v>
      </c>
      <c r="P92" s="282"/>
    </row>
    <row r="93" spans="4:16">
      <c r="D93" s="265" t="s">
        <v>506</v>
      </c>
      <c r="E93" s="974">
        <v>4674975.4699999988</v>
      </c>
      <c r="F93" s="974"/>
      <c r="G93" s="974"/>
      <c r="H93" s="971">
        <f t="shared" si="21"/>
        <v>3.5</v>
      </c>
      <c r="I93" s="963">
        <f t="shared" si="17"/>
        <v>16362414.144999996</v>
      </c>
      <c r="J93" s="963">
        <f t="shared" si="18"/>
        <v>0</v>
      </c>
      <c r="K93" s="963">
        <f t="shared" si="15"/>
        <v>0</v>
      </c>
      <c r="L93" s="963">
        <f t="shared" si="19"/>
        <v>1363534.512083333</v>
      </c>
      <c r="M93" s="963">
        <f t="shared" si="20"/>
        <v>0</v>
      </c>
      <c r="N93" s="965">
        <f t="shared" si="16"/>
        <v>0</v>
      </c>
      <c r="P93" s="282"/>
    </row>
    <row r="94" spans="4:16">
      <c r="D94" s="265" t="s">
        <v>507</v>
      </c>
      <c r="E94" s="974">
        <v>1219211.0400000066</v>
      </c>
      <c r="F94" s="974"/>
      <c r="G94" s="974"/>
      <c r="H94" s="971">
        <f t="shared" si="21"/>
        <v>2.5</v>
      </c>
      <c r="I94" s="963">
        <f t="shared" si="17"/>
        <v>3048027.6000000164</v>
      </c>
      <c r="J94" s="963">
        <f t="shared" si="18"/>
        <v>0</v>
      </c>
      <c r="K94" s="963">
        <f t="shared" si="15"/>
        <v>0</v>
      </c>
      <c r="L94" s="963">
        <f t="shared" si="19"/>
        <v>254002.30000000136</v>
      </c>
      <c r="M94" s="963">
        <f t="shared" si="20"/>
        <v>0</v>
      </c>
      <c r="N94" s="965">
        <f t="shared" si="16"/>
        <v>0</v>
      </c>
      <c r="P94" s="282"/>
    </row>
    <row r="95" spans="4:16">
      <c r="D95" s="265" t="s">
        <v>508</v>
      </c>
      <c r="E95" s="974">
        <v>-6776834.6099999994</v>
      </c>
      <c r="F95" s="974"/>
      <c r="G95" s="974"/>
      <c r="H95" s="971">
        <f t="shared" si="21"/>
        <v>1.5</v>
      </c>
      <c r="I95" s="963">
        <f t="shared" si="17"/>
        <v>-10165251.914999999</v>
      </c>
      <c r="J95" s="963">
        <f t="shared" si="18"/>
        <v>0</v>
      </c>
      <c r="K95" s="963">
        <f t="shared" si="15"/>
        <v>0</v>
      </c>
      <c r="L95" s="963">
        <f t="shared" si="19"/>
        <v>-847104.32624999993</v>
      </c>
      <c r="M95" s="963">
        <f t="shared" si="20"/>
        <v>0</v>
      </c>
      <c r="N95" s="965">
        <f t="shared" si="16"/>
        <v>0</v>
      </c>
      <c r="P95" s="282"/>
    </row>
    <row r="96" spans="4:16">
      <c r="D96" s="265" t="s">
        <v>509</v>
      </c>
      <c r="E96" s="974">
        <v>5654623.3999999985</v>
      </c>
      <c r="F96" s="974"/>
      <c r="G96" s="974"/>
      <c r="H96" s="971">
        <f t="shared" si="21"/>
        <v>0.5</v>
      </c>
      <c r="I96" s="963">
        <f t="shared" si="17"/>
        <v>2827311.6999999993</v>
      </c>
      <c r="J96" s="963">
        <f t="shared" si="18"/>
        <v>0</v>
      </c>
      <c r="K96" s="963">
        <f t="shared" si="15"/>
        <v>0</v>
      </c>
      <c r="L96" s="963">
        <f t="shared" si="19"/>
        <v>235609.30833333326</v>
      </c>
      <c r="M96" s="963">
        <f t="shared" si="20"/>
        <v>0</v>
      </c>
      <c r="N96" s="965">
        <f t="shared" si="16"/>
        <v>0</v>
      </c>
      <c r="P96" s="282"/>
    </row>
    <row r="97" spans="1:17">
      <c r="D97" s="265" t="s">
        <v>306</v>
      </c>
      <c r="E97" s="963">
        <f>SUM(E85:E96)</f>
        <v>51284415.039999999</v>
      </c>
      <c r="F97" s="963"/>
      <c r="G97" s="963"/>
      <c r="I97" s="963"/>
      <c r="J97" s="963"/>
      <c r="K97" s="963"/>
      <c r="L97" s="963"/>
      <c r="M97" s="963"/>
      <c r="N97" s="965"/>
    </row>
    <row r="98" spans="1:17">
      <c r="D98" s="290" t="s">
        <v>782</v>
      </c>
      <c r="E98" s="963"/>
      <c r="F98" s="963"/>
      <c r="G98" s="963"/>
      <c r="I98" s="963"/>
      <c r="J98" s="963"/>
      <c r="K98" s="963"/>
      <c r="L98" s="963">
        <f>SUM(L85:L97)</f>
        <v>29796293.361666668</v>
      </c>
      <c r="M98" s="963"/>
      <c r="N98" s="963"/>
      <c r="Q98" s="1012"/>
    </row>
    <row r="99" spans="1:17">
      <c r="D99" s="290"/>
      <c r="E99" s="963"/>
      <c r="F99" s="963"/>
      <c r="G99" s="963"/>
      <c r="I99" s="963"/>
      <c r="J99" s="963"/>
      <c r="K99" s="963"/>
      <c r="L99" s="963"/>
      <c r="M99" s="963">
        <f>SUM(M85:M96)</f>
        <v>0</v>
      </c>
      <c r="N99" s="963"/>
      <c r="Q99" s="1012"/>
    </row>
    <row r="100" spans="1:17">
      <c r="D100" s="284"/>
      <c r="E100" s="963"/>
      <c r="F100" s="963"/>
      <c r="G100" s="963"/>
      <c r="I100" s="963"/>
      <c r="J100" s="963"/>
      <c r="K100" s="963"/>
      <c r="L100" s="963"/>
      <c r="M100" s="963"/>
      <c r="N100" s="963">
        <f>SUM(N85:N96)</f>
        <v>0</v>
      </c>
    </row>
    <row r="101" spans="1:17">
      <c r="D101" s="265" t="s">
        <v>785</v>
      </c>
      <c r="I101" s="1345" t="s">
        <v>777</v>
      </c>
      <c r="J101" s="1345"/>
      <c r="K101" s="1345"/>
      <c r="L101" s="963">
        <f>E97</f>
        <v>51284415.039999999</v>
      </c>
      <c r="N101" s="286"/>
      <c r="Q101" s="1012"/>
    </row>
    <row r="102" spans="1:17">
      <c r="D102" s="290" t="s">
        <v>782</v>
      </c>
      <c r="I102" s="1345" t="s">
        <v>776</v>
      </c>
      <c r="J102" s="1345"/>
      <c r="K102" s="1345"/>
      <c r="L102" s="963">
        <f>L98</f>
        <v>29796293.361666668</v>
      </c>
    </row>
    <row r="103" spans="1:17">
      <c r="D103" s="284"/>
      <c r="L103" s="963"/>
    </row>
    <row r="104" spans="1:17">
      <c r="A104" s="264">
        <f>A16</f>
        <v>7</v>
      </c>
      <c r="B104" s="264" t="str">
        <f>B16</f>
        <v>April</v>
      </c>
      <c r="C104" s="264">
        <f>C16</f>
        <v>2017</v>
      </c>
      <c r="D104" s="284" t="str">
        <f>D16</f>
        <v>True-up - TO calculates the Reconciliation spreadsheet revenue requirement</v>
      </c>
      <c r="H104" s="265" t="s">
        <v>872</v>
      </c>
      <c r="L104" s="963"/>
    </row>
    <row r="105" spans="1:17">
      <c r="D105" s="1263">
        <f>'Appendix H-1'!H283</f>
        <v>148709327.27777117</v>
      </c>
      <c r="E105" s="265" t="s">
        <v>788</v>
      </c>
      <c r="F105" s="284"/>
      <c r="G105" s="284"/>
      <c r="N105" s="272"/>
    </row>
    <row r="106" spans="1:17">
      <c r="E106" s="265" t="s">
        <v>828</v>
      </c>
      <c r="N106" s="272"/>
    </row>
    <row r="107" spans="1:17">
      <c r="D107" s="284"/>
      <c r="N107" s="272"/>
    </row>
    <row r="108" spans="1:17">
      <c r="A108" s="783">
        <f>+A17</f>
        <v>8</v>
      </c>
      <c r="B108" s="783" t="str">
        <f>+B17</f>
        <v>April</v>
      </c>
      <c r="C108" s="783">
        <f>+C17</f>
        <v>2017</v>
      </c>
      <c r="D108" s="284" t="str">
        <f>D17</f>
        <v>True-up -  TO multiplies the Estimated Prior Year ATRR by the ratio of the Current Form 1 12 CP divisor to the Prior Form 1 12 CP divisor.</v>
      </c>
      <c r="E108" s="285"/>
      <c r="F108" s="285"/>
      <c r="G108" s="285"/>
      <c r="H108" s="973"/>
      <c r="I108" s="285"/>
      <c r="J108" s="285"/>
      <c r="K108" s="285"/>
      <c r="L108" s="285"/>
      <c r="M108" s="285"/>
      <c r="N108" s="286"/>
      <c r="O108" s="285"/>
    </row>
    <row r="109" spans="1:17">
      <c r="D109" s="1022" t="s">
        <v>44</v>
      </c>
      <c r="F109" s="264" t="s">
        <v>40</v>
      </c>
      <c r="G109" s="264"/>
      <c r="H109" s="971" t="s">
        <v>37</v>
      </c>
      <c r="J109" s="264" t="s">
        <v>45</v>
      </c>
      <c r="N109" s="272"/>
    </row>
    <row r="110" spans="1:17">
      <c r="D110" s="264" t="s">
        <v>811</v>
      </c>
      <c r="F110" s="264" t="s">
        <v>552</v>
      </c>
      <c r="G110" s="264"/>
      <c r="H110" s="971" t="s">
        <v>552</v>
      </c>
      <c r="J110" s="264" t="s">
        <v>43</v>
      </c>
      <c r="N110" s="272"/>
    </row>
    <row r="111" spans="1:17">
      <c r="D111" s="1010">
        <f>D49</f>
        <v>145691227</v>
      </c>
      <c r="E111" s="962" t="s">
        <v>39</v>
      </c>
      <c r="F111" s="967">
        <f>'5 - Cost Support'!J116</f>
        <v>50270</v>
      </c>
      <c r="G111" s="962" t="s">
        <v>38</v>
      </c>
      <c r="H111" s="974">
        <v>51361</v>
      </c>
      <c r="I111" s="962" t="s">
        <v>41</v>
      </c>
      <c r="J111" s="1010">
        <f>IF(H111&gt;0,D111*F111/H111,"")</f>
        <v>142596483.34903917</v>
      </c>
      <c r="N111" s="272"/>
    </row>
    <row r="112" spans="1:17">
      <c r="D112" s="284"/>
      <c r="H112" s="963"/>
      <c r="N112" s="272"/>
    </row>
    <row r="113" spans="1:16">
      <c r="A113" s="264">
        <f>+A18</f>
        <v>9</v>
      </c>
      <c r="B113" s="264" t="str">
        <f>+B18</f>
        <v>April</v>
      </c>
      <c r="C113" s="264">
        <f>+C18</f>
        <v>2017</v>
      </c>
      <c r="D113" s="270" t="str">
        <f>+D18</f>
        <v>True-up - TO calculates the difference between the Reconciliation Revenue Requirement from Step 7 and the Adjusted Estimated Prior Year ATRR from Step 8</v>
      </c>
      <c r="H113" s="963"/>
    </row>
    <row r="114" spans="1:16">
      <c r="D114" s="270" t="s">
        <v>793</v>
      </c>
      <c r="F114" s="962" t="s">
        <v>45</v>
      </c>
    </row>
    <row r="115" spans="1:16">
      <c r="D115" s="270" t="s">
        <v>806</v>
      </c>
      <c r="F115" s="963" t="s">
        <v>807</v>
      </c>
    </row>
    <row r="116" spans="1:16">
      <c r="D116" s="272">
        <f>D105</f>
        <v>148709327.27777117</v>
      </c>
      <c r="E116" s="264" t="s">
        <v>792</v>
      </c>
      <c r="F116" s="967">
        <f>J111</f>
        <v>142596483.34903917</v>
      </c>
      <c r="G116" s="1009" t="s">
        <v>41</v>
      </c>
      <c r="H116" s="967">
        <f>D116-F116</f>
        <v>6112843.9287320077</v>
      </c>
      <c r="I116" s="1041" t="s">
        <v>818</v>
      </c>
      <c r="J116" s="286"/>
      <c r="K116" s="264"/>
      <c r="L116" s="264"/>
      <c r="M116" s="264"/>
      <c r="N116" s="286"/>
    </row>
    <row r="117" spans="1:16">
      <c r="D117" s="276"/>
      <c r="E117" s="264"/>
      <c r="F117" s="264"/>
      <c r="G117" s="264"/>
      <c r="H117" s="963"/>
      <c r="I117" s="272"/>
      <c r="J117" s="272"/>
      <c r="K117" s="264"/>
      <c r="L117" s="264"/>
      <c r="M117" s="264"/>
      <c r="N117" s="272"/>
    </row>
    <row r="118" spans="1:16">
      <c r="A118" s="264">
        <f>A19</f>
        <v>10</v>
      </c>
      <c r="B118" s="264" t="str">
        <f>+B19</f>
        <v>April</v>
      </c>
      <c r="C118" s="264">
        <f>+C19</f>
        <v>2017</v>
      </c>
      <c r="D118" s="289" t="str">
        <f>D19</f>
        <v>True-up - TO calculates Interest on Refund or Surcharge amount</v>
      </c>
      <c r="E118" s="264"/>
      <c r="F118" s="264"/>
      <c r="G118" s="264"/>
      <c r="H118" s="963"/>
      <c r="I118" s="272"/>
      <c r="J118" s="272"/>
      <c r="K118" s="264"/>
      <c r="L118" s="264"/>
      <c r="M118" s="264"/>
      <c r="N118" s="272"/>
    </row>
    <row r="119" spans="1:16">
      <c r="D119" s="289" t="s">
        <v>790</v>
      </c>
      <c r="E119" s="264"/>
      <c r="F119" s="264"/>
      <c r="G119" s="264"/>
      <c r="H119" s="1243">
        <v>2.8999999999999998E-3</v>
      </c>
      <c r="I119" s="808"/>
      <c r="J119" s="808"/>
      <c r="K119" s="264"/>
      <c r="L119" s="264"/>
      <c r="M119" s="264"/>
      <c r="N119" s="272"/>
    </row>
    <row r="120" spans="1:16">
      <c r="D120" s="277" t="s">
        <v>491</v>
      </c>
      <c r="E120" s="264" t="s">
        <v>510</v>
      </c>
      <c r="F120" s="264"/>
      <c r="G120" s="264"/>
      <c r="H120" s="962" t="s">
        <v>809</v>
      </c>
      <c r="I120" s="264"/>
      <c r="J120" s="264"/>
      <c r="K120" s="277" t="s">
        <v>791</v>
      </c>
      <c r="L120" s="277"/>
      <c r="M120" s="277"/>
      <c r="N120" s="264" t="s">
        <v>512</v>
      </c>
      <c r="O120" s="277" t="s">
        <v>511</v>
      </c>
      <c r="P120" s="264" t="s">
        <v>794</v>
      </c>
    </row>
    <row r="121" spans="1:16">
      <c r="D121" s="264"/>
      <c r="E121" s="264"/>
      <c r="F121" s="264"/>
      <c r="G121" s="264"/>
      <c r="H121" s="264" t="s">
        <v>798</v>
      </c>
      <c r="I121" s="264"/>
      <c r="J121" s="264"/>
      <c r="K121" s="264"/>
      <c r="L121" s="264"/>
      <c r="M121" s="264"/>
      <c r="O121" s="264"/>
      <c r="P121" s="264" t="s">
        <v>384</v>
      </c>
    </row>
    <row r="122" spans="1:16">
      <c r="D122" s="265" t="s">
        <v>503</v>
      </c>
      <c r="E122" s="1208">
        <v>2016</v>
      </c>
      <c r="H122" s="974">
        <f t="shared" ref="H122:H130" si="22">$H$116/12</f>
        <v>509403.66072766733</v>
      </c>
      <c r="I122" s="268"/>
      <c r="J122" s="268"/>
      <c r="K122" s="273">
        <f>+H119</f>
        <v>2.8999999999999998E-3</v>
      </c>
      <c r="L122" s="273"/>
      <c r="M122" s="273"/>
      <c r="N122" s="963">
        <v>12</v>
      </c>
      <c r="O122" s="965">
        <f t="shared" ref="O122:O133" si="23">+N122*K122*H122</f>
        <v>17727.247393322821</v>
      </c>
      <c r="P122" s="965">
        <f t="shared" ref="P122:P133" si="24">+H122+O122</f>
        <v>527130.90812099015</v>
      </c>
    </row>
    <row r="123" spans="1:16">
      <c r="D123" s="265" t="s">
        <v>504</v>
      </c>
      <c r="E123" s="265">
        <f t="shared" ref="E123:E128" si="25">+E122</f>
        <v>2016</v>
      </c>
      <c r="H123" s="974">
        <f t="shared" si="22"/>
        <v>509403.66072766733</v>
      </c>
      <c r="I123" s="272"/>
      <c r="J123" s="272"/>
      <c r="K123" s="278">
        <f t="shared" ref="K123:K133" si="26">+K122</f>
        <v>2.8999999999999998E-3</v>
      </c>
      <c r="L123" s="278"/>
      <c r="M123" s="278"/>
      <c r="N123" s="963">
        <f t="shared" ref="N123:N133" si="27">+N122-1</f>
        <v>11</v>
      </c>
      <c r="O123" s="965">
        <f t="shared" si="23"/>
        <v>16249.976777212587</v>
      </c>
      <c r="P123" s="965">
        <f t="shared" si="24"/>
        <v>525653.63750487997</v>
      </c>
    </row>
    <row r="124" spans="1:16">
      <c r="D124" s="265" t="s">
        <v>505</v>
      </c>
      <c r="E124" s="265">
        <f t="shared" si="25"/>
        <v>2016</v>
      </c>
      <c r="H124" s="974">
        <f t="shared" si="22"/>
        <v>509403.66072766733</v>
      </c>
      <c r="I124" s="272"/>
      <c r="J124" s="272"/>
      <c r="K124" s="278">
        <f t="shared" si="26"/>
        <v>2.8999999999999998E-3</v>
      </c>
      <c r="L124" s="278"/>
      <c r="M124" s="278"/>
      <c r="N124" s="963">
        <f t="shared" si="27"/>
        <v>10</v>
      </c>
      <c r="O124" s="965">
        <f t="shared" si="23"/>
        <v>14772.706161102351</v>
      </c>
      <c r="P124" s="965">
        <f t="shared" si="24"/>
        <v>524176.36688876967</v>
      </c>
    </row>
    <row r="125" spans="1:16">
      <c r="D125" s="265" t="s">
        <v>506</v>
      </c>
      <c r="E125" s="265">
        <f t="shared" si="25"/>
        <v>2016</v>
      </c>
      <c r="H125" s="974">
        <f t="shared" si="22"/>
        <v>509403.66072766733</v>
      </c>
      <c r="I125" s="272"/>
      <c r="J125" s="272"/>
      <c r="K125" s="278">
        <f t="shared" si="26"/>
        <v>2.8999999999999998E-3</v>
      </c>
      <c r="L125" s="278"/>
      <c r="M125" s="278"/>
      <c r="N125" s="963">
        <f t="shared" si="27"/>
        <v>9</v>
      </c>
      <c r="O125" s="965">
        <f t="shared" si="23"/>
        <v>13295.435544992117</v>
      </c>
      <c r="P125" s="965">
        <f t="shared" si="24"/>
        <v>522699.09627265943</v>
      </c>
    </row>
    <row r="126" spans="1:16">
      <c r="D126" s="265" t="s">
        <v>507</v>
      </c>
      <c r="E126" s="265">
        <f t="shared" si="25"/>
        <v>2016</v>
      </c>
      <c r="H126" s="974">
        <f t="shared" si="22"/>
        <v>509403.66072766733</v>
      </c>
      <c r="I126" s="272"/>
      <c r="J126" s="272"/>
      <c r="K126" s="278">
        <f t="shared" si="26"/>
        <v>2.8999999999999998E-3</v>
      </c>
      <c r="L126" s="278"/>
      <c r="M126" s="278"/>
      <c r="N126" s="963">
        <f t="shared" si="27"/>
        <v>8</v>
      </c>
      <c r="O126" s="965">
        <f t="shared" si="23"/>
        <v>11818.164928881881</v>
      </c>
      <c r="P126" s="965">
        <f t="shared" si="24"/>
        <v>521221.82565654919</v>
      </c>
    </row>
    <row r="127" spans="1:16">
      <c r="D127" s="265" t="s">
        <v>508</v>
      </c>
      <c r="E127" s="265">
        <f t="shared" si="25"/>
        <v>2016</v>
      </c>
      <c r="H127" s="974">
        <f t="shared" si="22"/>
        <v>509403.66072766733</v>
      </c>
      <c r="I127" s="272"/>
      <c r="J127" s="272"/>
      <c r="K127" s="278">
        <f t="shared" si="26"/>
        <v>2.8999999999999998E-3</v>
      </c>
      <c r="L127" s="278"/>
      <c r="M127" s="278"/>
      <c r="N127" s="963">
        <f t="shared" si="27"/>
        <v>7</v>
      </c>
      <c r="O127" s="965">
        <f t="shared" si="23"/>
        <v>10340.894312771647</v>
      </c>
      <c r="P127" s="965">
        <f t="shared" si="24"/>
        <v>519744.55504043895</v>
      </c>
    </row>
    <row r="128" spans="1:16">
      <c r="D128" s="265" t="s">
        <v>509</v>
      </c>
      <c r="E128" s="265">
        <f t="shared" si="25"/>
        <v>2016</v>
      </c>
      <c r="H128" s="974">
        <f t="shared" si="22"/>
        <v>509403.66072766733</v>
      </c>
      <c r="I128" s="272"/>
      <c r="J128" s="272"/>
      <c r="K128" s="278">
        <f t="shared" si="26"/>
        <v>2.8999999999999998E-3</v>
      </c>
      <c r="L128" s="278"/>
      <c r="M128" s="278"/>
      <c r="N128" s="963">
        <f t="shared" si="27"/>
        <v>6</v>
      </c>
      <c r="O128" s="965">
        <f t="shared" si="23"/>
        <v>8863.6236966614106</v>
      </c>
      <c r="P128" s="965">
        <f t="shared" si="24"/>
        <v>518267.28442432877</v>
      </c>
    </row>
    <row r="129" spans="4:17">
      <c r="D129" s="265" t="s">
        <v>499</v>
      </c>
      <c r="E129" s="1208">
        <v>2017</v>
      </c>
      <c r="H129" s="974">
        <f t="shared" si="22"/>
        <v>509403.66072766733</v>
      </c>
      <c r="I129" s="272"/>
      <c r="J129" s="272"/>
      <c r="K129" s="278">
        <f t="shared" si="26"/>
        <v>2.8999999999999998E-3</v>
      </c>
      <c r="L129" s="278"/>
      <c r="M129" s="278"/>
      <c r="N129" s="963">
        <f t="shared" si="27"/>
        <v>5</v>
      </c>
      <c r="O129" s="965">
        <f t="shared" si="23"/>
        <v>7386.3530805511755</v>
      </c>
      <c r="P129" s="965">
        <f t="shared" si="24"/>
        <v>516790.01380821853</v>
      </c>
    </row>
    <row r="130" spans="4:17">
      <c r="D130" s="265" t="s">
        <v>500</v>
      </c>
      <c r="E130" s="265">
        <f>+E129</f>
        <v>2017</v>
      </c>
      <c r="H130" s="974">
        <f t="shared" si="22"/>
        <v>509403.66072766733</v>
      </c>
      <c r="I130" s="272"/>
      <c r="J130" s="272"/>
      <c r="K130" s="278">
        <f t="shared" si="26"/>
        <v>2.8999999999999998E-3</v>
      </c>
      <c r="L130" s="278"/>
      <c r="M130" s="278"/>
      <c r="N130" s="963">
        <f t="shared" si="27"/>
        <v>4</v>
      </c>
      <c r="O130" s="965">
        <f t="shared" si="23"/>
        <v>5909.0824644409404</v>
      </c>
      <c r="P130" s="965">
        <f t="shared" si="24"/>
        <v>515312.74319210829</v>
      </c>
    </row>
    <row r="131" spans="4:17">
      <c r="D131" s="265" t="s">
        <v>501</v>
      </c>
      <c r="E131" s="265">
        <f>+E130</f>
        <v>2017</v>
      </c>
      <c r="H131" s="974">
        <f>$H$116/12</f>
        <v>509403.66072766733</v>
      </c>
      <c r="I131" s="272"/>
      <c r="J131" s="272"/>
      <c r="K131" s="278">
        <f t="shared" si="26"/>
        <v>2.8999999999999998E-3</v>
      </c>
      <c r="L131" s="278"/>
      <c r="M131" s="278"/>
      <c r="N131" s="963">
        <f t="shared" si="27"/>
        <v>3</v>
      </c>
      <c r="O131" s="965">
        <f t="shared" si="23"/>
        <v>4431.8118483307053</v>
      </c>
      <c r="P131" s="965">
        <f>+H131+O131</f>
        <v>513835.47257599805</v>
      </c>
    </row>
    <row r="132" spans="4:17">
      <c r="D132" s="265" t="s">
        <v>502</v>
      </c>
      <c r="E132" s="265">
        <f>+E131</f>
        <v>2017</v>
      </c>
      <c r="H132" s="974">
        <f t="shared" ref="H132:H133" si="28">$H$116/12</f>
        <v>509403.66072766733</v>
      </c>
      <c r="I132" s="272"/>
      <c r="J132" s="272"/>
      <c r="K132" s="278">
        <f t="shared" si="26"/>
        <v>2.8999999999999998E-3</v>
      </c>
      <c r="L132" s="278"/>
      <c r="M132" s="278"/>
      <c r="N132" s="963">
        <f t="shared" si="27"/>
        <v>2</v>
      </c>
      <c r="O132" s="965">
        <f t="shared" si="23"/>
        <v>2954.5412322204702</v>
      </c>
      <c r="P132" s="965">
        <f t="shared" si="24"/>
        <v>512358.20195988781</v>
      </c>
    </row>
    <row r="133" spans="4:17">
      <c r="D133" s="265" t="s">
        <v>495</v>
      </c>
      <c r="E133" s="265">
        <f>+E132</f>
        <v>2017</v>
      </c>
      <c r="H133" s="974">
        <f t="shared" si="28"/>
        <v>509403.66072766733</v>
      </c>
      <c r="I133" s="272"/>
      <c r="J133" s="272"/>
      <c r="K133" s="278">
        <f t="shared" si="26"/>
        <v>2.8999999999999998E-3</v>
      </c>
      <c r="L133" s="278"/>
      <c r="M133" s="278"/>
      <c r="N133" s="963">
        <f t="shared" si="27"/>
        <v>1</v>
      </c>
      <c r="O133" s="965">
        <f t="shared" si="23"/>
        <v>1477.2706161102351</v>
      </c>
      <c r="P133" s="965">
        <f t="shared" si="24"/>
        <v>510880.93134377757</v>
      </c>
    </row>
    <row r="134" spans="4:17">
      <c r="D134" s="265" t="s">
        <v>306</v>
      </c>
      <c r="H134" s="963">
        <f>SUM(H122:H133)</f>
        <v>6112843.9287320087</v>
      </c>
      <c r="I134" s="272"/>
      <c r="J134" s="272"/>
      <c r="N134" s="963"/>
      <c r="O134" s="963"/>
      <c r="P134" s="965">
        <f>SUM(P122:P133)</f>
        <v>6228071.0367886052</v>
      </c>
    </row>
    <row r="135" spans="4:17">
      <c r="I135" s="272"/>
      <c r="J135" s="272"/>
      <c r="P135" s="268"/>
    </row>
    <row r="136" spans="4:17">
      <c r="H136" s="971" t="s">
        <v>513</v>
      </c>
      <c r="I136" s="277"/>
      <c r="J136" s="277"/>
      <c r="K136" s="264" t="s">
        <v>511</v>
      </c>
      <c r="L136" s="264"/>
      <c r="M136" s="264"/>
      <c r="N136" s="264" t="s">
        <v>514</v>
      </c>
      <c r="O136" s="264" t="s">
        <v>513</v>
      </c>
    </row>
    <row r="137" spans="4:17">
      <c r="D137" s="265" t="str">
        <f t="shared" ref="D137:D148" si="29">+D122</f>
        <v>Jun</v>
      </c>
      <c r="E137" s="265">
        <f>+E133</f>
        <v>2017</v>
      </c>
      <c r="H137" s="1024">
        <f>+P134</f>
        <v>6228071.0367886052</v>
      </c>
      <c r="I137" s="1024"/>
      <c r="J137" s="272"/>
      <c r="K137" s="278">
        <f>+K133</f>
        <v>2.8999999999999998E-3</v>
      </c>
      <c r="L137" s="278"/>
      <c r="M137" s="278"/>
      <c r="N137" s="1024">
        <f>-PMT(K137,12,P134)</f>
        <v>528841.11933230003</v>
      </c>
      <c r="O137" s="1024">
        <f t="shared" ref="O137:O148" si="30">+H137+H137*K137-N137</f>
        <v>5717291.3234629929</v>
      </c>
    </row>
    <row r="138" spans="4:17">
      <c r="D138" s="265" t="str">
        <f t="shared" si="29"/>
        <v>Jul</v>
      </c>
      <c r="E138" s="265">
        <f t="shared" ref="E138:E143" si="31">+E137</f>
        <v>2017</v>
      </c>
      <c r="H138" s="1024">
        <f t="shared" ref="H138:H148" si="32">+O137</f>
        <v>5717291.3234629929</v>
      </c>
      <c r="I138" s="1024"/>
      <c r="J138" s="272"/>
      <c r="K138" s="278">
        <f t="shared" ref="K138:K148" si="33">+K137</f>
        <v>2.8999999999999998E-3</v>
      </c>
      <c r="L138" s="278"/>
      <c r="M138" s="278"/>
      <c r="N138" s="1024">
        <f t="shared" ref="N138:N148" si="34">+N137</f>
        <v>528841.11933230003</v>
      </c>
      <c r="O138" s="1024">
        <f t="shared" si="30"/>
        <v>5205030.348968735</v>
      </c>
    </row>
    <row r="139" spans="4:17">
      <c r="D139" s="265" t="str">
        <f t="shared" si="29"/>
        <v>Aug</v>
      </c>
      <c r="E139" s="265">
        <f t="shared" si="31"/>
        <v>2017</v>
      </c>
      <c r="H139" s="1024">
        <f t="shared" si="32"/>
        <v>5205030.348968735</v>
      </c>
      <c r="I139" s="1024"/>
      <c r="J139" s="272"/>
      <c r="K139" s="278">
        <f t="shared" si="33"/>
        <v>2.8999999999999998E-3</v>
      </c>
      <c r="L139" s="278"/>
      <c r="M139" s="278"/>
      <c r="N139" s="1024">
        <f t="shared" si="34"/>
        <v>528841.11933230003</v>
      </c>
      <c r="O139" s="1024">
        <f t="shared" si="30"/>
        <v>4691283.8176484443</v>
      </c>
    </row>
    <row r="140" spans="4:17">
      <c r="D140" s="265" t="str">
        <f t="shared" si="29"/>
        <v>Sep</v>
      </c>
      <c r="E140" s="265">
        <f t="shared" si="31"/>
        <v>2017</v>
      </c>
      <c r="H140" s="1024">
        <f t="shared" si="32"/>
        <v>4691283.8176484443</v>
      </c>
      <c r="I140" s="1024"/>
      <c r="J140" s="272"/>
      <c r="K140" s="278">
        <f t="shared" si="33"/>
        <v>2.8999999999999998E-3</v>
      </c>
      <c r="L140" s="278"/>
      <c r="M140" s="278"/>
      <c r="N140" s="1024">
        <f t="shared" si="34"/>
        <v>528841.11933230003</v>
      </c>
      <c r="O140" s="1024">
        <f t="shared" si="30"/>
        <v>4176047.4213873246</v>
      </c>
      <c r="Q140" s="279"/>
    </row>
    <row r="141" spans="4:17">
      <c r="D141" s="265" t="str">
        <f t="shared" si="29"/>
        <v>Oct</v>
      </c>
      <c r="E141" s="265">
        <f t="shared" si="31"/>
        <v>2017</v>
      </c>
      <c r="H141" s="1024">
        <f t="shared" si="32"/>
        <v>4176047.4213873246</v>
      </c>
      <c r="I141" s="1024"/>
      <c r="J141" s="272"/>
      <c r="K141" s="278">
        <f t="shared" si="33"/>
        <v>2.8999999999999998E-3</v>
      </c>
      <c r="L141" s="278"/>
      <c r="M141" s="278"/>
      <c r="N141" s="1024">
        <f t="shared" si="34"/>
        <v>528841.11933230003</v>
      </c>
      <c r="O141" s="1024">
        <f t="shared" si="30"/>
        <v>3659316.8395770476</v>
      </c>
      <c r="Q141" s="278"/>
    </row>
    <row r="142" spans="4:17">
      <c r="D142" s="265" t="str">
        <f t="shared" si="29"/>
        <v>Nov</v>
      </c>
      <c r="E142" s="265">
        <f t="shared" si="31"/>
        <v>2017</v>
      </c>
      <c r="H142" s="1024">
        <f t="shared" si="32"/>
        <v>3659316.8395770476</v>
      </c>
      <c r="I142" s="1024"/>
      <c r="J142" s="272"/>
      <c r="K142" s="278">
        <f t="shared" si="33"/>
        <v>2.8999999999999998E-3</v>
      </c>
      <c r="L142" s="278"/>
      <c r="M142" s="278"/>
      <c r="N142" s="1024">
        <f t="shared" si="34"/>
        <v>528841.11933230003</v>
      </c>
      <c r="O142" s="1024">
        <f t="shared" si="30"/>
        <v>3141087.739079521</v>
      </c>
    </row>
    <row r="143" spans="4:17">
      <c r="D143" s="265" t="str">
        <f t="shared" si="29"/>
        <v>Dec</v>
      </c>
      <c r="E143" s="265">
        <f t="shared" si="31"/>
        <v>2017</v>
      </c>
      <c r="H143" s="1024">
        <f t="shared" si="32"/>
        <v>3141087.739079521</v>
      </c>
      <c r="I143" s="1024"/>
      <c r="J143" s="272"/>
      <c r="K143" s="278">
        <f t="shared" si="33"/>
        <v>2.8999999999999998E-3</v>
      </c>
      <c r="L143" s="278"/>
      <c r="M143" s="278"/>
      <c r="N143" s="1024">
        <f t="shared" si="34"/>
        <v>528841.11933230003</v>
      </c>
      <c r="O143" s="1024">
        <f t="shared" si="30"/>
        <v>2621355.7741905516</v>
      </c>
    </row>
    <row r="144" spans="4:17">
      <c r="D144" s="265" t="str">
        <f t="shared" si="29"/>
        <v>Jan</v>
      </c>
      <c r="E144" s="1208">
        <v>2018</v>
      </c>
      <c r="H144" s="1024">
        <f t="shared" si="32"/>
        <v>2621355.7741905516</v>
      </c>
      <c r="I144" s="1024"/>
      <c r="J144" s="272"/>
      <c r="K144" s="278">
        <f t="shared" si="33"/>
        <v>2.8999999999999998E-3</v>
      </c>
      <c r="L144" s="278"/>
      <c r="M144" s="278"/>
      <c r="N144" s="1024">
        <f t="shared" si="34"/>
        <v>528841.11933230003</v>
      </c>
      <c r="O144" s="1024">
        <f t="shared" si="30"/>
        <v>2100116.586603404</v>
      </c>
    </row>
    <row r="145" spans="1:16">
      <c r="D145" s="265" t="str">
        <f t="shared" si="29"/>
        <v>Feb</v>
      </c>
      <c r="E145" s="265">
        <f>+E144</f>
        <v>2018</v>
      </c>
      <c r="H145" s="1024">
        <f t="shared" si="32"/>
        <v>2100116.586603404</v>
      </c>
      <c r="I145" s="1024"/>
      <c r="J145" s="272"/>
      <c r="K145" s="278">
        <f t="shared" si="33"/>
        <v>2.8999999999999998E-3</v>
      </c>
      <c r="L145" s="278"/>
      <c r="M145" s="278"/>
      <c r="N145" s="1024">
        <f t="shared" si="34"/>
        <v>528841.11933230003</v>
      </c>
      <c r="O145" s="1024">
        <f t="shared" si="30"/>
        <v>1577365.805372254</v>
      </c>
    </row>
    <row r="146" spans="1:16">
      <c r="D146" s="265" t="str">
        <f t="shared" si="29"/>
        <v>Mar</v>
      </c>
      <c r="E146" s="265">
        <f>+E145</f>
        <v>2018</v>
      </c>
      <c r="H146" s="1024">
        <f t="shared" si="32"/>
        <v>1577365.805372254</v>
      </c>
      <c r="I146" s="1024"/>
      <c r="J146" s="272"/>
      <c r="K146" s="278">
        <f t="shared" si="33"/>
        <v>2.8999999999999998E-3</v>
      </c>
      <c r="L146" s="278"/>
      <c r="M146" s="278"/>
      <c r="N146" s="1024">
        <f t="shared" si="34"/>
        <v>528841.11933230003</v>
      </c>
      <c r="O146" s="1024">
        <f t="shared" si="30"/>
        <v>1053099.0468755334</v>
      </c>
    </row>
    <row r="147" spans="1:16">
      <c r="D147" s="265" t="str">
        <f t="shared" si="29"/>
        <v>Apr</v>
      </c>
      <c r="E147" s="265">
        <f>+E146</f>
        <v>2018</v>
      </c>
      <c r="H147" s="1024">
        <f t="shared" si="32"/>
        <v>1053099.0468755334</v>
      </c>
      <c r="I147" s="1024"/>
      <c r="J147" s="272"/>
      <c r="K147" s="278">
        <f t="shared" si="33"/>
        <v>2.8999999999999998E-3</v>
      </c>
      <c r="L147" s="278"/>
      <c r="M147" s="278"/>
      <c r="N147" s="1024">
        <f t="shared" si="34"/>
        <v>528841.11933230003</v>
      </c>
      <c r="O147" s="1024">
        <f t="shared" si="30"/>
        <v>527311.91477917251</v>
      </c>
    </row>
    <row r="148" spans="1:16">
      <c r="D148" s="265" t="str">
        <f t="shared" si="29"/>
        <v>May</v>
      </c>
      <c r="E148" s="265">
        <f>+E147</f>
        <v>2018</v>
      </c>
      <c r="H148" s="1024">
        <f t="shared" si="32"/>
        <v>527311.91477917251</v>
      </c>
      <c r="I148" s="1024"/>
      <c r="J148" s="272"/>
      <c r="K148" s="278">
        <f t="shared" si="33"/>
        <v>2.8999999999999998E-3</v>
      </c>
      <c r="L148" s="278"/>
      <c r="M148" s="278"/>
      <c r="N148" s="1024">
        <f t="shared" si="34"/>
        <v>528841.11933230003</v>
      </c>
      <c r="O148" s="1024">
        <f t="shared" si="30"/>
        <v>-2.6787165552377701E-7</v>
      </c>
    </row>
    <row r="149" spans="1:16">
      <c r="D149" s="265" t="s">
        <v>540</v>
      </c>
      <c r="H149" s="1024"/>
      <c r="I149" s="1024"/>
      <c r="N149" s="1024">
        <f>SUM(N137:N148)</f>
        <v>6346093.4319876023</v>
      </c>
      <c r="O149" s="1024"/>
    </row>
    <row r="151" spans="1:16">
      <c r="D151" s="289" t="s">
        <v>810</v>
      </c>
      <c r="E151" s="264"/>
      <c r="F151" s="264"/>
      <c r="G151" s="264"/>
      <c r="N151" s="272">
        <f>+N149</f>
        <v>6346093.4319876023</v>
      </c>
      <c r="O151" s="1045" t="s">
        <v>854</v>
      </c>
      <c r="P151" s="272"/>
    </row>
    <row r="152" spans="1:16">
      <c r="D152" s="289" t="s">
        <v>796</v>
      </c>
      <c r="E152" s="264"/>
      <c r="F152" s="264"/>
      <c r="G152" s="264"/>
      <c r="N152" s="1024">
        <f>'Appendix H-1'!H283</f>
        <v>148709327.27777117</v>
      </c>
      <c r="O152" s="264"/>
      <c r="P152" s="272"/>
    </row>
    <row r="153" spans="1:16" ht="14.25" thickBot="1">
      <c r="D153" s="289" t="s">
        <v>799</v>
      </c>
      <c r="E153" s="264"/>
      <c r="F153" s="264"/>
      <c r="G153" s="264"/>
      <c r="N153" s="272">
        <f>+N151+N152</f>
        <v>155055420.70975879</v>
      </c>
      <c r="O153" s="264"/>
      <c r="P153" s="272"/>
    </row>
    <row r="154" spans="1:16">
      <c r="D154" s="274"/>
      <c r="E154" s="264"/>
      <c r="F154" s="264"/>
      <c r="G154" s="264"/>
      <c r="J154" s="785" t="s">
        <v>9</v>
      </c>
      <c r="K154" s="786"/>
      <c r="L154" s="786"/>
      <c r="M154" s="787"/>
      <c r="N154" s="788"/>
      <c r="O154" s="787"/>
      <c r="P154" s="789"/>
    </row>
    <row r="155" spans="1:16">
      <c r="D155" s="274"/>
      <c r="E155" s="264"/>
      <c r="F155" s="264"/>
      <c r="G155" s="264"/>
      <c r="I155" s="272"/>
      <c r="J155" s="790" t="s">
        <v>42</v>
      </c>
      <c r="K155" s="791"/>
      <c r="L155" s="791"/>
      <c r="M155" s="792"/>
      <c r="N155" s="793"/>
      <c r="O155" s="792"/>
      <c r="P155" s="794"/>
    </row>
    <row r="156" spans="1:16" ht="14.25" thickBot="1">
      <c r="A156" s="264">
        <f>+A20</f>
        <v>11</v>
      </c>
      <c r="B156" s="264" t="str">
        <f>+B20</f>
        <v>May</v>
      </c>
      <c r="C156" s="264">
        <f>+C20</f>
        <v>2017</v>
      </c>
      <c r="D156" s="270" t="str">
        <f>+D20</f>
        <v>Post on SCE&amp;G web site - ATRR</v>
      </c>
      <c r="J156" s="795" t="s">
        <v>10</v>
      </c>
      <c r="K156" s="796"/>
      <c r="L156" s="796"/>
      <c r="M156" s="797"/>
      <c r="N156" s="798"/>
      <c r="O156" s="798"/>
      <c r="P156" s="799"/>
    </row>
    <row r="157" spans="1:16">
      <c r="D157" s="1024">
        <f>+N153</f>
        <v>155055420.70975879</v>
      </c>
    </row>
    <row r="158" spans="1:16">
      <c r="D158" s="275"/>
      <c r="E158" s="274"/>
      <c r="F158" s="274"/>
      <c r="G158" s="274"/>
    </row>
    <row r="159" spans="1:16">
      <c r="D159" s="269"/>
    </row>
    <row r="160" spans="1:16">
      <c r="A160" s="264">
        <f>+A21</f>
        <v>12</v>
      </c>
      <c r="B160" s="264" t="str">
        <f>+B21</f>
        <v>June</v>
      </c>
      <c r="C160" s="264">
        <f>+C21</f>
        <v>2017</v>
      </c>
      <c r="D160" s="270" t="str">
        <f>+D21</f>
        <v>Rates go into effect for current rate year</v>
      </c>
    </row>
    <row r="161" spans="4:4">
      <c r="D161" s="280"/>
    </row>
    <row r="335" spans="1:1">
      <c r="A335" s="792"/>
    </row>
    <row r="336" spans="1:1">
      <c r="A336" s="792"/>
    </row>
    <row r="337" spans="1:10">
      <c r="A337" s="792"/>
      <c r="B337" s="792"/>
      <c r="C337" s="792"/>
      <c r="D337" s="1020"/>
      <c r="E337" s="1020"/>
      <c r="F337" s="1020"/>
      <c r="G337" s="1020"/>
      <c r="H337" s="1021"/>
      <c r="I337" s="1020"/>
      <c r="J337" s="1020"/>
    </row>
    <row r="338" spans="1:10">
      <c r="A338" s="792"/>
      <c r="B338" s="792"/>
      <c r="C338" s="792"/>
      <c r="D338" s="1020"/>
      <c r="E338" s="1020"/>
      <c r="F338" s="1020"/>
      <c r="G338" s="1020"/>
      <c r="H338" s="1021"/>
      <c r="I338" s="1020"/>
      <c r="J338" s="1020"/>
    </row>
    <row r="339" spans="1:10">
      <c r="A339" s="792"/>
      <c r="B339" s="792"/>
      <c r="C339" s="792"/>
      <c r="D339" s="1020"/>
      <c r="E339" s="1020"/>
      <c r="F339" s="1020"/>
      <c r="G339" s="1020"/>
      <c r="H339" s="1021"/>
      <c r="I339" s="1020"/>
      <c r="J339" s="1020"/>
    </row>
    <row r="340" spans="1:10">
      <c r="A340" s="792"/>
      <c r="B340" s="792"/>
      <c r="C340" s="792"/>
      <c r="D340" s="1020"/>
      <c r="E340" s="1020"/>
      <c r="F340" s="1020"/>
      <c r="G340" s="1020"/>
      <c r="H340" s="1021"/>
      <c r="I340" s="1020"/>
      <c r="J340" s="1020"/>
    </row>
    <row r="341" spans="1:10">
      <c r="A341" s="792"/>
      <c r="B341" s="792"/>
      <c r="C341" s="792"/>
      <c r="D341" s="1020"/>
      <c r="E341" s="1020"/>
      <c r="F341" s="1020"/>
      <c r="G341" s="1020"/>
      <c r="H341" s="1021"/>
      <c r="I341" s="1020"/>
      <c r="J341" s="1020"/>
    </row>
    <row r="342" spans="1:10">
      <c r="A342" s="792"/>
      <c r="B342" s="792"/>
      <c r="C342" s="792"/>
      <c r="D342" s="1020"/>
      <c r="E342" s="1020"/>
      <c r="F342" s="1020"/>
      <c r="G342" s="1020"/>
      <c r="H342" s="1021"/>
      <c r="I342" s="1020"/>
      <c r="J342" s="1020"/>
    </row>
    <row r="343" spans="1:10">
      <c r="A343" s="792"/>
      <c r="B343" s="792"/>
      <c r="C343" s="792"/>
      <c r="D343" s="1020"/>
      <c r="E343" s="1020"/>
      <c r="F343" s="1020"/>
      <c r="G343" s="1020"/>
      <c r="H343" s="1021"/>
      <c r="I343" s="1020"/>
      <c r="J343" s="1020"/>
    </row>
    <row r="344" spans="1:10">
      <c r="B344" s="792"/>
      <c r="C344" s="792"/>
      <c r="D344" s="1020"/>
      <c r="E344" s="1020"/>
      <c r="F344" s="1020"/>
      <c r="G344" s="1020"/>
      <c r="H344" s="1021"/>
      <c r="I344" s="1020"/>
      <c r="J344" s="1020"/>
    </row>
    <row r="345" spans="1:10">
      <c r="B345" s="792"/>
      <c r="C345" s="792"/>
      <c r="D345" s="1020"/>
      <c r="E345" s="1020"/>
      <c r="F345" s="1020"/>
      <c r="G345" s="1020"/>
      <c r="H345" s="1021"/>
      <c r="I345" s="1020"/>
      <c r="J345" s="1020"/>
    </row>
  </sheetData>
  <mergeCells count="7">
    <mergeCell ref="A1:P1"/>
    <mergeCell ref="A3:P3"/>
    <mergeCell ref="I74:K74"/>
    <mergeCell ref="I75:K75"/>
    <mergeCell ref="I102:K102"/>
    <mergeCell ref="I101:K101"/>
    <mergeCell ref="I76:K76"/>
  </mergeCells>
  <phoneticPr fontId="0" type="noConversion"/>
  <printOptions horizontalCentered="1"/>
  <pageMargins left="0.25" right="0.25" top="0.5" bottom="0.5" header="0.5" footer="0.5"/>
  <pageSetup scale="54" fitToHeight="0" orientation="portrait" r:id="rId1"/>
  <headerFooter alignWithMargins="0">
    <oddHeader>&amp;RPage &amp;P of &amp;N</oddHeader>
  </headerFooter>
  <rowBreaks count="2" manualBreakCount="2">
    <brk id="55" max="15" man="1"/>
    <brk id="112" max="1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Appendix H-1</vt:lpstr>
      <vt:lpstr>1 - ADIT</vt:lpstr>
      <vt:lpstr>2 - Other Tax</vt:lpstr>
      <vt:lpstr>3 - Revenue Credits</vt:lpstr>
      <vt:lpstr>4 - 100 Basis Pt ROE</vt:lpstr>
      <vt:lpstr>Exh E - Cap Add Worksheet</vt:lpstr>
      <vt:lpstr>Exh F - AA-BL Items</vt:lpstr>
      <vt:lpstr>5 - Cost Support</vt:lpstr>
      <vt:lpstr>6- Est &amp; True-up WS</vt:lpstr>
      <vt:lpstr>7 - Incentive WS </vt:lpstr>
      <vt:lpstr>8 - Capital Structure</vt:lpstr>
      <vt:lpstr>'1 - ADIT'!Print_Area</vt:lpstr>
      <vt:lpstr>'2 - Other Tax'!Print_Area</vt:lpstr>
      <vt:lpstr>'3 - Revenue Credits'!Print_Area</vt:lpstr>
      <vt:lpstr>'4 - 100 Basis Pt ROE'!Print_Area</vt:lpstr>
      <vt:lpstr>'5 - Cost Support'!Print_Area</vt:lpstr>
      <vt:lpstr>'6- Est &amp; True-up WS'!Print_Area</vt:lpstr>
      <vt:lpstr>'7 - Incentive WS '!Print_Area</vt:lpstr>
      <vt:lpstr>'8 - Capital Structure'!Print_Area</vt:lpstr>
      <vt:lpstr>'Appendix H-1'!Print_Area</vt:lpstr>
      <vt:lpstr>'Exh F - AA-BL Items'!Print_Area</vt:lpstr>
      <vt:lpstr>'7 - Incentive WS '!Print_Titles</vt:lpstr>
      <vt:lpstr>'Exh E - Cap Add Worksheet'!Print_Titles</vt:lpstr>
    </vt:vector>
  </TitlesOfParts>
  <LinksUpToDate>false</LinksUpToDate>
  <SharedDoc>false</SharedDoc>
  <HyperlinkBase> </HyperlinkBase>
  <HyperlinksChanged>false</HyperlinksChanged>
  <AppVersion>12.0000</AppVersion>
</Properties>
</file>

<file path=docProps/core.xml><?xml version="1.0" encoding="utf-8"?>
<coreProperties xmlns:dc="http://purl.org/dc/elements/1.1/" xmlns:dcterms="http://purl.org/dc/terms/" xmlns:xsi="http://www.w3.org/2001/XMLSchema-instance" xmlns="http://schemas.openxmlformats.org/package/2006/metadata/core-properties">
  <dc:title>_</dc:title>
  <dc:creator/>
  <lastModifiedBy/>
  <dcterms:created xsi:type="dcterms:W3CDTF">2017-05-15T13:32:16.1484006Z</dcterms:created>
</coreProperties>
</file>