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05" yWindow="-60" windowWidth="25140" windowHeight="12180" tabRatio="826" activeTab="3"/>
  </bookViews>
  <sheets>
    <sheet name="Sch 1" sheetId="33" r:id="rId1"/>
    <sheet name="ATT H-1 " sheetId="31" r:id="rId2"/>
    <sheet name="1 - ADIT" sheetId="2" r:id="rId3"/>
    <sheet name="2 - Other Tax" sheetId="3" r:id="rId4"/>
    <sheet name="3 - Revenue Credits" sheetId="5" r:id="rId5"/>
    <sheet name="4 - 100 Basis Pt ROE" sheetId="22" r:id="rId6"/>
    <sheet name="5 - Cost Support" sheetId="20" r:id="rId7"/>
    <sheet name="6 - Est and True up" sheetId="34" r:id="rId8"/>
    <sheet name="6A-Colstrip" sheetId="45" r:id="rId9"/>
    <sheet name="6B-So Intertie" sheetId="46" r:id="rId10"/>
    <sheet name="7 - Cap Add WS" sheetId="39" r:id="rId11"/>
    <sheet name="8 - Depreciation Rates" sheetId="40" r:id="rId12"/>
    <sheet name="WKSHT1 - Rev Credits" sheetId="19" r:id="rId13"/>
    <sheet name="WKSHT2 - Prepaid" sheetId="23" r:id="rId14"/>
    <sheet name="WKSHT3 - All GIFs" sheetId="38" r:id="rId15"/>
    <sheet name="WKSHT4 - Monthly Tx System Peak" sheetId="41" r:id="rId16"/>
    <sheet name="WKSHT5 - Plant in Service 13mo " sheetId="43" r:id="rId17"/>
    <sheet name="WKSHT6 - Cost of Capital" sheetId="44" r:id="rId18"/>
  </sheets>
  <externalReferences>
    <externalReference r:id="rId19"/>
    <externalReference r:id="rId20"/>
    <externalReference r:id="rId21"/>
    <externalReference r:id="rId22"/>
    <externalReference r:id="rId23"/>
    <externalReference r:id="rId24"/>
  </externalReferences>
  <definedNames>
    <definedName name="\0" localSheetId="17">'[1]Header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0">#REF!</definedName>
    <definedName name="__CPK1">#REF!</definedName>
    <definedName name="__CPK2">#REF!</definedName>
    <definedName name="__CPK3">#REF!</definedName>
    <definedName name="__EGR1">#N/A</definedName>
    <definedName name="__EGR2">#N/A</definedName>
    <definedName name="__EGR3">#N/A</definedName>
    <definedName name="_CPK1" localSheetId="10">#REF!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0">[4]FERCFACT!#REF!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7">#REF!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0">#REF!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7">'[5]W&amp;S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7">'[5]W&amp;S by group'!#REF!</definedName>
    <definedName name="PAGE2">#REF!</definedName>
    <definedName name="PAGE3" localSheetId="10">[4]FERCFACT!#REF!</definedName>
    <definedName name="page3" localSheetId="17">'[5]W&amp;S by group'!#REF!</definedName>
    <definedName name="PAGE3">[4]FERCFACT!#REF!</definedName>
    <definedName name="page4" localSheetId="17">'[5]W&amp;S by group'!#REF!</definedName>
    <definedName name="PAGE4">#REF!</definedName>
    <definedName name="page5" localSheetId="17">#REF!</definedName>
    <definedName name="PAGE5">#REF!</definedName>
    <definedName name="page6" localSheetId="17">#REF!</definedName>
    <definedName name="PAGE6">#REF!</definedName>
    <definedName name="page7" localSheetId="17">'[5]W&amp;S by group'!#REF!</definedName>
    <definedName name="PAGE7">#REF!</definedName>
    <definedName name="page8" localSheetId="17">'[5]W&amp;S by group'!#REF!</definedName>
    <definedName name="PAGE8">#REF!</definedName>
    <definedName name="page9" localSheetId="17">'[5]W&amp;S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3">'2 - Other Tax'!$A$1:$L$86</definedName>
    <definedName name="_xlnm.Print_Area" localSheetId="4">'3 - Revenue Credits'!$A$1:$I$34</definedName>
    <definedName name="_xlnm.Print_Area" localSheetId="6">'5 - Cost Support'!$A$1:$Q$241</definedName>
    <definedName name="_xlnm.Print_Area" localSheetId="7">'6 - Est and True up'!$A$1:$O$190</definedName>
    <definedName name="_xlnm.Print_Area" localSheetId="8">'6A-Colstrip'!$A$1:$Q$169</definedName>
    <definedName name="_xlnm.Print_Area" localSheetId="9">'6B-So Intertie'!$A$1:$R$172</definedName>
    <definedName name="_xlnm.Print_Area" localSheetId="10">'7 - Cap Add WS'!$A$1:$M$77</definedName>
    <definedName name="_xlnm.Print_Area" localSheetId="11">'8 - Depreciation Rates'!$A$1:$E$46</definedName>
    <definedName name="_xlnm.Print_Area" localSheetId="1">'ATT H-1 '!$A$1:$L$311</definedName>
    <definedName name="_xlnm.Print_Area" localSheetId="0">'Sch 1'!$A$2:$E$40</definedName>
    <definedName name="_xlnm.Print_Area" localSheetId="12">'WKSHT1 - Rev Credits'!$A$1:$L$136</definedName>
    <definedName name="_xlnm.Print_Area" localSheetId="15">'WKSHT4 - Monthly Tx System Peak'!$A$1:$K$74</definedName>
    <definedName name="_xlnm.Print_Area" localSheetId="17">'WKSHT6 -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2" hidden="1">'1 - ADIT'!#REF!</definedName>
    <definedName name="Z_1155D18F_BFDD_426B_8E78_817CEB25FB23_.wvu.PrintArea" localSheetId="2" hidden="1">'1 - ADIT'!$A$1:$J$141</definedName>
    <definedName name="Z_1155D18F_BFDD_426B_8E78_817CEB25FB23_.wvu.PrintArea" localSheetId="4" hidden="1">'3 - Revenue Credits'!$A$1:$D$35</definedName>
    <definedName name="Z_16940A0E_2B20_4241_BF05_A4686E5A0274_.wvu.Cols" localSheetId="2" hidden="1">'1 - ADIT'!#REF!</definedName>
    <definedName name="Z_16940A0E_2B20_4241_BF05_A4686E5A0274_.wvu.PrintArea" localSheetId="2" hidden="1">'1 - ADIT'!$A$1:$J$142</definedName>
    <definedName name="Z_16940A0E_2B20_4241_BF05_A4686E5A0274_.wvu.PrintArea" localSheetId="4" hidden="1">'3 - Revenue Credits'!$A$1:$D$35</definedName>
    <definedName name="Z_28948E05_8F34_4F1E_96FB_A80A6A844600_.wvu.Cols" localSheetId="2" hidden="1">'1 - ADIT'!#REF!</definedName>
    <definedName name="Z_28948E05_8F34_4F1E_96FB_A80A6A844600_.wvu.PrintArea" localSheetId="2" hidden="1">'1 - ADIT'!$A$1:$J$141</definedName>
    <definedName name="Z_28948E05_8F34_4F1E_96FB_A80A6A844600_.wvu.PrintArea" localSheetId="4" hidden="1">'3 - Revenue Credits'!$A$1:$D$35</definedName>
    <definedName name="Z_3768C7C8_9953_11DA_B318_000FB55D51DC_.wvu.Cols" localSheetId="10" hidden="1">'7 - Cap Add WS'!#REF!</definedName>
    <definedName name="Z_3768C7C8_9953_11DA_B318_000FB55D51DC_.wvu.PrintArea" localSheetId="5" hidden="1">'4 - 100 Basis Pt ROE'!$A$9:$G$48</definedName>
    <definedName name="Z_3768C7C8_9953_11DA_B318_000FB55D51DC_.wvu.PrintArea" localSheetId="6" hidden="1">'5 - Cost Support'!$A$74:$N$233</definedName>
    <definedName name="Z_3768C7C8_9953_11DA_B318_000FB55D51DC_.wvu.PrintTitles" localSheetId="6" hidden="1">'5 - Cost Support'!#REF!</definedName>
    <definedName name="Z_3768C7C8_9953_11DA_B318_000FB55D51DC_.wvu.PrintTitles" localSheetId="10" hidden="1">'7 - Cap Add WS'!$B:$C</definedName>
    <definedName name="Z_3768C7C8_9953_11DA_B318_000FB55D51DC_.wvu.Rows" localSheetId="6" hidden="1">'5 - Cost Support'!#REF!</definedName>
    <definedName name="Z_3BDD6235_B127_4929_8311_BDAF7BB89818_.wvu.Cols" localSheetId="10" hidden="1">'7 - Cap Add WS'!#REF!</definedName>
    <definedName name="Z_3BDD6235_B127_4929_8311_BDAF7BB89818_.wvu.PrintArea" localSheetId="5" hidden="1">'4 - 100 Basis Pt ROE'!$A$9:$G$48</definedName>
    <definedName name="Z_3BDD6235_B127_4929_8311_BDAF7BB89818_.wvu.PrintArea" localSheetId="6" hidden="1">'5 - Cost Support'!$A$74:$N$233</definedName>
    <definedName name="Z_3BDD6235_B127_4929_8311_BDAF7BB89818_.wvu.PrintTitles" localSheetId="6" hidden="1">'5 - Cost Support'!#REF!</definedName>
    <definedName name="Z_3BDD6235_B127_4929_8311_BDAF7BB89818_.wvu.PrintTitles" localSheetId="10" hidden="1">'7 - Cap Add WS'!$B:$C</definedName>
    <definedName name="Z_3BDD6235_B127_4929_8311_BDAF7BB89818_.wvu.Rows" localSheetId="6" hidden="1">'5 - Cost Support'!#REF!</definedName>
    <definedName name="Z_44504B44_F20F_4B6F_B585_74D55BA74563_.wvu.Cols" localSheetId="2" hidden="1">'1 - ADIT'!#REF!</definedName>
    <definedName name="Z_44504B44_F20F_4B6F_B585_74D55BA74563_.wvu.PrintArea" localSheetId="2" hidden="1">'1 - ADIT'!$A$1:$J$142</definedName>
    <definedName name="Z_44504B44_F20F_4B6F_B585_74D55BA74563_.wvu.PrintArea" localSheetId="4" hidden="1">'3 - Revenue Credits'!$A$1:$D$35</definedName>
    <definedName name="Z_63011E91_4609_4523_98FE_FD252E915668_.wvu.Cols" localSheetId="2" hidden="1">'1 - ADIT'!#REF!</definedName>
    <definedName name="Z_63011E91_4609_4523_98FE_FD252E915668_.wvu.PrintArea" localSheetId="2" hidden="1">'1 - ADIT'!$A$1:$J$141</definedName>
    <definedName name="Z_63011E91_4609_4523_98FE_FD252E915668_.wvu.PrintArea" localSheetId="3" hidden="1">'2 - Other Tax'!$A$1:$H$86</definedName>
    <definedName name="Z_63011E91_4609_4523_98FE_FD252E915668_.wvu.PrintArea" localSheetId="4" hidden="1">'3 - Revenue Credits'!$A$1:$D$35</definedName>
    <definedName name="Z_71B42B22_A376_44B5_B0C1_23FC1AA3DBA2_.wvu.Cols" localSheetId="2" hidden="1">'1 - ADIT'!#REF!</definedName>
    <definedName name="Z_71B42B22_A376_44B5_B0C1_23FC1AA3DBA2_.wvu.PrintArea" localSheetId="2" hidden="1">'1 - ADIT'!$A$1:$J$141</definedName>
    <definedName name="Z_71B42B22_A376_44B5_B0C1_23FC1AA3DBA2_.wvu.PrintArea" localSheetId="4" hidden="1">'3 - Revenue Credits'!$A$1:$D$35</definedName>
    <definedName name="Z_B0241363_5C8A_48FC_89A6_56D55586BABE_.wvu.Cols" localSheetId="10" hidden="1">'7 - Cap Add WS'!#REF!</definedName>
    <definedName name="Z_B0241363_5C8A_48FC_89A6_56D55586BABE_.wvu.PrintArea" localSheetId="5" hidden="1">'4 - 100 Basis Pt ROE'!$A$9:$G$48</definedName>
    <definedName name="Z_B0241363_5C8A_48FC_89A6_56D55586BABE_.wvu.PrintArea" localSheetId="6" hidden="1">'5 - Cost Support'!$A$74:$N$233</definedName>
    <definedName name="Z_B0241363_5C8A_48FC_89A6_56D55586BABE_.wvu.PrintTitles" localSheetId="6" hidden="1">'5 - Cost Support'!#REF!</definedName>
    <definedName name="Z_B0241363_5C8A_48FC_89A6_56D55586BABE_.wvu.PrintTitles" localSheetId="10" hidden="1">'7 - Cap Add WS'!$B:$C</definedName>
    <definedName name="Z_B0241363_5C8A_48FC_89A6_56D55586BABE_.wvu.Rows" localSheetId="6" hidden="1">'5 - Cost Support'!#REF!</definedName>
    <definedName name="Z_B647CB7F_C846_4278_B6B1_1EF7F3C004F5_.wvu.Cols" localSheetId="2" hidden="1">'1 - ADIT'!#REF!</definedName>
    <definedName name="Z_B647CB7F_C846_4278_B6B1_1EF7F3C004F5_.wvu.PrintArea" localSheetId="2" hidden="1">'1 - ADIT'!$A$1:$J$141</definedName>
    <definedName name="Z_B647CB7F_C846_4278_B6B1_1EF7F3C004F5_.wvu.PrintArea" localSheetId="4" hidden="1">'3 - Revenue Credits'!$A$1:$D$35</definedName>
    <definedName name="Z_C0EA0F9F_7310_4201_82C9_7B8FC8DB9137_.wvu.Cols" localSheetId="10" hidden="1">'7 - Cap Add WS'!#REF!</definedName>
    <definedName name="Z_C0EA0F9F_7310_4201_82C9_7B8FC8DB9137_.wvu.PrintArea" localSheetId="5" hidden="1">'4 - 100 Basis Pt ROE'!$A$9:$G$48</definedName>
    <definedName name="Z_C0EA0F9F_7310_4201_82C9_7B8FC8DB9137_.wvu.PrintArea" localSheetId="6" hidden="1">'5 - Cost Support'!$A$74:$N$233</definedName>
    <definedName name="Z_C0EA0F9F_7310_4201_82C9_7B8FC8DB9137_.wvu.PrintTitles" localSheetId="6" hidden="1">'5 - Cost Support'!#REF!</definedName>
    <definedName name="Z_C0EA0F9F_7310_4201_82C9_7B8FC8DB9137_.wvu.PrintTitles" localSheetId="10" hidden="1">'7 - Cap Add WS'!$B:$C</definedName>
    <definedName name="Z_C0EA0F9F_7310_4201_82C9_7B8FC8DB9137_.wvu.Rows" localSheetId="6" hidden="1">'5 - Cost Support'!#REF!</definedName>
    <definedName name="Z_DC91DEF3_837B_4BB9_A81E_3B78C5914E6C_.wvu.Cols" localSheetId="2" hidden="1">'1 - ADIT'!#REF!</definedName>
    <definedName name="Z_DC91DEF3_837B_4BB9_A81E_3B78C5914E6C_.wvu.PrintArea" localSheetId="2" hidden="1">'1 - ADIT'!$A$1:$J$141</definedName>
    <definedName name="Z_DC91DEF3_837B_4BB9_A81E_3B78C5914E6C_.wvu.PrintArea" localSheetId="4" hidden="1">'3 - Revenue Credits'!$A$1:$D$35</definedName>
    <definedName name="Z_FAAD9AAC_1337_43AB_BF1F_CCF9DFCF5B78_.wvu.Cols" localSheetId="2" hidden="1">'1 - ADIT'!#REF!</definedName>
    <definedName name="Z_FAAD9AAC_1337_43AB_BF1F_CCF9DFCF5B78_.wvu.PrintArea" localSheetId="2" hidden="1">'1 - ADIT'!$A$1:$J$141</definedName>
    <definedName name="Z_FAAD9AAC_1337_43AB_BF1F_CCF9DFCF5B78_.wvu.PrintArea" localSheetId="4" hidden="1">'3 - Revenue Credits'!$A$1:$D$35</definedName>
  </definedNames>
  <calcPr calcId="145621"/>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H98" i="20" l="1"/>
  <c r="E70" i="3"/>
  <c r="D84" i="38" l="1"/>
  <c r="D83" i="38"/>
  <c r="D82" i="38"/>
  <c r="E82" i="38" s="1"/>
  <c r="D81" i="38"/>
  <c r="E81" i="38" s="1"/>
  <c r="D80" i="38"/>
  <c r="D79" i="38"/>
  <c r="D78" i="38"/>
  <c r="E78" i="38" s="1"/>
  <c r="D77" i="38"/>
  <c r="D76" i="38"/>
  <c r="D75" i="38"/>
  <c r="D74" i="38"/>
  <c r="E74" i="38" s="1"/>
  <c r="D73" i="38"/>
  <c r="E73" i="38" s="1"/>
  <c r="D72" i="38"/>
  <c r="D71" i="38"/>
  <c r="D70" i="38"/>
  <c r="E70" i="38" s="1"/>
  <c r="D69" i="38"/>
  <c r="E69" i="38" s="1"/>
  <c r="D68" i="38"/>
  <c r="D67" i="38"/>
  <c r="D66" i="38"/>
  <c r="E66" i="38" s="1"/>
  <c r="D65" i="38"/>
  <c r="E65" i="38" s="1"/>
  <c r="D64" i="38"/>
  <c r="D63" i="38"/>
  <c r="D62" i="38"/>
  <c r="E62" i="38" s="1"/>
  <c r="D61" i="38"/>
  <c r="D60" i="38"/>
  <c r="D59" i="38"/>
  <c r="D58" i="38"/>
  <c r="D57" i="38"/>
  <c r="D56" i="38"/>
  <c r="D55" i="38"/>
  <c r="D54" i="38"/>
  <c r="D53" i="38"/>
  <c r="D52" i="38"/>
  <c r="D51" i="38"/>
  <c r="D50" i="38"/>
  <c r="D49" i="38"/>
  <c r="D48" i="38"/>
  <c r="D47" i="38"/>
  <c r="E60" i="38"/>
  <c r="E61" i="38"/>
  <c r="E63" i="38"/>
  <c r="E64" i="38"/>
  <c r="E67" i="38"/>
  <c r="E68" i="38"/>
  <c r="E71" i="38"/>
  <c r="E72" i="38"/>
  <c r="E75" i="38"/>
  <c r="E76" i="38"/>
  <c r="E77" i="38"/>
  <c r="E79" i="38"/>
  <c r="E80" i="38"/>
  <c r="E83" i="38"/>
  <c r="E84" i="38"/>
  <c r="C27" i="38"/>
  <c r="D27" i="38"/>
  <c r="C28" i="38"/>
  <c r="D28" i="38"/>
  <c r="C29" i="38"/>
  <c r="D29" i="38"/>
  <c r="C30" i="38"/>
  <c r="D30" i="38"/>
  <c r="C31" i="38"/>
  <c r="D31" i="38"/>
  <c r="C32" i="38"/>
  <c r="D32" i="38"/>
  <c r="C33" i="38"/>
  <c r="D33" i="38"/>
  <c r="C34" i="38"/>
  <c r="D34" i="38"/>
  <c r="C35" i="38"/>
  <c r="D35" i="38"/>
  <c r="C36" i="38"/>
  <c r="D36" i="38"/>
  <c r="C37" i="38"/>
  <c r="D37" i="38"/>
  <c r="C38" i="38"/>
  <c r="D38" i="38"/>
  <c r="C39" i="38"/>
  <c r="D39" i="38"/>
  <c r="C40" i="38"/>
  <c r="D40" i="38"/>
  <c r="C41" i="38"/>
  <c r="D41" i="38"/>
  <c r="C42" i="38"/>
  <c r="D42" i="38"/>
  <c r="C43" i="38"/>
  <c r="D43" i="38"/>
  <c r="C44" i="38"/>
  <c r="D44" i="38"/>
  <c r="C45" i="38"/>
  <c r="D45" i="38"/>
  <c r="C46" i="38"/>
  <c r="D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B155" i="43"/>
  <c r="O151" i="43"/>
  <c r="F99" i="46" l="1"/>
  <c r="F100" i="45"/>
  <c r="H115" i="31"/>
  <c r="J87" i="31" l="1"/>
  <c r="D111" i="2" l="1"/>
  <c r="C111" i="2"/>
  <c r="D73" i="2"/>
  <c r="C73" i="2"/>
  <c r="D13" i="38" l="1"/>
  <c r="D14" i="38"/>
  <c r="D15" i="38"/>
  <c r="D16" i="38"/>
  <c r="D17" i="38"/>
  <c r="D18" i="38"/>
  <c r="D19" i="38"/>
  <c r="D20" i="38"/>
  <c r="D21" i="38"/>
  <c r="D22" i="38"/>
  <c r="D23" i="38"/>
  <c r="D24" i="38"/>
  <c r="D25" i="38"/>
  <c r="D26" i="38"/>
  <c r="D12" i="38"/>
  <c r="C12" i="38"/>
  <c r="C13" i="38"/>
  <c r="C14" i="38"/>
  <c r="C15" i="38"/>
  <c r="C16" i="38"/>
  <c r="C17" i="38"/>
  <c r="C18" i="38"/>
  <c r="C19" i="38"/>
  <c r="C20" i="38"/>
  <c r="C21" i="38"/>
  <c r="C22" i="38"/>
  <c r="C23" i="38"/>
  <c r="C24" i="38"/>
  <c r="C25" i="38"/>
  <c r="C26" i="38"/>
  <c r="C11" i="38"/>
  <c r="O178" i="43" l="1"/>
  <c r="D4" i="38" l="1"/>
  <c r="D5" i="38"/>
  <c r="D6" i="38"/>
  <c r="D7" i="38"/>
  <c r="D3" i="38"/>
  <c r="C4" i="38"/>
  <c r="C5" i="38"/>
  <c r="C6" i="38"/>
  <c r="C7" i="38"/>
  <c r="C3" i="38"/>
  <c r="O308" i="43" l="1"/>
  <c r="O307" i="43"/>
  <c r="O306" i="43"/>
  <c r="O305" i="43"/>
  <c r="O304" i="43"/>
  <c r="O229" i="43"/>
  <c r="O230" i="43"/>
  <c r="O231" i="43"/>
  <c r="O232" i="43"/>
  <c r="O233" i="43"/>
  <c r="O234" i="43"/>
  <c r="O235" i="43"/>
  <c r="O236" i="43"/>
  <c r="O237" i="43"/>
  <c r="O238" i="43"/>
  <c r="O239" i="43"/>
  <c r="O240" i="43"/>
  <c r="O241" i="43"/>
  <c r="O242" i="43"/>
  <c r="O243" i="43"/>
  <c r="O244" i="43"/>
  <c r="O245" i="43"/>
  <c r="O246" i="43"/>
  <c r="O247" i="43"/>
  <c r="O248" i="43"/>
  <c r="O249" i="43"/>
  <c r="O250" i="43"/>
  <c r="O251" i="43"/>
  <c r="O252" i="43"/>
  <c r="O253" i="43"/>
  <c r="O254" i="43"/>
  <c r="O255" i="43"/>
  <c r="O256" i="43"/>
  <c r="O257" i="43"/>
  <c r="O258" i="43"/>
  <c r="O259" i="43"/>
  <c r="O260" i="43"/>
  <c r="O261" i="43"/>
  <c r="O262" i="43"/>
  <c r="O263" i="43"/>
  <c r="O264" i="43"/>
  <c r="O265" i="43"/>
  <c r="O266" i="43"/>
  <c r="O267" i="43"/>
  <c r="O268" i="43"/>
  <c r="O269" i="43"/>
  <c r="O270" i="43"/>
  <c r="O271" i="43"/>
  <c r="O272" i="43"/>
  <c r="O273" i="43"/>
  <c r="O274" i="43"/>
  <c r="O275" i="43"/>
  <c r="O276" i="43"/>
  <c r="O277" i="43"/>
  <c r="O278" i="43"/>
  <c r="O279" i="43"/>
  <c r="O280" i="43"/>
  <c r="O281" i="43"/>
  <c r="O282" i="43"/>
  <c r="O283" i="43"/>
  <c r="O284" i="43"/>
  <c r="O285" i="43"/>
  <c r="O286" i="43"/>
  <c r="O287" i="43"/>
  <c r="O288" i="43"/>
  <c r="O289" i="43"/>
  <c r="O290" i="43"/>
  <c r="O291" i="43"/>
  <c r="O292" i="43"/>
  <c r="O293" i="43"/>
  <c r="O294" i="43"/>
  <c r="O295" i="43"/>
  <c r="O296" i="43"/>
  <c r="O297" i="43"/>
  <c r="O298" i="43"/>
  <c r="O299" i="43"/>
  <c r="O300" i="43"/>
  <c r="O228" i="43"/>
  <c r="O224" i="43"/>
  <c r="O223" i="43"/>
  <c r="O222" i="43"/>
  <c r="O221" i="43"/>
  <c r="O220" i="43"/>
  <c r="O219" i="43"/>
  <c r="O207" i="43"/>
  <c r="O208" i="43"/>
  <c r="O209" i="43"/>
  <c r="O210" i="43"/>
  <c r="O211" i="43"/>
  <c r="O212" i="43"/>
  <c r="O213" i="43"/>
  <c r="O214" i="43"/>
  <c r="O215" i="43"/>
  <c r="O174" i="43"/>
  <c r="O176" i="43"/>
  <c r="O177" i="43"/>
  <c r="O179" i="43"/>
  <c r="O180" i="43"/>
  <c r="O181" i="43"/>
  <c r="O182" i="43"/>
  <c r="O183" i="43"/>
  <c r="O184" i="43"/>
  <c r="O185" i="43"/>
  <c r="O186" i="43"/>
  <c r="O187" i="43"/>
  <c r="O188" i="43"/>
  <c r="O189" i="43"/>
  <c r="O190" i="43"/>
  <c r="O191" i="43"/>
  <c r="O192" i="43"/>
  <c r="O193" i="43"/>
  <c r="O194" i="43"/>
  <c r="O195" i="43"/>
  <c r="O196" i="43"/>
  <c r="O197" i="43"/>
  <c r="O198" i="43"/>
  <c r="O199" i="43"/>
  <c r="O200" i="43"/>
  <c r="O201" i="43"/>
  <c r="O202" i="43"/>
  <c r="N309" i="43"/>
  <c r="M309" i="43"/>
  <c r="L309" i="43"/>
  <c r="K309" i="43"/>
  <c r="J309" i="43"/>
  <c r="I309" i="43"/>
  <c r="H309" i="43"/>
  <c r="G309" i="43"/>
  <c r="F309" i="43"/>
  <c r="E309" i="43"/>
  <c r="D309" i="43"/>
  <c r="C309" i="43"/>
  <c r="B309" i="43"/>
  <c r="N301" i="43"/>
  <c r="M301" i="43"/>
  <c r="L301" i="43"/>
  <c r="K301" i="43"/>
  <c r="J301" i="43"/>
  <c r="I301" i="43"/>
  <c r="H301" i="43"/>
  <c r="G301" i="43"/>
  <c r="F301" i="43"/>
  <c r="E301" i="43"/>
  <c r="D301" i="43"/>
  <c r="C301" i="43"/>
  <c r="B301" i="43"/>
  <c r="N225" i="43"/>
  <c r="N313" i="43" s="1"/>
  <c r="M225" i="43"/>
  <c r="M313" i="43" s="1"/>
  <c r="L225" i="43"/>
  <c r="L313" i="43" s="1"/>
  <c r="K225" i="43"/>
  <c r="K313" i="43" s="1"/>
  <c r="J225" i="43"/>
  <c r="J313" i="43" s="1"/>
  <c r="I225" i="43"/>
  <c r="I313" i="43" s="1"/>
  <c r="H225" i="43"/>
  <c r="H313" i="43" s="1"/>
  <c r="G225" i="43"/>
  <c r="G313" i="43" s="1"/>
  <c r="F225" i="43"/>
  <c r="F313" i="43" s="1"/>
  <c r="E225" i="43"/>
  <c r="E313" i="43" s="1"/>
  <c r="D225" i="43"/>
  <c r="D313" i="43" s="1"/>
  <c r="C225" i="43"/>
  <c r="C313" i="43" s="1"/>
  <c r="B225" i="43"/>
  <c r="B313" i="43" s="1"/>
  <c r="N216" i="43"/>
  <c r="M216" i="43"/>
  <c r="L216" i="43"/>
  <c r="K216" i="43"/>
  <c r="J216" i="43"/>
  <c r="I216" i="43"/>
  <c r="H216" i="43"/>
  <c r="G216" i="43"/>
  <c r="F216" i="43"/>
  <c r="E216" i="43"/>
  <c r="D216" i="43"/>
  <c r="C216" i="43"/>
  <c r="B216" i="43"/>
  <c r="N203" i="43"/>
  <c r="M203" i="43"/>
  <c r="L203" i="43"/>
  <c r="K203" i="43"/>
  <c r="J203" i="43"/>
  <c r="I203" i="43"/>
  <c r="H203" i="43"/>
  <c r="G203" i="43"/>
  <c r="F203" i="43"/>
  <c r="E203" i="43"/>
  <c r="D203" i="43"/>
  <c r="C203" i="43"/>
  <c r="B203" i="43"/>
  <c r="C166" i="43"/>
  <c r="D166" i="43"/>
  <c r="E166" i="43"/>
  <c r="F166" i="43"/>
  <c r="G166" i="43"/>
  <c r="H166" i="43"/>
  <c r="I166" i="43"/>
  <c r="J166" i="43"/>
  <c r="K166" i="43"/>
  <c r="L166" i="43"/>
  <c r="M166" i="43"/>
  <c r="N166" i="43"/>
  <c r="B166" i="43"/>
  <c r="O154" i="43"/>
  <c r="O153" i="43"/>
  <c r="O152" i="43"/>
  <c r="O150" i="43"/>
  <c r="O139" i="43"/>
  <c r="O145" i="43"/>
  <c r="O144" i="43"/>
  <c r="O128" i="43"/>
  <c r="O146" i="43"/>
  <c r="O147" i="43"/>
  <c r="O143" i="43"/>
  <c r="O142" i="43"/>
  <c r="O141" i="43"/>
  <c r="O140" i="43"/>
  <c r="O132" i="43"/>
  <c r="O138" i="43"/>
  <c r="O137" i="43"/>
  <c r="O136" i="43"/>
  <c r="O135" i="43"/>
  <c r="O134" i="43"/>
  <c r="O133" i="43"/>
  <c r="O131" i="43"/>
  <c r="O130" i="43"/>
  <c r="O129" i="43"/>
  <c r="O127" i="43"/>
  <c r="O126" i="43"/>
  <c r="O125" i="43"/>
  <c r="O124" i="43"/>
  <c r="O123" i="43"/>
  <c r="O122" i="43"/>
  <c r="O121" i="43"/>
  <c r="O120" i="43"/>
  <c r="O119" i="43"/>
  <c r="O118" i="43"/>
  <c r="O117" i="43"/>
  <c r="O116" i="43"/>
  <c r="O115" i="43"/>
  <c r="O114" i="43"/>
  <c r="O113" i="43"/>
  <c r="O112" i="43"/>
  <c r="O111" i="43"/>
  <c r="O110" i="43"/>
  <c r="O109" i="43"/>
  <c r="O108" i="43"/>
  <c r="O107" i="43"/>
  <c r="O106" i="43"/>
  <c r="O105" i="43"/>
  <c r="O104" i="43"/>
  <c r="O103" i="43"/>
  <c r="O102" i="43"/>
  <c r="O101" i="43"/>
  <c r="O100" i="43"/>
  <c r="O99" i="43"/>
  <c r="O98" i="43"/>
  <c r="O97" i="43"/>
  <c r="O96" i="43"/>
  <c r="O95" i="43"/>
  <c r="O94" i="43"/>
  <c r="O93" i="43"/>
  <c r="O92" i="43"/>
  <c r="O91" i="43"/>
  <c r="O90" i="43"/>
  <c r="O89" i="43"/>
  <c r="O88" i="43"/>
  <c r="O87" i="43"/>
  <c r="O86" i="43"/>
  <c r="O85" i="43"/>
  <c r="O84" i="43"/>
  <c r="O83" i="43"/>
  <c r="O82" i="43"/>
  <c r="O81" i="43"/>
  <c r="O80" i="43"/>
  <c r="O79" i="43"/>
  <c r="O78" i="43"/>
  <c r="O77" i="43"/>
  <c r="O76" i="43"/>
  <c r="O75" i="43"/>
  <c r="O74" i="43"/>
  <c r="N155" i="43"/>
  <c r="M155" i="43"/>
  <c r="L155" i="43"/>
  <c r="K155" i="43"/>
  <c r="J155" i="43"/>
  <c r="I155" i="43"/>
  <c r="H155" i="43"/>
  <c r="G155" i="43"/>
  <c r="F155" i="43"/>
  <c r="E155" i="43"/>
  <c r="D155" i="43"/>
  <c r="C155" i="43"/>
  <c r="N148" i="43"/>
  <c r="M148" i="43"/>
  <c r="L148" i="43"/>
  <c r="K148" i="43"/>
  <c r="J148" i="43"/>
  <c r="I148" i="43"/>
  <c r="H148" i="43"/>
  <c r="G148" i="43"/>
  <c r="F148" i="43"/>
  <c r="E148" i="43"/>
  <c r="D148" i="43"/>
  <c r="C148" i="43"/>
  <c r="B148" i="43"/>
  <c r="O66" i="43"/>
  <c r="O67" i="43"/>
  <c r="O68" i="43"/>
  <c r="O69" i="43"/>
  <c r="O70" i="43"/>
  <c r="O71" i="43"/>
  <c r="O52" i="43"/>
  <c r="O53" i="43"/>
  <c r="O54" i="43"/>
  <c r="O55" i="43"/>
  <c r="O56" i="43"/>
  <c r="O57" i="43"/>
  <c r="O58" i="43"/>
  <c r="O59" i="43"/>
  <c r="O60" i="43"/>
  <c r="O61" i="43"/>
  <c r="O7"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6" i="43"/>
  <c r="N72" i="43"/>
  <c r="N160" i="43" s="1"/>
  <c r="M72" i="43"/>
  <c r="M160" i="43" s="1"/>
  <c r="L72" i="43"/>
  <c r="L160" i="43" s="1"/>
  <c r="K72" i="43"/>
  <c r="K160" i="43" s="1"/>
  <c r="J72" i="43"/>
  <c r="J160" i="43" s="1"/>
  <c r="I72" i="43"/>
  <c r="I160" i="43" s="1"/>
  <c r="H72" i="43"/>
  <c r="H160" i="43" s="1"/>
  <c r="G72" i="43"/>
  <c r="G160" i="43" s="1"/>
  <c r="F72" i="43"/>
  <c r="F160" i="43" s="1"/>
  <c r="E72" i="43"/>
  <c r="E160" i="43" s="1"/>
  <c r="D72" i="43"/>
  <c r="D160" i="43" s="1"/>
  <c r="C72" i="43"/>
  <c r="C160" i="43" s="1"/>
  <c r="B72" i="43"/>
  <c r="B160" i="43" s="1"/>
  <c r="N62" i="43"/>
  <c r="M62" i="43"/>
  <c r="L62" i="43"/>
  <c r="K62" i="43"/>
  <c r="J62" i="43"/>
  <c r="I62" i="43"/>
  <c r="H62" i="43"/>
  <c r="G62" i="43"/>
  <c r="F62" i="43"/>
  <c r="E62" i="43"/>
  <c r="D62" i="43"/>
  <c r="C62" i="43"/>
  <c r="B62" i="43"/>
  <c r="N48" i="43"/>
  <c r="M48" i="43"/>
  <c r="L48" i="43"/>
  <c r="K48" i="43"/>
  <c r="J48" i="43"/>
  <c r="I48" i="43"/>
  <c r="H48" i="43"/>
  <c r="G48" i="43"/>
  <c r="F48" i="43"/>
  <c r="E48" i="43"/>
  <c r="D48" i="43"/>
  <c r="C48" i="43"/>
  <c r="B48" i="43"/>
  <c r="H158" i="43" l="1"/>
  <c r="O225" i="43"/>
  <c r="O313" i="43" s="1"/>
  <c r="I38" i="20" s="1"/>
  <c r="C159" i="43"/>
  <c r="K159" i="43"/>
  <c r="B158" i="43"/>
  <c r="F158" i="43"/>
  <c r="J158" i="43"/>
  <c r="N158" i="43"/>
  <c r="E159" i="43"/>
  <c r="M159" i="43"/>
  <c r="K311" i="43"/>
  <c r="B312" i="43"/>
  <c r="F312" i="43"/>
  <c r="J312" i="43"/>
  <c r="N312" i="43"/>
  <c r="I159" i="43"/>
  <c r="D158" i="43"/>
  <c r="L158" i="43"/>
  <c r="G159" i="43"/>
  <c r="O216" i="43"/>
  <c r="E158" i="43"/>
  <c r="E161" i="43" s="1"/>
  <c r="I158" i="43"/>
  <c r="M158" i="43"/>
  <c r="D159" i="43"/>
  <c r="H159" i="43"/>
  <c r="H161" i="43" s="1"/>
  <c r="L159" i="43"/>
  <c r="C312" i="43"/>
  <c r="G312" i="43"/>
  <c r="K312" i="43"/>
  <c r="O301" i="43"/>
  <c r="O309" i="43"/>
  <c r="H311" i="43"/>
  <c r="L311" i="43"/>
  <c r="C311" i="43"/>
  <c r="D311" i="43"/>
  <c r="G311" i="43"/>
  <c r="G314" i="43" s="1"/>
  <c r="O203" i="43"/>
  <c r="B311" i="43"/>
  <c r="F311" i="43"/>
  <c r="J311" i="43"/>
  <c r="N311" i="43"/>
  <c r="E312" i="43"/>
  <c r="I312" i="43"/>
  <c r="M312" i="43"/>
  <c r="C158" i="43"/>
  <c r="G158" i="43"/>
  <c r="K158" i="43"/>
  <c r="B159" i="43"/>
  <c r="F159" i="43"/>
  <c r="J159" i="43"/>
  <c r="N159" i="43"/>
  <c r="E311" i="43"/>
  <c r="I311" i="43"/>
  <c r="M311" i="43"/>
  <c r="D312" i="43"/>
  <c r="H312" i="43"/>
  <c r="L312" i="43"/>
  <c r="L314" i="43" s="1"/>
  <c r="L161" i="43"/>
  <c r="O148" i="43"/>
  <c r="O155" i="43"/>
  <c r="O48" i="43"/>
  <c r="F161" i="43" l="1"/>
  <c r="F314" i="43"/>
  <c r="B161" i="43"/>
  <c r="K314" i="43"/>
  <c r="C161" i="43"/>
  <c r="N161" i="43"/>
  <c r="K161" i="43"/>
  <c r="O312" i="43"/>
  <c r="H38" i="20" s="1"/>
  <c r="J161" i="43"/>
  <c r="G161" i="43"/>
  <c r="B314" i="43"/>
  <c r="I161" i="43"/>
  <c r="M161" i="43"/>
  <c r="J314" i="43"/>
  <c r="D161" i="43"/>
  <c r="N314" i="43"/>
  <c r="I314" i="43"/>
  <c r="C314" i="43"/>
  <c r="H314" i="43"/>
  <c r="O311" i="43"/>
  <c r="G38" i="20" s="1"/>
  <c r="D314" i="43"/>
  <c r="M314" i="43"/>
  <c r="E314" i="43"/>
  <c r="O158" i="43"/>
  <c r="G9" i="20" s="1"/>
  <c r="O206" i="43"/>
  <c r="O314" i="43" l="1"/>
  <c r="K135" i="19"/>
  <c r="K133" i="19"/>
  <c r="K87" i="19"/>
  <c r="K86" i="19"/>
  <c r="K85" i="19"/>
  <c r="K84" i="19"/>
  <c r="K83" i="19"/>
  <c r="K82" i="19"/>
  <c r="K81" i="19"/>
  <c r="K80" i="19"/>
  <c r="K79" i="19"/>
  <c r="K78" i="19"/>
  <c r="K77" i="19"/>
  <c r="K76" i="19"/>
  <c r="K75" i="19"/>
  <c r="K74" i="19"/>
  <c r="K73" i="19"/>
  <c r="K72" i="19"/>
  <c r="K71" i="19"/>
  <c r="K70" i="19"/>
  <c r="K69" i="19"/>
  <c r="K67" i="19"/>
  <c r="K66" i="19"/>
  <c r="K65" i="19"/>
  <c r="K64" i="19"/>
  <c r="K63" i="19"/>
  <c r="I90" i="46" l="1"/>
  <c r="I89" i="46"/>
  <c r="I88" i="46"/>
  <c r="I87" i="46"/>
  <c r="I86" i="46"/>
  <c r="I85" i="46"/>
  <c r="I84" i="46"/>
  <c r="F90" i="46"/>
  <c r="F89" i="46"/>
  <c r="F88" i="46"/>
  <c r="F87" i="46"/>
  <c r="F86" i="46"/>
  <c r="F85" i="46"/>
  <c r="I90" i="45"/>
  <c r="I89" i="45"/>
  <c r="I88" i="45"/>
  <c r="I87" i="45"/>
  <c r="I86" i="45"/>
  <c r="I85" i="45"/>
  <c r="I84" i="45"/>
  <c r="F90" i="45"/>
  <c r="F89" i="45"/>
  <c r="F88" i="45"/>
  <c r="F87" i="45"/>
  <c r="F86" i="45"/>
  <c r="F85" i="45"/>
  <c r="I108" i="34"/>
  <c r="I107" i="34"/>
  <c r="I106" i="34"/>
  <c r="I105" i="34"/>
  <c r="I104" i="34"/>
  <c r="I103" i="34"/>
  <c r="I102" i="34"/>
  <c r="I87" i="34"/>
  <c r="I88" i="34" s="1"/>
  <c r="I89" i="34" s="1"/>
  <c r="I90" i="34" s="1"/>
  <c r="I91" i="34" s="1"/>
  <c r="I86" i="34"/>
  <c r="I85" i="34"/>
  <c r="F91" i="34"/>
  <c r="F90" i="34"/>
  <c r="F89" i="34"/>
  <c r="F88" i="34"/>
  <c r="F87" i="34"/>
  <c r="F86" i="34"/>
  <c r="G191" i="20" l="1"/>
  <c r="J99" i="20"/>
  <c r="J98" i="20"/>
  <c r="F108" i="20"/>
  <c r="F109" i="20" s="1"/>
  <c r="F102" i="20"/>
  <c r="F103" i="20"/>
  <c r="F55" i="20"/>
  <c r="J140" i="31"/>
  <c r="J107" i="31"/>
  <c r="M85" i="34"/>
  <c r="M84" i="45"/>
  <c r="M84" i="46"/>
  <c r="J100" i="20" l="1"/>
  <c r="E50" i="3"/>
  <c r="H190" i="20" l="1"/>
  <c r="J189" i="20"/>
  <c r="I190" i="20"/>
  <c r="J190" i="20" l="1"/>
  <c r="J199" i="20" l="1"/>
  <c r="J198" i="20"/>
  <c r="J196" i="20"/>
  <c r="T104" i="23" l="1"/>
  <c r="T77" i="23"/>
  <c r="T78" i="23"/>
  <c r="T79" i="23"/>
  <c r="T80" i="23"/>
  <c r="T81" i="23"/>
  <c r="T82" i="23"/>
  <c r="T83" i="23"/>
  <c r="T84" i="23"/>
  <c r="T85" i="23"/>
  <c r="T86" i="23"/>
  <c r="T87" i="23"/>
  <c r="T88" i="23"/>
  <c r="T89" i="23"/>
  <c r="T90" i="23"/>
  <c r="T91" i="23"/>
  <c r="T92" i="23"/>
  <c r="T93" i="23"/>
  <c r="T94" i="23"/>
  <c r="T95" i="23"/>
  <c r="T96" i="23"/>
  <c r="T97" i="23"/>
  <c r="T98" i="23"/>
  <c r="T99" i="23"/>
  <c r="T100" i="23"/>
  <c r="T101" i="23"/>
  <c r="T76" i="23"/>
  <c r="U71" i="23"/>
  <c r="U72" i="23"/>
  <c r="W66" i="23"/>
  <c r="W53" i="23"/>
  <c r="W54" i="23"/>
  <c r="W55" i="23"/>
  <c r="W56" i="23"/>
  <c r="W57" i="23"/>
  <c r="W58" i="23"/>
  <c r="W59" i="23"/>
  <c r="W60" i="23"/>
  <c r="W61" i="23"/>
  <c r="W62" i="23"/>
  <c r="W63" i="23"/>
  <c r="W64" i="23"/>
  <c r="W65" i="23"/>
  <c r="P104" i="23" l="1"/>
  <c r="P72" i="23"/>
  <c r="P66" i="23"/>
  <c r="P1" i="23"/>
  <c r="E104" i="23"/>
  <c r="F104" i="23"/>
  <c r="G104" i="23"/>
  <c r="H104" i="23"/>
  <c r="I104" i="23"/>
  <c r="J104" i="23"/>
  <c r="K104" i="23"/>
  <c r="L104" i="23"/>
  <c r="M104" i="23"/>
  <c r="N104" i="23"/>
  <c r="O104" i="23"/>
  <c r="D104"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76" i="23"/>
  <c r="E72" i="23"/>
  <c r="F72" i="23"/>
  <c r="G72" i="23"/>
  <c r="H72" i="23"/>
  <c r="I72" i="23"/>
  <c r="J72" i="23"/>
  <c r="K72" i="23"/>
  <c r="L72" i="23"/>
  <c r="M72" i="23"/>
  <c r="N72" i="23"/>
  <c r="O72" i="23"/>
  <c r="D72" i="23"/>
  <c r="Q34" i="23"/>
  <c r="E66" i="23"/>
  <c r="F66" i="23"/>
  <c r="G66" i="23"/>
  <c r="H66" i="23"/>
  <c r="I66" i="23"/>
  <c r="J66" i="23"/>
  <c r="K66" i="23"/>
  <c r="L66" i="23"/>
  <c r="M66" i="23"/>
  <c r="N66" i="23"/>
  <c r="O66" i="23"/>
  <c r="D66" i="23"/>
  <c r="Q55" i="23"/>
  <c r="Q56" i="23"/>
  <c r="Q57" i="23"/>
  <c r="Q58" i="23"/>
  <c r="Q59" i="23"/>
  <c r="Q60" i="23"/>
  <c r="Q61" i="23"/>
  <c r="Q62" i="23"/>
  <c r="Q63" i="23"/>
  <c r="Q64" i="23"/>
  <c r="Q65" i="23"/>
  <c r="Q71" i="23"/>
  <c r="Q72" i="23" s="1"/>
  <c r="Q16" i="23"/>
  <c r="Q17" i="23"/>
  <c r="Q18" i="23"/>
  <c r="Q19" i="23"/>
  <c r="Q20" i="23"/>
  <c r="Q21" i="23"/>
  <c r="Q22" i="23"/>
  <c r="Q23" i="23"/>
  <c r="Q24" i="23"/>
  <c r="Q25" i="23"/>
  <c r="Q26" i="23"/>
  <c r="Q27" i="23"/>
  <c r="Q28" i="23"/>
  <c r="Q29" i="23"/>
  <c r="Q30" i="23"/>
  <c r="Q31" i="23"/>
  <c r="Q32" i="23"/>
  <c r="Q33" i="23"/>
  <c r="Q35" i="23"/>
  <c r="Q36" i="23"/>
  <c r="Q37" i="23"/>
  <c r="Q38" i="23"/>
  <c r="Q39" i="23"/>
  <c r="Q40" i="23"/>
  <c r="Q41" i="23"/>
  <c r="Q42" i="23"/>
  <c r="Q43" i="23"/>
  <c r="Q44" i="23"/>
  <c r="Q45" i="23"/>
  <c r="Q46" i="23"/>
  <c r="Q47" i="23"/>
  <c r="Q48" i="23"/>
  <c r="Q49" i="23"/>
  <c r="Q50" i="23"/>
  <c r="Q51" i="23"/>
  <c r="Q52" i="23"/>
  <c r="Q53" i="23"/>
  <c r="Q54" i="23"/>
  <c r="Q15" i="23"/>
  <c r="Q6" i="23"/>
  <c r="Q7" i="23"/>
  <c r="Q8" i="23"/>
  <c r="Q9" i="23"/>
  <c r="Q10" i="23"/>
  <c r="Q104" i="23" l="1"/>
  <c r="Q66" i="23"/>
  <c r="D58" i="44"/>
  <c r="E58" i="44"/>
  <c r="F58" i="44"/>
  <c r="G58" i="44"/>
  <c r="H58" i="44"/>
  <c r="I58" i="44"/>
  <c r="J58" i="44"/>
  <c r="K58" i="44"/>
  <c r="L58" i="44"/>
  <c r="M58" i="44"/>
  <c r="N58" i="44"/>
  <c r="O58" i="44"/>
  <c r="P45" i="44"/>
  <c r="P44" i="44"/>
  <c r="P52" i="44"/>
  <c r="P54" i="44"/>
  <c r="P55" i="44"/>
  <c r="C72" i="41" l="1"/>
  <c r="H72" i="41"/>
  <c r="H68" i="41"/>
  <c r="C68" i="41"/>
  <c r="H64" i="41"/>
  <c r="C64" i="41"/>
  <c r="C60" i="41"/>
  <c r="H60" i="41"/>
  <c r="D88" i="38"/>
  <c r="C88" i="38"/>
  <c r="O173" i="43"/>
  <c r="O172" i="43"/>
  <c r="O171" i="43"/>
  <c r="O170" i="43"/>
  <c r="O169" i="43"/>
  <c r="O168" i="43"/>
  <c r="O167" i="43"/>
  <c r="O65" i="43"/>
  <c r="O72" i="43" s="1"/>
  <c r="O160" i="43" s="1"/>
  <c r="I9" i="20" s="1"/>
  <c r="O51" i="43"/>
  <c r="O62" i="43" s="1"/>
  <c r="O159" i="43" s="1"/>
  <c r="O161" i="43" l="1"/>
  <c r="H9" i="20"/>
  <c r="H73" i="41"/>
  <c r="C73" i="41"/>
  <c r="C74" i="41" s="1"/>
  <c r="F38" i="20" l="1"/>
  <c r="F81" i="34" l="1"/>
  <c r="F82" i="34" s="1"/>
  <c r="F83" i="34" s="1"/>
  <c r="F84" i="34" s="1"/>
  <c r="F81" i="45"/>
  <c r="F82" i="45" s="1"/>
  <c r="F83" i="45" s="1"/>
  <c r="F80" i="45"/>
  <c r="F81" i="46"/>
  <c r="F82" i="46" s="1"/>
  <c r="F83" i="46" s="1"/>
  <c r="F80" i="46"/>
  <c r="P6" i="44"/>
  <c r="P8" i="44"/>
  <c r="P9" i="44"/>
  <c r="D114" i="34" l="1"/>
  <c r="G122" i="34"/>
  <c r="G123" i="34" s="1"/>
  <c r="G124" i="34" s="1"/>
  <c r="G125" i="34" s="1"/>
  <c r="G126" i="34" s="1"/>
  <c r="E33" i="38" l="1"/>
  <c r="P42" i="44" l="1"/>
  <c r="P46" i="44" s="1"/>
  <c r="H12" i="31" l="1"/>
  <c r="H13" i="31" s="1"/>
  <c r="H38" i="31"/>
  <c r="H39" i="31" s="1"/>
  <c r="H53" i="31"/>
  <c r="H54" i="31"/>
  <c r="H69" i="31"/>
  <c r="H108" i="31"/>
  <c r="H126" i="31"/>
  <c r="H129" i="31"/>
  <c r="H130" i="31"/>
  <c r="H140" i="31"/>
  <c r="H141" i="31" s="1"/>
  <c r="H145" i="31"/>
  <c r="H148" i="31"/>
  <c r="H197" i="31"/>
  <c r="H199" i="31"/>
  <c r="H200" i="31"/>
  <c r="H225" i="31"/>
  <c r="H226" i="31" s="1"/>
  <c r="H229" i="31"/>
  <c r="I79" i="20"/>
  <c r="H78" i="31" s="1"/>
  <c r="H131" i="31" l="1"/>
  <c r="H85" i="31"/>
  <c r="H56" i="31"/>
  <c r="H121" i="31"/>
  <c r="H149" i="31"/>
  <c r="H150" i="31" s="1"/>
  <c r="H152" i="31" s="1"/>
  <c r="H246" i="31" s="1"/>
  <c r="H40" i="31"/>
  <c r="H41" i="31" s="1"/>
  <c r="H55" i="31"/>
  <c r="H57" i="31" s="1"/>
  <c r="H230" i="31"/>
  <c r="D53" i="46"/>
  <c r="D50" i="45"/>
  <c r="D53" i="45" s="1"/>
  <c r="E4" i="38" l="1"/>
  <c r="E5" i="38"/>
  <c r="E6" i="38"/>
  <c r="E7" i="38"/>
  <c r="E3" i="38"/>
  <c r="F103" i="34" l="1"/>
  <c r="H107" i="31"/>
  <c r="P56" i="44"/>
  <c r="P57" i="44"/>
  <c r="P25" i="44"/>
  <c r="H178" i="31" s="1"/>
  <c r="K238" i="20"/>
  <c r="K237" i="20"/>
  <c r="K236" i="20"/>
  <c r="K240" i="20" l="1"/>
  <c r="H110" i="31" s="1"/>
  <c r="H16" i="5"/>
  <c r="K129" i="19"/>
  <c r="C129" i="19"/>
  <c r="D129" i="19"/>
  <c r="E129" i="19"/>
  <c r="F129" i="19"/>
  <c r="F131" i="19" s="1"/>
  <c r="K136" i="19" l="1"/>
  <c r="B14" i="19" l="1"/>
  <c r="I149" i="20" l="1"/>
  <c r="J147" i="20"/>
  <c r="J188" i="20"/>
  <c r="J187" i="20"/>
  <c r="W49" i="23"/>
  <c r="W50" i="23"/>
  <c r="W51" i="23"/>
  <c r="W52" i="23"/>
  <c r="F3" i="23"/>
  <c r="G3" i="23" s="1"/>
  <c r="Q207" i="20" l="1"/>
  <c r="H84" i="31" s="1"/>
  <c r="H86" i="31" s="1"/>
  <c r="P50" i="44" l="1"/>
  <c r="P51" i="44"/>
  <c r="P20" i="44"/>
  <c r="C58" i="44" l="1"/>
  <c r="C46" i="44"/>
  <c r="J95" i="46" l="1"/>
  <c r="J96" i="45"/>
  <c r="J113" i="34"/>
  <c r="J115" i="34" s="1"/>
  <c r="E43" i="22" l="1"/>
  <c r="E42" i="22"/>
  <c r="E41" i="22"/>
  <c r="E40" i="22"/>
  <c r="E37" i="22"/>
  <c r="E36" i="22"/>
  <c r="E35" i="22"/>
  <c r="E34" i="22"/>
  <c r="E33" i="22"/>
  <c r="E25" i="22"/>
  <c r="E24" i="22"/>
  <c r="E22" i="22"/>
  <c r="E21" i="22"/>
  <c r="E20" i="22"/>
  <c r="E18" i="22"/>
  <c r="E17" i="22"/>
  <c r="E16" i="22"/>
  <c r="E14" i="22"/>
  <c r="F25" i="31"/>
  <c r="D68" i="46" l="1"/>
  <c r="J9" i="31" l="1"/>
  <c r="F104" i="34" l="1"/>
  <c r="F105" i="34" s="1"/>
  <c r="F106" i="34" s="1"/>
  <c r="F107" i="34" s="1"/>
  <c r="F108" i="34" s="1"/>
  <c r="V10" i="23" l="1"/>
  <c r="W47" i="23"/>
  <c r="W40" i="23" l="1"/>
  <c r="W41" i="23"/>
  <c r="W42" i="23"/>
  <c r="W44" i="23"/>
  <c r="W45" i="23"/>
  <c r="W46" i="23"/>
  <c r="W48" i="23"/>
  <c r="I133" i="20" l="1"/>
  <c r="E12" i="38" l="1"/>
  <c r="E13" i="38"/>
  <c r="E14" i="38"/>
  <c r="E15" i="38"/>
  <c r="E16" i="38"/>
  <c r="E17" i="38"/>
  <c r="E18" i="38"/>
  <c r="E19" i="38"/>
  <c r="E20" i="38"/>
  <c r="E21" i="38"/>
  <c r="E22" i="38"/>
  <c r="E23" i="38"/>
  <c r="E24" i="38"/>
  <c r="E25" i="38"/>
  <c r="E26" i="38"/>
  <c r="E27" i="38"/>
  <c r="E28" i="38"/>
  <c r="E29" i="38"/>
  <c r="E30" i="38"/>
  <c r="E31" i="38"/>
  <c r="E32"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11" i="38"/>
  <c r="P23" i="44" l="1"/>
  <c r="P24" i="44"/>
  <c r="H177" i="31" s="1"/>
  <c r="H149" i="20" l="1"/>
  <c r="H133" i="20"/>
  <c r="J85" i="20" l="1"/>
  <c r="E35" i="2" l="1"/>
  <c r="F35" i="2" s="1"/>
  <c r="E36" i="2"/>
  <c r="F36" i="2" s="1"/>
  <c r="E37" i="2"/>
  <c r="F37" i="2" s="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69" i="34"/>
  <c r="D113" i="34" s="1"/>
  <c r="D115" i="34" s="1"/>
  <c r="G89" i="45"/>
  <c r="G90" i="45"/>
  <c r="G88" i="45"/>
  <c r="G86" i="45"/>
  <c r="G87" i="45"/>
  <c r="G85" i="45"/>
  <c r="G83" i="45"/>
  <c r="G84" i="45"/>
  <c r="G82" i="45"/>
  <c r="G80" i="45"/>
  <c r="G81" i="45"/>
  <c r="G79" i="45"/>
  <c r="B37" i="19" l="1"/>
  <c r="P13" i="44" l="1"/>
  <c r="H170" i="31" s="1"/>
  <c r="J10" i="31" l="1"/>
  <c r="J11" i="31"/>
  <c r="K10" i="31"/>
  <c r="E88" i="38" l="1"/>
  <c r="J110" i="31" l="1"/>
  <c r="J53" i="31" l="1"/>
  <c r="J130" i="31"/>
  <c r="J51" i="31"/>
  <c r="J263" i="31"/>
  <c r="H263" i="31" s="1"/>
  <c r="F16" i="5"/>
  <c r="J170" i="20"/>
  <c r="E55" i="20"/>
  <c r="E61" i="20" s="1"/>
  <c r="H49" i="41"/>
  <c r="H45" i="41"/>
  <c r="H41" i="41"/>
  <c r="H37" i="41"/>
  <c r="I49" i="41"/>
  <c r="I45" i="41"/>
  <c r="I41" i="41"/>
  <c r="I37" i="41"/>
  <c r="G89" i="34"/>
  <c r="G90" i="34"/>
  <c r="G91" i="34"/>
  <c r="G88" i="34"/>
  <c r="G80" i="34"/>
  <c r="F24" i="41"/>
  <c r="F20" i="41"/>
  <c r="F16" i="41"/>
  <c r="F12" i="41"/>
  <c r="G88" i="46"/>
  <c r="G89" i="46"/>
  <c r="G90" i="46"/>
  <c r="G86" i="46"/>
  <c r="G87" i="46"/>
  <c r="G82" i="46"/>
  <c r="H82" i="46" s="1"/>
  <c r="J82" i="46" s="1"/>
  <c r="G83" i="46"/>
  <c r="G84" i="46"/>
  <c r="G80" i="46"/>
  <c r="H80" i="46" s="1"/>
  <c r="J80" i="46" s="1"/>
  <c r="G81" i="46"/>
  <c r="H81" i="46" s="1"/>
  <c r="J81" i="46" s="1"/>
  <c r="J166" i="34"/>
  <c r="H31" i="20"/>
  <c r="J35" i="31" s="1"/>
  <c r="K47" i="31"/>
  <c r="L47" i="31"/>
  <c r="H62" i="20"/>
  <c r="H50" i="31" s="1"/>
  <c r="H52" i="31" s="1"/>
  <c r="K110" i="31"/>
  <c r="L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I86" i="20"/>
  <c r="H120" i="31" s="1"/>
  <c r="H122" i="31" s="1"/>
  <c r="J78" i="31"/>
  <c r="Q208" i="20"/>
  <c r="H87" i="31" s="1"/>
  <c r="H88" i="31" s="1"/>
  <c r="F217" i="20"/>
  <c r="J217" i="20" s="1"/>
  <c r="J96" i="31" s="1"/>
  <c r="H96" i="31" s="1"/>
  <c r="F222" i="20"/>
  <c r="J222" i="20" s="1"/>
  <c r="J97" i="31" s="1"/>
  <c r="H97" i="31" s="1"/>
  <c r="J36" i="31"/>
  <c r="J92" i="31"/>
  <c r="D209" i="20"/>
  <c r="E209" i="20"/>
  <c r="F209" i="20"/>
  <c r="G209" i="20"/>
  <c r="H209" i="20"/>
  <c r="I209" i="20"/>
  <c r="J209" i="20"/>
  <c r="K209" i="20"/>
  <c r="L209" i="20"/>
  <c r="M209" i="20"/>
  <c r="N209" i="20"/>
  <c r="O209" i="20"/>
  <c r="P209" i="20"/>
  <c r="J148" i="31"/>
  <c r="K148" i="31" s="1"/>
  <c r="J143" i="31"/>
  <c r="J144" i="31"/>
  <c r="J141" i="31"/>
  <c r="K10" i="19"/>
  <c r="K15" i="19" s="1"/>
  <c r="L10" i="19" s="1"/>
  <c r="G22" i="22"/>
  <c r="L10" i="31"/>
  <c r="L11" i="31"/>
  <c r="L53" i="31"/>
  <c r="L92" i="31"/>
  <c r="L93" i="31" s="1"/>
  <c r="L98" i="31"/>
  <c r="L133" i="31"/>
  <c r="L156" i="31"/>
  <c r="L141" i="31"/>
  <c r="L255" i="31"/>
  <c r="K11" i="31"/>
  <c r="K12" i="31" s="1"/>
  <c r="K13" i="31" s="1"/>
  <c r="K53" i="31"/>
  <c r="K92" i="31"/>
  <c r="K98" i="31"/>
  <c r="K133" i="31"/>
  <c r="K156" i="31"/>
  <c r="K141" i="31"/>
  <c r="G16" i="5"/>
  <c r="H79" i="45"/>
  <c r="J79" i="45" s="1"/>
  <c r="K289" i="31"/>
  <c r="B39" i="19"/>
  <c r="E40" i="3"/>
  <c r="E45" i="3"/>
  <c r="E31" i="3"/>
  <c r="E20" i="3"/>
  <c r="E74" i="3" s="1"/>
  <c r="J126" i="31"/>
  <c r="J129" i="31"/>
  <c r="P26" i="44"/>
  <c r="H179" i="31" s="1"/>
  <c r="P27" i="44"/>
  <c r="H180" i="31" s="1"/>
  <c r="P28" i="44"/>
  <c r="H182" i="31" s="1"/>
  <c r="P22" i="44"/>
  <c r="D56" i="34"/>
  <c r="C49" i="2"/>
  <c r="D49" i="2"/>
  <c r="H36" i="2"/>
  <c r="E68" i="2"/>
  <c r="H68" i="2" s="1"/>
  <c r="H70" i="2" s="1"/>
  <c r="H73" i="2" s="1"/>
  <c r="G10" i="2" s="1"/>
  <c r="E30" i="2"/>
  <c r="I30" i="2" s="1"/>
  <c r="I46" i="2" s="1"/>
  <c r="E92" i="2"/>
  <c r="I92" i="2" s="1"/>
  <c r="I108" i="2" s="1"/>
  <c r="I32" i="34"/>
  <c r="I33" i="34" s="1"/>
  <c r="C44" i="34"/>
  <c r="D240" i="20"/>
  <c r="W27" i="23"/>
  <c r="W28" i="23"/>
  <c r="W29" i="23"/>
  <c r="W30" i="23"/>
  <c r="W31" i="23"/>
  <c r="W32" i="23"/>
  <c r="W33" i="23"/>
  <c r="W34" i="23"/>
  <c r="W36" i="23"/>
  <c r="W37" i="23"/>
  <c r="W38" i="23"/>
  <c r="W39" i="23"/>
  <c r="W26" i="23"/>
  <c r="H3" i="23"/>
  <c r="I3" i="23" s="1"/>
  <c r="J3" i="23" s="1"/>
  <c r="K3" i="23" s="1"/>
  <c r="L3" i="23" s="1"/>
  <c r="M3" i="23" s="1"/>
  <c r="N3" i="23" s="1"/>
  <c r="O3" i="23" s="1"/>
  <c r="P3" i="23" s="1"/>
  <c r="J137" i="20"/>
  <c r="J138" i="20"/>
  <c r="J139" i="20"/>
  <c r="J140" i="20"/>
  <c r="J141" i="20"/>
  <c r="J142" i="20"/>
  <c r="J143" i="20"/>
  <c r="J144" i="20"/>
  <c r="J145" i="20"/>
  <c r="J146" i="20"/>
  <c r="J148" i="20"/>
  <c r="D9" i="38"/>
  <c r="D90" i="38" s="1"/>
  <c r="C9" i="38"/>
  <c r="C90" i="38" s="1"/>
  <c r="A4" i="38"/>
  <c r="P16" i="44"/>
  <c r="H173" i="31" s="1"/>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3"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N33" i="46" s="1"/>
  <c r="N34" i="46" s="1"/>
  <c r="N35" i="46" s="1"/>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L147" i="45"/>
  <c r="L148" i="45" s="1"/>
  <c r="K147" i="45"/>
  <c r="K32" i="45"/>
  <c r="K33" i="45" s="1"/>
  <c r="K34" i="45" s="1"/>
  <c r="L32" i="45"/>
  <c r="L33" i="45"/>
  <c r="M32" i="45"/>
  <c r="N32" i="45"/>
  <c r="O32" i="45"/>
  <c r="N33" i="45"/>
  <c r="N34" i="45" s="1"/>
  <c r="J32" i="45"/>
  <c r="J32" i="34"/>
  <c r="J33" i="34" s="1"/>
  <c r="K32" i="34"/>
  <c r="K33" i="34" s="1"/>
  <c r="K34" i="34" s="1"/>
  <c r="L32" i="34"/>
  <c r="L33" i="34" s="1"/>
  <c r="L34" i="34" s="1"/>
  <c r="M32" i="34"/>
  <c r="D136" i="45"/>
  <c r="D135" i="46"/>
  <c r="J115" i="46"/>
  <c r="J116" i="45"/>
  <c r="H79" i="20"/>
  <c r="J79" i="20" s="1"/>
  <c r="J135" i="34"/>
  <c r="D65" i="46"/>
  <c r="D15" i="46" s="1"/>
  <c r="D74" i="45"/>
  <c r="D65" i="45"/>
  <c r="D16" i="34"/>
  <c r="D15" i="34"/>
  <c r="D20" i="5"/>
  <c r="D19" i="5"/>
  <c r="D18" i="5"/>
  <c r="I131" i="2"/>
  <c r="E131" i="2"/>
  <c r="G70" i="2"/>
  <c r="G73" i="2"/>
  <c r="F10" i="2" s="1"/>
  <c r="G108" i="2"/>
  <c r="G111" i="2" s="1"/>
  <c r="F11" i="2" s="1"/>
  <c r="G46" i="2"/>
  <c r="G49" i="2" s="1"/>
  <c r="F12" i="2" s="1"/>
  <c r="I70" i="2"/>
  <c r="I73" i="2" s="1"/>
  <c r="H10" i="2" s="1"/>
  <c r="I110" i="2"/>
  <c r="I47" i="2"/>
  <c r="I48" i="2"/>
  <c r="W16" i="23"/>
  <c r="W17" i="23"/>
  <c r="W18" i="23"/>
  <c r="W19" i="23"/>
  <c r="W20" i="23"/>
  <c r="W21" i="23"/>
  <c r="W22" i="23"/>
  <c r="W23" i="23"/>
  <c r="W24" i="23"/>
  <c r="W25" i="23"/>
  <c r="Q5" i="23"/>
  <c r="Q11" i="23" s="1"/>
  <c r="V6" i="23"/>
  <c r="V7" i="23"/>
  <c r="V8" i="23"/>
  <c r="V9" i="23"/>
  <c r="L198" i="20"/>
  <c r="P5" i="44"/>
  <c r="H163" i="31" s="1"/>
  <c r="P12" i="44"/>
  <c r="H169" i="31" s="1"/>
  <c r="P14" i="44"/>
  <c r="H171" i="31" s="1"/>
  <c r="H164" i="31"/>
  <c r="H165" i="31"/>
  <c r="H166" i="31"/>
  <c r="P32" i="44"/>
  <c r="H186" i="31" s="1"/>
  <c r="P33" i="44"/>
  <c r="H187" i="31" s="1"/>
  <c r="P34" i="44"/>
  <c r="H188" i="31" s="1"/>
  <c r="P35" i="44"/>
  <c r="H189" i="31" s="1"/>
  <c r="P36" i="44"/>
  <c r="H190" i="31" s="1"/>
  <c r="P37" i="44"/>
  <c r="H191" i="31" s="1"/>
  <c r="D46" i="44"/>
  <c r="O46" i="44"/>
  <c r="P43" i="44"/>
  <c r="H198" i="31" s="1"/>
  <c r="H201" i="31" s="1"/>
  <c r="M46" i="44"/>
  <c r="P15" i="44"/>
  <c r="H172" i="31" s="1"/>
  <c r="P39" i="44"/>
  <c r="H194" i="31" s="1"/>
  <c r="H209" i="31" s="1"/>
  <c r="G136" i="2"/>
  <c r="G138" i="2" s="1"/>
  <c r="G140" i="2" s="1"/>
  <c r="H121" i="20"/>
  <c r="J255" i="31" s="1"/>
  <c r="D17" i="5"/>
  <c r="A10" i="31"/>
  <c r="A16" i="31"/>
  <c r="A17" i="31" s="1"/>
  <c r="A18" i="31" s="1"/>
  <c r="F19" i="31" s="1"/>
  <c r="W15" i="23"/>
  <c r="I134" i="2"/>
  <c r="I136" i="2" s="1"/>
  <c r="H136" i="2"/>
  <c r="H138" i="2" s="1"/>
  <c r="H140" i="2" s="1"/>
  <c r="G40" i="22"/>
  <c r="D136" i="2"/>
  <c r="D138" i="2" s="1"/>
  <c r="E95" i="2"/>
  <c r="F95" i="2" s="1"/>
  <c r="E96" i="2"/>
  <c r="F96" i="2" s="1"/>
  <c r="E97" i="2"/>
  <c r="H97" i="2" s="1"/>
  <c r="E98" i="2"/>
  <c r="F98" i="2" s="1"/>
  <c r="E94" i="2"/>
  <c r="F94" i="2" s="1"/>
  <c r="E93" i="2"/>
  <c r="F93" i="2" s="1"/>
  <c r="E91" i="2"/>
  <c r="F91" i="2" s="1"/>
  <c r="E67" i="2"/>
  <c r="F67" i="2" s="1"/>
  <c r="F70" i="2" s="1"/>
  <c r="F73" i="2" s="1"/>
  <c r="E39" i="2"/>
  <c r="F39" i="2" s="1"/>
  <c r="E38" i="2"/>
  <c r="H38" i="2" s="1"/>
  <c r="E34" i="2"/>
  <c r="F34" i="2" s="1"/>
  <c r="E33" i="2"/>
  <c r="F33" i="2" s="1"/>
  <c r="E32" i="2"/>
  <c r="F32" i="2" s="1"/>
  <c r="E31" i="2"/>
  <c r="F31" i="2" s="1"/>
  <c r="E29" i="2"/>
  <c r="F29" i="2" s="1"/>
  <c r="E210" i="31"/>
  <c r="I221"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41" i="41"/>
  <c r="J37" i="41"/>
  <c r="G49" i="41"/>
  <c r="G45" i="41"/>
  <c r="G41" i="41"/>
  <c r="G37" i="41"/>
  <c r="G50" i="41" s="1"/>
  <c r="F49" i="41"/>
  <c r="F45" i="41"/>
  <c r="F37" i="41"/>
  <c r="F41" i="41"/>
  <c r="I24" i="41"/>
  <c r="I20" i="41"/>
  <c r="I16" i="41"/>
  <c r="I12" i="41"/>
  <c r="J24" i="41"/>
  <c r="J12" i="41"/>
  <c r="K24" i="41"/>
  <c r="K16" i="41"/>
  <c r="K20" i="41"/>
  <c r="G24" i="41"/>
  <c r="G20" i="41"/>
  <c r="G12" i="41"/>
  <c r="G16" i="41"/>
  <c r="H24" i="41"/>
  <c r="H20" i="41"/>
  <c r="H16" i="41"/>
  <c r="H12" i="41"/>
  <c r="H240" i="20"/>
  <c r="I240" i="20"/>
  <c r="F240" i="20"/>
  <c r="G240" i="20"/>
  <c r="A1" i="22"/>
  <c r="A1" i="5"/>
  <c r="A1" i="3"/>
  <c r="A1" i="2"/>
  <c r="C268" i="31"/>
  <c r="E129" i="31"/>
  <c r="A2" i="40"/>
  <c r="C214" i="20"/>
  <c r="A1" i="20"/>
  <c r="C228" i="20"/>
  <c r="H226" i="20" s="1"/>
  <c r="G35" i="22"/>
  <c r="G34" i="22"/>
  <c r="G33" i="22"/>
  <c r="F78" i="31"/>
  <c r="J178" i="20"/>
  <c r="J179" i="20"/>
  <c r="J180" i="20"/>
  <c r="J181" i="20"/>
  <c r="J182" i="20"/>
  <c r="J183" i="20"/>
  <c r="J184" i="20"/>
  <c r="J185" i="20"/>
  <c r="J186" i="20"/>
  <c r="J149" i="20"/>
  <c r="J136" i="20"/>
  <c r="E13" i="33"/>
  <c r="E16" i="33" s="1"/>
  <c r="E12" i="20"/>
  <c r="C278" i="31"/>
  <c r="E263" i="31"/>
  <c r="E255" i="31"/>
  <c r="C254" i="31"/>
  <c r="E228" i="31"/>
  <c r="E223" i="31"/>
  <c r="F149" i="31"/>
  <c r="E147" i="31"/>
  <c r="B139" i="31"/>
  <c r="E126" i="31"/>
  <c r="E125" i="31"/>
  <c r="F121" i="31"/>
  <c r="E119" i="31"/>
  <c r="E117" i="31"/>
  <c r="E96" i="31"/>
  <c r="E97" i="31" s="1"/>
  <c r="F85" i="31"/>
  <c r="E84" i="31"/>
  <c r="E78" i="31"/>
  <c r="F56" i="31"/>
  <c r="C56" i="31"/>
  <c r="E47" i="31"/>
  <c r="F40" i="31"/>
  <c r="E31" i="31"/>
  <c r="B30" i="31"/>
  <c r="E16" i="31"/>
  <c r="J161" i="20"/>
  <c r="J160" i="20"/>
  <c r="J159" i="20"/>
  <c r="J158" i="20"/>
  <c r="J157" i="20"/>
  <c r="J156" i="20"/>
  <c r="J155" i="20"/>
  <c r="J154" i="20"/>
  <c r="J153" i="20"/>
  <c r="J152" i="20"/>
  <c r="J177" i="20"/>
  <c r="J176" i="20"/>
  <c r="J175" i="20"/>
  <c r="J174" i="20"/>
  <c r="J173" i="20"/>
  <c r="J172" i="20"/>
  <c r="J171" i="20"/>
  <c r="J169" i="20"/>
  <c r="J168" i="20"/>
  <c r="J167" i="20"/>
  <c r="J166" i="20"/>
  <c r="J165" i="20"/>
  <c r="J164" i="20"/>
  <c r="J163" i="20"/>
  <c r="J162" i="20"/>
  <c r="E47" i="20"/>
  <c r="E43" i="20"/>
  <c r="E38" i="20"/>
  <c r="E24" i="20"/>
  <c r="E30" i="20" s="1"/>
  <c r="E20" i="20"/>
  <c r="A28" i="5"/>
  <c r="A30" i="5" s="1"/>
  <c r="I216" i="20"/>
  <c r="J68" i="20"/>
  <c r="B16" i="19"/>
  <c r="J76" i="20"/>
  <c r="H215" i="20"/>
  <c r="E221" i="20"/>
  <c r="E220" i="20"/>
  <c r="H220" i="20"/>
  <c r="J84" i="20"/>
  <c r="J70" i="20"/>
  <c r="C222" i="20"/>
  <c r="A16" i="22"/>
  <c r="A17" i="22"/>
  <c r="A18" i="22" s="1"/>
  <c r="C11" i="22"/>
  <c r="H118" i="20"/>
  <c r="E71" i="2"/>
  <c r="E72" i="2"/>
  <c r="A118" i="2"/>
  <c r="E51" i="20"/>
  <c r="E16" i="20"/>
  <c r="G36" i="22"/>
  <c r="F17" i="31"/>
  <c r="A19" i="31"/>
  <c r="A20" i="31" s="1"/>
  <c r="A22" i="31" s="1"/>
  <c r="E140" i="2"/>
  <c r="L46" i="44"/>
  <c r="A11" i="31"/>
  <c r="F12" i="31" s="1"/>
  <c r="L34" i="45"/>
  <c r="L35" i="45" s="1"/>
  <c r="L36" i="45" s="1"/>
  <c r="L37" i="45" s="1"/>
  <c r="L38" i="45" s="1"/>
  <c r="L39" i="45" s="1"/>
  <c r="L40" i="45" s="1"/>
  <c r="L41" i="45" s="1"/>
  <c r="L42" i="45" s="1"/>
  <c r="L43" i="45" s="1"/>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M148" i="45"/>
  <c r="M149" i="45" s="1"/>
  <c r="J16" i="41"/>
  <c r="J20" i="41"/>
  <c r="A20" i="22"/>
  <c r="A21" i="22" s="1"/>
  <c r="A22" i="22" s="1"/>
  <c r="A24" i="22" s="1"/>
  <c r="A25" i="22" s="1"/>
  <c r="K148" i="45"/>
  <c r="K149" i="45" s="1"/>
  <c r="E46" i="44"/>
  <c r="H46" i="44"/>
  <c r="J33" i="45"/>
  <c r="J34" i="45" s="1"/>
  <c r="J35" i="45" s="1"/>
  <c r="J36" i="45" s="1"/>
  <c r="J37" i="45" s="1"/>
  <c r="J38" i="45" s="1"/>
  <c r="J39" i="45" s="1"/>
  <c r="J40" i="45" s="1"/>
  <c r="J41" i="45" s="1"/>
  <c r="J42" i="45" s="1"/>
  <c r="J43" i="45" s="1"/>
  <c r="O33" i="45"/>
  <c r="O34" i="45" s="1"/>
  <c r="O35" i="45" s="1"/>
  <c r="O36" i="45" s="1"/>
  <c r="O37" i="45" s="1"/>
  <c r="O38" i="45" s="1"/>
  <c r="O39" i="45" s="1"/>
  <c r="O40" i="45" s="1"/>
  <c r="O41" i="45" s="1"/>
  <c r="O42" i="45" s="1"/>
  <c r="O43" i="45" s="1"/>
  <c r="K148" i="46"/>
  <c r="K149" i="46" s="1"/>
  <c r="K150" i="46" s="1"/>
  <c r="A26" i="22"/>
  <c r="A27" i="22"/>
  <c r="A29" i="22" s="1"/>
  <c r="A33" i="22" s="1"/>
  <c r="A34" i="22" s="1"/>
  <c r="A35" i="22" s="1"/>
  <c r="A36" i="22" s="1"/>
  <c r="A37" i="22" s="1"/>
  <c r="J158" i="46"/>
  <c r="E29" i="22"/>
  <c r="A5" i="38" l="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J167" i="34"/>
  <c r="J168" i="34" s="1"/>
  <c r="J169" i="34" s="1"/>
  <c r="J170" i="34" s="1"/>
  <c r="J171" i="34" s="1"/>
  <c r="J172" i="34" s="1"/>
  <c r="J173" i="34" s="1"/>
  <c r="J174" i="34" s="1"/>
  <c r="J175" i="34" s="1"/>
  <c r="J176" i="34" s="1"/>
  <c r="J177" i="34" s="1"/>
  <c r="H98" i="31"/>
  <c r="H192" i="31"/>
  <c r="H167" i="31"/>
  <c r="H204" i="31" s="1"/>
  <c r="K31" i="31"/>
  <c r="K33" i="31" s="1"/>
  <c r="K35" i="31"/>
  <c r="K37" i="31" s="1"/>
  <c r="H35" i="31"/>
  <c r="H37" i="31" s="1"/>
  <c r="L15" i="19"/>
  <c r="H83" i="46"/>
  <c r="J83" i="46" s="1"/>
  <c r="G108" i="34"/>
  <c r="H108" i="34" s="1"/>
  <c r="J108" i="34" s="1"/>
  <c r="H107" i="34"/>
  <c r="J107" i="34" s="1"/>
  <c r="G107" i="34"/>
  <c r="H89" i="34"/>
  <c r="J89" i="34" s="1"/>
  <c r="G106" i="34"/>
  <c r="H106" i="34" s="1"/>
  <c r="J106" i="34" s="1"/>
  <c r="H88" i="34"/>
  <c r="J88" i="34" s="1"/>
  <c r="G105" i="34"/>
  <c r="H105" i="34" s="1"/>
  <c r="J105" i="34" s="1"/>
  <c r="H174" i="31"/>
  <c r="K17" i="19"/>
  <c r="L17" i="19" s="1"/>
  <c r="V5" i="23"/>
  <c r="V11" i="23" s="1"/>
  <c r="J197" i="20" s="1"/>
  <c r="E109" i="2"/>
  <c r="F109" i="2" s="1"/>
  <c r="C49" i="41"/>
  <c r="K25" i="41"/>
  <c r="L44" i="45"/>
  <c r="F46" i="44"/>
  <c r="G45" i="3"/>
  <c r="P29" i="44"/>
  <c r="D16" i="5"/>
  <c r="J50" i="41"/>
  <c r="L38" i="31"/>
  <c r="L39" i="31" s="1"/>
  <c r="H46" i="2"/>
  <c r="H49" i="2" s="1"/>
  <c r="G12" i="2" s="1"/>
  <c r="L12" i="31"/>
  <c r="L13" i="31" s="1"/>
  <c r="L85" i="31" s="1"/>
  <c r="D74" i="46"/>
  <c r="L34" i="46"/>
  <c r="L35" i="46" s="1"/>
  <c r="L36" i="46" s="1"/>
  <c r="L37" i="46" s="1"/>
  <c r="L38" i="46" s="1"/>
  <c r="L39" i="46" s="1"/>
  <c r="L40" i="46" s="1"/>
  <c r="L41" i="46" s="1"/>
  <c r="L42" i="46" s="1"/>
  <c r="L43" i="46" s="1"/>
  <c r="K93" i="31"/>
  <c r="L48" i="31"/>
  <c r="P58" i="44"/>
  <c r="H108" i="2"/>
  <c r="H111" i="2" s="1"/>
  <c r="G11" i="2" s="1"/>
  <c r="E108" i="2"/>
  <c r="F20" i="31"/>
  <c r="M44" i="45"/>
  <c r="J25" i="41"/>
  <c r="E26" i="22"/>
  <c r="N158" i="46"/>
  <c r="D6" i="19"/>
  <c r="F7" i="5" s="1"/>
  <c r="D7" i="5" s="1"/>
  <c r="C45" i="41"/>
  <c r="G85" i="46"/>
  <c r="H85" i="46" s="1"/>
  <c r="J85" i="46" s="1"/>
  <c r="E27" i="22"/>
  <c r="E46" i="2"/>
  <c r="E49" i="2" s="1"/>
  <c r="A12" i="31"/>
  <c r="F13" i="31" s="1"/>
  <c r="L148" i="31"/>
  <c r="C37" i="41"/>
  <c r="G79" i="46"/>
  <c r="H79" i="46" s="1"/>
  <c r="J79" i="46" s="1"/>
  <c r="K158" i="31"/>
  <c r="L158" i="31"/>
  <c r="L111" i="31"/>
  <c r="C41" i="41"/>
  <c r="E70" i="2"/>
  <c r="E73" i="2" s="1"/>
  <c r="K111" i="31"/>
  <c r="J54" i="31"/>
  <c r="J38" i="31"/>
  <c r="J39" i="31" s="1"/>
  <c r="H120" i="20"/>
  <c r="K255" i="31" s="1"/>
  <c r="H255" i="31" s="1"/>
  <c r="J120" i="31"/>
  <c r="N46" i="44"/>
  <c r="K46" i="44"/>
  <c r="J46" i="44"/>
  <c r="I46" i="44"/>
  <c r="G46" i="44"/>
  <c r="L13" i="19"/>
  <c r="K54" i="31"/>
  <c r="L54" i="31"/>
  <c r="L55" i="31" s="1"/>
  <c r="K38" i="31"/>
  <c r="K50" i="41"/>
  <c r="H25" i="41"/>
  <c r="E9" i="38"/>
  <c r="H50" i="41"/>
  <c r="G25" i="41"/>
  <c r="L190" i="20"/>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F23" i="31"/>
  <c r="I25" i="41"/>
  <c r="F50" i="41"/>
  <c r="I138" i="2"/>
  <c r="I140" i="2" s="1"/>
  <c r="P10" i="44"/>
  <c r="P17" i="44" s="1"/>
  <c r="H81" i="45"/>
  <c r="J81" i="45" s="1"/>
  <c r="K48" i="31"/>
  <c r="H80" i="45"/>
  <c r="J80" i="45" s="1"/>
  <c r="J145" i="31"/>
  <c r="J12" i="31"/>
  <c r="G41" i="22"/>
  <c r="H90" i="34"/>
  <c r="J90" i="34" s="1"/>
  <c r="F25" i="41"/>
  <c r="I50" i="41"/>
  <c r="C36" i="39"/>
  <c r="I111" i="2"/>
  <c r="H11" i="2" s="1"/>
  <c r="J131" i="31"/>
  <c r="Q209" i="20"/>
  <c r="F108" i="2"/>
  <c r="F46" i="2"/>
  <c r="F49" i="2" s="1"/>
  <c r="K151" i="46"/>
  <c r="K152" i="46" s="1"/>
  <c r="K153" i="46" s="1"/>
  <c r="K154" i="46" s="1"/>
  <c r="K155" i="46" s="1"/>
  <c r="K156" i="46" s="1"/>
  <c r="K157" i="46" s="1"/>
  <c r="A40" i="22"/>
  <c r="A41" i="22" s="1"/>
  <c r="A42" i="22" s="1"/>
  <c r="A43" i="22" s="1"/>
  <c r="E45"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F26" i="31"/>
  <c r="A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9" i="2"/>
  <c r="H12" i="2" s="1"/>
  <c r="K149" i="31"/>
  <c r="K40" i="31"/>
  <c r="K56" i="31"/>
  <c r="K85" i="31"/>
  <c r="K121" i="31"/>
  <c r="E4" i="19"/>
  <c r="E20" i="19" s="1"/>
  <c r="G13" i="5" s="1"/>
  <c r="P21" i="44"/>
  <c r="H183" i="31" s="1"/>
  <c r="H208" i="31" s="1"/>
  <c r="D33" i="39"/>
  <c r="G33" i="39"/>
  <c r="H82" i="45"/>
  <c r="J82" i="45" s="1"/>
  <c r="L40" i="31"/>
  <c r="G37" i="22"/>
  <c r="J98" i="31"/>
  <c r="J84" i="31"/>
  <c r="J50" i="31"/>
  <c r="H47" i="31"/>
  <c r="H48" i="31" s="1"/>
  <c r="H59" i="31" s="1"/>
  <c r="J47" i="31"/>
  <c r="J37" i="31"/>
  <c r="J31" i="31"/>
  <c r="G82" i="34"/>
  <c r="H80" i="34"/>
  <c r="J80" i="34" s="1"/>
  <c r="G97" i="34"/>
  <c r="H97" i="34" s="1"/>
  <c r="J97" i="34" s="1"/>
  <c r="G85" i="34"/>
  <c r="G83" i="34"/>
  <c r="G86" i="34"/>
  <c r="H84" i="46"/>
  <c r="J84" i="46" s="1"/>
  <c r="H91" i="34"/>
  <c r="J91" i="34" s="1"/>
  <c r="C12" i="41"/>
  <c r="G81" i="34"/>
  <c r="C16" i="41"/>
  <c r="G84" i="34"/>
  <c r="C20" i="41"/>
  <c r="G87" i="34"/>
  <c r="C24" i="41"/>
  <c r="J178" i="34" l="1"/>
  <c r="L121" i="31"/>
  <c r="L35" i="31"/>
  <c r="L37" i="31" s="1"/>
  <c r="H205" i="31"/>
  <c r="H214" i="31" s="1"/>
  <c r="K269" i="31"/>
  <c r="K278" i="31" s="1"/>
  <c r="F4" i="19"/>
  <c r="F20" i="19" s="1"/>
  <c r="H13" i="5" s="1"/>
  <c r="L149" i="31"/>
  <c r="L150" i="31" s="1"/>
  <c r="H86" i="34"/>
  <c r="J86" i="34" s="1"/>
  <c r="G103" i="34"/>
  <c r="H103" i="34" s="1"/>
  <c r="J103" i="34" s="1"/>
  <c r="H87" i="34"/>
  <c r="J87" i="34" s="1"/>
  <c r="G104" i="34"/>
  <c r="H104" i="34" s="1"/>
  <c r="J104" i="34" s="1"/>
  <c r="H84" i="34"/>
  <c r="J84" i="34" s="1"/>
  <c r="G101" i="34"/>
  <c r="H101" i="34" s="1"/>
  <c r="J101" i="34" s="1"/>
  <c r="H83" i="34"/>
  <c r="J83" i="34" s="1"/>
  <c r="G100" i="34"/>
  <c r="H100" i="34" s="1"/>
  <c r="J100" i="34" s="1"/>
  <c r="H85" i="34"/>
  <c r="J85" i="34" s="1"/>
  <c r="G102" i="34"/>
  <c r="H102" i="34" s="1"/>
  <c r="J102" i="34" s="1"/>
  <c r="H82" i="34"/>
  <c r="J82" i="34" s="1"/>
  <c r="G99" i="34"/>
  <c r="H99" i="34" s="1"/>
  <c r="J99" i="34" s="1"/>
  <c r="H81" i="34"/>
  <c r="J81" i="34" s="1"/>
  <c r="G98" i="34"/>
  <c r="H98" i="34" s="1"/>
  <c r="J98" i="34" s="1"/>
  <c r="H213" i="31"/>
  <c r="E111" i="2"/>
  <c r="H14" i="2"/>
  <c r="L56" i="31"/>
  <c r="L57" i="31" s="1"/>
  <c r="M44" i="46"/>
  <c r="L44" i="46"/>
  <c r="C50" i="41"/>
  <c r="K98" i="20" s="1"/>
  <c r="G13" i="2"/>
  <c r="F111" i="2"/>
  <c r="L41" i="31"/>
  <c r="I11" i="2"/>
  <c r="K254" i="31"/>
  <c r="K55" i="31"/>
  <c r="K57" i="31" s="1"/>
  <c r="J13" i="31"/>
  <c r="J149" i="31" s="1"/>
  <c r="F31" i="3"/>
  <c r="G31" i="3" s="1"/>
  <c r="K44" i="46"/>
  <c r="J55" i="31"/>
  <c r="L247" i="31"/>
  <c r="K247" i="31"/>
  <c r="K150" i="31"/>
  <c r="N178" i="34"/>
  <c r="K39" i="31"/>
  <c r="K41" i="31" s="1"/>
  <c r="L44" i="34"/>
  <c r="K44" i="34"/>
  <c r="K120" i="31"/>
  <c r="L120" i="31"/>
  <c r="H123" i="20"/>
  <c r="G21" i="22"/>
  <c r="J48" i="31"/>
  <c r="J52" i="31"/>
  <c r="K196" i="20"/>
  <c r="K149" i="20"/>
  <c r="L149" i="20" s="1"/>
  <c r="L191" i="20" s="1"/>
  <c r="H72" i="31" s="1"/>
  <c r="K99" i="20"/>
  <c r="C29" i="41"/>
  <c r="E90" i="38"/>
  <c r="H13" i="2"/>
  <c r="C25" i="41"/>
  <c r="I99" i="20" s="1"/>
  <c r="J44" i="34"/>
  <c r="J159" i="45"/>
  <c r="O159" i="45"/>
  <c r="C38" i="39"/>
  <c r="C37" i="39"/>
  <c r="M178" i="34"/>
  <c r="K159" i="45"/>
  <c r="N159" i="45"/>
  <c r="L159" i="45"/>
  <c r="O158" i="46"/>
  <c r="K158" i="46"/>
  <c r="J269" i="31"/>
  <c r="F59" i="20"/>
  <c r="H18" i="31" s="1"/>
  <c r="H19" i="31" s="1"/>
  <c r="K84" i="31"/>
  <c r="H83" i="45"/>
  <c r="J83" i="45" s="1"/>
  <c r="I44" i="34"/>
  <c r="L158" i="46"/>
  <c r="K178" i="34"/>
  <c r="N44" i="45"/>
  <c r="I12" i="2"/>
  <c r="M44" i="34"/>
  <c r="N44" i="46"/>
  <c r="J44" i="46"/>
  <c r="F16" i="2"/>
  <c r="H86" i="46"/>
  <c r="J86" i="46" s="1"/>
  <c r="M158" i="46"/>
  <c r="L178" i="34"/>
  <c r="F132" i="31"/>
  <c r="A31" i="31"/>
  <c r="F231" i="31"/>
  <c r="K44" i="45"/>
  <c r="M46" i="45" s="1"/>
  <c r="O44" i="46"/>
  <c r="M159" i="45"/>
  <c r="M161" i="45" s="1"/>
  <c r="A45" i="22"/>
  <c r="A47" i="22" s="1"/>
  <c r="E9" i="22" s="1"/>
  <c r="M180" i="34" l="1"/>
  <c r="F9" i="20"/>
  <c r="H31" i="31" s="1"/>
  <c r="L31" i="31"/>
  <c r="H203" i="31"/>
  <c r="H212" i="31" s="1"/>
  <c r="H215" i="31" s="1"/>
  <c r="J109" i="34"/>
  <c r="F114" i="34" s="1"/>
  <c r="J92" i="34"/>
  <c r="F113" i="34" s="1"/>
  <c r="H113" i="34" s="1"/>
  <c r="L113" i="34" s="1"/>
  <c r="I98" i="20"/>
  <c r="H99" i="20"/>
  <c r="I13" i="2"/>
  <c r="H16" i="2"/>
  <c r="J56" i="31"/>
  <c r="J57" i="31" s="1"/>
  <c r="J59" i="31" s="1"/>
  <c r="J121" i="31"/>
  <c r="J122" i="31" s="1"/>
  <c r="M160" i="46"/>
  <c r="D4" i="19"/>
  <c r="D20" i="19" s="1"/>
  <c r="F13" i="5" s="1"/>
  <c r="D13" i="5" s="1"/>
  <c r="K100" i="20"/>
  <c r="C51" i="41"/>
  <c r="L289" i="31" s="1"/>
  <c r="K59" i="31"/>
  <c r="K43" i="31"/>
  <c r="K152" i="31"/>
  <c r="K122" i="31"/>
  <c r="J150" i="31"/>
  <c r="L59" i="31"/>
  <c r="L152" i="31"/>
  <c r="J40" i="31"/>
  <c r="J85" i="31"/>
  <c r="K256" i="31"/>
  <c r="L122" i="31"/>
  <c r="J278" i="31"/>
  <c r="J72" i="31"/>
  <c r="C26" i="41"/>
  <c r="C28" i="41"/>
  <c r="E47" i="22"/>
  <c r="C39" i="39"/>
  <c r="C40" i="39"/>
  <c r="H87" i="46"/>
  <c r="J87" i="46" s="1"/>
  <c r="M46" i="46"/>
  <c r="H84" i="45"/>
  <c r="J84" i="45" s="1"/>
  <c r="A32" i="31"/>
  <c r="A33" i="31" s="1"/>
  <c r="L46" i="34"/>
  <c r="L84" i="31"/>
  <c r="L86" i="31" s="1"/>
  <c r="K86" i="31"/>
  <c r="J18" i="31"/>
  <c r="H32" i="31" l="1"/>
  <c r="H33" i="31" s="1"/>
  <c r="J33" i="31"/>
  <c r="J254" i="31" s="1"/>
  <c r="J256" i="31" s="1"/>
  <c r="F28" i="20"/>
  <c r="H16" i="31" s="1"/>
  <c r="H17" i="31" s="1"/>
  <c r="H20" i="31" s="1"/>
  <c r="H269" i="31"/>
  <c r="H278" i="31" s="1"/>
  <c r="L33" i="31"/>
  <c r="L269" i="31"/>
  <c r="L278" i="31" s="1"/>
  <c r="I100" i="20"/>
  <c r="I103" i="20" s="1"/>
  <c r="F115" i="34"/>
  <c r="H114" i="34"/>
  <c r="H289" i="31"/>
  <c r="J289" i="31" s="1"/>
  <c r="J41" i="31"/>
  <c r="J152" i="31"/>
  <c r="K257" i="31"/>
  <c r="K246" i="31"/>
  <c r="K22" i="31"/>
  <c r="J86" i="31"/>
  <c r="K61" i="31"/>
  <c r="L246" i="31"/>
  <c r="K88" i="31"/>
  <c r="L88" i="31"/>
  <c r="G18" i="22"/>
  <c r="G26" i="22" s="1"/>
  <c r="C42" i="39"/>
  <c r="C41" i="39"/>
  <c r="F33" i="31"/>
  <c r="J102" i="20"/>
  <c r="J103" i="20"/>
  <c r="K103" i="20"/>
  <c r="K102" i="20"/>
  <c r="K18" i="31"/>
  <c r="J19" i="31"/>
  <c r="A35" i="31"/>
  <c r="A36" i="31" s="1"/>
  <c r="A37" i="31" s="1"/>
  <c r="A38" i="31" s="1"/>
  <c r="F254" i="31"/>
  <c r="H85" i="45"/>
  <c r="J85" i="45" s="1"/>
  <c r="H88" i="46"/>
  <c r="J88" i="46" s="1"/>
  <c r="H43" i="31" l="1"/>
  <c r="H22" i="31" s="1"/>
  <c r="H254" i="31"/>
  <c r="H256" i="31" s="1"/>
  <c r="H257" i="31" s="1"/>
  <c r="J43" i="31"/>
  <c r="J22" i="31" s="1"/>
  <c r="J16" i="31"/>
  <c r="K16" i="31" s="1"/>
  <c r="L16" i="31" s="1"/>
  <c r="L17" i="31" s="1"/>
  <c r="L254" i="31"/>
  <c r="L256" i="31" s="1"/>
  <c r="L257" i="31" s="1"/>
  <c r="L43" i="31"/>
  <c r="E22" i="33"/>
  <c r="E26" i="33" s="1"/>
  <c r="I102" i="20"/>
  <c r="I109" i="20" s="1"/>
  <c r="J125" i="31" s="1"/>
  <c r="H115" i="34"/>
  <c r="L115" i="34" s="1"/>
  <c r="F122" i="34" s="1"/>
  <c r="L114" i="34"/>
  <c r="J246" i="31"/>
  <c r="K241" i="31"/>
  <c r="K25" i="31"/>
  <c r="J88" i="31"/>
  <c r="K100" i="31"/>
  <c r="K102" i="31" s="1"/>
  <c r="K243" i="31" s="1"/>
  <c r="L100" i="31"/>
  <c r="J257" i="31"/>
  <c r="G20" i="22"/>
  <c r="G16" i="22"/>
  <c r="G17" i="22"/>
  <c r="J109" i="20"/>
  <c r="K125" i="31" s="1"/>
  <c r="C44" i="39"/>
  <c r="C43" i="39"/>
  <c r="H89" i="46"/>
  <c r="J89" i="46" s="1"/>
  <c r="H90" i="46"/>
  <c r="J90" i="46" s="1"/>
  <c r="H103" i="20"/>
  <c r="A39" i="31"/>
  <c r="F39" i="31"/>
  <c r="K19" i="31"/>
  <c r="L18" i="31"/>
  <c r="L19" i="31" s="1"/>
  <c r="K109" i="20"/>
  <c r="L125" i="31" s="1"/>
  <c r="H86" i="45"/>
  <c r="J86" i="45" s="1"/>
  <c r="H61" i="31" l="1"/>
  <c r="H23" i="31"/>
  <c r="F19" i="3" s="1"/>
  <c r="J17" i="31"/>
  <c r="J20" i="31" s="1"/>
  <c r="K17" i="31"/>
  <c r="K23" i="31" s="1"/>
  <c r="L61" i="31"/>
  <c r="L102" i="31" s="1"/>
  <c r="L22" i="31"/>
  <c r="L23" i="31" s="1"/>
  <c r="H102" i="20"/>
  <c r="H109" i="20" s="1"/>
  <c r="H125" i="31" s="1"/>
  <c r="H127" i="31" s="1"/>
  <c r="E25" i="33"/>
  <c r="E27" i="33"/>
  <c r="F123" i="34"/>
  <c r="I122" i="34"/>
  <c r="J122" i="34" s="1"/>
  <c r="L127" i="31"/>
  <c r="L242" i="31"/>
  <c r="G24" i="22"/>
  <c r="K217" i="31"/>
  <c r="K242" i="31"/>
  <c r="K127" i="31"/>
  <c r="J61" i="31"/>
  <c r="J25" i="31" s="1"/>
  <c r="J91" i="46"/>
  <c r="F95" i="46" s="1"/>
  <c r="G25" i="22"/>
  <c r="J127" i="31"/>
  <c r="C45" i="39"/>
  <c r="C46" i="39"/>
  <c r="H87" i="45"/>
  <c r="J87" i="45" s="1"/>
  <c r="A40" i="31"/>
  <c r="A41" i="31" s="1"/>
  <c r="L20" i="31"/>
  <c r="F14" i="3" l="1"/>
  <c r="G15" i="2"/>
  <c r="G16" i="2" s="1"/>
  <c r="I16" i="2" s="1"/>
  <c r="H66" i="31" s="1"/>
  <c r="H67" i="31" s="1"/>
  <c r="H241" i="31"/>
  <c r="H25" i="31"/>
  <c r="H26" i="31" s="1"/>
  <c r="K197" i="20" s="1"/>
  <c r="L197" i="20" s="1"/>
  <c r="K20" i="31"/>
  <c r="K26" i="31" s="1"/>
  <c r="E3" i="19" s="1"/>
  <c r="E8" i="19" s="1"/>
  <c r="G8" i="5" s="1"/>
  <c r="L25" i="31"/>
  <c r="L26" i="31" s="1"/>
  <c r="F3" i="19" s="1"/>
  <c r="L241" i="31"/>
  <c r="E30" i="33"/>
  <c r="E33" i="33" s="1"/>
  <c r="E29" i="33"/>
  <c r="E32" i="33" s="1"/>
  <c r="G27" i="22"/>
  <c r="F124" i="34"/>
  <c r="I123" i="34"/>
  <c r="J123" i="34" s="1"/>
  <c r="L135" i="31"/>
  <c r="K135" i="31"/>
  <c r="J241" i="31"/>
  <c r="J23" i="31"/>
  <c r="K248" i="31"/>
  <c r="L243" i="31"/>
  <c r="C47" i="39"/>
  <c r="C48" i="39"/>
  <c r="A43" i="31"/>
  <c r="F43" i="31"/>
  <c r="H88" i="45"/>
  <c r="J88" i="45" s="1"/>
  <c r="F40" i="3"/>
  <c r="G40" i="3" s="1"/>
  <c r="F18" i="3"/>
  <c r="G19" i="3"/>
  <c r="F41" i="31"/>
  <c r="J66" i="31" l="1"/>
  <c r="J67" i="31" s="1"/>
  <c r="H132" i="31"/>
  <c r="H133" i="31" s="1"/>
  <c r="J133" i="31" s="1"/>
  <c r="H231" i="31"/>
  <c r="H232" i="31" s="1"/>
  <c r="G43" i="22" s="1"/>
  <c r="E9" i="19"/>
  <c r="G9" i="5" s="1"/>
  <c r="G10" i="5" s="1"/>
  <c r="G22" i="5" s="1"/>
  <c r="K262" i="31" s="1"/>
  <c r="F8" i="19"/>
  <c r="H8" i="5" s="1"/>
  <c r="F9" i="19"/>
  <c r="H9" i="5" s="1"/>
  <c r="F125" i="34"/>
  <c r="I124" i="34"/>
  <c r="J124" i="34" s="1"/>
  <c r="K245" i="31"/>
  <c r="J26" i="31"/>
  <c r="L245" i="31"/>
  <c r="C49" i="39"/>
  <c r="C50" i="39"/>
  <c r="A47" i="31"/>
  <c r="F22" i="31"/>
  <c r="F17" i="3"/>
  <c r="G18" i="3"/>
  <c r="H89" i="45"/>
  <c r="J89" i="45" s="1"/>
  <c r="H90" i="45"/>
  <c r="J90" i="45" s="1"/>
  <c r="G42" i="22" l="1"/>
  <c r="J132" i="31"/>
  <c r="H10" i="5"/>
  <c r="H22" i="5" s="1"/>
  <c r="L262" i="31" s="1"/>
  <c r="F126" i="34"/>
  <c r="I125" i="34"/>
  <c r="J125" i="34" s="1"/>
  <c r="D3" i="19"/>
  <c r="C52" i="39"/>
  <c r="C51" i="39"/>
  <c r="F16" i="3"/>
  <c r="F15" i="3" s="1"/>
  <c r="G17" i="3"/>
  <c r="J91" i="45"/>
  <c r="F96" i="45" s="1"/>
  <c r="A48" i="31"/>
  <c r="F48" i="31"/>
  <c r="F269" i="31"/>
  <c r="F278" i="31"/>
  <c r="I126" i="34" l="1"/>
  <c r="J126" i="34" s="1"/>
  <c r="F127" i="34"/>
  <c r="D9" i="19"/>
  <c r="F9" i="5" s="1"/>
  <c r="D9" i="5" s="1"/>
  <c r="D8" i="19"/>
  <c r="F8" i="5" s="1"/>
  <c r="C54" i="39"/>
  <c r="C53" i="39"/>
  <c r="A50" i="31"/>
  <c r="A51" i="31" s="1"/>
  <c r="A52" i="31" s="1"/>
  <c r="A53" i="31" s="1"/>
  <c r="G16" i="3"/>
  <c r="F128" i="34" l="1"/>
  <c r="I127" i="34"/>
  <c r="J127" i="34" s="1"/>
  <c r="D8" i="5"/>
  <c r="D10" i="5" s="1"/>
  <c r="D22" i="5" s="1"/>
  <c r="H262" i="31" s="1"/>
  <c r="F10" i="5"/>
  <c r="F22" i="5" s="1"/>
  <c r="J262" i="31" s="1"/>
  <c r="C55" i="39"/>
  <c r="C56" i="39"/>
  <c r="G14" i="3"/>
  <c r="G15" i="3"/>
  <c r="A54" i="31"/>
  <c r="A55" i="31" s="1"/>
  <c r="F129" i="34" l="1"/>
  <c r="I128" i="34"/>
  <c r="J128" i="34" s="1"/>
  <c r="F55" i="31"/>
  <c r="C58" i="39"/>
  <c r="C57" i="39"/>
  <c r="A56" i="31"/>
  <c r="A57" i="31" s="1"/>
  <c r="G20" i="3"/>
  <c r="G47" i="3" s="1"/>
  <c r="G52" i="3" s="1"/>
  <c r="F130" i="34" l="1"/>
  <c r="I129" i="34"/>
  <c r="J129" i="34" s="1"/>
  <c r="C59" i="39"/>
  <c r="C60" i="39"/>
  <c r="J156" i="31"/>
  <c r="H156" i="31" s="1"/>
  <c r="H158" i="31" s="1"/>
  <c r="H247" i="31" s="1"/>
  <c r="A59" i="31"/>
  <c r="F59" i="31"/>
  <c r="F57" i="31"/>
  <c r="I130" i="34" l="1"/>
  <c r="J130" i="34" s="1"/>
  <c r="F131" i="34"/>
  <c r="J158" i="31"/>
  <c r="C61" i="39"/>
  <c r="C62" i="39"/>
  <c r="A61" i="31"/>
  <c r="F61" i="31"/>
  <c r="I131" i="34" l="1"/>
  <c r="J131" i="34" s="1"/>
  <c r="F132" i="34"/>
  <c r="J247" i="31"/>
  <c r="C64" i="39"/>
  <c r="C63" i="39"/>
  <c r="F241" i="31"/>
  <c r="A66" i="31"/>
  <c r="I132" i="34" l="1"/>
  <c r="J132" i="34" s="1"/>
  <c r="F133" i="34"/>
  <c r="I133" i="34" s="1"/>
  <c r="J133" i="34" s="1"/>
  <c r="C66" i="39"/>
  <c r="C65" i="39"/>
  <c r="A67" i="31"/>
  <c r="F67" i="31"/>
  <c r="J134" i="34" l="1"/>
  <c r="F136" i="34" s="1"/>
  <c r="I136" i="34" s="1"/>
  <c r="J136" i="34" s="1"/>
  <c r="F137" i="34" s="1"/>
  <c r="C67" i="39"/>
  <c r="C68" i="39"/>
  <c r="A69" i="31"/>
  <c r="A72" i="31" s="1"/>
  <c r="I137" i="34" l="1"/>
  <c r="J137" i="34" s="1"/>
  <c r="F138" i="34" s="1"/>
  <c r="C69" i="39"/>
  <c r="C70" i="39"/>
  <c r="A75" i="31"/>
  <c r="A128" i="20"/>
  <c r="I138" i="34" l="1"/>
  <c r="J138" i="34" s="1"/>
  <c r="C71" i="39"/>
  <c r="C72" i="39"/>
  <c r="C73" i="39" s="1"/>
  <c r="F76" i="31"/>
  <c r="A76" i="31"/>
  <c r="A195" i="20"/>
  <c r="F139" i="34" l="1"/>
  <c r="A78" i="31"/>
  <c r="I139" i="34" l="1"/>
  <c r="J139" i="34" s="1"/>
  <c r="A76" i="20"/>
  <c r="A80" i="31"/>
  <c r="F140" i="34" l="1"/>
  <c r="A81" i="31"/>
  <c r="A84" i="31" s="1"/>
  <c r="I140" i="34" l="1"/>
  <c r="J140" i="34" s="1"/>
  <c r="H141" i="34" s="1"/>
  <c r="A85" i="31"/>
  <c r="A86" i="31" s="1"/>
  <c r="H142" i="34" l="1"/>
  <c r="H143" i="34" s="1"/>
  <c r="H144" i="34" s="1"/>
  <c r="H145" i="34" s="1"/>
  <c r="H146" i="34" s="1"/>
  <c r="H147" i="34" s="1"/>
  <c r="H148" i="34" s="1"/>
  <c r="H149" i="34" s="1"/>
  <c r="H150" i="34" s="1"/>
  <c r="H151" i="34" s="1"/>
  <c r="H152" i="34" s="1"/>
  <c r="F141" i="34"/>
  <c r="A87" i="31"/>
  <c r="A88" i="31" s="1"/>
  <c r="F86" i="31"/>
  <c r="H153" i="34" l="1"/>
  <c r="H155" i="34" s="1"/>
  <c r="F88" i="31"/>
  <c r="I141" i="34"/>
  <c r="J141" i="34" s="1"/>
  <c r="A91" i="31"/>
  <c r="I155" i="34" l="1"/>
  <c r="J155" i="34"/>
  <c r="F142" i="34"/>
  <c r="A92" i="31"/>
  <c r="A93" i="31" s="1"/>
  <c r="E18" i="33" l="1"/>
  <c r="J109" i="31" s="1"/>
  <c r="H109" i="31" s="1"/>
  <c r="H111" i="31" s="1"/>
  <c r="H135" i="31" s="1"/>
  <c r="J157" i="34"/>
  <c r="I142" i="34"/>
  <c r="J142" i="34" s="1"/>
  <c r="F143" i="34" s="1"/>
  <c r="A96" i="31"/>
  <c r="F93" i="31"/>
  <c r="H91" i="31" l="1"/>
  <c r="H93" i="31" s="1"/>
  <c r="H245" i="31"/>
  <c r="J111" i="31"/>
  <c r="I143" i="34"/>
  <c r="J143" i="34" s="1"/>
  <c r="F144" i="34" s="1"/>
  <c r="A97" i="31"/>
  <c r="A214" i="20"/>
  <c r="F98" i="31"/>
  <c r="J135" i="31" l="1"/>
  <c r="I144" i="34"/>
  <c r="J144" i="34" s="1"/>
  <c r="F145" i="34" s="1"/>
  <c r="A98" i="31"/>
  <c r="A219" i="20"/>
  <c r="J245" i="31" l="1"/>
  <c r="J91" i="31"/>
  <c r="I145" i="34"/>
  <c r="J145" i="34" s="1"/>
  <c r="F146" i="34" s="1"/>
  <c r="A100" i="31"/>
  <c r="F100" i="31"/>
  <c r="J93" i="31" l="1"/>
  <c r="I146" i="34"/>
  <c r="J146" i="34" s="1"/>
  <c r="A102" i="31"/>
  <c r="F242" i="31"/>
  <c r="F102" i="31"/>
  <c r="F147" i="34" l="1"/>
  <c r="F243" i="31"/>
  <c r="A107" i="31"/>
  <c r="I147" i="34" l="1"/>
  <c r="J147" i="34" s="1"/>
  <c r="A108" i="31"/>
  <c r="A109" i="31" s="1"/>
  <c r="A110" i="31" s="1"/>
  <c r="F111" i="31" s="1"/>
  <c r="F148" i="34" l="1"/>
  <c r="A235" i="20"/>
  <c r="A111" i="31"/>
  <c r="I148" i="34" l="1"/>
  <c r="J148" i="34" s="1"/>
  <c r="A114" i="31"/>
  <c r="F149" i="34" l="1"/>
  <c r="A115" i="31"/>
  <c r="I149" i="34" l="1"/>
  <c r="J149" i="34" s="1"/>
  <c r="A116" i="31"/>
  <c r="A83" i="20"/>
  <c r="F150" i="34" l="1"/>
  <c r="A117" i="31"/>
  <c r="A118" i="31" s="1"/>
  <c r="A119" i="31" s="1"/>
  <c r="F129" i="31"/>
  <c r="I150" i="34" l="1"/>
  <c r="J150" i="34" s="1"/>
  <c r="A120" i="31"/>
  <c r="A93" i="20"/>
  <c r="F120" i="31"/>
  <c r="H95" i="46" l="1"/>
  <c r="L95" i="46" s="1"/>
  <c r="F102" i="46" s="1"/>
  <c r="F151" i="34"/>
  <c r="A121" i="31"/>
  <c r="A122" i="31" s="1"/>
  <c r="I102" i="46" l="1"/>
  <c r="J102" i="46" s="1"/>
  <c r="F103" i="46"/>
  <c r="I151" i="34"/>
  <c r="J151" i="34" s="1"/>
  <c r="A125" i="31"/>
  <c r="F122" i="31"/>
  <c r="F104" i="46" l="1"/>
  <c r="I103" i="46"/>
  <c r="J103" i="46" s="1"/>
  <c r="F152" i="34"/>
  <c r="A126" i="31"/>
  <c r="F127" i="31" s="1"/>
  <c r="I104" i="46" l="1"/>
  <c r="J104" i="46" s="1"/>
  <c r="F105" i="46"/>
  <c r="I152" i="34"/>
  <c r="J152" i="34" s="1"/>
  <c r="A127" i="31"/>
  <c r="A109" i="20"/>
  <c r="I105" i="46" l="1"/>
  <c r="J105" i="46" s="1"/>
  <c r="F106" i="46"/>
  <c r="A129" i="31"/>
  <c r="I106" i="46" l="1"/>
  <c r="J106" i="46" s="1"/>
  <c r="F107" i="46"/>
  <c r="A130" i="31"/>
  <c r="A131" i="31" s="1"/>
  <c r="I107" i="46" l="1"/>
  <c r="J107" i="46" s="1"/>
  <c r="F108" i="46"/>
  <c r="F131" i="31"/>
  <c r="A132" i="31"/>
  <c r="A133" i="31" s="1"/>
  <c r="I108" i="46" l="1"/>
  <c r="J108" i="46" s="1"/>
  <c r="F109" i="46"/>
  <c r="F133" i="31"/>
  <c r="A135" i="31"/>
  <c r="F135" i="31"/>
  <c r="F110" i="46" l="1"/>
  <c r="I109" i="46"/>
  <c r="J109" i="46" s="1"/>
  <c r="F91" i="31"/>
  <c r="A140" i="31"/>
  <c r="F245" i="31"/>
  <c r="I110" i="46" l="1"/>
  <c r="J110" i="46" s="1"/>
  <c r="F111" i="46"/>
  <c r="A141" i="31"/>
  <c r="A143" i="31"/>
  <c r="A144" i="31" s="1"/>
  <c r="A145" i="31" s="1"/>
  <c r="A146" i="31" s="1"/>
  <c r="F141" i="31"/>
  <c r="I111" i="46" l="1"/>
  <c r="J111" i="46" s="1"/>
  <c r="F112" i="46"/>
  <c r="A147" i="31"/>
  <c r="A148" i="31" s="1"/>
  <c r="F148" i="31" l="1"/>
  <c r="I112" i="46"/>
  <c r="J112" i="46" s="1"/>
  <c r="F113" i="46"/>
  <c r="I113" i="46" s="1"/>
  <c r="J113" i="46" s="1"/>
  <c r="A149" i="31"/>
  <c r="A150" i="31" s="1"/>
  <c r="F150" i="31" l="1"/>
  <c r="J114" i="46"/>
  <c r="A152" i="31"/>
  <c r="F152" i="31"/>
  <c r="F116" i="46" l="1"/>
  <c r="H118" i="46"/>
  <c r="H119" i="46" s="1"/>
  <c r="H120" i="46" s="1"/>
  <c r="H118" i="45"/>
  <c r="H119" i="45" s="1"/>
  <c r="H120" i="45" s="1"/>
  <c r="H121" i="45" s="1"/>
  <c r="A156" i="31"/>
  <c r="F246" i="31"/>
  <c r="I116" i="46" l="1"/>
  <c r="A158" i="31"/>
  <c r="F158" i="31"/>
  <c r="J116" i="46" l="1"/>
  <c r="F117" i="46" s="1"/>
  <c r="F247" i="31"/>
  <c r="A163" i="31"/>
  <c r="I117" i="46" l="1"/>
  <c r="J117" i="46" s="1"/>
  <c r="A164" i="31"/>
  <c r="A165" i="31" s="1"/>
  <c r="A166" i="31" s="1"/>
  <c r="A167" i="31" s="1"/>
  <c r="A169" i="31" s="1"/>
  <c r="D167" i="31" l="1"/>
  <c r="F118" i="46"/>
  <c r="A170" i="31"/>
  <c r="A171" i="31" s="1"/>
  <c r="A172" i="31" s="1"/>
  <c r="A173" i="31" s="1"/>
  <c r="A174" i="31" s="1"/>
  <c r="A177" i="31" s="1"/>
  <c r="I118" i="46" l="1"/>
  <c r="J118" i="46" s="1"/>
  <c r="F119" i="46" s="1"/>
  <c r="D174" i="31"/>
  <c r="A178" i="31"/>
  <c r="A179" i="31" s="1"/>
  <c r="A180" i="31" s="1"/>
  <c r="A181" i="31" s="1"/>
  <c r="A182" i="31" s="1"/>
  <c r="A183" i="31" s="1"/>
  <c r="D183" i="31" s="1"/>
  <c r="I119" i="46" l="1"/>
  <c r="J119" i="46" s="1"/>
  <c r="F120" i="46" s="1"/>
  <c r="F208" i="31"/>
  <c r="A186" i="31"/>
  <c r="I120" i="46" l="1"/>
  <c r="J120" i="46" s="1"/>
  <c r="A187" i="31"/>
  <c r="A188" i="31" s="1"/>
  <c r="A189" i="31" s="1"/>
  <c r="A190" i="31" s="1"/>
  <c r="A191" i="31" s="1"/>
  <c r="A192" i="31" s="1"/>
  <c r="F121" i="46" l="1"/>
  <c r="I121" i="46" s="1"/>
  <c r="H121" i="46"/>
  <c r="D192" i="31"/>
  <c r="A194" i="31"/>
  <c r="J121" i="46" l="1"/>
  <c r="F122" i="46" s="1"/>
  <c r="I122" i="46" s="1"/>
  <c r="H122" i="46"/>
  <c r="H123" i="46" s="1"/>
  <c r="H124" i="46" s="1"/>
  <c r="H125" i="46" s="1"/>
  <c r="H126" i="46" s="1"/>
  <c r="H127" i="46" s="1"/>
  <c r="H128" i="46" s="1"/>
  <c r="H129" i="46" s="1"/>
  <c r="H130" i="46" s="1"/>
  <c r="H131" i="46" s="1"/>
  <c r="H132" i="46" s="1"/>
  <c r="F209" i="31"/>
  <c r="A197" i="31"/>
  <c r="J122" i="46" l="1"/>
  <c r="F123" i="46" s="1"/>
  <c r="I123" i="46" s="1"/>
  <c r="J123" i="46" s="1"/>
  <c r="F124" i="46" s="1"/>
  <c r="H133" i="46"/>
  <c r="H135" i="46" s="1"/>
  <c r="A198" i="31"/>
  <c r="A199" i="31" s="1"/>
  <c r="A200" i="31" s="1"/>
  <c r="A201" i="31" s="1"/>
  <c r="D201" i="31"/>
  <c r="I124" i="46" l="1"/>
  <c r="J124" i="46" s="1"/>
  <c r="F125" i="46" s="1"/>
  <c r="F205" i="31"/>
  <c r="A203" i="31"/>
  <c r="F204" i="31"/>
  <c r="I125" i="46" l="1"/>
  <c r="J125" i="46" s="1"/>
  <c r="F126" i="46" s="1"/>
  <c r="A204" i="31"/>
  <c r="I126" i="46" l="1"/>
  <c r="J126" i="46" s="1"/>
  <c r="F127" i="46" s="1"/>
  <c r="I127" i="46" s="1"/>
  <c r="A205" i="31"/>
  <c r="J127" i="46" l="1"/>
  <c r="F128" i="46" s="1"/>
  <c r="A208" i="31"/>
  <c r="F203" i="31"/>
  <c r="I128" i="46" l="1"/>
  <c r="J128" i="46" s="1"/>
  <c r="A209" i="31"/>
  <c r="F212" i="31"/>
  <c r="F129" i="46" l="1"/>
  <c r="A210" i="31"/>
  <c r="F213" i="31"/>
  <c r="I129" i="46" l="1"/>
  <c r="J129" i="46" s="1"/>
  <c r="A212" i="31"/>
  <c r="F214" i="31"/>
  <c r="F130" i="46" l="1"/>
  <c r="A213" i="31"/>
  <c r="I130" i="46" l="1"/>
  <c r="J130" i="46" s="1"/>
  <c r="A214" i="31"/>
  <c r="F131" i="46" l="1"/>
  <c r="A215" i="31"/>
  <c r="F215" i="31"/>
  <c r="I131" i="46" l="1"/>
  <c r="J131" i="46" s="1"/>
  <c r="A217" i="31"/>
  <c r="F217" i="31"/>
  <c r="F132" i="46" l="1"/>
  <c r="A222" i="31"/>
  <c r="F248" i="31"/>
  <c r="I132" i="46" l="1"/>
  <c r="J132" i="46" s="1"/>
  <c r="A223" i="31"/>
  <c r="A224" i="31" l="1"/>
  <c r="A225" i="31" l="1"/>
  <c r="A226" i="31" l="1"/>
  <c r="F230" i="31"/>
  <c r="A229" i="31" l="1"/>
  <c r="F234" i="31"/>
  <c r="A230" i="31" l="1"/>
  <c r="A231" i="31" l="1"/>
  <c r="A232" i="31" l="1"/>
  <c r="F232" i="31"/>
  <c r="A234" i="31" l="1"/>
  <c r="A236" i="31" s="1"/>
  <c r="F236" i="31" l="1"/>
  <c r="A241" i="31"/>
  <c r="A242" i="31" s="1"/>
  <c r="A243" i="31" s="1"/>
  <c r="A245" i="31" s="1"/>
  <c r="F249" i="31"/>
  <c r="A246" i="31" l="1"/>
  <c r="A247" i="31" s="1"/>
  <c r="A248" i="31" s="1"/>
  <c r="A249" i="31" s="1"/>
  <c r="A251" i="31" s="1"/>
  <c r="F251" i="31" l="1"/>
  <c r="F275" i="31"/>
  <c r="A254" i="31"/>
  <c r="F258" i="31"/>
  <c r="F268" i="31"/>
  <c r="A255" i="31" l="1"/>
  <c r="F256" i="31" s="1"/>
  <c r="A256" i="31" l="1"/>
  <c r="A120" i="20"/>
  <c r="F257" i="31" l="1"/>
  <c r="A257" i="31"/>
  <c r="A258" i="31" l="1"/>
  <c r="A259" i="31" s="1"/>
  <c r="F259" i="31" l="1"/>
  <c r="A262" i="31"/>
  <c r="A263" i="31" s="1"/>
  <c r="F265" i="31"/>
  <c r="A265" i="31" l="1"/>
  <c r="A228" i="20"/>
  <c r="F282" i="31" l="1"/>
  <c r="A268" i="31"/>
  <c r="A269" i="31" s="1"/>
  <c r="A270" i="31" l="1"/>
  <c r="A271" i="31" s="1"/>
  <c r="F271" i="31"/>
  <c r="F270" i="31"/>
  <c r="F272" i="31"/>
  <c r="C8" i="39" l="1"/>
  <c r="A272" i="31"/>
  <c r="C12" i="39" l="1"/>
  <c r="A275" i="31"/>
  <c r="A276" i="31" l="1"/>
  <c r="A277" i="31" s="1"/>
  <c r="F277" i="31" l="1"/>
  <c r="A278" i="31"/>
  <c r="A279" i="31" s="1"/>
  <c r="A280" i="31" s="1"/>
  <c r="F280" i="31"/>
  <c r="F279" i="31"/>
  <c r="A282" i="31" l="1"/>
  <c r="C9" i="39"/>
  <c r="A283" i="31" l="1"/>
  <c r="A284" i="31" s="1"/>
  <c r="A285" i="31" s="1"/>
  <c r="F286" i="31" l="1"/>
  <c r="A286" i="31"/>
  <c r="FH285" i="31"/>
  <c r="A289" i="31" l="1"/>
  <c r="F290" i="31" s="1"/>
  <c r="F291" i="31" l="1"/>
  <c r="A290" i="31"/>
  <c r="A291" i="31" s="1"/>
  <c r="W43" i="23"/>
  <c r="W35" i="23"/>
  <c r="L196" i="20" l="1"/>
  <c r="L201" i="20" s="1"/>
  <c r="L199" i="20"/>
  <c r="H75" i="31" l="1"/>
  <c r="H76" i="31" s="1"/>
  <c r="H100" i="31" s="1"/>
  <c r="J75" i="31"/>
  <c r="J76" i="31" s="1"/>
  <c r="J100" i="31" s="1"/>
  <c r="H102" i="31" l="1"/>
  <c r="H242" i="31"/>
  <c r="J242" i="31"/>
  <c r="J102" i="31"/>
  <c r="H243" i="31" l="1"/>
  <c r="H217" i="31"/>
  <c r="L103" i="31"/>
  <c r="G14" i="22"/>
  <c r="G29" i="22" s="1"/>
  <c r="G45" i="22" s="1"/>
  <c r="G47" i="22" s="1"/>
  <c r="G9" i="22" s="1"/>
  <c r="H276" i="31" s="1"/>
  <c r="K103" i="31"/>
  <c r="J103" i="31"/>
  <c r="J243" i="31"/>
  <c r="J217" i="31" l="1"/>
  <c r="J248" i="31" s="1"/>
  <c r="H234" i="31"/>
  <c r="H236" i="31" s="1"/>
  <c r="H248" i="31"/>
  <c r="L217" i="31"/>
  <c r="L248" i="31" s="1"/>
  <c r="L276" i="31"/>
  <c r="K276" i="31"/>
  <c r="J276" i="31"/>
  <c r="H249" i="31" l="1"/>
  <c r="H251" i="31" s="1"/>
  <c r="K236" i="31"/>
  <c r="K249" i="31" s="1"/>
  <c r="K251" i="31" s="1"/>
  <c r="K258" i="31" s="1"/>
  <c r="K259" i="31" s="1"/>
  <c r="L236" i="31"/>
  <c r="L249" i="31" s="1"/>
  <c r="L251" i="31" s="1"/>
  <c r="L258" i="31" s="1"/>
  <c r="L259" i="31" s="1"/>
  <c r="J236" i="31"/>
  <c r="J249" i="31" s="1"/>
  <c r="J251" i="31" s="1"/>
  <c r="J258" i="31" s="1"/>
  <c r="J259" i="31" s="1"/>
  <c r="K265" i="31" l="1"/>
  <c r="K282" i="31" s="1"/>
  <c r="K275" i="31"/>
  <c r="K277" i="31" s="1"/>
  <c r="K268" i="31"/>
  <c r="H270" i="31"/>
  <c r="H271" i="31"/>
  <c r="I8" i="39" s="1"/>
  <c r="H272" i="31"/>
  <c r="I12" i="39" s="1"/>
  <c r="H258" i="31"/>
  <c r="H259" i="31" s="1"/>
  <c r="H275" i="31"/>
  <c r="H277" i="31" s="1"/>
  <c r="J265" i="31"/>
  <c r="J282" i="31" s="1"/>
  <c r="I156" i="34" s="1"/>
  <c r="I157" i="34" s="1"/>
  <c r="C185" i="34" s="1"/>
  <c r="D189" i="34" s="1"/>
  <c r="J268" i="31"/>
  <c r="J275" i="31"/>
  <c r="J277" i="31" s="1"/>
  <c r="L268" i="31"/>
  <c r="L265" i="31"/>
  <c r="L282" i="31" s="1"/>
  <c r="L275" i="31"/>
  <c r="L277" i="31" s="1"/>
  <c r="H265" i="31" l="1"/>
  <c r="H282" i="31" s="1"/>
  <c r="H268" i="31"/>
  <c r="K272" i="31"/>
  <c r="K12" i="39" s="1"/>
  <c r="K271" i="31"/>
  <c r="K8" i="39" s="1"/>
  <c r="K270" i="31"/>
  <c r="L280" i="31"/>
  <c r="L9" i="39" s="1"/>
  <c r="L279" i="31"/>
  <c r="K280" i="31"/>
  <c r="K9" i="39" s="1"/>
  <c r="K10" i="39" s="1"/>
  <c r="K279" i="31"/>
  <c r="H136" i="46"/>
  <c r="H137" i="46" s="1"/>
  <c r="L286" i="31"/>
  <c r="L290" i="31" s="1"/>
  <c r="L291" i="31" s="1"/>
  <c r="H137" i="45"/>
  <c r="D68" i="45"/>
  <c r="D96" i="45" s="1"/>
  <c r="H96" i="45" s="1"/>
  <c r="L96" i="45" s="1"/>
  <c r="F103" i="45" s="1"/>
  <c r="L272" i="31"/>
  <c r="L12" i="39" s="1"/>
  <c r="L271" i="31"/>
  <c r="L8" i="39" s="1"/>
  <c r="L270" i="31"/>
  <c r="H279" i="31"/>
  <c r="H280" i="31"/>
  <c r="I9" i="39" s="1"/>
  <c r="I10" i="39" s="1"/>
  <c r="J280" i="31"/>
  <c r="J9" i="39" s="1"/>
  <c r="J279" i="31"/>
  <c r="J272" i="31"/>
  <c r="J12" i="39" s="1"/>
  <c r="J270" i="31"/>
  <c r="J271" i="31"/>
  <c r="J8" i="39" s="1"/>
  <c r="J10" i="39" l="1"/>
  <c r="L10" i="39"/>
  <c r="G26" i="39"/>
  <c r="D26" i="39"/>
  <c r="F104" i="45"/>
  <c r="I103" i="45"/>
  <c r="J103" i="45" s="1"/>
  <c r="F44" i="39" l="1"/>
  <c r="F56" i="39"/>
  <c r="F42" i="39"/>
  <c r="F36" i="39"/>
  <c r="F52" i="39"/>
  <c r="F32" i="39"/>
  <c r="F50" i="39"/>
  <c r="F38" i="39"/>
  <c r="F62" i="39"/>
  <c r="F48" i="39"/>
  <c r="F60" i="39"/>
  <c r="F70" i="39"/>
  <c r="F64" i="39"/>
  <c r="F54" i="39"/>
  <c r="F34" i="39"/>
  <c r="F46" i="39"/>
  <c r="F40" i="39"/>
  <c r="F66" i="39"/>
  <c r="F58" i="39"/>
  <c r="F68" i="39"/>
  <c r="I56" i="39"/>
  <c r="I58" i="39"/>
  <c r="I32" i="39"/>
  <c r="I42" i="39"/>
  <c r="I46" i="39"/>
  <c r="I40" i="39"/>
  <c r="I38" i="39"/>
  <c r="I48" i="39"/>
  <c r="I52" i="39"/>
  <c r="I68" i="39"/>
  <c r="I62" i="39"/>
  <c r="I34" i="39"/>
  <c r="I60" i="39"/>
  <c r="I70" i="39"/>
  <c r="I64" i="39"/>
  <c r="I50" i="39"/>
  <c r="I36" i="39"/>
  <c r="I66" i="39"/>
  <c r="I44" i="39"/>
  <c r="I54" i="39"/>
  <c r="F105" i="45"/>
  <c r="I104" i="45"/>
  <c r="J104" i="45" s="1"/>
  <c r="D27" i="39"/>
  <c r="G27" i="39"/>
  <c r="J58" i="39" l="1"/>
  <c r="L58" i="39" s="1"/>
  <c r="J60" i="39"/>
  <c r="L60" i="39" s="1"/>
  <c r="J34" i="39"/>
  <c r="L34" i="39" s="1"/>
  <c r="J50" i="39"/>
  <c r="L50" i="39" s="1"/>
  <c r="J42" i="39"/>
  <c r="L42" i="39" s="1"/>
  <c r="J54" i="39"/>
  <c r="L54" i="39" s="1"/>
  <c r="J48" i="39"/>
  <c r="L48" i="39" s="1"/>
  <c r="J56" i="39"/>
  <c r="L56" i="39" s="1"/>
  <c r="F51" i="39"/>
  <c r="F47" i="39"/>
  <c r="F43" i="39"/>
  <c r="F63" i="39"/>
  <c r="F55" i="39"/>
  <c r="F33" i="39"/>
  <c r="F35" i="39"/>
  <c r="F37" i="39"/>
  <c r="F41" i="39"/>
  <c r="F69" i="39"/>
  <c r="F65" i="39"/>
  <c r="F61" i="39"/>
  <c r="F57" i="39"/>
  <c r="F59" i="39"/>
  <c r="F53" i="39"/>
  <c r="F45" i="39"/>
  <c r="F71" i="39"/>
  <c r="F67" i="39"/>
  <c r="F49" i="39"/>
  <c r="F39" i="39"/>
  <c r="J32" i="39"/>
  <c r="L32" i="39" s="1"/>
  <c r="J40" i="39"/>
  <c r="L40" i="39" s="1"/>
  <c r="J64" i="39"/>
  <c r="L64" i="39" s="1"/>
  <c r="J62" i="39"/>
  <c r="L62" i="39" s="1"/>
  <c r="J52" i="39"/>
  <c r="L52" i="39" s="1"/>
  <c r="J44" i="39"/>
  <c r="L44" i="39" s="1"/>
  <c r="J66" i="39"/>
  <c r="L66" i="39" s="1"/>
  <c r="F106" i="45"/>
  <c r="I105" i="45"/>
  <c r="J105" i="45" s="1"/>
  <c r="I47" i="39"/>
  <c r="I41" i="39"/>
  <c r="I43" i="39"/>
  <c r="I71" i="39"/>
  <c r="I33" i="39"/>
  <c r="I57" i="39"/>
  <c r="I55" i="39"/>
  <c r="I39" i="39"/>
  <c r="I59" i="39"/>
  <c r="I49" i="39"/>
  <c r="I35" i="39"/>
  <c r="I53" i="39"/>
  <c r="I63" i="39"/>
  <c r="I65" i="39"/>
  <c r="I67" i="39"/>
  <c r="I51" i="39"/>
  <c r="I45" i="39"/>
  <c r="I69" i="39"/>
  <c r="I61" i="39"/>
  <c r="I37" i="39"/>
  <c r="J68" i="39"/>
  <c r="L68" i="39" s="1"/>
  <c r="J46" i="39"/>
  <c r="L46" i="39" s="1"/>
  <c r="J70" i="39"/>
  <c r="L70" i="39" s="1"/>
  <c r="J38" i="39"/>
  <c r="L38" i="39" s="1"/>
  <c r="J36" i="39"/>
  <c r="L36" i="39" s="1"/>
  <c r="J57" i="39" l="1"/>
  <c r="K57" i="39" s="1"/>
  <c r="M56" i="39" s="1"/>
  <c r="J67" i="39"/>
  <c r="K67" i="39" s="1"/>
  <c r="M66" i="39" s="1"/>
  <c r="J69" i="39"/>
  <c r="K69" i="39" s="1"/>
  <c r="M68" i="39" s="1"/>
  <c r="J41" i="39"/>
  <c r="K41" i="39" s="1"/>
  <c r="M40" i="39" s="1"/>
  <c r="J55" i="39"/>
  <c r="K55" i="39" s="1"/>
  <c r="M54" i="39" s="1"/>
  <c r="J59" i="39"/>
  <c r="K59" i="39" s="1"/>
  <c r="M58" i="39" s="1"/>
  <c r="J33" i="39"/>
  <c r="K33" i="39" s="1"/>
  <c r="M32" i="39" s="1"/>
  <c r="H284" i="31" s="1"/>
  <c r="J284" i="31" s="1"/>
  <c r="J286" i="31" s="1"/>
  <c r="J290" i="31" s="1"/>
  <c r="J291" i="31" s="1"/>
  <c r="J51" i="39"/>
  <c r="K51" i="39" s="1"/>
  <c r="M50" i="39" s="1"/>
  <c r="I106" i="45"/>
  <c r="J106" i="45" s="1"/>
  <c r="F107" i="45"/>
  <c r="J39" i="39"/>
  <c r="K39" i="39" s="1"/>
  <c r="M38" i="39" s="1"/>
  <c r="J61" i="39"/>
  <c r="K61" i="39" s="1"/>
  <c r="M60" i="39" s="1"/>
  <c r="J37" i="39"/>
  <c r="K37" i="39" s="1"/>
  <c r="M36" i="39" s="1"/>
  <c r="J63" i="39"/>
  <c r="K63" i="39" s="1"/>
  <c r="M62" i="39" s="1"/>
  <c r="J49" i="39"/>
  <c r="K49" i="39" s="1"/>
  <c r="M48" i="39" s="1"/>
  <c r="J53" i="39"/>
  <c r="K53" i="39" s="1"/>
  <c r="M52" i="39" s="1"/>
  <c r="J65" i="39"/>
  <c r="K65" i="39" s="1"/>
  <c r="M64" i="39" s="1"/>
  <c r="J35" i="39"/>
  <c r="K35" i="39" s="1"/>
  <c r="M34" i="39" s="1"/>
  <c r="J43" i="39"/>
  <c r="K43" i="39" s="1"/>
  <c r="M42" i="39" s="1"/>
  <c r="J47" i="39"/>
  <c r="K47" i="39" s="1"/>
  <c r="M46" i="39" s="1"/>
  <c r="J71" i="39"/>
  <c r="K71" i="39" s="1"/>
  <c r="M70" i="39" s="1"/>
  <c r="J45" i="39"/>
  <c r="K45" i="39" s="1"/>
  <c r="M44" i="39" s="1"/>
  <c r="F108" i="45" l="1"/>
  <c r="I107" i="45"/>
  <c r="J107" i="45" s="1"/>
  <c r="F109" i="45" l="1"/>
  <c r="I108" i="45"/>
  <c r="J108" i="45" s="1"/>
  <c r="I109" i="45" l="1"/>
  <c r="J109" i="45" s="1"/>
  <c r="F110" i="45"/>
  <c r="I110" i="45" l="1"/>
  <c r="J110" i="45" s="1"/>
  <c r="F111" i="45"/>
  <c r="I111" i="45" l="1"/>
  <c r="J111" i="45" s="1"/>
  <c r="F112" i="45"/>
  <c r="I112" i="45" l="1"/>
  <c r="J112" i="45" s="1"/>
  <c r="F113" i="45"/>
  <c r="I113" i="45" l="1"/>
  <c r="J113" i="45" s="1"/>
  <c r="F114" i="45"/>
  <c r="I114" i="45" s="1"/>
  <c r="J114" i="45" s="1"/>
  <c r="J115" i="45" l="1"/>
  <c r="F117" i="45" s="1"/>
  <c r="I117" i="45" s="1"/>
  <c r="J117" i="45" s="1"/>
  <c r="F118" i="45" s="1"/>
  <c r="I118" i="45" s="1"/>
  <c r="J118" i="45" s="1"/>
  <c r="F119" i="45" s="1"/>
  <c r="I119" i="45" s="1"/>
  <c r="J119" i="45" s="1"/>
  <c r="F120" i="45" s="1"/>
  <c r="I120" i="45" s="1"/>
  <c r="J120" i="45" s="1"/>
  <c r="F121" i="45" s="1"/>
  <c r="I121" i="45" s="1"/>
  <c r="J121" i="45" s="1"/>
  <c r="H122" i="45" l="1"/>
  <c r="F122" i="45"/>
  <c r="I122" i="45" l="1"/>
  <c r="J122" i="45" s="1"/>
  <c r="F123" i="45" s="1"/>
  <c r="I123" i="45" s="1"/>
  <c r="H123" i="45"/>
  <c r="H124" i="45" s="1"/>
  <c r="H125" i="45" s="1"/>
  <c r="H126" i="45" s="1"/>
  <c r="H127" i="45" s="1"/>
  <c r="H128" i="45" s="1"/>
  <c r="H129" i="45" s="1"/>
  <c r="H130" i="45" s="1"/>
  <c r="H131" i="45" s="1"/>
  <c r="H132" i="45" s="1"/>
  <c r="H133" i="45" s="1"/>
  <c r="H134" i="45" l="1"/>
  <c r="H136" i="45" s="1"/>
  <c r="J123" i="45"/>
  <c r="F124" i="45" s="1"/>
  <c r="I124" i="45" s="1"/>
  <c r="J124" i="45" s="1"/>
  <c r="F125" i="45" s="1"/>
  <c r="I125" i="45" s="1"/>
  <c r="J125" i="45" s="1"/>
  <c r="F126" i="45" s="1"/>
  <c r="I126" i="45" s="1"/>
  <c r="J126" i="45" s="1"/>
  <c r="F127" i="45" s="1"/>
  <c r="I127" i="45" s="1"/>
  <c r="J127" i="45" s="1"/>
  <c r="F128" i="45" s="1"/>
  <c r="I128" i="45" s="1"/>
  <c r="J128" i="45" s="1"/>
  <c r="F129" i="45" s="1"/>
  <c r="I129" i="45" s="1"/>
  <c r="J129" i="45" s="1"/>
  <c r="F130" i="45" s="1"/>
  <c r="I130" i="45" s="1"/>
  <c r="J130" i="45" s="1"/>
  <c r="F131" i="45" s="1"/>
  <c r="I131" i="45" s="1"/>
  <c r="J131" i="45" s="1"/>
  <c r="F132" i="45" s="1"/>
  <c r="I132" i="45" s="1"/>
  <c r="J132" i="45" s="1"/>
  <c r="F133" i="45" s="1"/>
  <c r="I133" i="45" s="1"/>
  <c r="J133" i="45" s="1"/>
  <c r="H138" i="45" l="1"/>
  <c r="H286" i="31"/>
  <c r="K286" i="31"/>
  <c r="K290" i="31" s="1"/>
  <c r="K291" i="31" s="1"/>
</calcChain>
</file>

<file path=xl/comments1.xml><?xml version="1.0" encoding="utf-8"?>
<comments xmlns="http://schemas.openxmlformats.org/spreadsheetml/2006/main">
  <authors>
    <author>Freh D.</author>
  </authors>
  <commentList>
    <comment ref="O5" authorId="0">
      <text>
        <r>
          <rPr>
            <b/>
            <sz val="9"/>
            <color indexed="81"/>
            <rFont val="Tahoma"/>
            <family val="2"/>
          </rPr>
          <t>Freh D.:</t>
        </r>
        <r>
          <rPr>
            <sz val="9"/>
            <color indexed="81"/>
            <rFont val="Tahoma"/>
            <family val="2"/>
          </rPr>
          <t xml:space="preserve">
FERC Form 1 p257</t>
        </r>
      </text>
    </comment>
  </commentList>
</comments>
</file>

<file path=xl/sharedStrings.xml><?xml version="1.0" encoding="utf-8"?>
<sst xmlns="http://schemas.openxmlformats.org/spreadsheetml/2006/main" count="3269" uniqueCount="1443">
  <si>
    <t>E3539 (GIF) Sta Eq, Upper Baker</t>
  </si>
  <si>
    <t>E3539 (GIF) Sta Eq, WHDE sub@plant</t>
  </si>
  <si>
    <t>E3539 (GIF) Sta Eq, Whitehorn</t>
  </si>
  <si>
    <t>E3539 (GIF) Sta Eq, Wild H sub@plt</t>
  </si>
  <si>
    <t>E3539 (GIF) Sta Eq, Wild Horse Exp</t>
  </si>
  <si>
    <t>E3539 (GIF) Sta Eq, Wind Ridge</t>
  </si>
  <si>
    <t>E3539 (GIF) Sta Eq, WindRid NonProj</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</si>
  <si>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</si>
  <si>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</si>
  <si>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</si>
  <si>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</si>
  <si>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</si>
  <si>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</si>
  <si>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</si>
  <si>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</si>
  <si>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</si>
  <si>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E3569 (GIF) O/H Cond, Hopkins</t>
  </si>
  <si>
    <t>E3569 (GIF) O/H Cond, Poison Spring</t>
  </si>
  <si>
    <t>E3569 (GIF) O/H Cond, Scl-Tolt</t>
  </si>
  <si>
    <t>E3569 (GIF) O/H Cond, Snoqualmie 1</t>
  </si>
  <si>
    <t>E3569 (GIF) O/H Cond, Snoqualmie 2</t>
  </si>
  <si>
    <t>E3569 (GIF) O/H Cond, Sumas</t>
  </si>
  <si>
    <t>E3569 (GIF) O/H Cond, Upper Baker</t>
  </si>
  <si>
    <t>E3569 (GIF) O/H Cond, Wild Horse</t>
  </si>
  <si>
    <t>E3589 (GIF) U/G Cond, Fred 1/Epcor</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</si>
  <si>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</si>
  <si>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</si>
  <si>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</si>
  <si>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</si>
  <si>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</si>
  <si>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</si>
  <si>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</si>
  <si>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</si>
  <si>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</si>
  <si>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</si>
  <si>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</si>
  <si>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</si>
  <si>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</si>
  <si>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</si>
  <si>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</si>
  <si>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</si>
  <si>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</si>
  <si>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</si>
  <si>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</si>
  <si>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</si>
  <si>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</si>
  <si>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</si>
  <si>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</si>
  <si>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</si>
  <si>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</si>
  <si>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</si>
  <si>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</si>
  <si>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</si>
  <si>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</si>
  <si>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</si>
  <si>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</si>
  <si>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</si>
  <si>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</si>
  <si>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</si>
  <si>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</si>
  <si>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</si>
  <si>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</si>
  <si>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</si>
  <si>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</si>
  <si>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</si>
  <si>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</si>
  <si>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</si>
  <si>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</si>
  <si>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</si>
  <si>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</si>
  <si>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</si>
  <si>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</si>
  <si>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</si>
  <si>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</si>
  <si>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</si>
  <si>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</si>
  <si>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</si>
  <si>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</si>
  <si>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</si>
  <si>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</si>
  <si>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</si>
  <si>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</si>
  <si>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</si>
  <si>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</si>
  <si>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</si>
  <si>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</si>
  <si>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</si>
  <si>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</si>
  <si>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</si>
  <si>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</si>
  <si>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Contracts</t>
  </si>
  <si>
    <t>Gas</t>
  </si>
  <si>
    <t>Pension and other compensation</t>
  </si>
  <si>
    <t>Derivative Instruments</t>
  </si>
  <si>
    <t>Production Tax Credits</t>
  </si>
  <si>
    <t>Regulatory Assets</t>
  </si>
  <si>
    <t>Land and building sales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</si>
  <si>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</si>
  <si>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</si>
  <si>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</si>
  <si>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</si>
  <si>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</si>
  <si>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</si>
  <si>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</si>
  <si>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</si>
  <si>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</si>
  <si>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</si>
  <si>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</si>
  <si>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</si>
  <si>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</si>
  <si>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</si>
  <si>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</si>
  <si>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</si>
  <si>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</si>
  <si>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</si>
  <si>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Contributions in aid of construction</t>
  </si>
  <si>
    <t>employee benefits</t>
  </si>
  <si>
    <t>Pursuant to state retail regulatory orders</t>
  </si>
  <si>
    <t>Land and production related</t>
  </si>
  <si>
    <t>Tax net operating loss carryforward</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</si>
  <si>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</si>
  <si>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</si>
  <si>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</si>
  <si>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</si>
  <si>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</si>
  <si>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</si>
  <si>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</si>
  <si>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</si>
  <si>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</si>
  <si>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</si>
  <si>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</si>
  <si>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</si>
  <si>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</si>
  <si>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</si>
  <si>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</si>
  <si>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</si>
  <si>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</si>
  <si>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</si>
  <si>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</si>
  <si>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</si>
  <si>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</si>
  <si>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</si>
  <si>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</si>
  <si>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</si>
  <si>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</si>
  <si>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</si>
  <si>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</si>
  <si>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</si>
  <si>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</si>
  <si>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</si>
  <si>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</si>
  <si>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</si>
  <si>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</si>
  <si>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</si>
  <si>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</si>
  <si>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</si>
  <si>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</si>
  <si>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</si>
  <si>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</si>
  <si>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</si>
  <si>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</si>
  <si>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Intel</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</si>
  <si>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</si>
  <si>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</si>
  <si>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</si>
  <si>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</si>
  <si>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</si>
  <si>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</si>
  <si>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</si>
  <si>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</si>
  <si>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</si>
  <si>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</si>
  <si>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</si>
  <si>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</si>
  <si>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</si>
  <si>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</si>
  <si>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</si>
  <si>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</si>
  <si>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</si>
  <si>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</si>
  <si>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</si>
  <si>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</si>
  <si>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</si>
  <si>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</si>
  <si>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</si>
  <si>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</si>
  <si>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</si>
  <si>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</si>
  <si>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</si>
  <si>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</si>
  <si>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</si>
  <si>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</si>
  <si>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</si>
  <si>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</si>
  <si>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</si>
  <si>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</si>
  <si>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</si>
  <si>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</si>
  <si>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</si>
  <si>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</si>
  <si>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</si>
  <si>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</si>
  <si>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</si>
  <si>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Insurance</t>
  </si>
  <si>
    <t>Prepmts - Puget Workman's Comp - Aegis</t>
  </si>
  <si>
    <t>Prepmts - All Risk Property Insurance</t>
  </si>
  <si>
    <t>System</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</si>
  <si>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</si>
  <si>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</si>
  <si>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</si>
  <si>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</si>
  <si>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</si>
  <si>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</si>
  <si>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</si>
  <si>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Station Equipment</t>
  </si>
  <si>
    <t>Poles, Towers and Fixtures</t>
  </si>
  <si>
    <t>Overhead Conductors and Devices</t>
  </si>
  <si>
    <t>Underground Conduit</t>
  </si>
  <si>
    <t>Underground Conductors and Devices</t>
  </si>
  <si>
    <t>Services</t>
  </si>
  <si>
    <t>Street Lighting and Signal Systems</t>
  </si>
  <si>
    <t>Easements</t>
  </si>
  <si>
    <t>Transportation Equipment</t>
  </si>
  <si>
    <t>Stores and Equipment</t>
  </si>
  <si>
    <t>Power Operated Equipment</t>
  </si>
  <si>
    <t>Prepmts - Puget Auto / General Liability</t>
  </si>
  <si>
    <t>Prepmnts - Datalink Symantec SW Maintenance</t>
  </si>
  <si>
    <t>Prepmts -Fiduciary Liability Insurance</t>
  </si>
  <si>
    <t>Prepmts - FERC Annual Land Use - Lower Baker</t>
  </si>
  <si>
    <t>Prepmts - FERC Annual Land Use - Upper Baker</t>
  </si>
  <si>
    <t>Prepaid- Ecologic Analytics Software</t>
  </si>
  <si>
    <t>Prepaid- OSIsoft Software Renewal</t>
  </si>
  <si>
    <t>Prepaid - Market Data Subscriptions - ERC</t>
  </si>
  <si>
    <t>Prepaid - CISCO Smartnet (Dimension Data) Main</t>
  </si>
  <si>
    <t>Prepaid-GE Smallworld Software Support</t>
  </si>
  <si>
    <t>Prepaid-Optimize Networks Steelhead Support</t>
  </si>
  <si>
    <t>Prepaid-CGI Mobile Workforce SW Support</t>
  </si>
  <si>
    <t>Prepaid - Oracle Software Support</t>
  </si>
  <si>
    <t>Prepayment-SAS SW Maintenance Renewal</t>
  </si>
  <si>
    <t>Prepaid - Swinomish Tribal Res 115kv TSM-Long Term</t>
  </si>
  <si>
    <t>Prepaid - Goldendale Capital Maintenance Major</t>
  </si>
  <si>
    <t>Prepaid - Goldendale Expense Maintenance Major</t>
  </si>
  <si>
    <t>Prepaid - CheckPoint Structure LT</t>
  </si>
  <si>
    <t>Prepaid - LSR Leaseholder Minimum Rent</t>
  </si>
  <si>
    <t>Prepaid - ROW Dist Crossing Rainbow Bridge LT</t>
  </si>
  <si>
    <t>data</t>
  </si>
  <si>
    <t>Prepmts - Microsoft  Maintenance Contract</t>
  </si>
  <si>
    <t>Prepmts - EMC - SW/HW Maintenance Renewal ST</t>
  </si>
  <si>
    <t>Prepmts -  Linked In Advertising - Short Term</t>
  </si>
  <si>
    <t>Prepmts - Advance/Down Payments</t>
  </si>
  <si>
    <t>WA area credits</t>
  </si>
  <si>
    <t>Colstrip area credits</t>
  </si>
  <si>
    <t>Southern Intertie area credits</t>
  </si>
  <si>
    <t xml:space="preserve">  Poles and Fixtures</t>
  </si>
  <si>
    <t>Prepmts - Heavy Vehicle Licenses</t>
  </si>
  <si>
    <t>Licensing</t>
  </si>
  <si>
    <t>Prepaid- Miscellaneous</t>
  </si>
  <si>
    <t>Prepmts - Licensing Fees (Vehicles)</t>
  </si>
  <si>
    <t>Prepaid Edison Electric Institute dues</t>
  </si>
  <si>
    <t>Prepaid American Gas Association Dues</t>
  </si>
  <si>
    <t>Prepaid - INSSINC - Futrak Maintenance</t>
  </si>
  <si>
    <t>Prepaid - Freddy 1 Capital FFH</t>
  </si>
  <si>
    <t>Prepaid - Freddy 1 Expense FFH</t>
  </si>
  <si>
    <t>Prepaid - Freddy 1 Inventory</t>
  </si>
  <si>
    <t>Prepmts - Treasury Licensing Fees</t>
  </si>
  <si>
    <t>ASCM Allocation</t>
  </si>
  <si>
    <t>Common Plant Allocated to Transmission</t>
  </si>
  <si>
    <t>Common Plant Depreciation Allocated to Transmission</t>
  </si>
  <si>
    <t>Prepaid - Future Year Expenses</t>
  </si>
  <si>
    <t>Prepaid Goldendale Inventory</t>
  </si>
  <si>
    <t>Prepaid - Mint Farm Capital FFH</t>
  </si>
  <si>
    <t>Prepaid - Mint Farm Expense FFH</t>
  </si>
  <si>
    <t>Plant Related:</t>
  </si>
  <si>
    <t>Labor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</si>
  <si>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</si>
  <si>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</si>
  <si>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</si>
  <si>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</si>
  <si>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</si>
  <si>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</si>
  <si>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</si>
  <si>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</si>
  <si>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</si>
  <si>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</si>
  <si>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</si>
  <si>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</si>
  <si>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</si>
  <si>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</si>
  <si>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</si>
  <si>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</si>
  <si>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</si>
  <si>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</si>
  <si>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</si>
  <si>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</si>
  <si>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</si>
  <si>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</si>
  <si>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</si>
  <si>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</si>
  <si>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</si>
  <si>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</si>
  <si>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</si>
  <si>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</si>
  <si>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</si>
  <si>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</si>
  <si>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</si>
  <si>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</si>
  <si>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</si>
  <si>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</si>
  <si>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</si>
  <si>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</si>
  <si>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</si>
  <si>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</si>
  <si>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</si>
  <si>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</si>
  <si>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</si>
  <si>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</si>
  <si>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</si>
  <si>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</si>
  <si>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</si>
  <si>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</si>
  <si>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</si>
  <si>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</si>
  <si>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</si>
  <si>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</si>
  <si>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</si>
  <si>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</si>
  <si>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</si>
  <si>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</si>
  <si>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</si>
  <si>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</si>
  <si>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</si>
  <si>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</si>
  <si>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</si>
  <si>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</si>
  <si>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</si>
  <si>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</si>
  <si>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</si>
  <si>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</si>
  <si>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</si>
  <si>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</si>
  <si>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</si>
  <si>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</si>
  <si>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</si>
  <si>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</si>
  <si>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</si>
  <si>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</si>
  <si>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</si>
  <si>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</si>
  <si>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</si>
  <si>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</si>
  <si>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</si>
  <si>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</si>
  <si>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</si>
  <si>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</si>
  <si>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</si>
  <si>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</si>
  <si>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</si>
  <si>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</si>
  <si>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</si>
  <si>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</si>
  <si>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</si>
  <si>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</si>
  <si>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</si>
  <si>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</si>
  <si>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</si>
  <si>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</si>
  <si>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</si>
  <si>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</si>
  <si>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</si>
  <si>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</si>
  <si>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</si>
  <si>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</si>
  <si>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</si>
  <si>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</si>
  <si>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</si>
  <si>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</si>
  <si>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</si>
  <si>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</si>
  <si>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</si>
  <si>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</si>
  <si>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</si>
  <si>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</si>
  <si>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</si>
  <si>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</si>
  <si>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</si>
  <si>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</si>
  <si>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</si>
  <si>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</si>
  <si>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</si>
  <si>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</si>
  <si>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</si>
  <si>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</si>
  <si>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</si>
  <si>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</si>
  <si>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</si>
  <si>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</si>
  <si>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</si>
  <si>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</si>
  <si>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</si>
  <si>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</si>
  <si>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</si>
  <si>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</si>
  <si>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</si>
  <si>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</si>
  <si>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</si>
  <si>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</si>
  <si>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</si>
  <si>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</si>
  <si>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</si>
  <si>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</si>
  <si>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</si>
  <si>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</si>
  <si>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</si>
  <si>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</si>
  <si>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</si>
  <si>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</si>
  <si>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</si>
  <si>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</si>
  <si>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</si>
  <si>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</si>
  <si>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</si>
  <si>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</si>
  <si>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</si>
  <si>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</si>
  <si>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</si>
  <si>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</si>
  <si>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</si>
  <si>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</si>
  <si>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</si>
  <si>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</si>
  <si>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</si>
  <si>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</si>
  <si>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</si>
  <si>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</si>
  <si>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</si>
  <si>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</si>
  <si>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</si>
  <si>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</si>
  <si>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</si>
  <si>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</si>
  <si>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</si>
  <si>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</si>
  <si>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</si>
  <si>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</si>
  <si>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</si>
  <si>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</si>
  <si>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</si>
  <si>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</si>
  <si>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</si>
  <si>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</si>
  <si>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</si>
  <si>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</si>
  <si>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</si>
  <si>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</si>
  <si>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</si>
  <si>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</si>
  <si>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</si>
  <si>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</si>
  <si>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</si>
  <si>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</si>
  <si>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</si>
  <si>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</si>
  <si>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</si>
  <si>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</si>
  <si>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</si>
  <si>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</si>
  <si>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</si>
  <si>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</si>
  <si>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</si>
  <si>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</si>
  <si>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</si>
  <si>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Accrued - 401(k) 1% Contributions</t>
  </si>
  <si>
    <t>Accrual - 401(k) Match on Incentive Pla</t>
  </si>
  <si>
    <t>Undistr. Stores Exp, Account 163</t>
  </si>
  <si>
    <t>Transmission Plant materials from Account 154</t>
  </si>
  <si>
    <t xml:space="preserve">13 month </t>
  </si>
  <si>
    <t xml:space="preserve">Prepaid - plant accounting software Maintenance </t>
  </si>
  <si>
    <t>vehicle</t>
  </si>
  <si>
    <t>system</t>
  </si>
  <si>
    <t>insurance</t>
  </si>
  <si>
    <t>labor</t>
  </si>
  <si>
    <t>licensing</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</si>
  <si>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</si>
  <si>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</si>
  <si>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</si>
  <si>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</si>
  <si>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</si>
  <si>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</si>
  <si>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</si>
  <si>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</si>
  <si>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</si>
  <si>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</si>
  <si>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</si>
  <si>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</si>
  <si>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</si>
  <si>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</si>
  <si>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</si>
  <si>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</si>
  <si>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</si>
  <si>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</si>
  <si>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</si>
  <si>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</si>
  <si>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</si>
  <si>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</si>
  <si>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</si>
  <si>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</si>
  <si>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</si>
  <si>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</si>
  <si>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</si>
  <si>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</si>
  <si>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</si>
  <si>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</si>
  <si>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</si>
  <si>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</si>
  <si>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</si>
  <si>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</si>
  <si>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Meters</t>
  </si>
  <si>
    <t>Line Transformers</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</si>
  <si>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</si>
  <si>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</si>
  <si>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</si>
  <si>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</si>
  <si>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</si>
  <si>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</si>
  <si>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</si>
  <si>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</si>
  <si>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</si>
  <si>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</si>
  <si>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</si>
  <si>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</si>
  <si>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</si>
  <si>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</si>
  <si>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</si>
  <si>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</si>
  <si>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</si>
  <si>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</si>
  <si>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</si>
  <si>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</si>
  <si>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</si>
  <si>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</si>
  <si>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</si>
  <si>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</si>
  <si>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</si>
  <si>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</si>
  <si>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</si>
  <si>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</si>
  <si>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</si>
  <si>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</si>
  <si>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</si>
  <si>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</si>
  <si>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</si>
  <si>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</si>
  <si>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</si>
  <si>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</si>
  <si>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</si>
  <si>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E3501 TSM Easement</t>
  </si>
  <si>
    <t>E3501 TSM Easement, Colstrip 1-2Com</t>
  </si>
  <si>
    <t>E3501 TSM Easement, Colstrip 3-4Com</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</si>
  <si>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</si>
  <si>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</si>
  <si>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</si>
  <si>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</si>
  <si>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</si>
  <si>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</si>
  <si>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</si>
  <si>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</si>
  <si>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</si>
  <si>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</si>
  <si>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</si>
  <si>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</si>
  <si>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</si>
  <si>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</si>
  <si>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</si>
  <si>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</si>
  <si>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</si>
  <si>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</si>
  <si>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</si>
  <si>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</si>
  <si>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</si>
  <si>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</si>
  <si>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</si>
  <si>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</si>
  <si>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</si>
  <si>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</si>
  <si>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</si>
  <si>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</si>
  <si>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</si>
  <si>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</si>
  <si>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</si>
  <si>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</si>
  <si>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</si>
  <si>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</si>
  <si>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 xml:space="preserve">  24200011  Baker SA 318 Law Enf</t>
  </si>
  <si>
    <t xml:space="preserve">  24200451  US Trsr Grnts-Sch95A</t>
  </si>
  <si>
    <t xml:space="preserve">  24200521  FERC Land Use Fee ST</t>
  </si>
  <si>
    <t xml:space="preserve">  24200541  Lower Baker - FERC L</t>
  </si>
  <si>
    <t xml:space="preserve">  24200551  Upper Baker - FERC L</t>
  </si>
  <si>
    <t xml:space="preserve">  24200561  Snoqualmie #1 - FERC</t>
  </si>
  <si>
    <t xml:space="preserve">  24200571  Snoqualmie #2 - FERC</t>
  </si>
  <si>
    <t xml:space="preserve">  24200622  Accrued WUTC Fee - Gas</t>
  </si>
  <si>
    <t xml:space="preserve">  24200651  Elec-Concrete Fundg</t>
  </si>
  <si>
    <t xml:space="preserve">  24200661  Elec-Up Skag Trb MOU</t>
  </si>
  <si>
    <t xml:space="preserve">  24200671  Elec-Sauk-Suiattle</t>
  </si>
  <si>
    <t xml:space="preserve">  24200681  Elec-Swinomish Tribe</t>
  </si>
  <si>
    <t xml:space="preserve">  24200811  Art 103-Upstream Fsh</t>
  </si>
  <si>
    <t xml:space="preserve">  24200821  Art 105-Dnstream Fsh</t>
  </si>
  <si>
    <t xml:space="preserve">  24200831  Art 511-Decayng Wood</t>
  </si>
  <si>
    <t xml:space="preserve">  24200841  Art 505-O&amp;M Aqua Rpa</t>
  </si>
  <si>
    <t xml:space="preserve">  24200851  Art 602-O&amp;M RecAdap</t>
  </si>
  <si>
    <t xml:space="preserve">  24200871  Art 514-Use Habitat</t>
  </si>
  <si>
    <t xml:space="preserve">  24200881  Art 101-Fish Pro O&amp;M</t>
  </si>
  <si>
    <t xml:space="preserve">  24200891  Art 110-Shorelin O&amp;M</t>
  </si>
  <si>
    <t xml:space="preserve">  24200901  Art 502-Forest Capit</t>
  </si>
  <si>
    <t xml:space="preserve">  24200911  Art 502-Forest O&amp;M</t>
  </si>
  <si>
    <t xml:space="preserve">  24200921  Art 503-Elk Capital</t>
  </si>
  <si>
    <t xml:space="preserve">  24200931  Art 503-Elk Habi O&amp;M</t>
  </si>
  <si>
    <t xml:space="preserve">  24200941  Art 504-Wetland Capi</t>
  </si>
  <si>
    <t xml:space="preserve">  24200951  Art 504-Wetland O&amp;M</t>
  </si>
  <si>
    <t xml:space="preserve">  24200961  Art 505-Aquatic Capi</t>
  </si>
  <si>
    <t xml:space="preserve">  24200971  Art 508-Noxious O&amp;M</t>
  </si>
  <si>
    <t xml:space="preserve">  24200991  Art 602-Terrestr O&amp;M</t>
  </si>
  <si>
    <t xml:space="preserve">  24201031  Art 302 - Aest Mgmt</t>
  </si>
  <si>
    <t xml:space="preserve">  24201041  Art 304 Bak Rrs Rec</t>
  </si>
  <si>
    <t xml:space="preserve">  Bothell Landlord Incentive</t>
  </si>
  <si>
    <t xml:space="preserve"> NERC Standards Compliance</t>
  </si>
  <si>
    <t xml:space="preserve">  Redmond West Landlord Incentive</t>
  </si>
  <si>
    <t xml:space="preserve">  BofA Rebate</t>
  </si>
  <si>
    <t>Qualified Pension Plan Liability</t>
  </si>
  <si>
    <t/>
  </si>
  <si>
    <t>Bonneville Power Admin</t>
  </si>
  <si>
    <t>Macquarie Energy, LLC</t>
  </si>
  <si>
    <t>Morgan Stanley Capital</t>
  </si>
  <si>
    <t>Portland General Electric Marketing</t>
  </si>
  <si>
    <t>Shell Energy North America</t>
  </si>
  <si>
    <t>Sierra Pacific Industries</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</si>
  <si>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</si>
  <si>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</si>
  <si>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</si>
  <si>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</si>
  <si>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</si>
  <si>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</si>
  <si>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</si>
  <si>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</si>
  <si>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</si>
  <si>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</si>
  <si>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E3599 TSM ARO Transmission</t>
  </si>
  <si>
    <t>in Thousands</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</si>
  <si>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</si>
  <si>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</si>
  <si>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</si>
  <si>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</si>
  <si>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</si>
  <si>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</si>
  <si>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</si>
  <si>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</si>
  <si>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</si>
  <si>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</si>
  <si>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</si>
  <si>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</si>
  <si>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</si>
  <si>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</si>
  <si>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</si>
  <si>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</si>
  <si>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</si>
  <si>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</si>
  <si>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</si>
  <si>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</si>
  <si>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</si>
  <si>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</si>
  <si>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</si>
  <si>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</si>
  <si>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</si>
  <si>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</si>
  <si>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</si>
  <si>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</si>
  <si>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</si>
  <si>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</si>
  <si>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</si>
  <si>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</si>
  <si>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</si>
  <si>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</si>
  <si>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</si>
  <si>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</si>
  <si>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</si>
  <si>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</si>
  <si>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PCS Revenue (reimbursement, not fees)</t>
  </si>
  <si>
    <t>Other Electric Revenues - Other Misc</t>
  </si>
  <si>
    <t>DBU - Other Electric Revenues</t>
  </si>
  <si>
    <t>Green Energy Option</t>
  </si>
  <si>
    <t>Other Electric Revenues - Sale of Non Core Gas</t>
  </si>
  <si>
    <t>Other Electric Revenues - Cost Non Core Gas Sold</t>
  </si>
  <si>
    <t>Other Electric Revenues - Cedar Hills Facility Fee</t>
  </si>
  <si>
    <t>Sumas DeMinizd H2O Sale - Socco</t>
  </si>
  <si>
    <t>Lifetime O&amp;M Revenue - Elec</t>
  </si>
  <si>
    <t>REC Revenue per Tariff Schedule -E</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</si>
  <si>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</si>
  <si>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</si>
  <si>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</si>
  <si>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</si>
  <si>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</si>
  <si>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</si>
  <si>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</si>
  <si>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</si>
  <si>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</si>
  <si>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BP Westcoast Products</t>
  </si>
  <si>
    <t>Rent from Electric Property - Land and Buildings</t>
  </si>
  <si>
    <t>Rent from PCS</t>
  </si>
  <si>
    <t>Rent from Common Property - Land and Buildings</t>
  </si>
  <si>
    <t>p207.75.g</t>
  </si>
  <si>
    <t>Calculation of Distribution Plant In Service</t>
  </si>
  <si>
    <t>Distribution</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</si>
  <si>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</si>
  <si>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</si>
  <si>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</si>
  <si>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</si>
  <si>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</si>
  <si>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</si>
  <si>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</si>
  <si>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</si>
  <si>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</si>
  <si>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</si>
  <si>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</si>
  <si>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</si>
  <si>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</si>
  <si>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</si>
  <si>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</si>
  <si>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</si>
  <si>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</si>
  <si>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</si>
  <si>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</si>
  <si>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</si>
  <si>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</si>
  <si>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</si>
  <si>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</si>
  <si>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</si>
  <si>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</si>
  <si>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</si>
  <si>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</si>
  <si>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</si>
  <si>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</si>
  <si>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</si>
  <si>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</si>
  <si>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</si>
  <si>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</si>
  <si>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</si>
  <si>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</si>
  <si>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</si>
  <si>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</si>
  <si>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</si>
  <si>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</si>
  <si>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</si>
  <si>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</si>
  <si>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</si>
  <si>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</si>
  <si>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</si>
  <si>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</si>
  <si>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</si>
  <si>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</si>
  <si>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</si>
  <si>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</si>
  <si>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</si>
  <si>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</si>
  <si>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</si>
  <si>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</si>
  <si>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</si>
  <si>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</si>
  <si>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</si>
  <si>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</si>
  <si>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</si>
  <si>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</si>
  <si>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</si>
  <si>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</si>
  <si>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</si>
  <si>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</si>
  <si>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</si>
  <si>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</si>
  <si>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</si>
  <si>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</si>
  <si>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</si>
  <si>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</si>
  <si>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</si>
  <si>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</si>
  <si>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</si>
  <si>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</si>
  <si>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</si>
  <si>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</si>
  <si>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</si>
  <si>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</si>
  <si>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</si>
  <si>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</si>
  <si>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</si>
  <si>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</si>
  <si>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</si>
  <si>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</si>
  <si>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</si>
  <si>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</si>
  <si>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</si>
  <si>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</si>
  <si>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</si>
  <si>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</si>
  <si>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</si>
  <si>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</si>
  <si>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</si>
  <si>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</si>
  <si>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</si>
  <si>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</si>
  <si>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</si>
  <si>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</si>
  <si>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</si>
  <si>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</si>
  <si>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</si>
  <si>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</si>
  <si>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</si>
  <si>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</si>
  <si>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</si>
  <si>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</si>
  <si>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</si>
  <si>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</si>
  <si>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</si>
  <si>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</si>
  <si>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</si>
  <si>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</si>
  <si>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</si>
  <si>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</si>
  <si>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</si>
  <si>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</si>
  <si>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</si>
  <si>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</si>
  <si>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</si>
  <si>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</si>
  <si>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</si>
  <si>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</si>
  <si>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</si>
  <si>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</si>
  <si>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</si>
  <si>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</si>
  <si>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</si>
  <si>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</si>
  <si>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</si>
  <si>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</si>
  <si>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</si>
  <si>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</si>
  <si>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</si>
  <si>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</si>
  <si>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</si>
  <si>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</si>
  <si>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</si>
  <si>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</si>
  <si>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</si>
  <si>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</si>
  <si>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</si>
  <si>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</si>
  <si>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</si>
  <si>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</si>
  <si>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</si>
  <si>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</si>
  <si>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</si>
  <si>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</si>
  <si>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</si>
  <si>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</si>
  <si>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</si>
  <si>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</si>
  <si>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</si>
  <si>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</si>
  <si>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</si>
  <si>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</si>
  <si>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</si>
  <si>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</si>
  <si>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</si>
  <si>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</si>
  <si>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</si>
  <si>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</si>
  <si>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</si>
  <si>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</si>
  <si>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</si>
  <si>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</si>
  <si>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</si>
  <si>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</si>
  <si>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</si>
  <si>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</si>
  <si>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</si>
  <si>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</si>
  <si>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</si>
  <si>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</si>
  <si>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</si>
  <si>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</si>
  <si>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</si>
  <si>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</si>
  <si>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</si>
  <si>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</si>
  <si>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</si>
  <si>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</si>
  <si>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</si>
  <si>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</si>
  <si>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</si>
  <si>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</si>
  <si>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</si>
  <si>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</si>
  <si>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</si>
  <si>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</si>
  <si>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</si>
  <si>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</si>
  <si>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</si>
  <si>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</si>
  <si>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</si>
  <si>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</si>
  <si>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</si>
  <si>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</si>
  <si>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</si>
  <si>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</si>
  <si>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</si>
  <si>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</si>
  <si>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</si>
  <si>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</si>
  <si>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355 Poles and Fixtures (p.308.52.g)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</si>
  <si>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</si>
  <si>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</si>
  <si>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</si>
  <si>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</si>
  <si>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</si>
  <si>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</si>
  <si>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</si>
  <si>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</si>
  <si>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</si>
  <si>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</si>
  <si>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</si>
  <si>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</si>
  <si>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</si>
  <si>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</si>
  <si>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</si>
  <si>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</si>
  <si>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</si>
  <si>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</si>
  <si>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</si>
  <si>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</si>
  <si>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</si>
  <si>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</si>
  <si>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</si>
  <si>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</si>
  <si>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</si>
  <si>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</si>
  <si>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</si>
  <si>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</si>
  <si>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</si>
  <si>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</si>
  <si>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</si>
  <si>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</si>
  <si>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</si>
  <si>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</si>
  <si>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Marsh USA</t>
  </si>
  <si>
    <t>Prepmts - WECC Dues</t>
  </si>
  <si>
    <t>Prepaid SAP Support</t>
  </si>
  <si>
    <t>Prepaid NW Gas Association Dues</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</si>
  <si>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</si>
  <si>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</si>
  <si>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</si>
  <si>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</si>
  <si>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</si>
  <si>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</si>
  <si>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</si>
  <si>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</si>
  <si>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</si>
  <si>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</si>
  <si>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</si>
  <si>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</si>
  <si>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</si>
  <si>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</si>
  <si>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</si>
  <si>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</si>
  <si>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</si>
  <si>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</si>
  <si>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</si>
  <si>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</si>
  <si>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</si>
  <si>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</si>
  <si>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</si>
  <si>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</si>
  <si>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</si>
  <si>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</si>
  <si>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</si>
  <si>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</si>
  <si>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</si>
  <si>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</si>
  <si>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</si>
  <si>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</si>
  <si>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</si>
  <si>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</si>
  <si>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</si>
  <si>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</si>
  <si>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</si>
  <si>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</si>
  <si>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</si>
  <si>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</si>
  <si>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</si>
  <si>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</si>
  <si>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</si>
  <si>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</si>
  <si>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</si>
  <si>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</si>
  <si>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</si>
  <si>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</si>
  <si>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</si>
  <si>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</si>
  <si>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</si>
  <si>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</si>
  <si>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</si>
  <si>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</si>
  <si>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</si>
  <si>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</si>
  <si>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</si>
  <si>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</si>
  <si>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</si>
  <si>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</si>
  <si>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</si>
  <si>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</si>
  <si>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</si>
  <si>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</si>
  <si>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</si>
  <si>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</si>
  <si>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</si>
  <si>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</si>
  <si>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</si>
  <si>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</si>
  <si>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</si>
  <si>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</si>
  <si>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</si>
  <si>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</si>
  <si>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</si>
  <si>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</si>
  <si>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</si>
  <si>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</si>
  <si>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</si>
  <si>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</si>
  <si>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</si>
  <si>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</si>
  <si>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</si>
  <si>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</si>
  <si>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</si>
  <si>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</si>
  <si>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</si>
  <si>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</si>
  <si>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</si>
  <si>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</si>
  <si>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</si>
  <si>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</si>
  <si>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</si>
  <si>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</si>
  <si>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</si>
  <si>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</si>
  <si>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</si>
  <si>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</si>
  <si>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</si>
  <si>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</si>
  <si>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</si>
  <si>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</si>
  <si>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</si>
  <si>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</si>
  <si>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</si>
  <si>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</si>
  <si>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</si>
  <si>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</si>
  <si>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</si>
  <si>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</si>
  <si>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</si>
  <si>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</si>
  <si>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</si>
  <si>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</si>
  <si>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</si>
  <si>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</si>
  <si>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</si>
  <si>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</si>
  <si>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</si>
  <si>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</si>
  <si>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</si>
  <si>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</si>
  <si>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</si>
  <si>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</si>
  <si>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</si>
  <si>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</si>
  <si>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Depreciation related</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</si>
  <si>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</si>
  <si>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</si>
  <si>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</si>
  <si>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</si>
  <si>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</si>
  <si>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</si>
  <si>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</si>
  <si>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</si>
  <si>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</si>
  <si>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</si>
  <si>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</si>
  <si>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</si>
  <si>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</si>
  <si>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</si>
  <si>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</si>
  <si>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</si>
  <si>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</si>
  <si>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</si>
  <si>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</si>
  <si>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</si>
  <si>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</si>
  <si>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</si>
  <si>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</si>
  <si>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</si>
  <si>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</si>
  <si>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</si>
  <si>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</si>
  <si>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</si>
  <si>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</si>
  <si>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</si>
  <si>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</si>
  <si>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</si>
  <si>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</si>
  <si>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</si>
  <si>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</si>
  <si>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</si>
  <si>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</si>
  <si>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</si>
  <si>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</si>
  <si>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</si>
  <si>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</si>
  <si>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</si>
  <si>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</si>
  <si>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</si>
  <si>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</si>
  <si>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</si>
  <si>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</si>
  <si>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</si>
  <si>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</si>
  <si>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</si>
  <si>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</si>
  <si>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</si>
  <si>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</si>
  <si>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</si>
  <si>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</si>
  <si>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</si>
  <si>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</si>
  <si>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</si>
  <si>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</si>
  <si>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</si>
  <si>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</si>
  <si>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</si>
  <si>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</si>
  <si>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</si>
  <si>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</si>
  <si>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</si>
  <si>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</si>
  <si>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</si>
  <si>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</si>
  <si>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</si>
  <si>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</si>
  <si>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</si>
  <si>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</si>
  <si>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</si>
  <si>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</si>
  <si>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</si>
  <si>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</si>
  <si>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</si>
  <si>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</si>
  <si>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</si>
  <si>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</si>
  <si>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</si>
  <si>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</si>
  <si>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</si>
  <si>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</si>
  <si>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</si>
  <si>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Electron Height</t>
  </si>
  <si>
    <t>E3539 (GIF) Sta Eq, Encogen</t>
  </si>
  <si>
    <t>E3539 (GIF) Sta Eq, Fred 1/Epcor</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</si>
  <si>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</si>
  <si>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</si>
  <si>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</si>
  <si>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</si>
  <si>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</si>
  <si>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</si>
  <si>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</si>
  <si>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</si>
  <si>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</si>
  <si>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</si>
  <si>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</si>
  <si>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</si>
  <si>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</si>
  <si>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</si>
  <si>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</si>
  <si>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</si>
  <si>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</si>
  <si>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Ferndale</t>
  </si>
  <si>
    <t>E3539 (GIF) Sta Eq, Snoq 1-2013</t>
  </si>
  <si>
    <t>E3539 (GIF) Sta Eq, Snoq 2-2013</t>
  </si>
  <si>
    <t>E3549 (GIF) Twr/Fixt, Ferndale</t>
  </si>
  <si>
    <t xml:space="preserve">  24200061  Wind Farm Maint Accr</t>
  </si>
  <si>
    <t xml:space="preserve">  24200103  JR Achieve Pld - ST</t>
  </si>
  <si>
    <t xml:space="preserve">  24200461  LSR US Trsr Grnts</t>
  </si>
  <si>
    <t>PSE/16500083</t>
  </si>
  <si>
    <t>PSE/16500583</t>
  </si>
  <si>
    <t>PSE/16500283</t>
  </si>
  <si>
    <t>PSE/16500673</t>
  </si>
  <si>
    <t>PSE/16500183</t>
  </si>
  <si>
    <t>Ppd - Annual Credit Rating Fee Short Term</t>
  </si>
  <si>
    <t>PSE/16500013</t>
  </si>
  <si>
    <t>PSE/16500063</t>
  </si>
  <si>
    <t>PSE/16500143</t>
  </si>
  <si>
    <t>PSE/16500333</t>
  </si>
  <si>
    <t>PSE/16500373</t>
  </si>
  <si>
    <t>PSE/16500413</t>
  </si>
  <si>
    <t>PSE/16500123</t>
  </si>
  <si>
    <t>PSE/16500683</t>
  </si>
  <si>
    <t>PSE/16500383</t>
  </si>
  <si>
    <t>PSE/16500563</t>
  </si>
  <si>
    <t>PSE/16500633</t>
  </si>
  <si>
    <t>PSE/16500643</t>
  </si>
  <si>
    <t>PSE/16500153</t>
  </si>
  <si>
    <t>PSE/16500251</t>
  </si>
  <si>
    <t>PSE/16500433</t>
  </si>
  <si>
    <t>PSE/16500443</t>
  </si>
  <si>
    <t>PSE/16500693</t>
  </si>
  <si>
    <t>PSE/16500743</t>
  </si>
  <si>
    <t>PSE/16500753</t>
  </si>
  <si>
    <t>PSE/16500783</t>
  </si>
  <si>
    <t>PSE/16500703</t>
  </si>
  <si>
    <t>PSE/16500893</t>
  </si>
  <si>
    <t>PSE/16501051</t>
  </si>
  <si>
    <t>PSE/16501083</t>
  </si>
  <si>
    <t>PSE/16502013</t>
  </si>
  <si>
    <t>PSE/16502003</t>
  </si>
  <si>
    <t>PSE/16501103</t>
  </si>
  <si>
    <t>Prepaid - D&amp;O Insurance (annual)</t>
  </si>
  <si>
    <t>Prepmnts - Alstrom Software Support Services</t>
  </si>
  <si>
    <t>Prepaid - GEC/NICE short-term</t>
  </si>
  <si>
    <t>Prepaid Prometheus Software Maintenance</t>
  </si>
  <si>
    <t>Prepaid - Coriant America</t>
  </si>
  <si>
    <t>Prepaid Voice Print International - Short Term</t>
  </si>
  <si>
    <t>Prepaid - GEC/NICE - Long Term</t>
  </si>
  <si>
    <t>Prepaid PSE Building Brokerage Fee - Short Term</t>
  </si>
  <si>
    <t>Prepaid PSE Building Brokerage Fee - Long Term</t>
  </si>
  <si>
    <t>Prepaid- Infor Global Solutions - Short Term</t>
  </si>
  <si>
    <t>Prepaid- Sirius Maintenance Contract - Short Term</t>
  </si>
  <si>
    <t>PSE/16500163</t>
  </si>
  <si>
    <t>PSE/16500553</t>
  </si>
  <si>
    <t>PSE/16500611</t>
  </si>
  <si>
    <t>PSE/16500612</t>
  </si>
  <si>
    <t>PSE/16500622</t>
  </si>
  <si>
    <t>PSE/16500623</t>
  </si>
  <si>
    <t>PSE/16500901</t>
  </si>
  <si>
    <t>PSE/16501003</t>
  </si>
  <si>
    <t>PSE/16501013</t>
  </si>
  <si>
    <t>PSE/16500401</t>
  </si>
  <si>
    <t>PSE/16500411</t>
  </si>
  <si>
    <t>PSE/16500103</t>
  </si>
  <si>
    <t>PSE/16500173</t>
  </si>
  <si>
    <t>PSE/16502023</t>
  </si>
  <si>
    <t>Prepaid Gas Options</t>
  </si>
  <si>
    <t>Ppd - Corporation Executive Board (CEB)</t>
  </si>
  <si>
    <t>Prepaid Platts Subscription - Short Term</t>
  </si>
  <si>
    <t>Excelon Generation Company, LLC</t>
  </si>
  <si>
    <t>Turlock Irrigation District</t>
  </si>
  <si>
    <t>AMCOR Rigid Plastics USA</t>
  </si>
  <si>
    <t>Shell Oil Products (Equilon)</t>
  </si>
  <si>
    <t>Elec Res Decouling Revenue</t>
  </si>
  <si>
    <t>Account 926 (2012)</t>
  </si>
  <si>
    <t>E3536 TSM Sta Eq, Sumas SMS</t>
  </si>
  <si>
    <t>Vantage Wind Energy LLC- Invenergy</t>
  </si>
  <si>
    <t>Cargill Power Marketers</t>
  </si>
  <si>
    <t>Seattle City Light Marketing</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</si>
  <si>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</si>
  <si>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</si>
  <si>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</si>
  <si>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</si>
  <si>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</si>
  <si>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</si>
  <si>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</si>
  <si>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</si>
  <si>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 xml:space="preserve">  24200071  Cali Carbon Obligati</t>
  </si>
  <si>
    <t>PSE/16502103</t>
  </si>
  <si>
    <t>Ppd -Doble substation equip Lease</t>
  </si>
  <si>
    <t>PSE/16502063</t>
  </si>
  <si>
    <t>Prepaid-Corner Stone-PALMS payments -Short Term</t>
  </si>
  <si>
    <t>PSE/16502053</t>
  </si>
  <si>
    <t>Prepaid RSA - Archer Software Mainten- Short Term</t>
  </si>
  <si>
    <t>PSE/16502113</t>
  </si>
  <si>
    <t>Prepaid-GIS software maint-ST</t>
  </si>
  <si>
    <t>Biogas proceeds</t>
  </si>
  <si>
    <t>Retail sales and distr revenue</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</si>
  <si>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</si>
  <si>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</si>
  <si>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</si>
  <si>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</si>
  <si>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</si>
  <si>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</si>
  <si>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</si>
  <si>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</si>
  <si>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</si>
  <si>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</si>
  <si>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</si>
  <si>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</si>
  <si>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</si>
  <si>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</si>
  <si>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</si>
  <si>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</si>
  <si>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</si>
  <si>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</si>
  <si>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</si>
  <si>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</si>
  <si>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</si>
  <si>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</si>
  <si>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</si>
  <si>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</si>
  <si>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</si>
  <si>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</si>
  <si>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</si>
  <si>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</si>
  <si>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</si>
  <si>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</si>
  <si>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</si>
  <si>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</si>
  <si>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</si>
  <si>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</si>
  <si>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</si>
  <si>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</si>
  <si>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</si>
  <si>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</si>
  <si>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</si>
  <si>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Prepaid -Workiva Subscription</t>
  </si>
  <si>
    <t>Prepaid - Open Text</t>
  </si>
  <si>
    <t>Prepaid - ServiceNow Maintenance Service Contract</t>
  </si>
  <si>
    <t>Prepaid - Annual Maintan for LogRhythm</t>
  </si>
  <si>
    <t>PSE/16502123</t>
  </si>
  <si>
    <t>PSE/16502153</t>
  </si>
  <si>
    <t>PSE/16502133</t>
  </si>
  <si>
    <t>Prepaid - Colstrip</t>
  </si>
  <si>
    <t>Prepaid - Goldendale</t>
  </si>
  <si>
    <t>PSE/16502021</t>
  </si>
  <si>
    <t>PSE/16502231</t>
  </si>
  <si>
    <t xml:space="preserve">  24200641 Electric WUTC SQI penalty</t>
  </si>
  <si>
    <t xml:space="preserve">  24200632 Gas WUTC SQI Penalty</t>
  </si>
  <si>
    <t>Redmond West Improvements</t>
  </si>
  <si>
    <t>Maquarie Energy, LLC</t>
  </si>
  <si>
    <t>NextEra Energy Power Marktng, LLC</t>
  </si>
  <si>
    <t>For 2015</t>
  </si>
  <si>
    <t>Original Cost 12/31/2016</t>
  </si>
  <si>
    <t>Accumulated Depreciation 12/31/2016</t>
  </si>
  <si>
    <t>Net Plant 12/31/2016</t>
  </si>
  <si>
    <t>Change 13 month average in worksheet 5 plant balances to calculate in spreadsheet rather than hard coded from property accounting report</t>
  </si>
  <si>
    <t>For 2016</t>
  </si>
  <si>
    <t xml:space="preserve">   Total Colstrip</t>
  </si>
  <si>
    <t>E3529 (GIF) Str/Impr, Fredonia 1&amp;2</t>
  </si>
  <si>
    <t>E3539 (GIF) Sta Eq, LB#4 -2013</t>
  </si>
  <si>
    <t>E3559 (GIF) Poles, TLN-HPK@plant</t>
  </si>
  <si>
    <t>E3569 (GIF) O/H Cond, TLN-HPK@plant</t>
  </si>
  <si>
    <t>E3579 (GIF)U/G Conduit,TLN-WHD@plnt</t>
  </si>
  <si>
    <t>E3589 (GIF)U/G Cond,TLN-HPK@plt</t>
  </si>
  <si>
    <t>E3589 (GIF)U/G Cond,TLN-WHD@plnt</t>
  </si>
  <si>
    <t>E3589 (GIF)U/G Cond,TLN-WHDE@plt</t>
  </si>
  <si>
    <t>Total WA Transmission Plant</t>
  </si>
  <si>
    <t>Total Colstrip Transmission Plant</t>
  </si>
  <si>
    <t>Total Southern Intertie Plant</t>
  </si>
  <si>
    <t>Total Transmission Plant</t>
  </si>
  <si>
    <t>ties to FF1 p206.58(b)</t>
  </si>
  <si>
    <t>ties to FF1 p207.58(g)</t>
  </si>
  <si>
    <t>Transmission Plant in Service</t>
  </si>
  <si>
    <t>Transmission Plant Accumulated Depreciation</t>
  </si>
  <si>
    <t xml:space="preserve">  Total Southern Intertie</t>
  </si>
  <si>
    <t>WA Area Total Trans Depr Reserves</t>
  </si>
  <si>
    <t>Southern Intertie Total Depr Reserves</t>
  </si>
  <si>
    <t>Total Depreciation reserves</t>
  </si>
  <si>
    <t>Ties to FERC Form 1 p219.25.(c)</t>
  </si>
  <si>
    <t>PSE/16500321</t>
  </si>
  <si>
    <t>PSE/16500331</t>
  </si>
  <si>
    <t>Prepmts - Peak Reliability</t>
  </si>
  <si>
    <t>PSE/16500351</t>
  </si>
  <si>
    <t>Prepmts - MCG EAS Hosting</t>
  </si>
  <si>
    <t>PSE/16504283</t>
  </si>
  <si>
    <t>PSE/16504233</t>
  </si>
  <si>
    <t xml:space="preserve">Ppd - CISCO Smartnet (Dimension Data) </t>
  </si>
  <si>
    <t>PSE/16502413</t>
  </si>
  <si>
    <t>PSE/16504063</t>
  </si>
  <si>
    <t>PSE/16504073</t>
  </si>
  <si>
    <t>PSE/16504023</t>
  </si>
  <si>
    <t>Prepaid - TAIT Support Agreement</t>
  </si>
  <si>
    <t>PSE/16502463</t>
  </si>
  <si>
    <t>Prepaid - Zetron Support Agreement</t>
  </si>
  <si>
    <t>PSE/16502213</t>
  </si>
  <si>
    <t>PSE/16500493</t>
  </si>
  <si>
    <t>Prepaid - Lenovo Maintenance Renewal</t>
  </si>
  <si>
    <t>PSE/16501101</t>
  </si>
  <si>
    <t>Prepaid - OATI Annual Services</t>
  </si>
  <si>
    <t>PSE/16502163</t>
  </si>
  <si>
    <t>Prepaid - CEB - Annual CIO Membership</t>
  </si>
  <si>
    <t>PSE/16502433</t>
  </si>
  <si>
    <t xml:space="preserve">Prepaid - SAI Global License </t>
  </si>
  <si>
    <t>PSE/16502001</t>
  </si>
  <si>
    <t>Prepaid - Colstrip 1&amp;2 Misc</t>
  </si>
  <si>
    <t>PSE/16502191</t>
  </si>
  <si>
    <t>Prepaid - LSR Leaseholder Minimum Rent - ST</t>
  </si>
  <si>
    <t>PSE/16504201</t>
  </si>
  <si>
    <t>Prepaid - Art 312 Dev Rec- Camp - Major Maint - LT</t>
  </si>
  <si>
    <t>PSE/16502221,4171</t>
  </si>
  <si>
    <t>PSE/16504181,2231</t>
  </si>
  <si>
    <t>PSE/16502381,4231</t>
  </si>
  <si>
    <t>PSE/16502391,4241</t>
  </si>
  <si>
    <t>PSE/16502401,4251</t>
  </si>
  <si>
    <t>PSE/16502241,4191</t>
  </si>
  <si>
    <t>PSE/16502261,4261</t>
  </si>
  <si>
    <t>PSE/16502271,4271</t>
  </si>
  <si>
    <t>PSE/16502201,4221</t>
  </si>
  <si>
    <t>PSE/16502382,4112</t>
  </si>
  <si>
    <t>24200032 WUTC Greenwood Penalty Accrual</t>
  </si>
  <si>
    <t>Electric Rate of Return Refund</t>
  </si>
  <si>
    <t>Generation Stream Sales</t>
  </si>
  <si>
    <t>OR</t>
  </si>
  <si>
    <t xml:space="preserve">                              -</t>
  </si>
  <si>
    <t>WA</t>
  </si>
  <si>
    <t>Iberdrola Renewables, LLC</t>
  </si>
  <si>
    <t>Avista</t>
  </si>
  <si>
    <t>Brookfield Energy Marketing, LP</t>
  </si>
  <si>
    <t>Various</t>
  </si>
  <si>
    <t>2016 annual update error correction</t>
  </si>
  <si>
    <t>p207.52.g</t>
  </si>
  <si>
    <t>Additional revenue from redirects from LT to ST</t>
  </si>
  <si>
    <t xml:space="preserve">  Total Washington Area</t>
  </si>
  <si>
    <t xml:space="preserve">E353 TSM Sta Eq, Colstrip 3-4 </t>
  </si>
  <si>
    <t xml:space="preserve">  Total WA GIF</t>
  </si>
  <si>
    <t xml:space="preserve">  Total Colstrip GIF</t>
  </si>
  <si>
    <t xml:space="preserve">  Total WA Area</t>
  </si>
  <si>
    <t>E3500 TSM Land, N Intertie</t>
  </si>
  <si>
    <t>E3500 TSM Land, Wind Ridge</t>
  </si>
  <si>
    <t xml:space="preserve">E3556 TSM Poles </t>
  </si>
  <si>
    <t xml:space="preserve">E3557 TSM Poles </t>
  </si>
  <si>
    <t>E3500 TSM Land, Colstrip</t>
  </si>
  <si>
    <t xml:space="preserve">  Total Colstrip</t>
  </si>
  <si>
    <t>E3500 TSM Land, 3rd AC</t>
  </si>
  <si>
    <t xml:space="preserve">E3539 (GIF) Sta Eq, Wild Horse </t>
  </si>
  <si>
    <t>Colstrip Total Depr Reserves</t>
  </si>
  <si>
    <t>E3569 (GIF) O/H Cond,  Baker</t>
  </si>
  <si>
    <t>Distribution UG Maintenance Contract</t>
  </si>
  <si>
    <t>Steam Plant Rent Revenue from Colstrip #1 &amp; #2</t>
  </si>
  <si>
    <t>Steam Plant Rent Revenue from Colstrip #3 &amp; #4</t>
  </si>
  <si>
    <t xml:space="preserve">E35099 (GIF) Easement, Colstrip </t>
  </si>
  <si>
    <t xml:space="preserve">E3539 (GIF) Sta Eq, Colstrip </t>
  </si>
  <si>
    <t xml:space="preserve">E3549 (GIF) Twr/Fixt, Colstrip </t>
  </si>
  <si>
    <t xml:space="preserve">E3559 (GIF) Poles, Colstrip </t>
  </si>
  <si>
    <t xml:space="preserve">E3569 (GIF) O/H Cond, Colstrip </t>
  </si>
  <si>
    <t>E3539 (GIF) Sta Eq, Colstrip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</si>
</sst>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quot;$&quot;#,##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sz val="9"/>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4"/>
      <color indexed="8"/>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8"/>
      <color theme="1"/>
      <name val="Calibri"/>
      <family val="2"/>
      <scheme val="minor"/>
    </font>
    <font>
      <sz val="10"/>
      <name val="Arial"/>
      <family val="2"/>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sz val="18"/>
      <name val="Arial"/>
      <family val="2"/>
    </font>
    <font>
      <b/>
      <sz val="9"/>
      <color indexed="81"/>
      <name val="Tahoma"/>
      <family val="2"/>
    </font>
    <font>
      <sz val="9"/>
      <color indexed="81"/>
      <name val="Tahoma"/>
      <family val="2"/>
    </font>
  </fonts>
  <fills count="7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55">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4" fillId="14" borderId="0" applyNumberFormat="0" applyBorder="0" applyAlignment="0" applyProtection="0"/>
    <xf numFmtId="0" fontId="94" fillId="4" borderId="0" applyNumberFormat="0" applyBorder="0" applyAlignment="0" applyProtection="0"/>
    <xf numFmtId="0" fontId="94" fillId="11" borderId="0" applyNumberFormat="0" applyBorder="0" applyAlignment="0" applyProtection="0"/>
    <xf numFmtId="0" fontId="94" fillId="15" borderId="0" applyNumberFormat="0" applyBorder="0" applyAlignment="0" applyProtection="0"/>
    <xf numFmtId="0" fontId="94"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94" fillId="19" borderId="0" applyNumberFormat="0" applyBorder="0" applyAlignment="0" applyProtection="0"/>
    <xf numFmtId="0" fontId="94" fillId="20" borderId="0" applyNumberFormat="0" applyBorder="0" applyAlignment="0" applyProtection="0"/>
    <xf numFmtId="0" fontId="94" fillId="15" borderId="0" applyNumberFormat="0" applyBorder="0" applyAlignment="0" applyProtection="0"/>
    <xf numFmtId="0" fontId="94" fillId="16" borderId="0" applyNumberFormat="0" applyBorder="0" applyAlignment="0" applyProtection="0"/>
    <xf numFmtId="0" fontId="94" fillId="21" borderId="0" applyNumberFormat="0" applyBorder="0" applyAlignment="0" applyProtection="0"/>
    <xf numFmtId="0" fontId="95" fillId="5" borderId="0" applyNumberFormat="0" applyBorder="0" applyAlignment="0" applyProtection="0"/>
    <xf numFmtId="0" fontId="106" fillId="12" borderId="1" applyNumberFormat="0" applyAlignment="0" applyProtection="0"/>
    <xf numFmtId="0" fontId="96" fillId="22" borderId="2" applyNumberFormat="0" applyAlignment="0" applyProtection="0"/>
    <xf numFmtId="178" fontId="68"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97" fillId="0" borderId="0" applyNumberFormat="0" applyFill="0" applyBorder="0" applyAlignment="0" applyProtection="0"/>
    <xf numFmtId="2" fontId="8" fillId="23" borderId="0" applyFont="0" applyFill="0" applyBorder="0" applyAlignment="0" applyProtection="0"/>
    <xf numFmtId="0" fontId="107" fillId="7" borderId="0" applyNumberFormat="0" applyBorder="0" applyAlignment="0" applyProtection="0"/>
    <xf numFmtId="0" fontId="108" fillId="0" borderId="4" applyNumberFormat="0" applyFill="0" applyAlignment="0" applyProtection="0"/>
    <xf numFmtId="0" fontId="109" fillId="0" borderId="5" applyNumberFormat="0" applyFill="0" applyAlignment="0" applyProtection="0"/>
    <xf numFmtId="0" fontId="110" fillId="0" borderId="6"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8" fillId="8" borderId="1" applyNumberFormat="0" applyAlignment="0" applyProtection="0"/>
    <xf numFmtId="180" fontId="12" fillId="0" borderId="0">
      <alignment horizontal="center"/>
      <protection locked="0"/>
    </xf>
    <xf numFmtId="0" fontId="112" fillId="0" borderId="7" applyNumberFormat="0" applyFill="0" applyAlignment="0" applyProtection="0"/>
    <xf numFmtId="0" fontId="113"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4"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3"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132" fillId="0" borderId="0"/>
    <xf numFmtId="0" fontId="8" fillId="0" borderId="0"/>
    <xf numFmtId="0" fontId="8" fillId="0" borderId="0"/>
    <xf numFmtId="0" fontId="8" fillId="0" borderId="0"/>
    <xf numFmtId="0" fontId="5" fillId="0" borderId="0"/>
    <xf numFmtId="0" fontId="1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8"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100"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70" fillId="0" borderId="10">
      <alignment horizontal="center"/>
    </xf>
    <xf numFmtId="3" fontId="69" fillId="0" borderId="0" applyFont="0" applyFill="0" applyBorder="0" applyAlignment="0" applyProtection="0"/>
    <xf numFmtId="0" fontId="69" fillId="25" borderId="0" applyNumberFormat="0" applyFont="0" applyBorder="0" applyAlignment="0" applyProtection="0"/>
    <xf numFmtId="0" fontId="8" fillId="26" borderId="9" applyNumberFormat="0" applyProtection="0">
      <alignment horizontal="left" vertical="center" indent="1"/>
    </xf>
    <xf numFmtId="4" fontId="47"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5" fillId="0" borderId="0" applyNumberFormat="0" applyFill="0" applyBorder="0" applyAlignment="0" applyProtection="0"/>
    <xf numFmtId="0" fontId="101" fillId="0" borderId="11" applyNumberFormat="0" applyFill="0" applyAlignment="0" applyProtection="0"/>
    <xf numFmtId="0" fontId="99" fillId="0" borderId="0" applyNumberFormat="0" applyFill="0" applyBorder="0" applyAlignment="0" applyProtection="0"/>
    <xf numFmtId="0" fontId="134" fillId="0" borderId="0" applyNumberFormat="0" applyFill="0" applyBorder="0" applyAlignment="0" applyProtection="0"/>
    <xf numFmtId="0" fontId="135" fillId="0" borderId="73" applyNumberFormat="0" applyFill="0" applyAlignment="0" applyProtection="0"/>
    <xf numFmtId="0" fontId="136" fillId="0" borderId="74" applyNumberFormat="0" applyFill="0" applyAlignment="0" applyProtection="0"/>
    <xf numFmtId="0" fontId="137" fillId="0" borderId="75" applyNumberFormat="0" applyFill="0" applyAlignment="0" applyProtection="0"/>
    <xf numFmtId="0" fontId="137" fillId="0" borderId="0" applyNumberFormat="0" applyFill="0" applyBorder="0" applyAlignment="0" applyProtection="0"/>
    <xf numFmtId="0" fontId="138" fillId="38" borderId="0" applyNumberFormat="0" applyBorder="0" applyAlignment="0" applyProtection="0"/>
    <xf numFmtId="0" fontId="139" fillId="39" borderId="0" applyNumberFormat="0" applyBorder="0" applyAlignment="0" applyProtection="0"/>
    <xf numFmtId="0" fontId="140" fillId="40" borderId="0" applyNumberFormat="0" applyBorder="0" applyAlignment="0" applyProtection="0"/>
    <xf numFmtId="0" fontId="141" fillId="41" borderId="76" applyNumberFormat="0" applyAlignment="0" applyProtection="0"/>
    <xf numFmtId="0" fontId="142" fillId="42" borderId="77" applyNumberFormat="0" applyAlignment="0" applyProtection="0"/>
    <xf numFmtId="0" fontId="143" fillId="42" borderId="76" applyNumberFormat="0" applyAlignment="0" applyProtection="0"/>
    <xf numFmtId="0" fontId="144" fillId="0" borderId="78" applyNumberFormat="0" applyFill="0" applyAlignment="0" applyProtection="0"/>
    <xf numFmtId="0" fontId="145" fillId="43" borderId="79" applyNumberFormat="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8" fillId="0" borderId="81" applyNumberFormat="0" applyFill="0" applyAlignment="0" applyProtection="0"/>
    <xf numFmtId="0" fontId="14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49" fillId="48" borderId="0" applyNumberFormat="0" applyBorder="0" applyAlignment="0" applyProtection="0"/>
    <xf numFmtId="0" fontId="149"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49" fillId="52" borderId="0" applyNumberFormat="0" applyBorder="0" applyAlignment="0" applyProtection="0"/>
    <xf numFmtId="0" fontId="149"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49" fillId="60" borderId="0" applyNumberFormat="0" applyBorder="0" applyAlignment="0" applyProtection="0"/>
    <xf numFmtId="0" fontId="149"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49" fillId="64" borderId="0" applyNumberFormat="0" applyBorder="0" applyAlignment="0" applyProtection="0"/>
    <xf numFmtId="0" fontId="149"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49"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80"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80" applyNumberFormat="0" applyFont="0" applyAlignment="0" applyProtection="0"/>
    <xf numFmtId="0" fontId="4" fillId="44" borderId="80"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80"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80" applyNumberFormat="0" applyFont="0" applyAlignment="0" applyProtection="0"/>
    <xf numFmtId="0" fontId="3" fillId="0" borderId="0"/>
    <xf numFmtId="0" fontId="3" fillId="44" borderId="80" applyNumberFormat="0" applyFont="0" applyAlignment="0" applyProtection="0"/>
    <xf numFmtId="0" fontId="3" fillId="44" borderId="8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80" applyNumberFormat="0" applyFont="0" applyAlignment="0" applyProtection="0"/>
    <xf numFmtId="0" fontId="8" fillId="0" borderId="0"/>
    <xf numFmtId="0" fontId="3" fillId="44" borderId="80" applyNumberFormat="0" applyFont="0" applyAlignment="0" applyProtection="0"/>
    <xf numFmtId="0" fontId="3" fillId="44" borderId="80" applyNumberFormat="0" applyFont="0" applyAlignment="0" applyProtection="0"/>
    <xf numFmtId="0" fontId="3" fillId="0" borderId="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0" fontId="3" fillId="44" borderId="80"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80" applyNumberFormat="0" applyFont="0" applyAlignment="0" applyProtection="0"/>
    <xf numFmtId="0" fontId="8" fillId="6" borderId="8" applyNumberFormat="0" applyFont="0" applyAlignment="0" applyProtection="0"/>
    <xf numFmtId="0" fontId="3" fillId="0" borderId="0"/>
    <xf numFmtId="0" fontId="3" fillId="44" borderId="80"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80" applyNumberFormat="0" applyFont="0" applyAlignment="0" applyProtection="0"/>
    <xf numFmtId="43" fontId="8" fillId="0" borderId="0" applyNumberFormat="0" applyFill="0" applyBorder="0" applyAlignment="0" applyProtection="0"/>
    <xf numFmtId="0" fontId="3" fillId="44" borderId="80"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80" applyNumberFormat="0" applyFont="0" applyAlignment="0" applyProtection="0"/>
    <xf numFmtId="0" fontId="3" fillId="44" borderId="80"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80" applyNumberFormat="0" applyFont="0" applyAlignment="0" applyProtection="0"/>
    <xf numFmtId="0" fontId="3" fillId="0" borderId="0"/>
    <xf numFmtId="0" fontId="3" fillId="44" borderId="8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80" applyNumberFormat="0" applyFont="0" applyAlignment="0" applyProtection="0"/>
    <xf numFmtId="0" fontId="3" fillId="44" borderId="80"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80" applyNumberFormat="0" applyFont="0" applyAlignment="0" applyProtection="0"/>
    <xf numFmtId="0" fontId="3" fillId="0" borderId="0"/>
    <xf numFmtId="0" fontId="3" fillId="44" borderId="80"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80"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80"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80" applyNumberFormat="0" applyFont="0" applyAlignment="0" applyProtection="0"/>
    <xf numFmtId="0" fontId="2" fillId="0" borderId="0"/>
    <xf numFmtId="0" fontId="2" fillId="44" borderId="80" applyNumberFormat="0" applyFont="0" applyAlignment="0" applyProtection="0"/>
    <xf numFmtId="0" fontId="2" fillId="44" borderId="8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80"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80"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80" applyNumberFormat="0" applyFont="0" applyAlignment="0" applyProtection="0"/>
    <xf numFmtId="0" fontId="1" fillId="0" borderId="0"/>
    <xf numFmtId="0" fontId="1" fillId="44" borderId="80" applyNumberFormat="0" applyFont="0" applyAlignment="0" applyProtection="0"/>
    <xf numFmtId="0" fontId="1" fillId="44"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cellStyleXfs>
  <cellXfs count="1961">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3" fontId="10" fillId="0" borderId="0" xfId="0" applyNumberFormat="1" applyFont="1" applyFill="1" applyBorder="1"/>
    <xf numFmtId="0" fontId="16" fillId="0" borderId="0" xfId="0" applyNumberFormat="1" applyFont="1" applyFill="1" applyBorder="1" applyAlignment="1">
      <alignment horizontal="center"/>
    </xf>
    <xf numFmtId="0" fontId="32"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2" fillId="0" borderId="0" xfId="0" applyFont="1" applyFill="1" applyAlignment="1">
      <alignment horizontal="center"/>
    </xf>
    <xf numFmtId="0" fontId="36" fillId="0" borderId="0" xfId="0" applyFont="1" applyBorder="1"/>
    <xf numFmtId="0" fontId="32" fillId="0" borderId="0" xfId="0" applyFont="1" applyAlignment="1">
      <alignment horizontal="center"/>
    </xf>
    <xf numFmtId="0" fontId="0" fillId="0" borderId="0" xfId="0" applyAlignment="1">
      <alignment horizontal="right"/>
    </xf>
    <xf numFmtId="0" fontId="32" fillId="0" borderId="0" xfId="0" applyFont="1" applyFill="1" applyAlignment="1">
      <alignment horizontal="right"/>
    </xf>
    <xf numFmtId="0" fontId="17" fillId="0" borderId="0" xfId="0" applyFont="1"/>
    <xf numFmtId="0" fontId="38"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37"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4"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2"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3"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5" fillId="0" borderId="0" xfId="0" applyFont="1" applyFill="1" applyBorder="1"/>
    <xf numFmtId="0" fontId="0" fillId="0" borderId="0" xfId="0" applyFill="1" applyBorder="1" applyAlignment="1">
      <alignment wrapText="1"/>
    </xf>
    <xf numFmtId="0" fontId="46"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5"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3" fillId="0" borderId="0" xfId="0" applyFont="1" applyFill="1" applyBorder="1"/>
    <xf numFmtId="37" fontId="18" fillId="0" borderId="0" xfId="0" applyNumberFormat="1" applyFont="1" applyFill="1"/>
    <xf numFmtId="0" fontId="17" fillId="0" borderId="0" xfId="0" applyFont="1" applyAlignment="1">
      <alignment horizontal="center"/>
    </xf>
    <xf numFmtId="164" fontId="12" fillId="0" borderId="0" xfId="381" applyNumberFormat="1" applyFont="1" applyFill="1"/>
    <xf numFmtId="0" fontId="39"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3" fillId="0" borderId="0" xfId="0" applyFont="1" applyFill="1" applyAlignment="1">
      <alignment horizontal="center"/>
    </xf>
    <xf numFmtId="0" fontId="42"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3" fillId="0" borderId="0" xfId="0" applyFont="1" applyFill="1" applyAlignment="1">
      <alignment horizontal="centerContinuous"/>
    </xf>
    <xf numFmtId="0" fontId="0" fillId="0" borderId="0" xfId="0" applyFill="1" applyAlignment="1">
      <alignment horizontal="centerContinuous"/>
    </xf>
    <xf numFmtId="164" fontId="44"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Fill="1" applyBorder="1"/>
    <xf numFmtId="0" fontId="33"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6" fillId="0" borderId="0" xfId="465" applyFont="1"/>
    <xf numFmtId="0" fontId="18" fillId="0" borderId="0" xfId="465"/>
    <xf numFmtId="0" fontId="36" fillId="0" borderId="20" xfId="465" applyNumberFormat="1" applyFont="1" applyFill="1" applyBorder="1" applyAlignment="1">
      <alignment horizontal="center"/>
    </xf>
    <xf numFmtId="0" fontId="36" fillId="0" borderId="0" xfId="465" applyFont="1" applyFill="1" applyBorder="1" applyAlignment="1">
      <alignment horizontal="left"/>
    </xf>
    <xf numFmtId="0" fontId="40" fillId="0" borderId="0" xfId="465" applyNumberFormat="1" applyFont="1" applyFill="1" applyBorder="1" applyAlignment="1">
      <alignment horizontal="left"/>
    </xf>
    <xf numFmtId="0" fontId="36" fillId="0" borderId="0" xfId="465" applyFont="1" applyFill="1" applyBorder="1"/>
    <xf numFmtId="0" fontId="36" fillId="0" borderId="20" xfId="465" applyFont="1" applyFill="1" applyBorder="1" applyAlignment="1">
      <alignment horizontal="center"/>
    </xf>
    <xf numFmtId="0" fontId="36" fillId="0" borderId="0" xfId="465" applyFont="1" applyFill="1" applyBorder="1" applyAlignment="1"/>
    <xf numFmtId="0" fontId="36" fillId="0" borderId="21" xfId="465" applyFont="1" applyFill="1" applyBorder="1" applyAlignment="1"/>
    <xf numFmtId="3" fontId="36" fillId="0" borderId="0" xfId="465" applyNumberFormat="1" applyFont="1" applyFill="1" applyBorder="1" applyAlignment="1">
      <alignment horizontal="center"/>
    </xf>
    <xf numFmtId="0" fontId="36"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9"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6" fillId="0" borderId="0" xfId="465" applyNumberFormat="1" applyFont="1" applyFill="1" applyBorder="1" applyAlignment="1">
      <alignment horizontal="center"/>
    </xf>
    <xf numFmtId="3" fontId="16" fillId="0" borderId="0" xfId="465" applyNumberFormat="1" applyFont="1" applyFill="1" applyBorder="1" applyAlignment="1"/>
    <xf numFmtId="3" fontId="31" fillId="0" borderId="0" xfId="465" applyNumberFormat="1" applyFont="1" applyFill="1" applyBorder="1" applyAlignment="1">
      <alignment horizontal="righ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164" fontId="10" fillId="0" borderId="0" xfId="381" applyNumberFormat="1" applyFont="1" applyFill="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1"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52" fillId="0" borderId="20" xfId="0" applyFont="1" applyFill="1" applyBorder="1"/>
    <xf numFmtId="164" fontId="52" fillId="0" borderId="0" xfId="381" applyNumberFormat="1" applyFont="1" applyFill="1" applyBorder="1"/>
    <xf numFmtId="0" fontId="52" fillId="0" borderId="21" xfId="0" applyFont="1" applyFill="1" applyBorder="1"/>
    <xf numFmtId="0" fontId="53" fillId="0" borderId="0" xfId="465" applyFont="1"/>
    <xf numFmtId="0" fontId="53" fillId="0" borderId="0" xfId="465" applyFont="1" applyBorder="1"/>
    <xf numFmtId="0" fontId="56" fillId="0" borderId="0" xfId="0" applyFont="1"/>
    <xf numFmtId="0" fontId="54" fillId="0" borderId="0" xfId="0" applyFont="1" applyBorder="1"/>
    <xf numFmtId="0" fontId="55" fillId="0" borderId="0" xfId="0" applyFont="1" applyBorder="1"/>
    <xf numFmtId="0" fontId="53" fillId="0" borderId="0" xfId="465" applyFont="1" applyFill="1" applyBorder="1" applyAlignment="1">
      <alignment horizontal="center" wrapText="1"/>
    </xf>
    <xf numFmtId="0" fontId="53" fillId="0" borderId="22" xfId="465" applyNumberFormat="1" applyFont="1" applyFill="1" applyBorder="1" applyAlignment="1">
      <alignment horizontal="center"/>
    </xf>
    <xf numFmtId="0" fontId="53" fillId="0" borderId="10" xfId="465" applyNumberFormat="1" applyFont="1" applyFill="1" applyBorder="1" applyAlignment="1">
      <alignment horizontal="left"/>
    </xf>
    <xf numFmtId="0" fontId="53"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40" fillId="0" borderId="0" xfId="465" applyNumberFormat="1" applyFont="1" applyFill="1" applyBorder="1" applyAlignment="1"/>
    <xf numFmtId="0" fontId="36" fillId="0" borderId="0" xfId="465" applyNumberFormat="1" applyFont="1" applyFill="1" applyBorder="1" applyAlignment="1">
      <alignment horizontal="left"/>
    </xf>
    <xf numFmtId="0" fontId="36" fillId="0" borderId="0" xfId="465" applyNumberFormat="1" applyFont="1" applyFill="1" applyBorder="1" applyAlignment="1">
      <alignment horizontal="center"/>
    </xf>
    <xf numFmtId="0" fontId="36" fillId="0" borderId="21" xfId="465" applyNumberFormat="1" applyFont="1" applyFill="1" applyBorder="1" applyAlignment="1">
      <alignment horizontal="center"/>
    </xf>
    <xf numFmtId="0" fontId="36" fillId="0" borderId="0" xfId="465" applyFont="1" applyFill="1" applyBorder="1" applyAlignment="1">
      <alignment horizontal="center"/>
    </xf>
    <xf numFmtId="3" fontId="36" fillId="0" borderId="21" xfId="465" applyNumberFormat="1" applyFont="1" applyFill="1" applyBorder="1" applyAlignment="1"/>
    <xf numFmtId="0" fontId="36"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0" xfId="465" applyNumberFormat="1" applyFont="1" applyFill="1" applyBorder="1" applyAlignment="1">
      <alignment horizontal="center"/>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5"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3" fontId="12" fillId="0" borderId="0" xfId="0" applyNumberFormat="1" applyFont="1" applyFill="1" applyBorder="1"/>
    <xf numFmtId="0" fontId="12" fillId="0" borderId="14" xfId="0" applyNumberFormat="1" applyFont="1" applyFill="1" applyBorder="1" applyAlignment="1"/>
    <xf numFmtId="0" fontId="21" fillId="0" borderId="14" xfId="0" applyFont="1" applyFill="1" applyBorder="1" applyAlignment="1"/>
    <xf numFmtId="10" fontId="12" fillId="0" borderId="0" xfId="633" applyNumberFormat="1" applyFont="1" applyFill="1" applyBorder="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2"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2"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37" fontId="8" fillId="0" borderId="0" xfId="467" applyNumberFormat="1" applyFont="1" applyFill="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17" xfId="390" applyNumberFormat="1" applyFont="1" applyFill="1" applyBorder="1" applyAlignment="1">
      <alignment horizontal="right"/>
    </xf>
    <xf numFmtId="164" fontId="18" fillId="0" borderId="28" xfId="390" applyNumberFormat="1" applyFont="1" applyFill="1" applyBorder="1" applyAlignment="1">
      <alignment horizontal="right"/>
    </xf>
    <xf numFmtId="3" fontId="36"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3"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60"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2"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2"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3" fillId="0" borderId="0" xfId="465" applyFont="1" applyFill="1" applyBorder="1" applyAlignment="1"/>
    <xf numFmtId="164" fontId="18" fillId="0" borderId="0" xfId="465" applyNumberFormat="1" applyFont="1" applyFill="1" applyBorder="1"/>
    <xf numFmtId="0" fontId="53" fillId="0" borderId="10" xfId="465" applyNumberFormat="1" applyFont="1" applyFill="1" applyBorder="1" applyAlignment="1">
      <alignment horizontal="center"/>
    </xf>
    <xf numFmtId="164" fontId="53" fillId="0" borderId="10" xfId="390" applyNumberFormat="1" applyFont="1" applyFill="1" applyBorder="1" applyAlignment="1">
      <alignment horizontal="right"/>
    </xf>
    <xf numFmtId="0" fontId="52" fillId="0" borderId="25" xfId="0" applyFont="1" applyFill="1" applyBorder="1"/>
    <xf numFmtId="0" fontId="52" fillId="0" borderId="24" xfId="0" applyFont="1" applyFill="1" applyBorder="1"/>
    <xf numFmtId="0" fontId="52" fillId="0" borderId="29" xfId="0" applyFont="1" applyFill="1" applyBorder="1"/>
    <xf numFmtId="41" fontId="52" fillId="0" borderId="0" xfId="381" applyNumberFormat="1" applyFont="1" applyFill="1" applyBorder="1"/>
    <xf numFmtId="9" fontId="52" fillId="0" borderId="21" xfId="633" applyFont="1" applyFill="1" applyBorder="1"/>
    <xf numFmtId="41" fontId="52" fillId="0" borderId="12" xfId="381" applyNumberFormat="1" applyFont="1" applyFill="1" applyBorder="1"/>
    <xf numFmtId="0" fontId="52" fillId="0" borderId="30" xfId="0" applyFont="1" applyFill="1" applyBorder="1"/>
    <xf numFmtId="0" fontId="52" fillId="0" borderId="31" xfId="0" applyFont="1" applyFill="1" applyBorder="1"/>
    <xf numFmtId="0" fontId="49" fillId="0" borderId="20" xfId="0" applyFont="1" applyFill="1" applyBorder="1"/>
    <xf numFmtId="0" fontId="49" fillId="0" borderId="0" xfId="0" applyFont="1" applyFill="1" applyBorder="1"/>
    <xf numFmtId="41" fontId="49" fillId="0" borderId="12" xfId="381" applyNumberFormat="1" applyFont="1" applyFill="1" applyBorder="1"/>
    <xf numFmtId="9" fontId="49" fillId="0" borderId="21" xfId="633" applyFont="1" applyFill="1" applyBorder="1"/>
    <xf numFmtId="10" fontId="52" fillId="0" borderId="21" xfId="633" applyNumberFormat="1" applyFont="1" applyFill="1" applyBorder="1"/>
    <xf numFmtId="10" fontId="49" fillId="0" borderId="32" xfId="633" applyNumberFormat="1" applyFont="1" applyFill="1" applyBorder="1"/>
    <xf numFmtId="9" fontId="52" fillId="0" borderId="0" xfId="633" applyFont="1" applyFill="1"/>
    <xf numFmtId="0" fontId="52" fillId="0" borderId="22" xfId="0" applyFont="1" applyFill="1" applyBorder="1"/>
    <xf numFmtId="0" fontId="52" fillId="0" borderId="10" xfId="0" applyFont="1" applyFill="1" applyBorder="1"/>
    <xf numFmtId="0" fontId="52" fillId="0" borderId="23" xfId="0" applyFont="1" applyFill="1" applyBorder="1"/>
    <xf numFmtId="0" fontId="51"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0" fontId="71" fillId="0" borderId="0" xfId="0" applyFont="1"/>
    <xf numFmtId="41" fontId="8" fillId="0" borderId="0" xfId="381" applyNumberFormat="1" applyFont="1" applyFill="1"/>
    <xf numFmtId="41" fontId="0" fillId="0" borderId="0" xfId="0" applyNumberFormat="1" applyFill="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8" fillId="0" borderId="0" xfId="477" applyFont="1" applyFill="1" applyBorder="1"/>
    <xf numFmtId="0" fontId="8" fillId="0" borderId="0" xfId="477" applyFont="1" applyBorder="1" applyAlignment="1"/>
    <xf numFmtId="0" fontId="8" fillId="0" borderId="0" xfId="477" applyFont="1" applyBorder="1"/>
    <xf numFmtId="0" fontId="71" fillId="0" borderId="0" xfId="0" applyFont="1" applyFill="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40" fillId="0" borderId="0" xfId="465" applyFont="1" applyFill="1" applyBorder="1" applyAlignment="1">
      <alignment horizontal="center" wrapText="1"/>
    </xf>
    <xf numFmtId="0" fontId="36" fillId="0" borderId="0" xfId="465" applyFont="1" applyFill="1" applyBorder="1" applyAlignment="1">
      <alignment horizontal="center" wrapText="1"/>
    </xf>
    <xf numFmtId="0" fontId="36" fillId="0" borderId="21" xfId="465" applyFont="1" applyFill="1" applyBorder="1" applyAlignment="1">
      <alignment horizontal="center" wrapText="1"/>
    </xf>
    <xf numFmtId="0" fontId="40"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2" fillId="0" borderId="0" xfId="0" applyFont="1" applyFill="1" applyBorder="1" applyAlignment="1">
      <alignment wrapText="1"/>
    </xf>
    <xf numFmtId="0" fontId="52" fillId="0" borderId="37" xfId="0" applyFont="1" applyFill="1" applyBorder="1"/>
    <xf numFmtId="0" fontId="50" fillId="0" borderId="20" xfId="0" applyFont="1" applyFill="1" applyBorder="1"/>
    <xf numFmtId="0" fontId="52" fillId="0" borderId="38" xfId="0" applyFont="1" applyFill="1" applyBorder="1"/>
    <xf numFmtId="164" fontId="52" fillId="0" borderId="21" xfId="381" applyNumberFormat="1" applyFont="1" applyFill="1" applyBorder="1"/>
    <xf numFmtId="164" fontId="52" fillId="0" borderId="32" xfId="0" applyNumberFormat="1" applyFont="1" applyFill="1" applyBorder="1"/>
    <xf numFmtId="164" fontId="52" fillId="0" borderId="23" xfId="0" applyNumberFormat="1" applyFont="1" applyFill="1" applyBorder="1"/>
    <xf numFmtId="0" fontId="72" fillId="0" borderId="0" xfId="0" applyFont="1" applyFill="1" applyBorder="1"/>
    <xf numFmtId="164" fontId="52" fillId="0" borderId="32" xfId="381" applyNumberFormat="1" applyFont="1" applyFill="1" applyBorder="1"/>
    <xf numFmtId="164" fontId="52"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3"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5" fillId="31" borderId="10" xfId="0" applyFont="1" applyFill="1" applyBorder="1" applyAlignment="1">
      <alignment horizontal="center"/>
    </xf>
    <xf numFmtId="165" fontId="8" fillId="31" borderId="10" xfId="498" applyNumberFormat="1" applyFont="1" applyFill="1" applyBorder="1" applyAlignment="1">
      <alignment horizontal="center"/>
    </xf>
    <xf numFmtId="0" fontId="76" fillId="31" borderId="0" xfId="0" applyFont="1" applyFill="1" applyAlignment="1">
      <alignment horizontal="center"/>
    </xf>
    <xf numFmtId="0" fontId="76" fillId="31" borderId="0" xfId="0" applyFont="1" applyFill="1"/>
    <xf numFmtId="165" fontId="8" fillId="31" borderId="0" xfId="498" applyNumberFormat="1" applyFont="1" applyFill="1"/>
    <xf numFmtId="0" fontId="76" fillId="31" borderId="24" xfId="0" applyFont="1" applyFill="1" applyBorder="1" applyAlignment="1"/>
    <xf numFmtId="164" fontId="8" fillId="31" borderId="0" xfId="381" applyNumberFormat="1" applyFont="1" applyFill="1"/>
    <xf numFmtId="0" fontId="76"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77" fillId="31" borderId="0" xfId="0" applyNumberFormat="1" applyFont="1" applyFill="1" applyAlignment="1"/>
    <xf numFmtId="0" fontId="77"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6" fillId="0" borderId="0" xfId="0" applyFont="1" applyFill="1"/>
    <xf numFmtId="165" fontId="8" fillId="0" borderId="0" xfId="498" applyNumberFormat="1" applyFont="1"/>
    <xf numFmtId="44" fontId="8" fillId="0" borderId="0" xfId="421" applyFont="1"/>
    <xf numFmtId="0" fontId="78" fillId="0" borderId="0" xfId="0" applyFont="1"/>
    <xf numFmtId="0" fontId="79" fillId="0" borderId="0" xfId="0" applyFont="1"/>
    <xf numFmtId="0" fontId="80" fillId="0" borderId="0" xfId="0" applyFont="1"/>
    <xf numFmtId="0" fontId="81" fillId="0" borderId="0" xfId="467" applyFont="1" applyAlignment="1">
      <alignment horizontal="centerContinuous"/>
    </xf>
    <xf numFmtId="0" fontId="82" fillId="0" borderId="0" xfId="467" applyFont="1" applyAlignment="1">
      <alignment horizontal="centerContinuous"/>
    </xf>
    <xf numFmtId="0" fontId="83" fillId="0" borderId="0" xfId="467" applyFont="1"/>
    <xf numFmtId="0" fontId="51" fillId="0" borderId="0" xfId="467" applyFont="1" applyAlignment="1">
      <alignment horizontal="center"/>
    </xf>
    <xf numFmtId="0" fontId="51" fillId="0" borderId="0" xfId="467" applyFont="1"/>
    <xf numFmtId="0" fontId="84" fillId="0" borderId="0" xfId="467" applyFont="1" applyAlignment="1">
      <alignment horizontal="left"/>
    </xf>
    <xf numFmtId="0" fontId="51" fillId="0" borderId="0" xfId="467" applyFont="1" applyFill="1" applyAlignment="1">
      <alignment horizontal="center"/>
    </xf>
    <xf numFmtId="0" fontId="51" fillId="0" borderId="0" xfId="467" applyFont="1" applyFill="1" applyAlignment="1">
      <alignment horizontal="left"/>
    </xf>
    <xf numFmtId="0" fontId="51" fillId="0" borderId="0" xfId="467" applyFont="1" applyFill="1"/>
    <xf numFmtId="16" fontId="51" fillId="0" borderId="0" xfId="467" applyNumberFormat="1" applyFont="1" applyFill="1" applyAlignment="1">
      <alignment horizontal="center"/>
    </xf>
    <xf numFmtId="0" fontId="51" fillId="0" borderId="0" xfId="467" applyFont="1" applyAlignment="1">
      <alignment horizontal="left"/>
    </xf>
    <xf numFmtId="0" fontId="8" fillId="0" borderId="0" xfId="467" applyAlignment="1"/>
    <xf numFmtId="16" fontId="51" fillId="0" borderId="0" xfId="467" applyNumberFormat="1" applyFont="1" applyAlignment="1">
      <alignment horizontal="center"/>
    </xf>
    <xf numFmtId="0" fontId="84" fillId="0" borderId="0" xfId="467" applyFont="1" applyFill="1" applyAlignment="1">
      <alignment horizontal="left"/>
    </xf>
    <xf numFmtId="164" fontId="51" fillId="0" borderId="0" xfId="391" applyNumberFormat="1" applyFont="1"/>
    <xf numFmtId="167" fontId="51" fillId="32" borderId="0" xfId="422" applyNumberFormat="1" applyFont="1" applyFill="1"/>
    <xf numFmtId="0" fontId="85" fillId="0" borderId="0" xfId="467" applyFont="1" applyFill="1" applyAlignment="1">
      <alignment horizontal="left"/>
    </xf>
    <xf numFmtId="0" fontId="86" fillId="0" borderId="0" xfId="467" applyFont="1" applyAlignment="1">
      <alignment horizontal="center"/>
    </xf>
    <xf numFmtId="0" fontId="86" fillId="0" borderId="0" xfId="467" applyFont="1" applyAlignment="1">
      <alignment horizontal="left"/>
    </xf>
    <xf numFmtId="164" fontId="51" fillId="0" borderId="0" xfId="467" applyNumberFormat="1" applyFont="1"/>
    <xf numFmtId="164" fontId="51" fillId="33" borderId="0" xfId="391" applyNumberFormat="1" applyFont="1" applyFill="1"/>
    <xf numFmtId="164" fontId="51" fillId="0" borderId="0" xfId="391" applyNumberFormat="1" applyFont="1" applyFill="1"/>
    <xf numFmtId="43" fontId="51" fillId="0" borderId="0" xfId="467" applyNumberFormat="1" applyFont="1"/>
    <xf numFmtId="164" fontId="51" fillId="0" borderId="0" xfId="467" applyNumberFormat="1" applyFont="1" applyAlignment="1">
      <alignment horizontal="right"/>
    </xf>
    <xf numFmtId="167" fontId="51" fillId="32" borderId="0" xfId="467" applyNumberFormat="1" applyFont="1" applyFill="1"/>
    <xf numFmtId="167" fontId="51" fillId="0" borderId="0" xfId="467" applyNumberFormat="1" applyFont="1"/>
    <xf numFmtId="167" fontId="51" fillId="0" borderId="0" xfId="422" applyNumberFormat="1" applyFont="1"/>
    <xf numFmtId="0" fontId="51" fillId="0" borderId="0" xfId="467" applyFont="1" applyBorder="1" applyAlignment="1">
      <alignment horizontal="center"/>
    </xf>
    <xf numFmtId="0" fontId="51" fillId="0" borderId="0" xfId="467" applyFont="1" applyBorder="1"/>
    <xf numFmtId="0" fontId="87" fillId="0" borderId="0" xfId="467" applyFont="1" applyBorder="1"/>
    <xf numFmtId="167" fontId="51" fillId="32" borderId="0" xfId="422" applyNumberFormat="1" applyFont="1" applyFill="1" applyAlignment="1">
      <alignment horizontal="left"/>
    </xf>
    <xf numFmtId="167" fontId="86" fillId="0" borderId="0" xfId="422" applyNumberFormat="1" applyFont="1" applyFill="1" applyAlignment="1">
      <alignment horizontal="left"/>
    </xf>
    <xf numFmtId="167" fontId="51" fillId="0" borderId="0" xfId="422" applyNumberFormat="1" applyFont="1" applyAlignment="1">
      <alignment horizontal="left"/>
    </xf>
    <xf numFmtId="0" fontId="51" fillId="0" borderId="0" xfId="467" applyFont="1" applyFill="1" applyAlignment="1"/>
    <xf numFmtId="0" fontId="8" fillId="0" borderId="0" xfId="467" applyFont="1" applyFill="1" applyAlignment="1"/>
    <xf numFmtId="0" fontId="8" fillId="0" borderId="0" xfId="467" applyAlignment="1">
      <alignment wrapText="1"/>
    </xf>
    <xf numFmtId="167" fontId="51" fillId="0" borderId="0" xfId="422" applyNumberFormat="1" applyFont="1" applyFill="1" applyAlignment="1">
      <alignment horizontal="left"/>
    </xf>
    <xf numFmtId="164" fontId="51" fillId="0" borderId="0" xfId="467" applyNumberFormat="1" applyFont="1" applyAlignment="1">
      <alignment horizontal="center"/>
    </xf>
    <xf numFmtId="164" fontId="85" fillId="0" borderId="0" xfId="467" applyNumberFormat="1" applyFont="1" applyFill="1"/>
    <xf numFmtId="0" fontId="85" fillId="0" borderId="0" xfId="467" applyFont="1" applyFill="1"/>
    <xf numFmtId="164" fontId="51" fillId="0" borderId="0" xfId="467" applyNumberFormat="1" applyFont="1" applyFill="1"/>
    <xf numFmtId="44" fontId="8" fillId="34" borderId="0" xfId="420" applyFont="1" applyFill="1"/>
    <xf numFmtId="43" fontId="51" fillId="34" borderId="0" xfId="381" applyFont="1" applyFill="1"/>
    <xf numFmtId="43" fontId="51" fillId="0" borderId="0" xfId="381" applyFont="1"/>
    <xf numFmtId="164" fontId="51" fillId="0" borderId="0" xfId="467" applyNumberFormat="1" applyFont="1" applyAlignment="1">
      <alignment horizontal="left"/>
    </xf>
    <xf numFmtId="0" fontId="51" fillId="0" borderId="0" xfId="467" applyNumberFormat="1" applyFont="1" applyAlignment="1">
      <alignment horizontal="left"/>
    </xf>
    <xf numFmtId="173" fontId="51" fillId="0" borderId="0" xfId="467" applyNumberFormat="1" applyFont="1"/>
    <xf numFmtId="168" fontId="51" fillId="0" borderId="0" xfId="635" applyNumberFormat="1" applyFont="1"/>
    <xf numFmtId="167" fontId="51" fillId="0" borderId="0" xfId="467" applyNumberFormat="1" applyFont="1" applyFill="1"/>
    <xf numFmtId="43" fontId="51" fillId="0" borderId="0" xfId="467" applyNumberFormat="1" applyFont="1" applyFill="1"/>
    <xf numFmtId="167" fontId="51"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1" fillId="0" borderId="0" xfId="381" applyNumberFormat="1" applyFont="1" applyFill="1" applyAlignment="1">
      <alignment horizontal="center"/>
    </xf>
    <xf numFmtId="0" fontId="51" fillId="34" borderId="0" xfId="467" applyFont="1" applyFill="1" applyAlignment="1">
      <alignment horizontal="center"/>
    </xf>
    <xf numFmtId="37" fontId="51" fillId="0" borderId="0" xfId="391" applyNumberFormat="1" applyFont="1" applyFill="1"/>
    <xf numFmtId="164" fontId="51" fillId="0" borderId="0" xfId="381" applyNumberFormat="1" applyFont="1" applyFill="1"/>
    <xf numFmtId="164" fontId="51"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43" fontId="88" fillId="0" borderId="0" xfId="381" applyFont="1" applyBorder="1"/>
    <xf numFmtId="0" fontId="18" fillId="0" borderId="20" xfId="465" applyFont="1" applyFill="1" applyBorder="1" applyAlignment="1"/>
    <xf numFmtId="43" fontId="88"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173" fontId="10" fillId="0" borderId="0" xfId="633" applyNumberFormat="1" applyFont="1" applyBorder="1" applyAlignment="1"/>
    <xf numFmtId="164" fontId="10" fillId="0" borderId="0" xfId="381" applyNumberFormat="1" applyFont="1" applyBorder="1" applyAlignment="1"/>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50" fillId="0" borderId="0" xfId="381" applyNumberFormat="1" applyFont="1" applyFill="1" applyBorder="1"/>
    <xf numFmtId="43" fontId="18" fillId="0" borderId="10" xfId="381" applyFont="1" applyFill="1" applyBorder="1" applyAlignment="1">
      <alignment horizontal="center"/>
    </xf>
    <xf numFmtId="37" fontId="52"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6" fillId="0" borderId="0" xfId="0" applyNumberFormat="1" applyFont="1" applyFill="1" applyBorder="1"/>
    <xf numFmtId="164" fontId="36"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3" fillId="0" borderId="0" xfId="381" applyNumberFormat="1" applyFont="1" applyFill="1" applyBorder="1"/>
    <xf numFmtId="164" fontId="55" fillId="0" borderId="0" xfId="381" applyNumberFormat="1" applyFont="1" applyBorder="1"/>
    <xf numFmtId="0" fontId="8" fillId="0" borderId="17" xfId="0" applyFont="1" applyBorder="1"/>
    <xf numFmtId="0" fontId="67"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164" fontId="8" fillId="0" borderId="0" xfId="381" applyNumberFormat="1" applyFont="1" applyBorder="1"/>
    <xf numFmtId="0" fontId="8" fillId="0" borderId="0" xfId="467" applyFont="1" applyFill="1" applyBorder="1"/>
    <xf numFmtId="0" fontId="8" fillId="0" borderId="10" xfId="467" applyFont="1" applyFill="1" applyBorder="1"/>
    <xf numFmtId="0" fontId="36" fillId="0" borderId="25" xfId="467" applyFont="1" applyFill="1" applyBorder="1"/>
    <xf numFmtId="0" fontId="8" fillId="0" borderId="0" xfId="467" applyFont="1" applyBorder="1" applyAlignment="1">
      <alignment horizontal="center"/>
    </xf>
    <xf numFmtId="0" fontId="36" fillId="0" borderId="25" xfId="467" applyFont="1" applyBorder="1"/>
    <xf numFmtId="0" fontId="8" fillId="0" borderId="0" xfId="467" applyFont="1" applyFill="1" applyAlignment="1">
      <alignment horizontal="center"/>
    </xf>
    <xf numFmtId="0" fontId="36" fillId="0" borderId="20" xfId="467" applyFont="1" applyFill="1" applyBorder="1"/>
    <xf numFmtId="0" fontId="36" fillId="0" borderId="20" xfId="467" applyFont="1" applyFill="1" applyBorder="1" applyAlignment="1">
      <alignment horizontal="center"/>
    </xf>
    <xf numFmtId="0" fontId="40" fillId="0" borderId="20" xfId="467" applyFont="1" applyFill="1" applyBorder="1" applyAlignment="1">
      <alignment horizontal="center"/>
    </xf>
    <xf numFmtId="0" fontId="36" fillId="0" borderId="20" xfId="467" applyFont="1" applyBorder="1"/>
    <xf numFmtId="0" fontId="36" fillId="0" borderId="0" xfId="467" applyFont="1" applyFill="1" applyBorder="1" applyAlignment="1">
      <alignment horizontal="center"/>
    </xf>
    <xf numFmtId="164" fontId="36" fillId="0" borderId="21" xfId="381" applyNumberFormat="1" applyFont="1" applyFill="1" applyBorder="1" applyAlignment="1">
      <alignment horizontal="center"/>
    </xf>
    <xf numFmtId="0" fontId="36" fillId="0" borderId="0" xfId="467" applyFont="1" applyFill="1" applyBorder="1"/>
    <xf numFmtId="164" fontId="36" fillId="0" borderId="21" xfId="381" applyNumberFormat="1" applyFont="1" applyFill="1" applyBorder="1"/>
    <xf numFmtId="164" fontId="36" fillId="0" borderId="20" xfId="381" applyNumberFormat="1" applyFont="1" applyFill="1" applyBorder="1"/>
    <xf numFmtId="0" fontId="36" fillId="0" borderId="22" xfId="467" applyFont="1" applyBorder="1"/>
    <xf numFmtId="164" fontId="36" fillId="0" borderId="22" xfId="381" applyNumberFormat="1" applyFont="1" applyFill="1" applyBorder="1"/>
    <xf numFmtId="164" fontId="36" fillId="0" borderId="10" xfId="381" applyNumberFormat="1" applyFont="1" applyFill="1" applyBorder="1"/>
    <xf numFmtId="164" fontId="36" fillId="0" borderId="23" xfId="381" applyNumberFormat="1" applyFont="1" applyFill="1" applyBorder="1"/>
    <xf numFmtId="164" fontId="40" fillId="0" borderId="29" xfId="381" applyNumberFormat="1" applyFont="1" applyFill="1" applyBorder="1" applyAlignment="1">
      <alignment horizontal="center" wrapText="1"/>
    </xf>
    <xf numFmtId="0" fontId="40" fillId="0" borderId="39" xfId="467" applyFont="1" applyFill="1" applyBorder="1" applyAlignment="1">
      <alignment horizontal="center"/>
    </xf>
    <xf numFmtId="0" fontId="36" fillId="0" borderId="40" xfId="467" applyFont="1" applyBorder="1" applyAlignment="1">
      <alignment horizontal="center"/>
    </xf>
    <xf numFmtId="164" fontId="36" fillId="0" borderId="0" xfId="467" applyNumberFormat="1" applyFont="1" applyFill="1" applyBorder="1"/>
    <xf numFmtId="167" fontId="36" fillId="0" borderId="40" xfId="420" applyNumberFormat="1" applyFont="1" applyBorder="1"/>
    <xf numFmtId="0" fontId="36" fillId="0" borderId="0" xfId="467" applyFont="1" applyBorder="1"/>
    <xf numFmtId="0" fontId="36" fillId="0" borderId="40" xfId="467" applyFont="1" applyBorder="1"/>
    <xf numFmtId="164" fontId="40" fillId="0" borderId="0" xfId="467" applyNumberFormat="1" applyFont="1" applyBorder="1"/>
    <xf numFmtId="164" fontId="40" fillId="0" borderId="21" xfId="381" applyNumberFormat="1" applyFont="1" applyBorder="1"/>
    <xf numFmtId="0" fontId="36" fillId="0" borderId="41" xfId="467" applyFont="1" applyBorder="1"/>
    <xf numFmtId="164" fontId="40" fillId="0" borderId="10" xfId="467" applyNumberFormat="1" applyFont="1" applyBorder="1"/>
    <xf numFmtId="164" fontId="40" fillId="0" borderId="23" xfId="381" applyNumberFormat="1" applyFont="1" applyBorder="1"/>
    <xf numFmtId="167" fontId="36" fillId="0" borderId="41" xfId="420" applyNumberFormat="1" applyFont="1" applyBorder="1"/>
    <xf numFmtId="167" fontId="36" fillId="0" borderId="10" xfId="467" applyNumberFormat="1" applyFont="1" applyBorder="1"/>
    <xf numFmtId="0" fontId="36" fillId="0" borderId="0" xfId="467" applyFont="1"/>
    <xf numFmtId="0" fontId="36" fillId="0" borderId="0" xfId="467" applyFont="1" applyAlignment="1">
      <alignment horizontal="center"/>
    </xf>
    <xf numFmtId="164" fontId="36" fillId="0" borderId="0" xfId="381" applyNumberFormat="1" applyFont="1"/>
    <xf numFmtId="167" fontId="36"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7" fillId="0" borderId="0" xfId="0" applyFont="1" applyFill="1" applyBorder="1" applyAlignment="1">
      <alignment horizontal="center"/>
    </xf>
    <xf numFmtId="0" fontId="8" fillId="0" borderId="0" xfId="0" applyFont="1" applyFill="1" applyBorder="1" applyAlignment="1">
      <alignment horizontal="center"/>
    </xf>
    <xf numFmtId="164" fontId="36"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3"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3" fillId="0" borderId="0" xfId="465" applyFont="1" applyFill="1" applyBorder="1" applyAlignment="1">
      <alignment horizontal="center"/>
    </xf>
    <xf numFmtId="164" fontId="53"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3" fillId="0" borderId="10" xfId="465" applyFont="1" applyFill="1" applyBorder="1" applyAlignment="1">
      <alignment horizontal="center"/>
    </xf>
    <xf numFmtId="43" fontId="57" fillId="0" borderId="0" xfId="381" applyFont="1" applyFill="1" applyBorder="1" applyAlignment="1"/>
    <xf numFmtId="0" fontId="54" fillId="0" borderId="0" xfId="0" applyFont="1" applyFill="1" applyBorder="1"/>
    <xf numFmtId="164" fontId="18" fillId="0" borderId="20" xfId="465" applyNumberFormat="1" applyFont="1" applyFill="1" applyBorder="1"/>
    <xf numFmtId="164" fontId="18" fillId="0" borderId="12" xfId="465" applyNumberFormat="1" applyFont="1" applyFill="1" applyBorder="1"/>
    <xf numFmtId="0" fontId="18" fillId="0" borderId="20" xfId="465" applyFont="1" applyFill="1" applyBorder="1" applyAlignment="1">
      <alignment horizontal="left" wrapText="1"/>
    </xf>
    <xf numFmtId="0" fontId="18" fillId="0" borderId="22" xfId="465" applyFont="1" applyFill="1" applyBorder="1" applyAlignment="1">
      <alignment horizontal="left" wrapText="1"/>
    </xf>
    <xf numFmtId="164" fontId="9" fillId="0" borderId="16" xfId="381" applyNumberFormat="1" applyFont="1" applyFill="1" applyBorder="1" applyAlignment="1"/>
    <xf numFmtId="164" fontId="9" fillId="0" borderId="15" xfId="381" applyNumberFormat="1" applyFont="1" applyFill="1" applyBorder="1" applyAlignment="1"/>
    <xf numFmtId="164" fontId="36" fillId="0" borderId="0" xfId="381" applyNumberFormat="1" applyFont="1" applyFill="1" applyBorder="1" applyAlignment="1">
      <alignment horizontal="center"/>
    </xf>
    <xf numFmtId="164" fontId="36"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50"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3" fillId="0" borderId="21" xfId="465" applyFont="1" applyBorder="1"/>
    <xf numFmtId="0" fontId="91" fillId="0" borderId="0" xfId="0" applyNumberFormat="1" applyFont="1" applyFill="1"/>
    <xf numFmtId="0" fontId="91" fillId="0" borderId="0" xfId="0" applyFont="1" applyFill="1" applyAlignment="1"/>
    <xf numFmtId="0" fontId="91" fillId="0" borderId="0" xfId="0" applyFont="1" applyFill="1" applyBorder="1" applyAlignment="1"/>
    <xf numFmtId="0" fontId="91" fillId="0" borderId="0" xfId="0" applyFont="1" applyBorder="1" applyAlignment="1"/>
    <xf numFmtId="0" fontId="92" fillId="0" borderId="0" xfId="0" applyFont="1" applyBorder="1" applyAlignment="1">
      <alignment horizontal="center"/>
    </xf>
    <xf numFmtId="37" fontId="91" fillId="0" borderId="0" xfId="0" applyNumberFormat="1" applyFont="1" applyBorder="1" applyAlignment="1">
      <alignment horizontal="left"/>
    </xf>
    <xf numFmtId="0" fontId="91" fillId="0" borderId="0" xfId="0" applyFont="1" applyBorder="1"/>
    <xf numFmtId="37" fontId="93" fillId="0" borderId="0" xfId="0" applyNumberFormat="1" applyFont="1" applyBorder="1" applyAlignment="1">
      <alignment horizontal="right"/>
    </xf>
    <xf numFmtId="0" fontId="91" fillId="0" borderId="0" xfId="0" applyFont="1" applyFill="1" applyAlignment="1">
      <alignment horizontal="left"/>
    </xf>
    <xf numFmtId="0" fontId="92" fillId="0" borderId="0" xfId="0" applyFont="1" applyFill="1" applyBorder="1" applyAlignment="1">
      <alignment horizontal="center"/>
    </xf>
    <xf numFmtId="37" fontId="91" fillId="0" borderId="0" xfId="0" applyNumberFormat="1" applyFont="1" applyFill="1" applyBorder="1" applyAlignment="1">
      <alignment horizontal="left"/>
    </xf>
    <xf numFmtId="43" fontId="36" fillId="0" borderId="0" xfId="381" applyFont="1" applyFill="1" applyBorder="1" applyAlignment="1">
      <alignment horizontal="center"/>
    </xf>
    <xf numFmtId="43" fontId="36"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6" fillId="0" borderId="0" xfId="420" applyNumberFormat="1" applyFont="1" applyBorder="1"/>
    <xf numFmtId="0" fontId="35"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6" fillId="0" borderId="0" xfId="0" applyNumberFormat="1" applyFont="1" applyBorder="1"/>
    <xf numFmtId="0" fontId="9" fillId="0" borderId="0" xfId="0" applyFont="1"/>
    <xf numFmtId="0" fontId="102"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88" fillId="0" borderId="17" xfId="381" applyNumberFormat="1" applyFont="1" applyBorder="1"/>
    <xf numFmtId="0" fontId="82" fillId="0" borderId="17" xfId="0" applyFont="1" applyBorder="1"/>
    <xf numFmtId="164" fontId="82" fillId="0" borderId="17" xfId="381" applyNumberFormat="1" applyFont="1" applyBorder="1"/>
    <xf numFmtId="0" fontId="82" fillId="30" borderId="17" xfId="381" applyNumberFormat="1" applyFont="1" applyFill="1" applyBorder="1"/>
    <xf numFmtId="164" fontId="82" fillId="30" borderId="17" xfId="381" applyNumberFormat="1" applyFont="1" applyFill="1" applyBorder="1"/>
    <xf numFmtId="0" fontId="46" fillId="0" borderId="17" xfId="0" applyFont="1" applyBorder="1"/>
    <xf numFmtId="164" fontId="46" fillId="0" borderId="17" xfId="381" applyNumberFormat="1" applyFont="1" applyBorder="1"/>
    <xf numFmtId="164" fontId="46" fillId="30" borderId="17" xfId="381" applyNumberFormat="1" applyFont="1" applyFill="1" applyBorder="1"/>
    <xf numFmtId="0" fontId="46"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2" fillId="0" borderId="0" xfId="0" applyFont="1"/>
    <xf numFmtId="0" fontId="0" fillId="0" borderId="0" xfId="0" applyFill="1" applyBorder="1" applyAlignment="1">
      <alignment horizontal="center" wrapText="1"/>
    </xf>
    <xf numFmtId="164" fontId="0" fillId="0" borderId="0" xfId="0" applyNumberFormat="1" applyBorder="1"/>
    <xf numFmtId="0" fontId="103"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0" fontId="10" fillId="35" borderId="45" xfId="0" applyFont="1" applyFill="1" applyBorder="1" applyAlignment="1">
      <alignment horizontal="center"/>
    </xf>
    <xf numFmtId="0" fontId="10" fillId="35" borderId="46" xfId="0" applyFont="1" applyFill="1" applyBorder="1" applyAlignment="1">
      <alignment horizontal="center"/>
    </xf>
    <xf numFmtId="43" fontId="88" fillId="0" borderId="0" xfId="381" applyFont="1"/>
    <xf numFmtId="0" fontId="45" fillId="0" borderId="0" xfId="0" applyFont="1"/>
    <xf numFmtId="17" fontId="9" fillId="0" borderId="26" xfId="0" applyNumberFormat="1" applyFont="1" applyBorder="1" applyAlignment="1">
      <alignment horizontal="center"/>
    </xf>
    <xf numFmtId="0" fontId="104" fillId="0" borderId="0" xfId="0" applyFont="1" applyBorder="1"/>
    <xf numFmtId="164" fontId="104" fillId="0" borderId="0" xfId="381" applyNumberFormat="1" applyFont="1" applyBorder="1"/>
    <xf numFmtId="43" fontId="12" fillId="0" borderId="0" xfId="381" applyFont="1" applyBorder="1"/>
    <xf numFmtId="0" fontId="116"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1" fillId="0" borderId="0" xfId="467" applyFont="1" applyAlignment="1">
      <alignment wrapText="1"/>
    </xf>
    <xf numFmtId="0" fontId="12" fillId="0" borderId="28" xfId="0" applyFont="1" applyBorder="1"/>
    <xf numFmtId="37" fontId="8" fillId="0" borderId="28" xfId="0" applyNumberFormat="1" applyFont="1" applyBorder="1"/>
    <xf numFmtId="37" fontId="8" fillId="0" borderId="0" xfId="0" applyNumberFormat="1" applyFont="1" applyFill="1" applyBorder="1" applyAlignment="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6" fillId="34" borderId="0" xfId="381" applyNumberFormat="1" applyFont="1" applyFill="1" applyBorder="1" applyAlignment="1"/>
    <xf numFmtId="0" fontId="117" fillId="0" borderId="0" xfId="0" applyFont="1"/>
    <xf numFmtId="0" fontId="9" fillId="0" borderId="0" xfId="0" applyFont="1" applyFill="1" applyAlignment="1">
      <alignment horizontal="left"/>
    </xf>
    <xf numFmtId="164" fontId="9" fillId="0" borderId="26" xfId="381" applyNumberFormat="1" applyFont="1" applyBorder="1"/>
    <xf numFmtId="4" fontId="0" fillId="0" borderId="0" xfId="0" applyNumberFormat="1" applyFill="1"/>
    <xf numFmtId="43" fontId="9" fillId="0" borderId="0" xfId="381" applyFont="1" applyAlignment="1">
      <alignment horizontal="center"/>
    </xf>
    <xf numFmtId="1" fontId="9" fillId="0" borderId="47"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 fontId="0" fillId="0" borderId="0" xfId="0" applyNumberFormat="1" applyFill="1"/>
    <xf numFmtId="175" fontId="51" fillId="34" borderId="0" xfId="381" applyNumberFormat="1" applyFont="1" applyFill="1"/>
    <xf numFmtId="40" fontId="51" fillId="34" borderId="0" xfId="475" applyNumberFormat="1" applyFont="1" applyFill="1" applyBorder="1"/>
    <xf numFmtId="0" fontId="51" fillId="0" borderId="0" xfId="467" applyFont="1" applyFill="1" applyBorder="1"/>
    <xf numFmtId="164" fontId="51" fillId="0" borderId="0" xfId="381" applyNumberFormat="1" applyFont="1" applyFill="1" applyBorder="1"/>
    <xf numFmtId="164" fontId="51" fillId="0" borderId="0" xfId="467" applyNumberFormat="1" applyFont="1" applyFill="1" applyBorder="1"/>
    <xf numFmtId="164" fontId="51" fillId="0" borderId="0" xfId="381" applyNumberFormat="1" applyFont="1" applyBorder="1"/>
    <xf numFmtId="40" fontId="51"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3"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10" fillId="0" borderId="27" xfId="0" applyFont="1" applyFill="1" applyBorder="1"/>
    <xf numFmtId="0" fontId="12" fillId="0" borderId="27" xfId="0" applyFont="1" applyFill="1" applyBorder="1"/>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8" xfId="465" applyNumberFormat="1" applyFont="1" applyFill="1" applyBorder="1" applyAlignment="1"/>
    <xf numFmtId="164" fontId="18" fillId="0" borderId="10" xfId="465" applyNumberFormat="1" applyFont="1" applyFill="1" applyBorder="1" applyAlignment="1"/>
    <xf numFmtId="0" fontId="29" fillId="0" borderId="24" xfId="0" applyNumberFormat="1" applyFont="1" applyFill="1" applyBorder="1" applyAlignment="1">
      <alignment horizontal="center"/>
    </xf>
    <xf numFmtId="0" fontId="36" fillId="0" borderId="24" xfId="0" applyFont="1" applyBorder="1"/>
    <xf numFmtId="0" fontId="35" fillId="0" borderId="24" xfId="0" applyFont="1" applyBorder="1"/>
    <xf numFmtId="0" fontId="36" fillId="0" borderId="29" xfId="0" applyFont="1" applyBorder="1"/>
    <xf numFmtId="0" fontId="29" fillId="0" borderId="20" xfId="0" applyNumberFormat="1" applyFont="1" applyFill="1" applyBorder="1" applyAlignment="1">
      <alignment horizontal="center"/>
    </xf>
    <xf numFmtId="0" fontId="36"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9"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5" fillId="0" borderId="0" xfId="0" applyFont="1" applyAlignment="1">
      <alignment horizontal="center"/>
    </xf>
    <xf numFmtId="184" fontId="45" fillId="0" borderId="0" xfId="0" applyNumberFormat="1" applyFont="1"/>
    <xf numFmtId="0" fontId="12" fillId="0" borderId="0" xfId="0" applyNumberFormat="1" applyFont="1" applyFill="1" applyBorder="1" applyAlignment="1">
      <alignment horizontal="center" wrapText="1"/>
    </xf>
    <xf numFmtId="173" fontId="36" fillId="0" borderId="0" xfId="0" applyNumberFormat="1" applyFont="1" applyFill="1" applyBorder="1"/>
    <xf numFmtId="164" fontId="36" fillId="36" borderId="0" xfId="381" applyNumberFormat="1" applyFont="1" applyFill="1" applyBorder="1"/>
    <xf numFmtId="164" fontId="36" fillId="37" borderId="0" xfId="381" applyNumberFormat="1" applyFont="1" applyFill="1" applyBorder="1"/>
    <xf numFmtId="164" fontId="53"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4"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164" fontId="12" fillId="0" borderId="14" xfId="381" applyNumberFormat="1" applyFont="1" applyFill="1" applyBorder="1"/>
    <xf numFmtId="3" fontId="10" fillId="0" borderId="12" xfId="0" applyNumberFormat="1" applyFont="1" applyBorder="1"/>
    <xf numFmtId="3" fontId="21" fillId="0" borderId="15" xfId="0" applyNumberFormat="1" applyFont="1" applyBorder="1"/>
    <xf numFmtId="3" fontId="12" fillId="0" borderId="14" xfId="0" applyNumberFormat="1" applyFont="1" applyFill="1" applyBorder="1"/>
    <xf numFmtId="164" fontId="12" fillId="0" borderId="0"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50" xfId="0" applyFont="1" applyFill="1" applyBorder="1" applyAlignment="1">
      <alignment horizontal="center" wrapText="1"/>
    </xf>
    <xf numFmtId="164" fontId="12" fillId="0" borderId="24" xfId="381" applyNumberFormat="1" applyFont="1" applyFill="1" applyBorder="1"/>
    <xf numFmtId="164" fontId="12" fillId="0" borderId="50" xfId="381" applyNumberFormat="1" applyFont="1" applyFill="1" applyBorder="1"/>
    <xf numFmtId="164" fontId="12" fillId="0" borderId="51" xfId="381" applyNumberFormat="1" applyFont="1" applyFill="1" applyBorder="1"/>
    <xf numFmtId="0" fontId="10" fillId="0" borderId="20" xfId="0" applyNumberFormat="1" applyFont="1" applyFill="1" applyBorder="1" applyAlignment="1">
      <alignment horizontal="center"/>
    </xf>
    <xf numFmtId="164" fontId="12" fillId="0" borderId="52"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3" xfId="0" applyNumberFormat="1" applyFont="1" applyFill="1" applyBorder="1" applyAlignment="1"/>
    <xf numFmtId="173" fontId="10" fillId="0" borderId="54"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2" xfId="0" applyNumberFormat="1" applyFont="1" applyFill="1" applyBorder="1" applyAlignment="1"/>
    <xf numFmtId="3" fontId="12" fillId="0" borderId="0" xfId="0" applyNumberFormat="1" applyFont="1" applyBorder="1"/>
    <xf numFmtId="164" fontId="12" fillId="0" borderId="52" xfId="381" applyNumberFormat="1" applyFont="1" applyFill="1" applyBorder="1"/>
    <xf numFmtId="3" fontId="12" fillId="0" borderId="52"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0" xfId="381" applyNumberFormat="1" applyFont="1" applyFill="1" applyBorder="1"/>
    <xf numFmtId="164" fontId="12" fillId="30" borderId="52" xfId="381" applyNumberFormat="1" applyFont="1" applyFill="1" applyBorder="1"/>
    <xf numFmtId="0" fontId="25" fillId="0" borderId="20" xfId="0" applyFont="1" applyFill="1" applyBorder="1" applyAlignment="1">
      <alignment horizontal="center"/>
    </xf>
    <xf numFmtId="164" fontId="12" fillId="0" borderId="55" xfId="381" applyNumberFormat="1" applyFont="1" applyFill="1" applyBorder="1"/>
    <xf numFmtId="173" fontId="12" fillId="0" borderId="52" xfId="633" applyNumberFormat="1" applyFont="1" applyFill="1" applyBorder="1" applyAlignment="1"/>
    <xf numFmtId="3" fontId="10" fillId="0" borderId="53" xfId="0" applyNumberFormat="1" applyFont="1" applyFill="1" applyBorder="1" applyAlignment="1"/>
    <xf numFmtId="0" fontId="12" fillId="0" borderId="20" xfId="0" applyFont="1" applyFill="1" applyBorder="1" applyAlignment="1">
      <alignment horizontal="center"/>
    </xf>
    <xf numFmtId="164" fontId="10" fillId="0" borderId="0" xfId="381" applyNumberFormat="1" applyFont="1" applyFill="1" applyBorder="1"/>
    <xf numFmtId="3" fontId="10" fillId="0" borderId="54" xfId="0" applyNumberFormat="1" applyFont="1" applyFill="1" applyBorder="1"/>
    <xf numFmtId="3" fontId="12" fillId="0" borderId="52" xfId="0" applyNumberFormat="1" applyFont="1" applyFill="1" applyBorder="1" applyAlignment="1"/>
    <xf numFmtId="164" fontId="12" fillId="0" borderId="55" xfId="381" applyNumberFormat="1" applyFont="1" applyBorder="1"/>
    <xf numFmtId="173" fontId="12" fillId="0" borderId="55" xfId="633" applyNumberFormat="1" applyFont="1" applyFill="1" applyBorder="1" applyAlignment="1"/>
    <xf numFmtId="0" fontId="12" fillId="0" borderId="52" xfId="0" applyFont="1" applyFill="1" applyBorder="1"/>
    <xf numFmtId="0" fontId="0" fillId="30" borderId="0" xfId="0" applyFill="1" applyBorder="1"/>
    <xf numFmtId="0" fontId="34" fillId="0" borderId="20" xfId="0" applyFont="1" applyBorder="1" applyAlignment="1">
      <alignment horizontal="left"/>
    </xf>
    <xf numFmtId="0" fontId="34"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9"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2" xfId="0" applyNumberFormat="1" applyFont="1" applyFill="1" applyBorder="1"/>
    <xf numFmtId="3" fontId="10" fillId="0" borderId="54"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164" fontId="64" fillId="0" borderId="0" xfId="381" applyNumberFormat="1" applyFont="1" applyFill="1" applyBorder="1"/>
    <xf numFmtId="43" fontId="12" fillId="0" borderId="0" xfId="381" applyFont="1" applyFill="1" applyBorder="1" applyAlignment="1"/>
    <xf numFmtId="3" fontId="10" fillId="0" borderId="54"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2"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4" xfId="0" applyNumberFormat="1" applyFont="1" applyFill="1" applyBorder="1" applyAlignment="1">
      <alignment horizontal="right"/>
    </xf>
    <xf numFmtId="164" fontId="10" fillId="0" borderId="52"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2" xfId="0" applyNumberFormat="1" applyFont="1" applyBorder="1"/>
    <xf numFmtId="3" fontId="10" fillId="0" borderId="53" xfId="0" applyNumberFormat="1" applyFont="1" applyBorder="1"/>
    <xf numFmtId="3" fontId="21" fillId="0" borderId="56" xfId="0" applyNumberFormat="1" applyFont="1" applyBorder="1"/>
    <xf numFmtId="0" fontId="21" fillId="0" borderId="20" xfId="0" applyNumberFormat="1" applyFont="1" applyBorder="1" applyAlignment="1">
      <alignment horizontal="center"/>
    </xf>
    <xf numFmtId="3" fontId="12" fillId="0" borderId="55" xfId="0" applyNumberFormat="1" applyFont="1" applyFill="1" applyBorder="1"/>
    <xf numFmtId="164" fontId="10" fillId="0" borderId="52" xfId="381" applyNumberFormat="1" applyFont="1" applyBorder="1" applyAlignment="1"/>
    <xf numFmtId="173" fontId="10" fillId="0" borderId="52" xfId="633" applyNumberFormat="1" applyFont="1" applyBorder="1" applyAlignment="1"/>
    <xf numFmtId="164" fontId="10" fillId="0" borderId="52" xfId="381" applyNumberFormat="1" applyFont="1" applyFill="1" applyBorder="1" applyAlignment="1"/>
    <xf numFmtId="3" fontId="10" fillId="0" borderId="35" xfId="0" applyNumberFormat="1" applyFont="1" applyFill="1" applyBorder="1" applyAlignment="1"/>
    <xf numFmtId="3" fontId="10" fillId="0" borderId="55" xfId="0" applyNumberFormat="1" applyFont="1" applyFill="1" applyBorder="1" applyAlignment="1"/>
    <xf numFmtId="3" fontId="12" fillId="0" borderId="17" xfId="0" applyNumberFormat="1" applyFont="1" applyFill="1" applyBorder="1" applyAlignment="1"/>
    <xf numFmtId="164" fontId="12" fillId="0" borderId="26" xfId="381" applyNumberFormat="1" applyFont="1" applyFill="1" applyBorder="1"/>
    <xf numFmtId="0" fontId="0" fillId="0" borderId="19" xfId="0" applyBorder="1"/>
    <xf numFmtId="3" fontId="12" fillId="0" borderId="13" xfId="0" applyNumberFormat="1" applyFont="1" applyFill="1" applyBorder="1" applyAlignment="1"/>
    <xf numFmtId="0" fontId="12" fillId="0" borderId="57" xfId="0" applyFont="1" applyFill="1" applyBorder="1"/>
    <xf numFmtId="3" fontId="12" fillId="0" borderId="58" xfId="0" applyNumberFormat="1" applyFont="1" applyBorder="1" applyAlignment="1"/>
    <xf numFmtId="0" fontId="12" fillId="0" borderId="58" xfId="0" applyFont="1" applyFill="1" applyBorder="1"/>
    <xf numFmtId="3" fontId="12" fillId="0" borderId="59" xfId="0" applyNumberFormat="1" applyFont="1" applyFill="1" applyBorder="1" applyAlignment="1"/>
    <xf numFmtId="0" fontId="12" fillId="0" borderId="58" xfId="0" applyFont="1" applyBorder="1" applyAlignment="1"/>
    <xf numFmtId="0" fontId="12" fillId="0" borderId="58" xfId="0" applyFont="1" applyBorder="1"/>
    <xf numFmtId="0" fontId="12" fillId="0" borderId="60" xfId="0" applyFont="1" applyFill="1" applyBorder="1"/>
    <xf numFmtId="3" fontId="12" fillId="0" borderId="58" xfId="0" applyNumberFormat="1" applyFont="1" applyFill="1" applyBorder="1" applyAlignment="1"/>
    <xf numFmtId="3" fontId="12" fillId="0" borderId="19" xfId="0" applyNumberFormat="1" applyFont="1" applyBorder="1" applyAlignment="1"/>
    <xf numFmtId="3" fontId="12" fillId="0" borderId="60" xfId="0" applyNumberFormat="1" applyFont="1" applyFill="1" applyBorder="1" applyAlignment="1"/>
    <xf numFmtId="3" fontId="12" fillId="0" borderId="59" xfId="0" applyNumberFormat="1" applyFont="1" applyBorder="1" applyAlignment="1"/>
    <xf numFmtId="0" fontId="12" fillId="30" borderId="58" xfId="0" applyFont="1" applyFill="1" applyBorder="1"/>
    <xf numFmtId="0" fontId="12" fillId="0" borderId="58" xfId="0" applyFont="1" applyFill="1" applyBorder="1" applyAlignment="1">
      <alignment horizontal="left"/>
    </xf>
    <xf numFmtId="0" fontId="12" fillId="0" borderId="60" xfId="0" applyFont="1" applyFill="1" applyBorder="1" applyAlignment="1">
      <alignment horizontal="left"/>
    </xf>
    <xf numFmtId="3" fontId="12" fillId="0" borderId="60" xfId="0" applyNumberFormat="1" applyFont="1" applyBorder="1" applyAlignment="1"/>
    <xf numFmtId="3" fontId="10" fillId="0" borderId="59" xfId="0" applyNumberFormat="1" applyFont="1" applyFill="1" applyBorder="1" applyAlignment="1"/>
    <xf numFmtId="3" fontId="10" fillId="0" borderId="59" xfId="0" applyNumberFormat="1" applyFont="1" applyBorder="1" applyAlignment="1"/>
    <xf numFmtId="3" fontId="12" fillId="0" borderId="58" xfId="0" applyNumberFormat="1" applyFont="1" applyFill="1" applyBorder="1" applyAlignment="1">
      <alignment horizontal="right"/>
    </xf>
    <xf numFmtId="4" fontId="14" fillId="0" borderId="58" xfId="0" applyNumberFormat="1" applyFont="1" applyFill="1" applyBorder="1" applyAlignment="1">
      <alignment horizontal="right"/>
    </xf>
    <xf numFmtId="3" fontId="14" fillId="0" borderId="58" xfId="0" applyNumberFormat="1" applyFont="1" applyFill="1" applyBorder="1" applyAlignment="1">
      <alignment horizontal="right"/>
    </xf>
    <xf numFmtId="0" fontId="12" fillId="0" borderId="60" xfId="0" applyNumberFormat="1" applyFont="1" applyFill="1" applyBorder="1" applyAlignment="1">
      <alignment horizontal="left"/>
    </xf>
    <xf numFmtId="3" fontId="14" fillId="0" borderId="58" xfId="0" applyNumberFormat="1" applyFont="1" applyBorder="1" applyAlignment="1">
      <alignment horizontal="right"/>
    </xf>
    <xf numFmtId="3" fontId="12" fillId="0" borderId="59" xfId="0" applyNumberFormat="1" applyFont="1" applyFill="1" applyBorder="1" applyAlignment="1">
      <alignment horizontal="right"/>
    </xf>
    <xf numFmtId="0" fontId="12" fillId="0" borderId="58" xfId="0" applyFont="1" applyFill="1" applyBorder="1" applyAlignment="1"/>
    <xf numFmtId="0" fontId="12" fillId="0" borderId="58" xfId="0" applyNumberFormat="1" applyFont="1" applyFill="1" applyBorder="1" applyAlignment="1"/>
    <xf numFmtId="0" fontId="12" fillId="0" borderId="60" xfId="0" applyFont="1" applyFill="1" applyBorder="1" applyAlignment="1"/>
    <xf numFmtId="0" fontId="12" fillId="0" borderId="58" xfId="0" applyNumberFormat="1" applyFont="1" applyFill="1" applyBorder="1" applyAlignment="1">
      <alignment horizontal="left"/>
    </xf>
    <xf numFmtId="3" fontId="10" fillId="0" borderId="58" xfId="0" applyNumberFormat="1" applyFont="1" applyBorder="1" applyAlignment="1"/>
    <xf numFmtId="168" fontId="12" fillId="0" borderId="58" xfId="0" applyNumberFormat="1" applyFont="1" applyBorder="1" applyAlignment="1">
      <alignment horizontal="left"/>
    </xf>
    <xf numFmtId="3" fontId="16" fillId="0" borderId="58" xfId="0" applyNumberFormat="1" applyFont="1" applyBorder="1" applyAlignment="1"/>
    <xf numFmtId="3" fontId="21" fillId="0" borderId="61"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164" fontId="64" fillId="0" borderId="14" xfId="381" applyNumberFormat="1" applyFont="1" applyFill="1" applyBorder="1"/>
    <xf numFmtId="0" fontId="10" fillId="35" borderId="37" xfId="0" applyFont="1" applyFill="1" applyBorder="1" applyAlignment="1">
      <alignment horizontal="center" wrapText="1"/>
    </xf>
    <xf numFmtId="0" fontId="10" fillId="35" borderId="45" xfId="0" applyFont="1" applyFill="1" applyBorder="1"/>
    <xf numFmtId="3" fontId="12" fillId="0" borderId="62" xfId="0" applyNumberFormat="1" applyFont="1" applyFill="1" applyBorder="1" applyAlignment="1"/>
    <xf numFmtId="3" fontId="12" fillId="0" borderId="63"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64" fontId="12" fillId="0" borderId="12" xfId="381" applyNumberFormat="1" applyFont="1" applyFill="1" applyBorder="1"/>
    <xf numFmtId="177" fontId="12" fillId="0" borderId="28" xfId="381" applyNumberFormat="1" applyFont="1" applyBorder="1"/>
    <xf numFmtId="164" fontId="12" fillId="0" borderId="13" xfId="381" applyNumberFormat="1" applyFont="1" applyFill="1" applyBorder="1"/>
    <xf numFmtId="174" fontId="12" fillId="0" borderId="35" xfId="633" applyNumberFormat="1" applyFont="1" applyFill="1" applyBorder="1" applyAlignment="1"/>
    <xf numFmtId="164" fontId="10" fillId="0" borderId="13" xfId="381" applyNumberFormat="1" applyFont="1" applyFill="1" applyBorder="1"/>
    <xf numFmtId="0" fontId="0" fillId="0" borderId="13" xfId="0" applyBorder="1"/>
    <xf numFmtId="3" fontId="10" fillId="0" borderId="33" xfId="0" applyNumberFormat="1" applyFont="1" applyBorder="1" applyAlignment="1"/>
    <xf numFmtId="3" fontId="10" fillId="0" borderId="61"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39" fontId="10" fillId="0" borderId="0" xfId="0" applyNumberFormat="1" applyFont="1" applyBorder="1" applyAlignment="1">
      <alignment horizontal="right"/>
    </xf>
    <xf numFmtId="39" fontId="10" fillId="0" borderId="28" xfId="0" applyNumberFormat="1" applyFont="1" applyBorder="1" applyAlignment="1">
      <alignment horizontal="right"/>
    </xf>
    <xf numFmtId="0" fontId="61"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9" xfId="0" applyBorder="1"/>
    <xf numFmtId="43" fontId="10" fillId="0" borderId="10" xfId="381" applyFont="1" applyBorder="1"/>
    <xf numFmtId="164" fontId="10" fillId="0" borderId="49" xfId="381" applyNumberFormat="1" applyFont="1" applyBorder="1"/>
    <xf numFmtId="43" fontId="10" fillId="0" borderId="49" xfId="38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3" fillId="0" borderId="0" xfId="465" applyFont="1" applyFill="1" applyBorder="1"/>
    <xf numFmtId="164" fontId="8" fillId="0" borderId="0" xfId="381" applyNumberFormat="1" applyFont="1" applyFill="1" applyBorder="1" applyAlignment="1"/>
    <xf numFmtId="164" fontId="53" fillId="0" borderId="0" xfId="381" applyNumberFormat="1" applyFont="1" applyFill="1" applyBorder="1"/>
    <xf numFmtId="164" fontId="53" fillId="0" borderId="0" xfId="465" applyNumberFormat="1" applyFont="1" applyFill="1" applyBorder="1"/>
    <xf numFmtId="10" fontId="53"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4" fontId="51" fillId="34" borderId="0" xfId="474" applyNumberFormat="1" applyFont="1" applyFill="1" applyBorder="1"/>
    <xf numFmtId="0" fontId="9" fillId="0" borderId="25" xfId="465" applyFont="1" applyFill="1" applyBorder="1" applyAlignment="1">
      <alignment horizontal="center"/>
    </xf>
    <xf numFmtId="164" fontId="50" fillId="0" borderId="15" xfId="381" applyNumberFormat="1" applyFont="1" applyFill="1" applyBorder="1"/>
    <xf numFmtId="173" fontId="50" fillId="0" borderId="0" xfId="633" applyNumberFormat="1" applyFont="1" applyFill="1" applyBorder="1"/>
    <xf numFmtId="0" fontId="90" fillId="0" borderId="24" xfId="0" applyFont="1" applyFill="1" applyBorder="1" applyAlignment="1">
      <alignment horizontal="center"/>
    </xf>
    <xf numFmtId="0" fontId="50" fillId="0" borderId="22" xfId="0" applyFont="1" applyFill="1" applyBorder="1"/>
    <xf numFmtId="173" fontId="50" fillId="0" borderId="40" xfId="633" applyNumberFormat="1" applyFont="1" applyFill="1" applyBorder="1"/>
    <xf numFmtId="0" fontId="52" fillId="0" borderId="40" xfId="0" applyFont="1" applyFill="1" applyBorder="1"/>
    <xf numFmtId="164" fontId="50" fillId="0" borderId="3" xfId="381" applyNumberFormat="1" applyFont="1" applyFill="1" applyBorder="1"/>
    <xf numFmtId="0" fontId="50" fillId="0" borderId="40" xfId="0" applyFont="1" applyFill="1" applyBorder="1"/>
    <xf numFmtId="43" fontId="52" fillId="0" borderId="40" xfId="0" applyNumberFormat="1" applyFont="1" applyFill="1" applyBorder="1"/>
    <xf numFmtId="9" fontId="52" fillId="0" borderId="40" xfId="633" applyFont="1" applyFill="1" applyBorder="1"/>
    <xf numFmtId="0" fontId="52" fillId="0" borderId="40" xfId="0" applyFont="1" applyFill="1" applyBorder="1" applyAlignment="1">
      <alignment wrapText="1"/>
    </xf>
    <xf numFmtId="0" fontId="90" fillId="0" borderId="39" xfId="0" applyFont="1" applyFill="1" applyBorder="1" applyAlignment="1">
      <alignment horizontal="center"/>
    </xf>
    <xf numFmtId="0" fontId="90" fillId="0" borderId="20" xfId="0" applyFont="1" applyFill="1" applyBorder="1"/>
    <xf numFmtId="0" fontId="9" fillId="0" borderId="20" xfId="465" applyFont="1" applyFill="1" applyBorder="1"/>
    <xf numFmtId="164" fontId="82" fillId="0" borderId="0" xfId="381" applyNumberFormat="1" applyFont="1" applyBorder="1"/>
    <xf numFmtId="164" fontId="46"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0" xfId="381" applyFont="1" applyFill="1" applyBorder="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4" xfId="0" applyFont="1" applyBorder="1"/>
    <xf numFmtId="0" fontId="12" fillId="0" borderId="49" xfId="0" applyFont="1" applyBorder="1"/>
    <xf numFmtId="164" fontId="12" fillId="0" borderId="10" xfId="381" applyNumberFormat="1" applyFont="1" applyFill="1" applyBorder="1"/>
    <xf numFmtId="171" fontId="12" fillId="0" borderId="49" xfId="633" applyNumberFormat="1" applyFont="1" applyBorder="1"/>
    <xf numFmtId="171" fontId="12" fillId="0" borderId="65" xfId="633" applyNumberFormat="1" applyFont="1" applyBorder="1"/>
    <xf numFmtId="0" fontId="91" fillId="0" borderId="0" xfId="0" applyFont="1" applyFill="1" applyBorder="1"/>
    <xf numFmtId="37" fontId="93" fillId="0" borderId="0" xfId="0" applyNumberFormat="1" applyFont="1" applyFill="1" applyBorder="1" applyAlignment="1">
      <alignment horizontal="right"/>
    </xf>
    <xf numFmtId="0" fontId="91" fillId="0" borderId="0" xfId="0" applyFont="1" applyFill="1"/>
    <xf numFmtId="0" fontId="28" fillId="0" borderId="0" xfId="0" applyFont="1" applyFill="1"/>
    <xf numFmtId="0" fontId="121" fillId="0" borderId="0" xfId="0" applyFont="1" applyFill="1" applyAlignment="1">
      <alignment wrapText="1"/>
    </xf>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2" xfId="633" applyNumberFormat="1" applyFont="1" applyFill="1" applyBorder="1"/>
    <xf numFmtId="37" fontId="10" fillId="0" borderId="0" xfId="0" applyNumberFormat="1" applyFont="1" applyFill="1" applyBorder="1"/>
    <xf numFmtId="37" fontId="118" fillId="0" borderId="0" xfId="0" applyNumberFormat="1" applyFont="1" applyFill="1" applyBorder="1"/>
    <xf numFmtId="37" fontId="119" fillId="0" borderId="0" xfId="0" applyNumberFormat="1" applyFont="1" applyFill="1" applyBorder="1"/>
    <xf numFmtId="37" fontId="12" fillId="0" borderId="58"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8"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60"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20"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8"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14" xfId="381" applyNumberFormat="1" applyFont="1" applyFill="1" applyBorder="1"/>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8" xfId="0" applyFill="1" applyBorder="1"/>
    <xf numFmtId="0" fontId="10" fillId="0" borderId="12" xfId="0" applyNumberFormat="1" applyFont="1" applyFill="1" applyBorder="1" applyAlignment="1">
      <alignment horizontal="center"/>
    </xf>
    <xf numFmtId="43" fontId="12" fillId="0" borderId="58" xfId="381" applyFont="1" applyFill="1" applyBorder="1" applyAlignment="1"/>
    <xf numFmtId="43" fontId="12" fillId="0" borderId="58" xfId="381" applyFont="1" applyFill="1" applyBorder="1"/>
    <xf numFmtId="164" fontId="12" fillId="0" borderId="58"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7" xfId="0" applyFont="1" applyBorder="1"/>
    <xf numFmtId="0" fontId="0" fillId="0" borderId="24" xfId="0" applyBorder="1"/>
    <xf numFmtId="3" fontId="12" fillId="0" borderId="50" xfId="0" applyNumberFormat="1" applyFont="1" applyBorder="1" applyAlignment="1"/>
    <xf numFmtId="164" fontId="12" fillId="0" borderId="50" xfId="381" applyNumberFormat="1" applyFont="1" applyBorder="1"/>
    <xf numFmtId="164" fontId="12" fillId="0" borderId="51" xfId="381" applyNumberFormat="1" applyFont="1" applyBorder="1"/>
    <xf numFmtId="168" fontId="12" fillId="0" borderId="35" xfId="633" applyNumberFormat="1" applyFont="1" applyFill="1" applyBorder="1" applyAlignment="1"/>
    <xf numFmtId="168" fontId="12" fillId="0" borderId="55"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6"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88" fillId="0" borderId="0" xfId="0" applyFont="1" applyFill="1" applyBorder="1" applyAlignment="1">
      <alignment horizontal="left"/>
    </xf>
    <xf numFmtId="0" fontId="88" fillId="0" borderId="0" xfId="0" applyFont="1" applyFill="1"/>
    <xf numFmtId="0" fontId="36" fillId="0" borderId="0" xfId="0" applyFont="1" applyFill="1" applyBorder="1"/>
    <xf numFmtId="0" fontId="21" fillId="0" borderId="0" xfId="0" applyFont="1" applyFill="1" applyBorder="1" applyAlignment="1">
      <alignment horizontal="center"/>
    </xf>
    <xf numFmtId="0" fontId="42"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3" fillId="0" borderId="0" xfId="0" applyFont="1" applyFill="1" applyBorder="1" applyAlignment="1">
      <alignment horizontal="left"/>
    </xf>
    <xf numFmtId="0" fontId="32"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6"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2" fillId="0" borderId="0" xfId="0" applyNumberFormat="1" applyFont="1" applyFill="1"/>
    <xf numFmtId="0" fontId="38" fillId="0" borderId="0" xfId="0" applyFont="1" applyFill="1" applyAlignment="1">
      <alignment horizontal="right"/>
    </xf>
    <xf numFmtId="0" fontId="9" fillId="0" borderId="0" xfId="0" applyFont="1" applyFill="1" applyAlignment="1"/>
    <xf numFmtId="0" fontId="45" fillId="0" borderId="0" xfId="0" applyFont="1" applyFill="1" applyAlignment="1"/>
    <xf numFmtId="0" fontId="45"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8" fillId="0" borderId="17" xfId="381" applyNumberFormat="1" applyFont="1" applyFill="1" applyBorder="1" applyAlignment="1"/>
    <xf numFmtId="164" fontId="8" fillId="0" borderId="17" xfId="381" applyNumberFormat="1" applyFont="1" applyFill="1" applyBorder="1" applyAlignment="1">
      <alignment horizontal="center" wrapText="1"/>
    </xf>
    <xf numFmtId="164" fontId="53" fillId="0" borderId="0" xfId="465" applyNumberFormat="1" applyFont="1" applyFill="1" applyBorder="1" applyAlignment="1">
      <alignment horizontal="center"/>
    </xf>
    <xf numFmtId="164" fontId="53" fillId="0" borderId="0" xfId="390" applyNumberFormat="1" applyFont="1" applyFill="1" applyBorder="1" applyAlignment="1"/>
    <xf numFmtId="3" fontId="53" fillId="0" borderId="0" xfId="465" applyNumberFormat="1" applyFont="1" applyFill="1" applyBorder="1" applyAlignment="1">
      <alignment horizontal="center"/>
    </xf>
    <xf numFmtId="0" fontId="18" fillId="0" borderId="14" xfId="465" applyFont="1" applyFill="1" applyBorder="1" applyAlignment="1"/>
    <xf numFmtId="0" fontId="53"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8" fillId="0" borderId="24" xfId="465" applyFont="1" applyFill="1" applyBorder="1" applyAlignment="1">
      <alignment horizontal="center"/>
    </xf>
    <xf numFmtId="0" fontId="18" fillId="0" borderId="25" xfId="465" applyFont="1" applyFill="1" applyBorder="1" applyAlignment="1">
      <alignment horizontal="center" wrapText="1"/>
    </xf>
    <xf numFmtId="0" fontId="53"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3" fillId="0" borderId="21" xfId="465" applyFont="1" applyFill="1" applyBorder="1"/>
    <xf numFmtId="43" fontId="50" fillId="0" borderId="0" xfId="381" applyFont="1" applyFill="1" applyBorder="1" applyAlignment="1"/>
    <xf numFmtId="0" fontId="53" fillId="0" borderId="28" xfId="465" applyFont="1" applyFill="1" applyBorder="1"/>
    <xf numFmtId="0" fontId="18" fillId="0" borderId="13" xfId="465" applyFont="1" applyFill="1" applyBorder="1" applyAlignment="1"/>
    <xf numFmtId="0" fontId="53" fillId="0" borderId="10" xfId="465" applyFont="1" applyFill="1" applyBorder="1" applyAlignment="1"/>
    <xf numFmtId="0" fontId="35" fillId="0" borderId="0" xfId="465" applyFont="1" applyFill="1" applyBorder="1" applyAlignment="1">
      <alignment horizontal="center"/>
    </xf>
    <xf numFmtId="37" fontId="36" fillId="0" borderId="0" xfId="465" applyNumberFormat="1" applyFont="1" applyFill="1" applyBorder="1" applyAlignment="1">
      <alignment horizontal="left"/>
    </xf>
    <xf numFmtId="0" fontId="36" fillId="0" borderId="0" xfId="465" applyFont="1" applyFill="1"/>
    <xf numFmtId="0" fontId="40" fillId="0" borderId="25" xfId="465" applyFont="1" applyFill="1" applyBorder="1" applyAlignment="1">
      <alignment horizontal="center" wrapText="1"/>
    </xf>
    <xf numFmtId="0" fontId="40" fillId="0" borderId="24" xfId="465" applyFont="1" applyFill="1" applyBorder="1" applyAlignment="1">
      <alignment horizontal="center" wrapText="1"/>
    </xf>
    <xf numFmtId="0" fontId="36" fillId="0" borderId="24" xfId="465" applyFont="1" applyFill="1" applyBorder="1" applyAlignment="1">
      <alignment horizontal="center" wrapText="1"/>
    </xf>
    <xf numFmtId="0" fontId="36" fillId="0" borderId="29" xfId="465" applyFont="1" applyFill="1" applyBorder="1" applyAlignment="1">
      <alignment horizontal="center" wrapText="1"/>
    </xf>
    <xf numFmtId="0" fontId="36" fillId="0" borderId="21" xfId="465" applyFont="1" applyFill="1" applyBorder="1"/>
    <xf numFmtId="0" fontId="36" fillId="0" borderId="20" xfId="465" applyFont="1" applyFill="1" applyBorder="1"/>
    <xf numFmtId="3" fontId="36"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6" fillId="0" borderId="0" xfId="465" applyFont="1" applyFill="1" applyBorder="1" applyAlignment="1">
      <alignment wrapText="1"/>
    </xf>
    <xf numFmtId="0" fontId="36" fillId="0" borderId="21" xfId="465" applyFont="1" applyFill="1" applyBorder="1" applyAlignment="1">
      <alignment wrapText="1"/>
    </xf>
    <xf numFmtId="3" fontId="36" fillId="0" borderId="0" xfId="465" quotePrefix="1" applyNumberFormat="1" applyFont="1" applyFill="1" applyBorder="1" applyAlignment="1">
      <alignment horizontal="left" wrapText="1"/>
    </xf>
    <xf numFmtId="0" fontId="36" fillId="0" borderId="22" xfId="465" applyNumberFormat="1" applyFont="1" applyFill="1" applyBorder="1" applyAlignment="1">
      <alignment horizontal="center"/>
    </xf>
    <xf numFmtId="0" fontId="36" fillId="0" borderId="10" xfId="465" applyNumberFormat="1" applyFont="1" applyFill="1" applyBorder="1" applyAlignment="1">
      <alignment horizontal="right"/>
    </xf>
    <xf numFmtId="0" fontId="36" fillId="0" borderId="10" xfId="465" applyFont="1" applyFill="1" applyBorder="1" applyAlignment="1">
      <alignment horizontal="left"/>
    </xf>
    <xf numFmtId="0" fontId="36" fillId="0" borderId="10" xfId="465" applyNumberFormat="1" applyFont="1" applyFill="1" applyBorder="1" applyAlignment="1">
      <alignment horizontal="center"/>
    </xf>
    <xf numFmtId="0" fontId="36" fillId="0" borderId="23" xfId="465" applyNumberFormat="1" applyFont="1" applyFill="1" applyBorder="1" applyAlignment="1"/>
    <xf numFmtId="0" fontId="36" fillId="0" borderId="10" xfId="465" applyNumberFormat="1" applyFont="1" applyFill="1" applyBorder="1" applyAlignment="1"/>
    <xf numFmtId="3" fontId="36" fillId="0" borderId="10" xfId="465" applyNumberFormat="1" applyFont="1" applyFill="1" applyBorder="1" applyAlignment="1">
      <alignment horizontal="center"/>
    </xf>
    <xf numFmtId="3" fontId="36"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20" xfId="381" applyNumberFormat="1" applyFont="1" applyFill="1" applyBorder="1" applyAlignment="1"/>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6"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6" fillId="0" borderId="0" xfId="0" applyNumberFormat="1" applyFont="1" applyFill="1" applyBorder="1"/>
    <xf numFmtId="0" fontId="116" fillId="0" borderId="21" xfId="0" applyFont="1" applyFill="1" applyBorder="1" applyAlignment="1">
      <alignment horizontal="right"/>
    </xf>
    <xf numFmtId="164" fontId="9" fillId="0" borderId="67"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6" fillId="0" borderId="0" xfId="0" applyNumberFormat="1" applyFont="1" applyFill="1" applyBorder="1"/>
    <xf numFmtId="0" fontId="36" fillId="0" borderId="21" xfId="0" applyFont="1" applyFill="1" applyBorder="1"/>
    <xf numFmtId="164" fontId="36" fillId="0" borderId="10" xfId="0" applyNumberFormat="1" applyFont="1" applyFill="1" applyBorder="1"/>
    <xf numFmtId="0" fontId="35" fillId="0" borderId="10" xfId="0" applyFont="1" applyFill="1" applyBorder="1"/>
    <xf numFmtId="0" fontId="36" fillId="0" borderId="10" xfId="0" applyFont="1" applyFill="1" applyBorder="1"/>
    <xf numFmtId="0" fontId="36" fillId="0" borderId="23" xfId="0" applyFont="1" applyFill="1" applyBorder="1"/>
    <xf numFmtId="167" fontId="36" fillId="0" borderId="0" xfId="420" applyNumberFormat="1" applyFont="1" applyFill="1" applyBorder="1"/>
    <xf numFmtId="0" fontId="51" fillId="0" borderId="0" xfId="467" applyNumberFormat="1" applyFont="1" applyFill="1" applyAlignment="1">
      <alignment horizontal="left"/>
    </xf>
    <xf numFmtId="164" fontId="8" fillId="0" borderId="10" xfId="381" applyNumberFormat="1" applyFont="1" applyFill="1" applyBorder="1"/>
    <xf numFmtId="0" fontId="36" fillId="0" borderId="24" xfId="467" applyFont="1" applyFill="1" applyBorder="1" applyAlignment="1">
      <alignment horizontal="center"/>
    </xf>
    <xf numFmtId="0" fontId="8" fillId="0" borderId="21" xfId="467" applyFont="1" applyFill="1" applyBorder="1" applyAlignment="1">
      <alignment horizontal="center"/>
    </xf>
    <xf numFmtId="0" fontId="36" fillId="0" borderId="29" xfId="467" applyFont="1" applyFill="1" applyBorder="1"/>
    <xf numFmtId="0" fontId="36" fillId="0" borderId="21" xfId="467" applyFont="1" applyFill="1" applyBorder="1"/>
    <xf numFmtId="0" fontId="91" fillId="0" borderId="0" xfId="0" applyNumberFormat="1" applyFont="1" applyFill="1" applyAlignment="1">
      <alignment horizontal="left" wrapText="1"/>
    </xf>
    <xf numFmtId="0" fontId="36" fillId="0" borderId="10" xfId="467" applyFont="1" applyFill="1" applyBorder="1" applyAlignment="1">
      <alignment horizontal="center"/>
    </xf>
    <xf numFmtId="0" fontId="36" fillId="0" borderId="23" xfId="467" applyFont="1" applyFill="1" applyBorder="1"/>
    <xf numFmtId="0" fontId="36" fillId="0" borderId="22" xfId="467" applyFont="1" applyFill="1" applyBorder="1"/>
    <xf numFmtId="0" fontId="40" fillId="0" borderId="24" xfId="467" applyFont="1" applyFill="1" applyBorder="1" applyAlignment="1">
      <alignment horizontal="center" wrapText="1"/>
    </xf>
    <xf numFmtId="0" fontId="36" fillId="0" borderId="40" xfId="467" applyFont="1" applyFill="1" applyBorder="1" applyAlignment="1">
      <alignment horizontal="center"/>
    </xf>
    <xf numFmtId="167" fontId="36" fillId="0" borderId="40" xfId="420" applyNumberFormat="1" applyFont="1" applyFill="1" applyBorder="1"/>
    <xf numFmtId="167" fontId="36" fillId="0" borderId="0" xfId="467" applyNumberFormat="1" applyFont="1" applyFill="1" applyBorder="1"/>
    <xf numFmtId="0" fontId="9" fillId="0" borderId="26" xfId="0" applyFont="1" applyFill="1" applyBorder="1"/>
    <xf numFmtId="164" fontId="104" fillId="0" borderId="0" xfId="381"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164" fontId="8" fillId="0" borderId="17" xfId="381" applyNumberFormat="1" applyFont="1" applyBorder="1"/>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3" fillId="34" borderId="0" xfId="0" applyFont="1" applyFill="1"/>
    <xf numFmtId="0" fontId="66" fillId="34" borderId="0" xfId="0" applyFont="1" applyFill="1"/>
    <xf numFmtId="164" fontId="51" fillId="34" borderId="0" xfId="381" applyNumberFormat="1" applyFont="1" applyFill="1"/>
    <xf numFmtId="37" fontId="10" fillId="0" borderId="28" xfId="0" applyNumberFormat="1" applyFont="1" applyFill="1" applyBorder="1" applyAlignment="1">
      <alignment horizontal="right"/>
    </xf>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1"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6" fillId="0" borderId="20" xfId="381" applyFont="1" applyFill="1" applyBorder="1" applyAlignment="1">
      <alignment horizontal="center"/>
    </xf>
    <xf numFmtId="164" fontId="36" fillId="0" borderId="20" xfId="381" applyNumberFormat="1" applyFont="1" applyFill="1" applyBorder="1" applyAlignment="1">
      <alignment horizontal="center"/>
    </xf>
    <xf numFmtId="168" fontId="36"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3" xfId="381" applyFont="1" applyFill="1" applyBorder="1" applyAlignment="1">
      <alignment horizontal="right"/>
    </xf>
    <xf numFmtId="43" fontId="12" fillId="0" borderId="35" xfId="381" applyFont="1" applyFill="1" applyBorder="1"/>
    <xf numFmtId="43" fontId="12" fillId="0" borderId="55" xfId="381" applyFont="1" applyFill="1" applyBorder="1"/>
    <xf numFmtId="43" fontId="10" fillId="0" borderId="28" xfId="381" applyFont="1" applyFill="1" applyBorder="1"/>
    <xf numFmtId="43" fontId="10" fillId="0" borderId="53" xfId="381" applyFont="1" applyFill="1" applyBorder="1"/>
    <xf numFmtId="43" fontId="12" fillId="0" borderId="28" xfId="381" applyFont="1" applyBorder="1"/>
    <xf numFmtId="43" fontId="12" fillId="0" borderId="52" xfId="381" applyFont="1" applyBorder="1"/>
    <xf numFmtId="43" fontId="12" fillId="0" borderId="52" xfId="381" applyFont="1" applyFill="1" applyBorder="1"/>
    <xf numFmtId="43" fontId="10" fillId="0" borderId="28" xfId="381" applyFont="1" applyFill="1" applyBorder="1" applyAlignment="1">
      <alignment horizontal="right"/>
    </xf>
    <xf numFmtId="43" fontId="10" fillId="0" borderId="53" xfId="381" applyFont="1" applyFill="1" applyBorder="1" applyAlignment="1">
      <alignment horizontal="right"/>
    </xf>
    <xf numFmtId="43" fontId="10" fillId="0" borderId="28" xfId="381" applyFont="1" applyBorder="1"/>
    <xf numFmtId="43" fontId="10" fillId="0" borderId="52" xfId="381" applyFont="1" applyBorder="1"/>
    <xf numFmtId="43" fontId="10" fillId="0" borderId="52" xfId="381" applyFont="1" applyFill="1" applyBorder="1"/>
    <xf numFmtId="43" fontId="10" fillId="0" borderId="33" xfId="381" applyFont="1" applyFill="1" applyBorder="1"/>
    <xf numFmtId="43" fontId="10" fillId="0" borderId="0" xfId="381" applyFont="1" applyFill="1" applyBorder="1"/>
    <xf numFmtId="43" fontId="10" fillId="0" borderId="34" xfId="381" applyFont="1" applyFill="1" applyBorder="1" applyAlignment="1"/>
    <xf numFmtId="43" fontId="10" fillId="0" borderId="53" xfId="381" applyFont="1" applyFill="1" applyBorder="1" applyAlignment="1"/>
    <xf numFmtId="43" fontId="10" fillId="0" borderId="34" xfId="381" applyFont="1" applyFill="1" applyBorder="1" applyAlignment="1">
      <alignment horizontal="right"/>
    </xf>
    <xf numFmtId="43" fontId="10" fillId="0" borderId="52" xfId="381" applyFont="1" applyFill="1" applyBorder="1" applyAlignment="1">
      <alignment horizontal="right"/>
    </xf>
    <xf numFmtId="0" fontId="36" fillId="0" borderId="24" xfId="467" applyFont="1" applyFill="1" applyBorder="1"/>
    <xf numFmtId="0" fontId="36" fillId="0" borderId="10" xfId="467" applyFont="1" applyFill="1" applyBorder="1"/>
    <xf numFmtId="0" fontId="0" fillId="0" borderId="29" xfId="0" applyBorder="1"/>
    <xf numFmtId="0" fontId="40" fillId="0" borderId="25" xfId="467" applyFont="1" applyFill="1" applyBorder="1" applyAlignment="1">
      <alignment horizontal="center" wrapText="1"/>
    </xf>
    <xf numFmtId="167" fontId="36" fillId="0" borderId="20" xfId="467" applyNumberFormat="1" applyFont="1" applyFill="1" applyBorder="1"/>
    <xf numFmtId="167" fontId="8" fillId="0" borderId="21" xfId="467" applyNumberFormat="1" applyFont="1" applyBorder="1"/>
    <xf numFmtId="167" fontId="36" fillId="0" borderId="22" xfId="467" applyNumberFormat="1" applyFont="1" applyBorder="1"/>
    <xf numFmtId="0" fontId="0" fillId="0" borderId="23" xfId="0" applyBorder="1"/>
    <xf numFmtId="0" fontId="9" fillId="0" borderId="21" xfId="0" applyFont="1" applyBorder="1"/>
    <xf numFmtId="0" fontId="40" fillId="0" borderId="24" xfId="467" applyFont="1" applyFill="1" applyBorder="1" applyAlignment="1">
      <alignment horizontal="center" wrapText="1"/>
    </xf>
    <xf numFmtId="164" fontId="36"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6" fillId="0" borderId="12" xfId="0" applyNumberFormat="1" applyFont="1" applyBorder="1"/>
    <xf numFmtId="17" fontId="46" fillId="0" borderId="12" xfId="0" applyNumberFormat="1" applyFont="1" applyBorder="1" applyAlignment="1">
      <alignment horizontal="center"/>
    </xf>
    <xf numFmtId="17" fontId="46" fillId="0" borderId="26" xfId="0" applyNumberFormat="1" applyFont="1" applyBorder="1"/>
    <xf numFmtId="3" fontId="12" fillId="33" borderId="28" xfId="0" applyNumberFormat="1" applyFont="1" applyFill="1" applyBorder="1" applyAlignment="1"/>
    <xf numFmtId="164" fontId="12" fillId="33" borderId="28" xfId="381" applyNumberFormat="1" applyFont="1" applyFill="1" applyBorder="1"/>
    <xf numFmtId="164" fontId="12" fillId="33" borderId="52"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3" fontId="18" fillId="33" borderId="0" xfId="465" applyNumberFormat="1" applyFont="1" applyFill="1" applyBorder="1" applyAlignment="1">
      <alignment horizontal="right"/>
    </xf>
    <xf numFmtId="164" fontId="18" fillId="33" borderId="28" xfId="390" applyNumberFormat="1" applyFont="1" applyFill="1" applyBorder="1" applyAlignment="1"/>
    <xf numFmtId="3" fontId="36" fillId="33" borderId="20" xfId="465" applyNumberFormat="1" applyFont="1" applyFill="1" applyBorder="1" applyAlignment="1">
      <alignment horizontal="center"/>
    </xf>
    <xf numFmtId="3" fontId="36" fillId="33" borderId="0" xfId="465" applyNumberFormat="1" applyFont="1" applyFill="1" applyBorder="1" applyAlignment="1">
      <alignment horizontal="center"/>
    </xf>
    <xf numFmtId="3" fontId="36" fillId="33" borderId="22" xfId="465" applyNumberFormat="1" applyFont="1" applyFill="1" applyBorder="1" applyAlignment="1">
      <alignment horizontal="center"/>
    </xf>
    <xf numFmtId="3" fontId="36" fillId="33" borderId="10" xfId="465" applyNumberFormat="1" applyFont="1" applyFill="1" applyBorder="1" applyAlignment="1">
      <alignment horizontal="center"/>
    </xf>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43" fontId="8" fillId="34" borderId="0" xfId="467" applyNumberFormat="1" applyFont="1" applyFill="1" applyBorder="1"/>
    <xf numFmtId="164" fontId="88"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37" fontId="9" fillId="33" borderId="0" xfId="0" applyNumberFormat="1" applyFont="1" applyFill="1" applyAlignment="1">
      <alignment horizontal="right" wrapText="1"/>
    </xf>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0" fontId="18" fillId="33" borderId="0" xfId="633" applyNumberFormat="1" applyFont="1" applyFill="1" applyBorder="1" applyAlignment="1">
      <alignment horizontal="right"/>
    </xf>
    <xf numFmtId="168" fontId="12" fillId="33" borderId="35" xfId="633" applyNumberFormat="1" applyFont="1" applyFill="1" applyBorder="1" applyAlignment="1"/>
    <xf numFmtId="168" fontId="12" fillId="33" borderId="35" xfId="633" applyNumberFormat="1" applyFont="1" applyFill="1" applyBorder="1"/>
    <xf numFmtId="164" fontId="88" fillId="33" borderId="0" xfId="381" applyNumberFormat="1" applyFont="1" applyFill="1" applyBorder="1"/>
    <xf numFmtId="164" fontId="0" fillId="33" borderId="21" xfId="0" applyNumberFormat="1" applyFill="1" applyBorder="1"/>
    <xf numFmtId="164" fontId="29" fillId="33" borderId="28" xfId="381" applyNumberFormat="1" applyFont="1" applyFill="1" applyBorder="1" applyAlignment="1">
      <alignment horizontal="center"/>
    </xf>
    <xf numFmtId="164" fontId="29" fillId="33" borderId="28" xfId="0" applyNumberFormat="1" applyFont="1" applyFill="1" applyBorder="1" applyAlignment="1">
      <alignment horizontal="center"/>
    </xf>
    <xf numFmtId="3" fontId="12" fillId="33" borderId="35" xfId="0" applyNumberFormat="1" applyFont="1" applyFill="1" applyBorder="1" applyAlignment="1"/>
    <xf numFmtId="168" fontId="12" fillId="33" borderId="35" xfId="633" applyNumberFormat="1" applyFont="1" applyFill="1" applyBorder="1" applyAlignment="1">
      <alignment horizontal="right"/>
    </xf>
    <xf numFmtId="164" fontId="12" fillId="33" borderId="14" xfId="381" applyNumberFormat="1" applyFont="1" applyFill="1" applyBorder="1"/>
    <xf numFmtId="164" fontId="9" fillId="33" borderId="24" xfId="381" applyNumberFormat="1" applyFont="1" applyFill="1" applyBorder="1" applyAlignment="1"/>
    <xf numFmtId="164" fontId="9" fillId="33" borderId="0" xfId="381" applyNumberFormat="1" applyFont="1" applyFill="1" applyBorder="1" applyAlignment="1"/>
    <xf numFmtId="0" fontId="88" fillId="0" borderId="0" xfId="0" applyFont="1" applyFill="1" applyAlignment="1">
      <alignment horizontal="left"/>
    </xf>
    <xf numFmtId="0" fontId="123" fillId="0" borderId="0" xfId="0" applyFont="1" applyFill="1" applyAlignment="1">
      <alignment horizontal="center"/>
    </xf>
    <xf numFmtId="0" fontId="124" fillId="0" borderId="0" xfId="0" applyFont="1" applyFill="1"/>
    <xf numFmtId="0" fontId="40" fillId="0" borderId="26" xfId="0" applyFont="1" applyFill="1" applyBorder="1"/>
    <xf numFmtId="0" fontId="88" fillId="0" borderId="19" xfId="0" applyFont="1" applyFill="1" applyBorder="1"/>
    <xf numFmtId="37" fontId="88" fillId="0" borderId="17" xfId="0" applyNumberFormat="1" applyFont="1" applyFill="1" applyBorder="1"/>
    <xf numFmtId="0" fontId="40" fillId="0" borderId="60" xfId="0" applyFont="1" applyFill="1" applyBorder="1"/>
    <xf numFmtId="0" fontId="88" fillId="0" borderId="60" xfId="0" applyFont="1" applyFill="1" applyBorder="1"/>
    <xf numFmtId="0" fontId="40" fillId="0" borderId="58" xfId="0" applyFont="1" applyFill="1" applyBorder="1"/>
    <xf numFmtId="0" fontId="88" fillId="0" borderId="58" xfId="0" applyFont="1" applyFill="1" applyBorder="1"/>
    <xf numFmtId="0" fontId="88" fillId="0" borderId="0" xfId="0" applyFont="1" applyBorder="1" applyAlignment="1">
      <alignment horizontal="left"/>
    </xf>
    <xf numFmtId="0" fontId="125" fillId="0" borderId="0" xfId="0" applyFont="1" applyFill="1" applyBorder="1"/>
    <xf numFmtId="0" fontId="126" fillId="0" borderId="0" xfId="0" applyFont="1" applyBorder="1"/>
    <xf numFmtId="37" fontId="126" fillId="0" borderId="0" xfId="0" applyNumberFormat="1" applyFont="1" applyFill="1" applyBorder="1"/>
    <xf numFmtId="0" fontId="88" fillId="0" borderId="0" xfId="0" applyFont="1" applyFill="1" applyBorder="1"/>
    <xf numFmtId="0" fontId="18" fillId="0" borderId="47"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40"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88" fillId="0" borderId="0" xfId="0" applyNumberFormat="1" applyFont="1" applyFill="1" applyBorder="1"/>
    <xf numFmtId="0" fontId="128" fillId="0" borderId="0" xfId="467" applyFont="1" applyAlignment="1">
      <alignment horizontal="center"/>
    </xf>
    <xf numFmtId="164" fontId="127" fillId="0" borderId="0" xfId="467" applyNumberFormat="1" applyFont="1"/>
    <xf numFmtId="0" fontId="127" fillId="0" borderId="0" xfId="467" applyFont="1"/>
    <xf numFmtId="0" fontId="127" fillId="0" borderId="0" xfId="467" applyFont="1" applyAlignment="1">
      <alignment horizontal="center"/>
    </xf>
    <xf numFmtId="0" fontId="129" fillId="0" borderId="0" xfId="467" applyFont="1"/>
    <xf numFmtId="167" fontId="127" fillId="0" borderId="0" xfId="467" applyNumberFormat="1" applyFont="1"/>
    <xf numFmtId="164" fontId="88" fillId="33" borderId="0" xfId="381" applyNumberFormat="1" applyFont="1" applyFill="1"/>
    <xf numFmtId="39" fontId="50" fillId="0" borderId="37" xfId="551" applyFont="1" applyFill="1" applyBorder="1" applyAlignment="1" applyProtection="1">
      <alignment horizontal="left"/>
    </xf>
    <xf numFmtId="39" fontId="50" fillId="0" borderId="68" xfId="549" applyFont="1" applyFill="1" applyBorder="1"/>
    <xf numFmtId="39" fontId="50" fillId="0" borderId="68" xfId="549" applyFont="1" applyFill="1" applyBorder="1" applyAlignment="1">
      <alignment wrapText="1"/>
    </xf>
    <xf numFmtId="0" fontId="50" fillId="0" borderId="68" xfId="0" applyFont="1" applyFill="1" applyBorder="1" applyAlignment="1">
      <alignment wrapText="1"/>
    </xf>
    <xf numFmtId="39" fontId="50" fillId="0" borderId="38" xfId="549" applyFont="1" applyFill="1" applyBorder="1" applyAlignment="1">
      <alignment wrapText="1"/>
    </xf>
    <xf numFmtId="39" fontId="50" fillId="0" borderId="20" xfId="551" applyFont="1" applyFill="1" applyBorder="1"/>
    <xf numFmtId="39" fontId="50" fillId="0" borderId="0" xfId="551" applyFont="1" applyFill="1" applyBorder="1"/>
    <xf numFmtId="0" fontId="50" fillId="0" borderId="21" xfId="0" applyFont="1" applyFill="1" applyBorder="1"/>
    <xf numFmtId="0" fontId="50" fillId="0" borderId="0" xfId="0" applyFont="1" applyFill="1"/>
    <xf numFmtId="37" fontId="50" fillId="0" borderId="21" xfId="0" applyNumberFormat="1" applyFont="1" applyFill="1" applyBorder="1"/>
    <xf numFmtId="37" fontId="50" fillId="0" borderId="0" xfId="551" applyNumberFormat="1" applyFont="1" applyFill="1" applyBorder="1"/>
    <xf numFmtId="37" fontId="50" fillId="0" borderId="10" xfId="551" applyNumberFormat="1" applyFont="1" applyFill="1" applyBorder="1"/>
    <xf numFmtId="39" fontId="50" fillId="0" borderId="10" xfId="551" applyFont="1" applyFill="1" applyBorder="1" applyAlignment="1">
      <alignment horizontal="center"/>
    </xf>
    <xf numFmtId="39" fontId="50" fillId="0" borderId="25" xfId="551" applyFont="1" applyFill="1" applyBorder="1"/>
    <xf numFmtId="39" fontId="50" fillId="0" borderId="24" xfId="551" applyFont="1" applyFill="1" applyBorder="1"/>
    <xf numFmtId="0" fontId="50" fillId="0" borderId="0" xfId="0" applyFont="1" applyFill="1" applyBorder="1"/>
    <xf numFmtId="164" fontId="50" fillId="0" borderId="21" xfId="381" applyNumberFormat="1" applyFont="1" applyFill="1" applyBorder="1"/>
    <xf numFmtId="39" fontId="50" fillId="0" borderId="22" xfId="551" applyFont="1" applyFill="1" applyBorder="1"/>
    <xf numFmtId="164" fontId="50" fillId="0" borderId="23" xfId="0" applyNumberFormat="1" applyFont="1" applyFill="1" applyBorder="1"/>
    <xf numFmtId="0" fontId="130" fillId="0" borderId="0" xfId="467" applyFont="1" applyAlignment="1">
      <alignment horizontal="center"/>
    </xf>
    <xf numFmtId="0" fontId="130" fillId="0" borderId="0" xfId="467" applyFont="1"/>
    <xf numFmtId="37" fontId="88" fillId="0" borderId="19" xfId="0" applyNumberFormat="1" applyFont="1" applyFill="1" applyBorder="1"/>
    <xf numFmtId="44" fontId="0" fillId="0" borderId="0" xfId="420" applyFont="1"/>
    <xf numFmtId="44" fontId="0" fillId="0" borderId="0" xfId="0" applyNumberFormat="1"/>
    <xf numFmtId="164" fontId="104" fillId="0" borderId="0" xfId="0" applyNumberFormat="1" applyFont="1" applyBorder="1"/>
    <xf numFmtId="164" fontId="51"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1"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0" fillId="33" borderId="0" xfId="0" applyNumberFormat="1" applyFill="1" applyBorder="1"/>
    <xf numFmtId="164" fontId="18" fillId="33" borderId="20" xfId="390" applyNumberFormat="1" applyFont="1" applyFill="1" applyBorder="1" applyAlignment="1">
      <alignment horizontal="center"/>
    </xf>
    <xf numFmtId="167" fontId="51" fillId="33" borderId="0" xfId="422" applyNumberFormat="1" applyFont="1" applyFill="1" applyAlignment="1">
      <alignment horizontal="left"/>
    </xf>
    <xf numFmtId="164" fontId="18" fillId="33" borderId="0" xfId="465" applyNumberFormat="1" applyFont="1" applyFill="1" applyBorder="1" applyAlignment="1">
      <alignment horizontal="center"/>
    </xf>
    <xf numFmtId="37" fontId="50" fillId="0" borderId="24" xfId="551" applyNumberFormat="1" applyFont="1" applyFill="1" applyBorder="1" applyAlignment="1">
      <alignment horizontal="right"/>
    </xf>
    <xf numFmtId="37" fontId="50"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0" fontId="50" fillId="0" borderId="16" xfId="0" applyFont="1" applyFill="1" applyBorder="1"/>
    <xf numFmtId="164" fontId="0" fillId="0" borderId="0" xfId="0" applyNumberFormat="1" applyFill="1" applyBorder="1"/>
    <xf numFmtId="164" fontId="51" fillId="33" borderId="0" xfId="467" applyNumberFormat="1" applyFont="1" applyFill="1" applyAlignment="1">
      <alignment horizontal="center"/>
    </xf>
    <xf numFmtId="167" fontId="51" fillId="33" borderId="0" xfId="467" applyNumberFormat="1" applyFont="1" applyFill="1" applyAlignment="1">
      <alignment horizontal="center"/>
    </xf>
    <xf numFmtId="3" fontId="131" fillId="0" borderId="0" xfId="0" applyNumberFormat="1" applyFont="1" applyFill="1" applyBorder="1" applyAlignment="1">
      <alignment horizontal="center"/>
    </xf>
    <xf numFmtId="3" fontId="131" fillId="0" borderId="14" xfId="0" applyNumberFormat="1" applyFont="1" applyBorder="1" applyAlignment="1">
      <alignment horizontal="center"/>
    </xf>
    <xf numFmtId="3" fontId="131" fillId="0" borderId="0" xfId="0" applyNumberFormat="1" applyFont="1" applyBorder="1" applyAlignment="1">
      <alignment horizontal="center"/>
    </xf>
    <xf numFmtId="3" fontId="14" fillId="0" borderId="0" xfId="0" applyNumberFormat="1" applyFont="1" applyBorder="1" applyAlignment="1">
      <alignment horizontal="center"/>
    </xf>
    <xf numFmtId="3" fontId="60" fillId="0" borderId="0" xfId="0" applyNumberFormat="1" applyFont="1" applyFill="1" applyBorder="1" applyAlignment="1">
      <alignment horizontal="center"/>
    </xf>
    <xf numFmtId="0" fontId="14" fillId="0" borderId="0" xfId="0" applyFont="1" applyBorder="1" applyAlignment="1">
      <alignment horizontal="center"/>
    </xf>
    <xf numFmtId="164" fontId="47" fillId="0" borderId="0" xfId="381" applyNumberFormat="1" applyFont="1" applyFill="1" applyAlignment="1"/>
    <xf numFmtId="0" fontId="10" fillId="0" borderId="0" xfId="0" applyFont="1" applyFill="1" applyBorder="1" applyAlignment="1">
      <alignment horizontal="center"/>
    </xf>
    <xf numFmtId="172" fontId="12" fillId="0" borderId="0" xfId="381" applyNumberFormat="1" applyFont="1" applyFill="1" applyBorder="1"/>
    <xf numFmtId="0" fontId="8" fillId="0" borderId="0" xfId="473" quotePrefix="1" applyFont="1" applyFill="1" applyBorder="1" applyAlignment="1"/>
    <xf numFmtId="164" fontId="52" fillId="0" borderId="0" xfId="381" applyNumberFormat="1" applyFont="1" applyFill="1"/>
    <xf numFmtId="0" fontId="50"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4" xfId="0" applyFont="1" applyBorder="1" applyAlignment="1"/>
    <xf numFmtId="173" fontId="10" fillId="0" borderId="49" xfId="633" applyNumberFormat="1" applyFont="1" applyBorder="1" applyAlignment="1"/>
    <xf numFmtId="164" fontId="12" fillId="0" borderId="49" xfId="381" applyNumberFormat="1" applyFont="1" applyBorder="1"/>
    <xf numFmtId="164" fontId="12" fillId="0" borderId="65" xfId="381" applyNumberFormat="1" applyFont="1" applyBorder="1"/>
    <xf numFmtId="41" fontId="0" fillId="0" borderId="14" xfId="0" applyNumberFormat="1" applyFill="1" applyBorder="1" applyAlignment="1">
      <alignment horizontal="right"/>
    </xf>
    <xf numFmtId="0" fontId="102" fillId="0" borderId="0" xfId="0" applyFont="1" applyFill="1" applyAlignment="1">
      <alignment horizontal="left"/>
    </xf>
    <xf numFmtId="0" fontId="0" fillId="34" borderId="47" xfId="0" applyFill="1" applyBorder="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7" xfId="0" applyFont="1" applyFill="1" applyBorder="1" applyAlignment="1">
      <alignment horizontal="left"/>
    </xf>
    <xf numFmtId="0" fontId="8" fillId="34" borderId="26" xfId="0" applyFont="1" applyFill="1" applyBorder="1" applyAlignment="1">
      <alignment horizontal="left"/>
    </xf>
    <xf numFmtId="0" fontId="0" fillId="34" borderId="69"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6" fillId="34" borderId="19" xfId="0" applyFont="1" applyFill="1" applyBorder="1"/>
    <xf numFmtId="0" fontId="36" fillId="34" borderId="18" xfId="0" applyFont="1" applyFill="1" applyBorder="1"/>
    <xf numFmtId="0" fontId="35" fillId="0" borderId="47" xfId="0" applyFont="1" applyFill="1" applyBorder="1"/>
    <xf numFmtId="0" fontId="35" fillId="0" borderId="35" xfId="0" applyFont="1" applyFill="1" applyBorder="1"/>
    <xf numFmtId="0" fontId="35" fillId="0" borderId="28" xfId="0" applyFont="1" applyFill="1" applyBorder="1"/>
    <xf numFmtId="0" fontId="102" fillId="0" borderId="0" xfId="0" applyFont="1" applyBorder="1" applyAlignment="1">
      <alignment horizontal="left"/>
    </xf>
    <xf numFmtId="0" fontId="35" fillId="0" borderId="69" xfId="0" applyFont="1" applyFill="1" applyBorder="1"/>
    <xf numFmtId="0" fontId="102" fillId="0" borderId="12" xfId="0" applyFont="1" applyBorder="1"/>
    <xf numFmtId="0" fontId="102" fillId="0" borderId="12" xfId="0" applyFont="1" applyFill="1" applyBorder="1"/>
    <xf numFmtId="37" fontId="102" fillId="0" borderId="12" xfId="0" applyNumberFormat="1" applyFont="1" applyFill="1" applyBorder="1"/>
    <xf numFmtId="37" fontId="102" fillId="0" borderId="12" xfId="0" applyNumberFormat="1" applyFont="1" applyFill="1" applyBorder="1" applyAlignment="1">
      <alignment horizontal="center"/>
    </xf>
    <xf numFmtId="0" fontId="102" fillId="0" borderId="18" xfId="0" applyFont="1" applyFill="1" applyBorder="1" applyAlignment="1">
      <alignment horizontal="center"/>
    </xf>
    <xf numFmtId="0" fontId="35" fillId="0" borderId="27" xfId="0" applyFont="1" applyFill="1" applyBorder="1" applyAlignment="1">
      <alignment horizontal="left"/>
    </xf>
    <xf numFmtId="0" fontId="102" fillId="0" borderId="0" xfId="0" applyFont="1" applyBorder="1"/>
    <xf numFmtId="0" fontId="102" fillId="0" borderId="0" xfId="0" applyFont="1" applyFill="1" applyBorder="1"/>
    <xf numFmtId="0" fontId="102" fillId="0" borderId="0" xfId="0" applyFont="1" applyFill="1" applyBorder="1" applyAlignment="1">
      <alignment horizontal="center"/>
    </xf>
    <xf numFmtId="0" fontId="102" fillId="0" borderId="58" xfId="0" applyFont="1" applyFill="1" applyBorder="1" applyAlignment="1">
      <alignment horizontal="center"/>
    </xf>
    <xf numFmtId="0" fontId="35" fillId="0" borderId="70" xfId="0" applyFont="1" applyFill="1" applyBorder="1" applyAlignment="1">
      <alignment horizontal="left"/>
    </xf>
    <xf numFmtId="0" fontId="102" fillId="0" borderId="14" xfId="0" applyFont="1" applyBorder="1" applyAlignment="1">
      <alignment wrapText="1"/>
    </xf>
    <xf numFmtId="0" fontId="102" fillId="0" borderId="60" xfId="0" applyFont="1" applyBorder="1" applyAlignment="1">
      <alignment wrapText="1"/>
    </xf>
    <xf numFmtId="0" fontId="8" fillId="34" borderId="47"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7" xfId="0" applyFont="1" applyFill="1" applyBorder="1"/>
    <xf numFmtId="0" fontId="102" fillId="0" borderId="12" xfId="0" applyFont="1" applyFill="1" applyBorder="1" applyAlignment="1">
      <alignment horizontal="center"/>
    </xf>
    <xf numFmtId="0" fontId="102" fillId="0" borderId="14" xfId="0" applyFont="1" applyFill="1" applyBorder="1"/>
    <xf numFmtId="0" fontId="102" fillId="0" borderId="14" xfId="0" applyFont="1" applyFill="1" applyBorder="1" applyAlignment="1">
      <alignment horizontal="center"/>
    </xf>
    <xf numFmtId="0" fontId="102" fillId="0" borderId="60" xfId="0" applyFont="1" applyFill="1" applyBorder="1" applyAlignment="1">
      <alignment horizontal="center"/>
    </xf>
    <xf numFmtId="37" fontId="8" fillId="34" borderId="17" xfId="0" applyNumberFormat="1" applyFont="1" applyFill="1" applyBorder="1"/>
    <xf numFmtId="0" fontId="8" fillId="34" borderId="69" xfId="0" applyFont="1" applyFill="1" applyBorder="1"/>
    <xf numFmtId="0" fontId="8" fillId="34" borderId="12" xfId="0" applyFont="1" applyFill="1" applyBorder="1"/>
    <xf numFmtId="0" fontId="8" fillId="34" borderId="69" xfId="0" applyFont="1" applyFill="1" applyBorder="1" applyAlignment="1">
      <alignment horizontal="left"/>
    </xf>
    <xf numFmtId="0" fontId="8" fillId="34" borderId="12" xfId="0" applyFont="1" applyFill="1" applyBorder="1" applyAlignment="1">
      <alignment horizontal="left"/>
    </xf>
    <xf numFmtId="0" fontId="8" fillId="34" borderId="19" xfId="0" applyFont="1" applyFill="1" applyBorder="1"/>
    <xf numFmtId="0" fontId="18" fillId="34" borderId="18" xfId="0" applyFont="1" applyFill="1" applyBorder="1"/>
    <xf numFmtId="0" fontId="18" fillId="34" borderId="19" xfId="0" applyFont="1" applyFill="1" applyBorder="1"/>
    <xf numFmtId="0" fontId="8" fillId="34" borderId="70" xfId="0" applyFont="1" applyFill="1" applyBorder="1" applyAlignment="1">
      <alignment horizontal="left"/>
    </xf>
    <xf numFmtId="0" fontId="8" fillId="34" borderId="0" xfId="0" applyFont="1" applyFill="1" applyBorder="1" applyAlignment="1">
      <alignment horizontal="left"/>
    </xf>
    <xf numFmtId="0" fontId="18" fillId="34" borderId="69" xfId="0" applyFont="1" applyFill="1" applyBorder="1" applyAlignment="1">
      <alignment horizontal="left"/>
    </xf>
    <xf numFmtId="0" fontId="18" fillId="34" borderId="12" xfId="0" applyFont="1" applyFill="1" applyBorder="1" applyAlignment="1">
      <alignment horizontal="left"/>
    </xf>
    <xf numFmtId="0" fontId="17" fillId="0" borderId="47" xfId="0" applyFont="1" applyFill="1" applyBorder="1" applyAlignment="1"/>
    <xf numFmtId="0" fontId="17" fillId="0" borderId="70" xfId="0" applyFont="1" applyFill="1" applyBorder="1"/>
    <xf numFmtId="0" fontId="102" fillId="0" borderId="58" xfId="0" applyFont="1" applyBorder="1"/>
    <xf numFmtId="0" fontId="102" fillId="0" borderId="14" xfId="0" applyFont="1" applyBorder="1"/>
    <xf numFmtId="0" fontId="102" fillId="0" borderId="60"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88"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88"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64" fontId="9" fillId="34" borderId="26" xfId="390" applyNumberFormat="1" applyFont="1" applyFill="1" applyBorder="1"/>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50" fillId="0" borderId="41" xfId="633" applyNumberFormat="1" applyFont="1" applyFill="1" applyBorder="1"/>
    <xf numFmtId="173" fontId="50" fillId="0" borderId="10" xfId="633" applyNumberFormat="1" applyFont="1" applyFill="1" applyBorder="1"/>
    <xf numFmtId="0" fontId="52" fillId="0" borderId="16" xfId="0" applyFont="1" applyFill="1" applyBorder="1"/>
    <xf numFmtId="164" fontId="52" fillId="0" borderId="71" xfId="381" applyNumberFormat="1" applyFont="1" applyFill="1" applyBorder="1"/>
    <xf numFmtId="0" fontId="52" fillId="0" borderId="15" xfId="0" applyFont="1" applyFill="1" applyBorder="1"/>
    <xf numFmtId="43" fontId="50" fillId="0" borderId="15" xfId="381" applyFont="1" applyFill="1" applyBorder="1"/>
    <xf numFmtId="43" fontId="50" fillId="0" borderId="3" xfId="381" applyFont="1" applyFill="1" applyBorder="1"/>
    <xf numFmtId="164" fontId="50" fillId="0" borderId="3" xfId="0" applyNumberFormat="1" applyFont="1" applyFill="1" applyBorder="1"/>
    <xf numFmtId="164" fontId="50" fillId="0" borderId="15" xfId="0" applyNumberFormat="1" applyFont="1" applyFill="1" applyBorder="1"/>
    <xf numFmtId="164" fontId="52" fillId="0" borderId="0" xfId="0" applyNumberFormat="1" applyFont="1" applyFill="1"/>
    <xf numFmtId="164" fontId="52" fillId="0" borderId="40" xfId="0" applyNumberFormat="1" applyFont="1" applyFill="1" applyBorder="1"/>
    <xf numFmtId="164" fontId="52" fillId="0" borderId="72" xfId="381" applyNumberFormat="1" applyFont="1" applyFill="1" applyBorder="1"/>
    <xf numFmtId="37" fontId="50" fillId="0" borderId="23" xfId="0" applyNumberFormat="1" applyFont="1" applyFill="1" applyBorder="1"/>
    <xf numFmtId="164" fontId="8" fillId="0" borderId="0" xfId="381" applyNumberFormat="1"/>
    <xf numFmtId="164" fontId="85" fillId="0" borderId="0" xfId="381" applyNumberFormat="1" applyFont="1" applyFill="1"/>
    <xf numFmtId="41" fontId="8" fillId="0" borderId="0" xfId="0" applyNumberFormat="1" applyFont="1" applyFill="1" applyBorder="1" applyAlignment="1">
      <alignment horizontal="left"/>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51" fillId="0" borderId="0" xfId="465" applyFont="1" applyFill="1"/>
    <xf numFmtId="43" fontId="152" fillId="0" borderId="0" xfId="381" applyFont="1" applyFill="1" applyBorder="1" applyAlignment="1">
      <alignment horizontal="right" vertical="center" wrapText="1"/>
    </xf>
    <xf numFmtId="0" fontId="153" fillId="0" borderId="0" xfId="0" applyFont="1" applyFill="1" applyBorder="1"/>
    <xf numFmtId="39" fontId="50" fillId="0" borderId="68" xfId="551" applyFont="1" applyFill="1" applyBorder="1" applyAlignment="1" applyProtection="1">
      <alignment horizontal="left"/>
    </xf>
    <xf numFmtId="0" fontId="150" fillId="0" borderId="0" xfId="0" applyFont="1"/>
    <xf numFmtId="37" fontId="8" fillId="0" borderId="0" xfId="445" applyNumberFormat="1"/>
    <xf numFmtId="37" fontId="8" fillId="0" borderId="0" xfId="445" applyNumberFormat="1"/>
    <xf numFmtId="37" fontId="8" fillId="0" borderId="0" xfId="445" applyNumberFormat="1"/>
    <xf numFmtId="37" fontId="8" fillId="0" borderId="0" xfId="445" applyNumberFormat="1" applyFill="1"/>
    <xf numFmtId="0" fontId="50" fillId="0" borderId="21" xfId="898" applyFont="1" applyFill="1" applyBorder="1"/>
    <xf numFmtId="0" fontId="50" fillId="0" borderId="0" xfId="898" applyFont="1" applyFill="1" applyBorder="1"/>
    <xf numFmtId="0" fontId="50" fillId="0" borderId="0" xfId="898" applyFont="1" applyFill="1"/>
    <xf numFmtId="164" fontId="50" fillId="0" borderId="21" xfId="382" applyNumberFormat="1" applyFont="1" applyFill="1" applyBorder="1"/>
    <xf numFmtId="37" fontId="50" fillId="0" borderId="0" xfId="551" applyNumberFormat="1" applyFont="1" applyFill="1" applyBorder="1" applyAlignment="1">
      <alignment horizontal="center"/>
    </xf>
    <xf numFmtId="37" fontId="50" fillId="0" borderId="21" xfId="898" applyNumberFormat="1" applyFont="1" applyFill="1" applyBorder="1"/>
    <xf numFmtId="39" fontId="50" fillId="0" borderId="0" xfId="551" applyFont="1" applyFill="1" applyBorder="1" applyAlignment="1">
      <alignment horizontal="center"/>
    </xf>
    <xf numFmtId="0" fontId="50" fillId="0" borderId="0" xfId="898" applyFont="1" applyFill="1" applyBorder="1" applyAlignment="1">
      <alignment horizontal="center"/>
    </xf>
    <xf numFmtId="0" fontId="8" fillId="0" borderId="0" xfId="445"/>
    <xf numFmtId="37" fontId="8" fillId="0" borderId="0" xfId="857" applyNumberFormat="1"/>
    <xf numFmtId="168" fontId="12" fillId="33" borderId="35" xfId="633" applyNumberFormat="1" applyFont="1" applyFill="1" applyBorder="1" applyAlignment="1"/>
    <xf numFmtId="168" fontId="12" fillId="33" borderId="35" xfId="633" applyNumberFormat="1" applyFont="1" applyFill="1" applyBorder="1"/>
    <xf numFmtId="168" fontId="12" fillId="33" borderId="35" xfId="633" applyNumberFormat="1" applyFont="1" applyFill="1" applyBorder="1" applyAlignment="1">
      <alignment horizontal="right"/>
    </xf>
    <xf numFmtId="164" fontId="10" fillId="0" borderId="28" xfId="381" applyNumberFormat="1" applyFont="1" applyFill="1" applyBorder="1" applyAlignment="1"/>
    <xf numFmtId="0" fontId="151" fillId="0" borderId="0" xfId="0" applyFont="1"/>
    <xf numFmtId="0" fontId="154" fillId="0" borderId="0" xfId="0" applyFont="1" applyFill="1" applyBorder="1"/>
    <xf numFmtId="43" fontId="53" fillId="0" borderId="0" xfId="381" applyFont="1" applyFill="1" applyBorder="1"/>
    <xf numFmtId="0" fontId="8" fillId="0" borderId="0" xfId="465" applyNumberFormat="1" applyFont="1" applyFill="1" applyBorder="1" applyAlignment="1"/>
    <xf numFmtId="43" fontId="51" fillId="0" borderId="0" xfId="381" applyNumberFormat="1" applyFont="1" applyAlignment="1">
      <alignment horizontal="center"/>
    </xf>
    <xf numFmtId="0" fontId="155" fillId="0" borderId="0" xfId="467" applyFont="1" applyAlignment="1">
      <alignment horizontal="left"/>
    </xf>
    <xf numFmtId="0" fontId="155" fillId="0" borderId="0" xfId="467" applyFont="1" applyFill="1" applyAlignment="1">
      <alignment horizontal="left"/>
    </xf>
    <xf numFmtId="0" fontId="150" fillId="0" borderId="0" xfId="0" applyFont="1" applyBorder="1"/>
    <xf numFmtId="0" fontId="8" fillId="69" borderId="0" xfId="0" applyFont="1" applyFill="1"/>
    <xf numFmtId="173" fontId="51" fillId="0" borderId="0" xfId="635" applyNumberFormat="1" applyFont="1" applyFill="1"/>
    <xf numFmtId="173" fontId="51" fillId="0" borderId="0" xfId="467" applyNumberFormat="1" applyFont="1" applyFill="1"/>
    <xf numFmtId="0" fontId="51" fillId="0" borderId="0" xfId="467" applyFont="1" applyFill="1" applyAlignment="1">
      <alignment horizontal="center" wrapText="1"/>
    </xf>
    <xf numFmtId="0" fontId="155" fillId="0" borderId="0" xfId="467" applyFont="1" applyFill="1"/>
    <xf numFmtId="164" fontId="51" fillId="0" borderId="0" xfId="467" applyNumberFormat="1" applyFont="1" applyFill="1" applyAlignment="1">
      <alignment horizontal="center"/>
    </xf>
    <xf numFmtId="43" fontId="51" fillId="0" borderId="0" xfId="391" applyNumberFormat="1" applyFont="1" applyFill="1"/>
    <xf numFmtId="164" fontId="51" fillId="0" borderId="0" xfId="467" applyNumberFormat="1" applyFont="1" applyFill="1" applyAlignment="1">
      <alignment horizontal="center" wrapText="1"/>
    </xf>
    <xf numFmtId="164" fontId="51" fillId="0" borderId="0" xfId="467" applyNumberFormat="1" applyFont="1"/>
    <xf numFmtId="0" fontId="155" fillId="0" borderId="0" xfId="467" applyFont="1" applyFill="1" applyAlignment="1">
      <alignment horizontal="center"/>
    </xf>
    <xf numFmtId="0" fontId="156" fillId="0" borderId="0" xfId="467" applyFont="1" applyFill="1"/>
    <xf numFmtId="0" fontId="50"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164" fontId="158" fillId="0" borderId="0" xfId="381" applyNumberFormat="1" applyFont="1"/>
    <xf numFmtId="9" fontId="8" fillId="0" borderId="0" xfId="633" applyFont="1" applyFill="1" applyBorder="1" applyAlignment="1">
      <alignment horizontal="center" wrapText="1"/>
    </xf>
    <xf numFmtId="0" fontId="159" fillId="0" borderId="0" xfId="0" applyFont="1" applyFill="1"/>
    <xf numFmtId="164" fontId="159" fillId="0" borderId="0" xfId="381" applyNumberFormat="1" applyFont="1" applyFill="1"/>
    <xf numFmtId="0" fontId="18" fillId="0" borderId="25" xfId="465" applyFont="1" applyFill="1" applyBorder="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2"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60" fillId="0" borderId="0" xfId="467" applyFont="1" applyFill="1"/>
    <xf numFmtId="164" fontId="161" fillId="0" borderId="12" xfId="467" applyNumberFormat="1" applyFont="1" applyFill="1" applyBorder="1"/>
    <xf numFmtId="0" fontId="161" fillId="0" borderId="0" xfId="467" applyFont="1" applyAlignment="1">
      <alignment horizontal="left"/>
    </xf>
    <xf numFmtId="0" fontId="84" fillId="0" borderId="0" xfId="467" applyFont="1"/>
    <xf numFmtId="0" fontId="161" fillId="0" borderId="0" xfId="467" applyFont="1" applyFill="1" applyAlignment="1">
      <alignment horizontal="center"/>
    </xf>
    <xf numFmtId="0" fontId="161" fillId="0" borderId="0" xfId="467" applyFont="1" applyFill="1" applyBorder="1" applyAlignment="1">
      <alignment wrapText="1"/>
    </xf>
    <xf numFmtId="0" fontId="161" fillId="0" borderId="0" xfId="467" applyFont="1" applyFill="1" applyBorder="1"/>
    <xf numFmtId="164" fontId="161" fillId="0" borderId="0" xfId="467" quotePrefix="1" applyNumberFormat="1" applyFont="1" applyFill="1" applyAlignment="1">
      <alignment horizontal="center"/>
    </xf>
    <xf numFmtId="0" fontId="51"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61" fillId="0" borderId="0" xfId="467" applyNumberFormat="1" applyFont="1" applyFill="1"/>
    <xf numFmtId="0" fontId="162" fillId="0" borderId="0" xfId="467" applyFont="1" applyFill="1" applyAlignment="1">
      <alignment horizontal="left"/>
    </xf>
    <xf numFmtId="0" fontId="162" fillId="0" borderId="0" xfId="467" applyFont="1" applyAlignment="1">
      <alignment horizontal="center"/>
    </xf>
    <xf numFmtId="0" fontId="162" fillId="0" borderId="0" xfId="467" applyFont="1"/>
    <xf numFmtId="0" fontId="162" fillId="0" borderId="0" xfId="467" applyFont="1" applyBorder="1"/>
    <xf numFmtId="167" fontId="163" fillId="0" borderId="0" xfId="422" applyNumberFormat="1" applyFont="1" applyFill="1" applyAlignment="1">
      <alignment horizontal="left"/>
    </xf>
    <xf numFmtId="0" fontId="150" fillId="0" borderId="0" xfId="467" applyFont="1" applyAlignment="1"/>
    <xf numFmtId="0" fontId="150" fillId="0" borderId="0" xfId="467" applyFont="1" applyFill="1" applyAlignment="1"/>
    <xf numFmtId="0" fontId="150" fillId="0" borderId="0" xfId="467" applyFont="1"/>
    <xf numFmtId="164" fontId="8" fillId="0" borderId="0" xfId="467" applyNumberFormat="1"/>
    <xf numFmtId="0" fontId="8" fillId="69" borderId="0" xfId="467" applyNumberFormat="1" applyFill="1" applyAlignment="1">
      <alignment horizontal="center"/>
    </xf>
    <xf numFmtId="0" fontId="161" fillId="0" borderId="0" xfId="467" applyFont="1" applyFill="1" applyAlignment="1">
      <alignment horizontal="left"/>
    </xf>
    <xf numFmtId="0" fontId="164" fillId="0" borderId="0" xfId="467" applyFont="1" applyFill="1" applyAlignment="1">
      <alignment horizontal="left"/>
    </xf>
    <xf numFmtId="43" fontId="51" fillId="70" borderId="0" xfId="381" applyFont="1" applyFill="1"/>
    <xf numFmtId="0" fontId="161"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43" fontId="52" fillId="0" borderId="0" xfId="381" applyFont="1" applyFill="1"/>
    <xf numFmtId="43" fontId="52" fillId="0" borderId="0" xfId="0" applyNumberFormat="1" applyFont="1" applyFill="1"/>
    <xf numFmtId="37" fontId="50" fillId="0" borderId="0" xfId="898" applyNumberFormat="1" applyFont="1" applyFill="1" applyBorder="1" applyAlignment="1">
      <alignment horizontal="right"/>
    </xf>
    <xf numFmtId="10" fontId="51" fillId="0" borderId="0" xfId="633" applyNumberFormat="1" applyFont="1"/>
    <xf numFmtId="164" fontId="12" fillId="0" borderId="0" xfId="0" applyNumberFormat="1" applyFont="1"/>
    <xf numFmtId="3" fontId="12" fillId="0" borderId="0" xfId="0" applyNumberFormat="1" applyFont="1"/>
    <xf numFmtId="43" fontId="12" fillId="0" borderId="0" xfId="381" applyFont="1"/>
    <xf numFmtId="43" fontId="12" fillId="0" borderId="0" xfId="381" applyFont="1" applyFill="1"/>
    <xf numFmtId="0" fontId="165" fillId="69" borderId="0" xfId="0" applyFont="1" applyFill="1" applyAlignment="1">
      <alignment horizontal="left"/>
    </xf>
    <xf numFmtId="0" fontId="8" fillId="0" borderId="0" xfId="0" applyFont="1" applyBorder="1" applyAlignment="1">
      <alignment horizontal="right"/>
    </xf>
    <xf numFmtId="0" fontId="8" fillId="0" borderId="0" xfId="0" applyFont="1" applyBorder="1"/>
    <xf numFmtId="164" fontId="10" fillId="0" borderId="0" xfId="0" applyNumberFormat="1" applyFont="1" applyBorder="1"/>
    <xf numFmtId="0" fontId="8" fillId="0" borderId="0" xfId="0" applyFont="1" applyAlignment="1">
      <alignment horizontal="center"/>
    </xf>
    <xf numFmtId="37" fontId="82" fillId="0" borderId="0" xfId="0" applyNumberFormat="1" applyFont="1"/>
    <xf numFmtId="37" fontId="0" fillId="0" borderId="14" xfId="0" applyNumberFormat="1" applyBorder="1"/>
    <xf numFmtId="164" fontId="9" fillId="0" borderId="0" xfId="0" applyNumberFormat="1" applyFont="1" applyFill="1" applyBorder="1" applyAlignment="1">
      <alignment horizontal="center"/>
    </xf>
    <xf numFmtId="164" fontId="9" fillId="0" borderId="0" xfId="381" applyNumberFormat="1" applyFont="1" applyFill="1" applyBorder="1" applyAlignment="1">
      <alignment horizontal="center"/>
    </xf>
    <xf numFmtId="0" fontId="50" fillId="0" borderId="0" xfId="477" applyFont="1" applyFill="1" applyBorder="1"/>
    <xf numFmtId="41" fontId="0" fillId="0" borderId="0" xfId="0" applyNumberFormat="1" applyBorder="1"/>
    <xf numFmtId="164" fontId="29" fillId="0" borderId="28" xfId="381" applyNumberFormat="1" applyFont="1" applyBorder="1"/>
    <xf numFmtId="167" fontId="29" fillId="0" borderId="28" xfId="420" applyNumberFormat="1" applyFont="1" applyFill="1" applyBorder="1"/>
    <xf numFmtId="164" fontId="29" fillId="0" borderId="49" xfId="381" applyNumberFormat="1" applyFont="1" applyFill="1" applyBorder="1"/>
    <xf numFmtId="3" fontId="8" fillId="33" borderId="20" xfId="0" applyNumberFormat="1" applyFont="1" applyFill="1" applyBorder="1"/>
    <xf numFmtId="164" fontId="8" fillId="33" borderId="0" xfId="391" applyNumberFormat="1" applyFont="1" applyFill="1" applyBorder="1" applyAlignment="1">
      <alignment horizontal="center"/>
    </xf>
    <xf numFmtId="0" fontId="8" fillId="34" borderId="0" xfId="467" applyNumberFormat="1" applyFont="1" applyFill="1" applyBorder="1"/>
    <xf numFmtId="0" fontId="9" fillId="0" borderId="0" xfId="0" applyFont="1"/>
    <xf numFmtId="164" fontId="0" fillId="0" borderId="0" xfId="381" applyNumberFormat="1" applyFont="1" applyFill="1"/>
    <xf numFmtId="0" fontId="157" fillId="0" borderId="0" xfId="0" applyFont="1" applyFill="1" applyAlignment="1"/>
    <xf numFmtId="164" fontId="159" fillId="0" borderId="21" xfId="381" applyNumberFormat="1" applyFont="1" applyFill="1" applyBorder="1"/>
    <xf numFmtId="164" fontId="0" fillId="0" borderId="0" xfId="381" applyNumberFormat="1" applyFont="1" applyBorder="1"/>
    <xf numFmtId="164" fontId="9" fillId="0" borderId="26" xfId="0" applyNumberFormat="1" applyFont="1" applyFill="1" applyBorder="1"/>
    <xf numFmtId="164" fontId="0" fillId="0" borderId="0" xfId="381" applyNumberFormat="1" applyFont="1" applyFill="1" applyBorder="1"/>
    <xf numFmtId="0" fontId="9" fillId="0" borderId="26" xfId="0" applyFont="1" applyBorder="1"/>
    <xf numFmtId="164" fontId="9" fillId="0" borderId="26" xfId="381" applyNumberFormat="1" applyFont="1" applyFill="1" applyBorder="1"/>
    <xf numFmtId="164" fontId="9" fillId="0" borderId="26" xfId="0" applyNumberFormat="1" applyFont="1" applyBorder="1"/>
    <xf numFmtId="186" fontId="9" fillId="0" borderId="0" xfId="0" applyNumberFormat="1" applyFont="1" applyFill="1" applyBorder="1"/>
    <xf numFmtId="3" fontId="0" fillId="0" borderId="0" xfId="381" applyNumberFormat="1" applyFont="1" applyBorder="1"/>
    <xf numFmtId="3" fontId="9" fillId="0" borderId="0" xfId="0" applyNumberFormat="1" applyFont="1" applyFill="1" applyBorder="1"/>
    <xf numFmtId="3" fontId="0" fillId="0" borderId="0" xfId="0" applyNumberFormat="1" applyFill="1" applyBorder="1"/>
    <xf numFmtId="3" fontId="0" fillId="0" borderId="0" xfId="0" applyNumberFormat="1" applyBorder="1"/>
    <xf numFmtId="0" fontId="8" fillId="0" borderId="18" xfId="0" applyFont="1" applyFill="1" applyBorder="1"/>
    <xf numFmtId="37" fontId="8" fillId="0" borderId="26" xfId="0" applyNumberFormat="1" applyFont="1" applyFill="1" applyBorder="1"/>
    <xf numFmtId="37" fontId="8" fillId="0" borderId="14" xfId="0" applyNumberFormat="1" applyFont="1" applyFill="1" applyBorder="1"/>
    <xf numFmtId="3" fontId="0" fillId="0" borderId="0" xfId="0" applyNumberFormat="1" applyFill="1"/>
    <xf numFmtId="3" fontId="0" fillId="0" borderId="0" xfId="381" applyNumberFormat="1" applyFont="1" applyFill="1" applyBorder="1"/>
    <xf numFmtId="0" fontId="80"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79" fillId="0" borderId="0" xfId="0" applyFont="1"/>
    <xf numFmtId="0" fontId="91" fillId="0" borderId="0" xfId="0" applyFont="1" applyFill="1" applyAlignment="1">
      <alignment horizontal="left" wrapText="1"/>
    </xf>
    <xf numFmtId="0" fontId="121" fillId="0" borderId="0" xfId="0" applyFont="1" applyFill="1" applyAlignment="1">
      <alignment horizontal="left" wrapText="1"/>
    </xf>
    <xf numFmtId="0" fontId="91" fillId="0" borderId="0" xfId="0" applyFont="1" applyFill="1" applyBorder="1" applyAlignment="1">
      <alignment horizontal="left" wrapText="1"/>
    </xf>
    <xf numFmtId="0" fontId="91" fillId="0" borderId="0" xfId="0" applyNumberFormat="1" applyFont="1" applyFill="1" applyAlignment="1">
      <alignment horizontal="left" wrapText="1"/>
    </xf>
    <xf numFmtId="170" fontId="91" fillId="0" borderId="0" xfId="550" applyFont="1" applyFill="1" applyAlignment="1" applyProtection="1">
      <alignment horizontal="left" wrapText="1"/>
      <protection locked="0"/>
    </xf>
    <xf numFmtId="0" fontId="91" fillId="0" borderId="0" xfId="0" applyFont="1" applyFill="1" applyBorder="1" applyAlignment="1">
      <alignment horizontal="left"/>
    </xf>
    <xf numFmtId="0" fontId="35" fillId="0" borderId="27" xfId="0" applyFont="1" applyFill="1" applyBorder="1" applyAlignment="1">
      <alignment horizontal="left" wrapText="1"/>
    </xf>
    <xf numFmtId="0" fontId="35" fillId="0" borderId="0" xfId="0" applyFont="1" applyFill="1" applyBorder="1" applyAlignment="1">
      <alignment horizontal="left" wrapText="1"/>
    </xf>
    <xf numFmtId="0" fontId="35" fillId="0" borderId="58" xfId="0" applyFont="1" applyFill="1" applyBorder="1" applyAlignment="1">
      <alignment horizontal="left" wrapText="1"/>
    </xf>
    <xf numFmtId="0" fontId="35" fillId="0" borderId="27" xfId="0" applyFont="1" applyBorder="1" applyAlignment="1">
      <alignment horizontal="left" wrapText="1"/>
    </xf>
    <xf numFmtId="0" fontId="35" fillId="0" borderId="0" xfId="0" applyFont="1" applyBorder="1" applyAlignment="1">
      <alignment horizontal="left" wrapText="1"/>
    </xf>
    <xf numFmtId="0" fontId="35" fillId="0" borderId="58" xfId="0" applyFont="1" applyBorder="1" applyAlignment="1">
      <alignment horizontal="left" wrapText="1"/>
    </xf>
    <xf numFmtId="0" fontId="21" fillId="0" borderId="0" xfId="0" applyFont="1" applyAlignment="1">
      <alignment horizontal="center"/>
    </xf>
    <xf numFmtId="0" fontId="42" fillId="0" borderId="0" xfId="0" applyFont="1" applyAlignment="1"/>
    <xf numFmtId="0" fontId="0" fillId="0" borderId="0" xfId="0" applyAlignment="1"/>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6" fillId="0" borderId="0" xfId="0" applyFont="1" applyAlignment="1">
      <alignment horizontal="center" wrapText="1"/>
    </xf>
    <xf numFmtId="0" fontId="9" fillId="0" borderId="0"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89" fillId="0" borderId="25" xfId="465" applyFont="1" applyFill="1" applyBorder="1" applyAlignment="1">
      <alignment horizontal="center"/>
    </xf>
    <xf numFmtId="0" fontId="89" fillId="0" borderId="24" xfId="465" applyFont="1" applyFill="1" applyBorder="1" applyAlignment="1">
      <alignment horizontal="center"/>
    </xf>
    <xf numFmtId="0" fontId="89"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9" fillId="0" borderId="29" xfId="465" applyFont="1" applyFill="1" applyBorder="1" applyAlignment="1">
      <alignment horizontal="center"/>
    </xf>
    <xf numFmtId="0" fontId="105" fillId="0" borderId="0" xfId="465" applyFont="1" applyFill="1" applyBorder="1" applyAlignment="1">
      <alignment horizontal="center"/>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71"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71"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alignment horizontal="center" wrapText="1"/>
    </xf>
    <xf numFmtId="0" fontId="8" fillId="0" borderId="21" xfId="465" applyFont="1" applyFill="1" applyBorder="1" applyAlignment="1">
      <alignment horizontal="center" wrapText="1"/>
    </xf>
    <xf numFmtId="0" fontId="51" fillId="0" borderId="0" xfId="467" applyNumberFormat="1" applyFont="1" applyAlignment="1">
      <alignment horizontal="left"/>
    </xf>
    <xf numFmtId="0" fontId="155" fillId="0" borderId="0" xfId="467" applyFont="1" applyAlignment="1">
      <alignment horizontal="center"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2" fillId="0" borderId="0" xfId="0" applyFont="1" applyAlignment="1">
      <alignment horizontal="left" wrapText="1"/>
    </xf>
    <xf numFmtId="0" fontId="122" fillId="0" borderId="0" xfId="0" applyFont="1" applyFill="1" applyAlignment="1">
      <alignment horizontal="left" wrapText="1"/>
    </xf>
    <xf numFmtId="0" fontId="40"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40"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0" fillId="0" borderId="0" xfId="0" applyAlignment="1">
      <alignment horizontal="left" wrapText="1"/>
    </xf>
  </cellXfs>
  <cellStyles count="1155">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10" xfId="382"/>
    <cellStyle name="Comma 10 2" xfId="383"/>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2590800</xdr:colOff>
      <xdr:row>160</xdr:row>
      <xdr:rowOff>152400</xdr:rowOff>
    </xdr:from>
    <xdr:to>
      <xdr:col>1</xdr:col>
      <xdr:colOff>165100</xdr:colOff>
      <xdr:row>162</xdr:row>
      <xdr:rowOff>0</xdr:rowOff>
    </xdr:to>
    <xdr:cxnSp macro="">
      <xdr:nvCxnSpPr>
        <xdr:cNvPr id="2" name="Straight Arrow Connector 1"/>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160</xdr:row>
      <xdr:rowOff>152400</xdr:rowOff>
    </xdr:from>
    <xdr:to>
      <xdr:col>1</xdr:col>
      <xdr:colOff>165100</xdr:colOff>
      <xdr:row>162</xdr:row>
      <xdr:rowOff>0</xdr:rowOff>
    </xdr:to>
    <xdr:cxnSp macro="">
      <xdr:nvCxnSpPr>
        <xdr:cNvPr id="3" name="Straight Arrow Connector 2"/>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161</xdr:row>
      <xdr:rowOff>38100</xdr:rowOff>
    </xdr:from>
    <xdr:to>
      <xdr:col>13</xdr:col>
      <xdr:colOff>939800</xdr:colOff>
      <xdr:row>162</xdr:row>
      <xdr:rowOff>76200</xdr:rowOff>
    </xdr:to>
    <xdr:cxnSp macro="">
      <xdr:nvCxnSpPr>
        <xdr:cNvPr id="4" name="Straight Arrow Connector 3"/>
        <xdr:cNvCxnSpPr/>
      </xdr:nvCxnSpPr>
      <xdr:spPr>
        <a:xfrm flipH="1" flipV="1">
          <a:off x="14697075" y="27632025"/>
          <a:ext cx="2921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314</xdr:row>
      <xdr:rowOff>50800</xdr:rowOff>
    </xdr:from>
    <xdr:to>
      <xdr:col>13</xdr:col>
      <xdr:colOff>381000</xdr:colOff>
      <xdr:row>317</xdr:row>
      <xdr:rowOff>101600</xdr:rowOff>
    </xdr:to>
    <xdr:cxnSp macro="">
      <xdr:nvCxnSpPr>
        <xdr:cNvPr id="60" name="Straight Arrow Connector 59"/>
        <xdr:cNvCxnSpPr/>
      </xdr:nvCxnSpPr>
      <xdr:spPr>
        <a:xfrm flipV="1">
          <a:off x="14201775" y="55200550"/>
          <a:ext cx="228600" cy="536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7%20%20Formula%20R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ATT H-1 "/>
      <sheetName val="1 - ADIT"/>
      <sheetName val="2 - Other Tax"/>
      <sheetName val="3 - Revenue Credits"/>
      <sheetName val="4 - 100 Basis Pt ROE"/>
      <sheetName val="5 - Cost Support"/>
      <sheetName val="6 - Est and True up"/>
      <sheetName val="6A-Colstrip"/>
      <sheetName val="6B-So Intertie"/>
      <sheetName val="7 - Cap Add WS"/>
      <sheetName val="8 - Depreciation Rates"/>
      <sheetName val="WKSHT1 - Rev Credits"/>
      <sheetName val="WKSHT2 - Prepaid"/>
      <sheetName val="WKSHT3 - All GIFs"/>
      <sheetName val="WKSHT4 - Monthly Tx System Peak"/>
      <sheetName val="WKSHT5 - Plant in Service 13mo "/>
      <sheetName val="WKSHT6 - Cost of Capi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64">
          <cell r="N264">
            <v>64039.32</v>
          </cell>
        </row>
        <row r="265">
          <cell r="N265">
            <v>6918.56</v>
          </cell>
        </row>
        <row r="266">
          <cell r="N266">
            <v>494682.5</v>
          </cell>
        </row>
        <row r="267">
          <cell r="N267">
            <v>380740.94</v>
          </cell>
        </row>
        <row r="268">
          <cell r="N268">
            <v>1485814.06</v>
          </cell>
        </row>
        <row r="269">
          <cell r="N269">
            <v>2399629.37</v>
          </cell>
        </row>
        <row r="270">
          <cell r="N270">
            <v>2024044.42</v>
          </cell>
        </row>
        <row r="271">
          <cell r="N271">
            <v>1077239.27</v>
          </cell>
        </row>
        <row r="272">
          <cell r="N272">
            <v>33126.58</v>
          </cell>
        </row>
        <row r="273">
          <cell r="N273">
            <v>32727.05</v>
          </cell>
        </row>
        <row r="274">
          <cell r="N274">
            <v>30668.240000000002</v>
          </cell>
        </row>
        <row r="275">
          <cell r="N275">
            <v>449920.87</v>
          </cell>
        </row>
        <row r="276">
          <cell r="N276">
            <v>10902</v>
          </cell>
        </row>
        <row r="277">
          <cell r="N277">
            <v>183040.09</v>
          </cell>
        </row>
        <row r="278">
          <cell r="N278">
            <v>8792.4600000000009</v>
          </cell>
        </row>
        <row r="279">
          <cell r="N279">
            <v>203.61</v>
          </cell>
        </row>
        <row r="280">
          <cell r="N280">
            <v>74638.759999999995</v>
          </cell>
        </row>
        <row r="281">
          <cell r="N281">
            <v>60382.090000000004</v>
          </cell>
        </row>
        <row r="282">
          <cell r="N282">
            <v>28054.38</v>
          </cell>
        </row>
        <row r="283">
          <cell r="N283">
            <v>122827.88</v>
          </cell>
        </row>
        <row r="284">
          <cell r="N284">
            <v>307233.91999999998</v>
          </cell>
        </row>
        <row r="285">
          <cell r="N285">
            <v>822371.83000000007</v>
          </cell>
        </row>
        <row r="286">
          <cell r="N286">
            <v>549230.94000000006</v>
          </cell>
        </row>
        <row r="287">
          <cell r="N287">
            <v>56289.23</v>
          </cell>
        </row>
        <row r="288">
          <cell r="N288">
            <v>5017.96</v>
          </cell>
        </row>
        <row r="289">
          <cell r="N289">
            <v>10748.37</v>
          </cell>
        </row>
        <row r="290">
          <cell r="N290">
            <v>59543.57</v>
          </cell>
        </row>
        <row r="291">
          <cell r="N291">
            <v>57674.520000000004</v>
          </cell>
        </row>
        <row r="292">
          <cell r="N292">
            <v>8985.25</v>
          </cell>
        </row>
        <row r="293">
          <cell r="N293">
            <v>51466.22</v>
          </cell>
        </row>
        <row r="294">
          <cell r="N294">
            <v>82786.95</v>
          </cell>
        </row>
        <row r="295">
          <cell r="N295">
            <v>423327.33</v>
          </cell>
        </row>
        <row r="296">
          <cell r="N296">
            <v>117368.94</v>
          </cell>
        </row>
        <row r="297">
          <cell r="N297">
            <v>1051310.69</v>
          </cell>
        </row>
        <row r="298">
          <cell r="N298">
            <v>4991139.8100000005</v>
          </cell>
        </row>
        <row r="299">
          <cell r="N299">
            <v>1449953.48</v>
          </cell>
        </row>
        <row r="300">
          <cell r="N300">
            <v>1011156.23</v>
          </cell>
        </row>
        <row r="301">
          <cell r="N301">
            <v>3375.4900000000002</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E17" sqref="E17"/>
    </sheetView>
  </sheetViews>
  <sheetFormatPr defaultRowHeight="12.75"/>
  <cols>
    <col min="2" max="2" width="56.7109375" bestFit="1" customWidth="1"/>
    <col min="4" max="4" width="33.85546875" bestFit="1" customWidth="1"/>
    <col min="5" max="5" width="17.140625" customWidth="1"/>
  </cols>
  <sheetData>
    <row r="2" spans="1:5">
      <c r="A2" s="1898" t="s">
        <v>467</v>
      </c>
      <c r="B2" s="1899"/>
      <c r="C2" s="1899"/>
      <c r="D2" s="1899"/>
      <c r="E2" s="1899"/>
    </row>
    <row r="3" spans="1:5">
      <c r="A3" s="1900" t="s">
        <v>430</v>
      </c>
      <c r="B3" s="1900"/>
      <c r="C3" s="1900"/>
      <c r="D3" s="1900"/>
      <c r="E3" s="1900"/>
    </row>
    <row r="4" spans="1:5">
      <c r="A4" s="1900" t="s">
        <v>431</v>
      </c>
      <c r="B4" s="1900"/>
      <c r="C4" s="1900"/>
      <c r="D4" s="1900"/>
      <c r="E4" s="1900"/>
    </row>
    <row r="5" spans="1:5">
      <c r="A5" s="555"/>
      <c r="B5" s="555"/>
      <c r="C5" s="555"/>
      <c r="D5" s="555"/>
      <c r="E5" s="555"/>
    </row>
    <row r="6" spans="1:5" ht="13.5" thickBot="1">
      <c r="A6" s="556" t="s">
        <v>432</v>
      </c>
      <c r="B6" s="556" t="s">
        <v>966</v>
      </c>
      <c r="C6" s="557"/>
      <c r="D6" s="556" t="s">
        <v>433</v>
      </c>
      <c r="E6" s="556" t="s">
        <v>145</v>
      </c>
    </row>
    <row r="7" spans="1:5">
      <c r="A7" s="558">
        <v>1</v>
      </c>
      <c r="B7" s="559" t="s">
        <v>434</v>
      </c>
      <c r="C7" s="560"/>
      <c r="D7" s="561" t="s">
        <v>435</v>
      </c>
      <c r="E7" s="1471">
        <v>0</v>
      </c>
    </row>
    <row r="8" spans="1:5">
      <c r="A8" s="558">
        <v>2</v>
      </c>
      <c r="B8" s="559" t="s">
        <v>436</v>
      </c>
      <c r="C8" s="560"/>
      <c r="D8" s="563" t="s">
        <v>437</v>
      </c>
      <c r="E8" s="1471">
        <v>33040</v>
      </c>
    </row>
    <row r="9" spans="1:5">
      <c r="A9" s="558">
        <v>3</v>
      </c>
      <c r="B9" s="559" t="s">
        <v>438</v>
      </c>
      <c r="C9" s="560"/>
      <c r="D9" s="563" t="s">
        <v>439</v>
      </c>
      <c r="E9" s="1471">
        <v>3129374</v>
      </c>
    </row>
    <row r="10" spans="1:5">
      <c r="A10" s="558">
        <v>4</v>
      </c>
      <c r="B10" s="559" t="s">
        <v>440</v>
      </c>
      <c r="C10" s="560"/>
      <c r="D10" s="563" t="s">
        <v>441</v>
      </c>
      <c r="E10" s="1471">
        <v>1007881</v>
      </c>
    </row>
    <row r="11" spans="1:5">
      <c r="A11" s="558">
        <v>5</v>
      </c>
      <c r="B11" s="559" t="s">
        <v>442</v>
      </c>
      <c r="C11" s="560"/>
      <c r="D11" s="563" t="s">
        <v>443</v>
      </c>
      <c r="E11" s="1471"/>
    </row>
    <row r="12" spans="1:5">
      <c r="A12" s="558">
        <v>6</v>
      </c>
      <c r="B12" s="559" t="s">
        <v>444</v>
      </c>
      <c r="C12" s="560"/>
      <c r="D12" s="563" t="s">
        <v>445</v>
      </c>
      <c r="E12" s="1472">
        <v>69526</v>
      </c>
    </row>
    <row r="13" spans="1:5">
      <c r="A13" s="558">
        <v>7</v>
      </c>
      <c r="B13" s="559" t="s">
        <v>446</v>
      </c>
      <c r="C13" s="560"/>
      <c r="D13" s="563" t="s">
        <v>447</v>
      </c>
      <c r="E13" s="562">
        <f>SUM(E7:E12)</f>
        <v>4239821</v>
      </c>
    </row>
    <row r="14" spans="1:5">
      <c r="A14" s="558"/>
      <c r="B14" s="564"/>
      <c r="C14" s="560"/>
      <c r="D14" s="565"/>
      <c r="E14" s="560"/>
    </row>
    <row r="15" spans="1:5">
      <c r="A15" s="558"/>
      <c r="B15" s="564"/>
      <c r="C15" s="560"/>
      <c r="D15" s="565"/>
      <c r="E15" s="560"/>
    </row>
    <row r="16" spans="1:5">
      <c r="A16" s="558">
        <v>8</v>
      </c>
      <c r="B16" s="559" t="s">
        <v>448</v>
      </c>
      <c r="C16" s="560"/>
      <c r="D16" s="563" t="s">
        <v>449</v>
      </c>
      <c r="E16" s="562">
        <f>E13</f>
        <v>4239821</v>
      </c>
    </row>
    <row r="17" spans="1:7">
      <c r="A17" s="558">
        <v>9</v>
      </c>
      <c r="B17" s="158" t="s">
        <v>166</v>
      </c>
      <c r="C17" s="560"/>
      <c r="D17" s="566" t="s">
        <v>450</v>
      </c>
      <c r="E17" s="1605"/>
      <c r="G17" s="1768"/>
    </row>
    <row r="18" spans="1:7">
      <c r="A18" s="558">
        <v>10</v>
      </c>
      <c r="B18" s="158" t="s">
        <v>448</v>
      </c>
      <c r="C18" s="560"/>
      <c r="D18" s="566" t="s">
        <v>451</v>
      </c>
      <c r="E18" s="567">
        <f>+E16+E17</f>
        <v>4239821</v>
      </c>
    </row>
    <row r="19" spans="1:7">
      <c r="A19" s="558"/>
      <c r="B19" s="564"/>
      <c r="C19" s="560"/>
      <c r="D19" s="565"/>
      <c r="E19" s="564"/>
    </row>
    <row r="20" spans="1:7">
      <c r="A20" s="558"/>
      <c r="B20" s="568" t="s">
        <v>452</v>
      </c>
      <c r="C20" s="560"/>
      <c r="D20" s="568"/>
      <c r="E20" s="559"/>
    </row>
    <row r="21" spans="1:7">
      <c r="A21" s="558"/>
      <c r="B21" s="564"/>
      <c r="C21" s="560"/>
      <c r="D21" s="565"/>
      <c r="E21" s="559"/>
    </row>
    <row r="22" spans="1:7">
      <c r="A22" s="558">
        <v>11</v>
      </c>
      <c r="B22" s="559" t="s">
        <v>453</v>
      </c>
      <c r="C22" s="560"/>
      <c r="D22" s="563" t="s">
        <v>454</v>
      </c>
      <c r="E22" s="562">
        <f>'ATT H-1 '!H289</f>
        <v>4797166.666666667</v>
      </c>
    </row>
    <row r="23" spans="1:7">
      <c r="A23" s="558"/>
      <c r="B23" s="559"/>
      <c r="C23" s="560"/>
      <c r="D23" s="565"/>
      <c r="E23" s="559"/>
    </row>
    <row r="24" spans="1:7">
      <c r="A24" s="558"/>
      <c r="B24" s="564"/>
      <c r="C24" s="560"/>
      <c r="D24" s="565"/>
      <c r="E24" s="559"/>
    </row>
    <row r="25" spans="1:7">
      <c r="A25" s="558">
        <v>12</v>
      </c>
      <c r="B25" s="559" t="s">
        <v>455</v>
      </c>
      <c r="C25" s="560"/>
      <c r="D25" s="563" t="s">
        <v>533</v>
      </c>
      <c r="E25" s="569">
        <f>E16/E22</f>
        <v>0.88381773963798071</v>
      </c>
    </row>
    <row r="26" spans="1:7">
      <c r="A26" s="558">
        <v>13</v>
      </c>
      <c r="B26" s="559" t="s">
        <v>456</v>
      </c>
      <c r="C26" s="560"/>
      <c r="D26" s="563" t="s">
        <v>534</v>
      </c>
      <c r="E26" s="569">
        <f>($E$16/$E$22)/12</f>
        <v>7.3651478303165055E-2</v>
      </c>
    </row>
    <row r="27" spans="1:7">
      <c r="A27" s="558">
        <v>14</v>
      </c>
      <c r="B27" s="559" t="s">
        <v>457</v>
      </c>
      <c r="C27" s="560"/>
      <c r="D27" s="563" t="s">
        <v>535</v>
      </c>
      <c r="E27" s="569">
        <f>($E$16/$E$22)/52</f>
        <v>1.699649499303809E-2</v>
      </c>
    </row>
    <row r="28" spans="1:7">
      <c r="A28" s="558"/>
      <c r="B28" s="559"/>
      <c r="C28" s="560"/>
      <c r="D28" s="563"/>
      <c r="E28" s="569"/>
    </row>
    <row r="29" spans="1:7">
      <c r="A29" s="558">
        <v>13</v>
      </c>
      <c r="B29" s="559" t="s">
        <v>458</v>
      </c>
      <c r="C29" s="560"/>
      <c r="D29" s="563" t="s">
        <v>684</v>
      </c>
      <c r="E29" s="569">
        <f>($E$27/6)</f>
        <v>2.8327491655063485E-3</v>
      </c>
    </row>
    <row r="30" spans="1:7">
      <c r="A30" s="558">
        <v>14</v>
      </c>
      <c r="B30" s="559" t="s">
        <v>459</v>
      </c>
      <c r="C30" s="560"/>
      <c r="D30" s="563" t="s">
        <v>460</v>
      </c>
      <c r="E30" s="569">
        <f>($E$27/7)</f>
        <v>2.4280707132911558E-3</v>
      </c>
    </row>
    <row r="31" spans="1:7">
      <c r="A31" s="558"/>
      <c r="B31" s="559"/>
      <c r="C31" s="560"/>
      <c r="D31" s="563"/>
      <c r="E31" s="569"/>
    </row>
    <row r="32" spans="1:7">
      <c r="A32" s="558">
        <v>15</v>
      </c>
      <c r="B32" s="559" t="s">
        <v>461</v>
      </c>
      <c r="C32" s="560"/>
      <c r="D32" s="563" t="s">
        <v>462</v>
      </c>
      <c r="E32" s="569">
        <f>($E$29/16)*1000</f>
        <v>0.17704682284414677</v>
      </c>
    </row>
    <row r="33" spans="1:7">
      <c r="A33" s="558">
        <v>16</v>
      </c>
      <c r="B33" s="559" t="s">
        <v>463</v>
      </c>
      <c r="C33" s="560"/>
      <c r="D33" s="563" t="s">
        <v>464</v>
      </c>
      <c r="E33" s="569">
        <f>($E$30/24)*1000</f>
        <v>0.10116961305379817</v>
      </c>
    </row>
    <row r="34" spans="1:7">
      <c r="A34" s="560"/>
      <c r="B34" s="560"/>
      <c r="C34" s="560"/>
      <c r="D34" s="570"/>
      <c r="E34" s="564"/>
    </row>
    <row r="35" spans="1:7">
      <c r="A35" s="571"/>
      <c r="B35" s="571"/>
      <c r="C35" s="571"/>
      <c r="D35" s="572"/>
      <c r="E35" s="573"/>
    </row>
    <row r="36" spans="1:7">
      <c r="A36" s="571"/>
      <c r="B36" s="571"/>
      <c r="C36" s="571"/>
      <c r="D36" s="572"/>
      <c r="E36" s="176"/>
    </row>
    <row r="37" spans="1:7">
      <c r="A37" s="574"/>
      <c r="B37" s="574"/>
      <c r="C37" s="574"/>
      <c r="D37" s="575"/>
      <c r="E37" s="183"/>
    </row>
    <row r="38" spans="1:7" ht="15">
      <c r="A38" s="576" t="s">
        <v>465</v>
      </c>
      <c r="B38" s="577"/>
      <c r="C38" s="577"/>
      <c r="D38" s="577"/>
      <c r="E38" s="577"/>
    </row>
    <row r="39" spans="1:7" ht="15">
      <c r="A39" s="578">
        <v>1</v>
      </c>
      <c r="B39" s="1901" t="s">
        <v>527</v>
      </c>
      <c r="C39" s="1901"/>
      <c r="D39" s="1901"/>
      <c r="E39" s="1901"/>
    </row>
    <row r="40" spans="1:7" ht="15">
      <c r="A40" s="578">
        <v>2</v>
      </c>
      <c r="B40" s="1897" t="s">
        <v>466</v>
      </c>
      <c r="C40" s="1897"/>
      <c r="D40" s="1897"/>
      <c r="E40" s="577"/>
    </row>
    <row r="45" spans="1:7">
      <c r="F45" s="815"/>
      <c r="G45" s="815"/>
    </row>
    <row r="46" spans="1:7">
      <c r="E46" s="433"/>
    </row>
    <row r="47" spans="1:7">
      <c r="E47" s="816"/>
    </row>
    <row r="48" spans="1:7">
      <c r="E48" s="433"/>
    </row>
    <row r="49" spans="5:6">
      <c r="E49" s="433"/>
    </row>
    <row r="50" spans="5:6">
      <c r="E50" s="433"/>
    </row>
    <row r="51" spans="5:6">
      <c r="E51" s="494"/>
      <c r="F51" s="815"/>
    </row>
    <row r="52" spans="5:6">
      <c r="E52" s="817"/>
    </row>
    <row r="53" spans="5:6">
      <c r="E53" s="816"/>
    </row>
  </sheetData>
  <mergeCells count="5">
    <mergeCell ref="B40:D40"/>
    <mergeCell ref="A2:E2"/>
    <mergeCell ref="A3:E3"/>
    <mergeCell ref="A4:E4"/>
    <mergeCell ref="B39:E39"/>
  </mergeCells>
  <phoneticPr fontId="74" type="noConversion"/>
  <pageMargins left="0.2" right="0.2"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73" zoomScale="75" zoomScaleNormal="75" zoomScaleSheetLayoutView="55" workbookViewId="0">
      <selection activeCell="F100" sqref="F100"/>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18" t="s">
        <v>513</v>
      </c>
      <c r="B2" s="1918"/>
      <c r="C2" s="1918"/>
      <c r="D2" s="1918"/>
      <c r="E2" s="1918"/>
      <c r="F2" s="1918"/>
      <c r="G2" s="1918"/>
      <c r="H2" s="1918"/>
      <c r="I2" s="1918"/>
      <c r="J2" s="1918"/>
      <c r="K2" s="1918"/>
      <c r="L2" s="1918"/>
      <c r="M2" s="1918"/>
      <c r="N2" s="1918"/>
      <c r="O2" s="1918"/>
      <c r="P2" s="1918"/>
      <c r="Q2" s="1918"/>
      <c r="R2" s="1918"/>
    </row>
    <row r="3" spans="1:28" ht="18">
      <c r="A3" s="1462" t="s">
        <v>1003</v>
      </c>
      <c r="B3" s="579"/>
      <c r="C3" s="579"/>
      <c r="D3" s="579"/>
      <c r="E3" s="579"/>
      <c r="F3" s="579"/>
      <c r="G3" s="579"/>
      <c r="H3" s="579"/>
      <c r="I3" s="580"/>
      <c r="J3" s="580"/>
      <c r="K3" s="426"/>
      <c r="L3" s="426"/>
      <c r="M3" s="426"/>
      <c r="N3" s="426"/>
      <c r="O3" s="426"/>
      <c r="P3" s="426"/>
      <c r="Q3" s="426"/>
      <c r="R3" s="426"/>
      <c r="X3" s="97"/>
      <c r="Y3" s="97"/>
      <c r="Z3" s="97"/>
      <c r="AA3" s="97"/>
      <c r="AB3" s="97"/>
    </row>
    <row r="4" spans="1:28">
      <c r="A4" s="426"/>
      <c r="B4" s="426"/>
      <c r="C4" s="426"/>
      <c r="D4" s="426"/>
      <c r="E4" s="1831" t="s">
        <v>1305</v>
      </c>
      <c r="F4" s="1844">
        <v>2015</v>
      </c>
      <c r="G4" s="426"/>
      <c r="H4" s="426"/>
      <c r="I4" s="426"/>
      <c r="J4" s="426"/>
      <c r="K4" s="426"/>
      <c r="L4" s="426"/>
      <c r="M4" s="426"/>
      <c r="N4" s="426"/>
      <c r="O4" s="426"/>
      <c r="P4" s="426"/>
      <c r="Q4" s="426"/>
      <c r="R4" s="426"/>
      <c r="X4" s="97"/>
      <c r="Y4" s="97"/>
      <c r="Z4" s="97"/>
      <c r="AA4" s="97"/>
      <c r="AB4" s="97"/>
    </row>
    <row r="5" spans="1:28" ht="16.5">
      <c r="A5" s="425"/>
      <c r="B5" s="425"/>
      <c r="C5" s="425"/>
      <c r="D5" s="424"/>
      <c r="E5" s="1831" t="s">
        <v>1306</v>
      </c>
      <c r="F5" s="1844">
        <v>2016</v>
      </c>
      <c r="G5" s="424"/>
      <c r="H5" s="424"/>
      <c r="I5" s="424"/>
      <c r="J5" s="581"/>
      <c r="K5" s="424"/>
      <c r="L5" s="424"/>
      <c r="M5" s="424"/>
      <c r="N5" s="424"/>
      <c r="O5" s="424"/>
      <c r="P5" s="424"/>
      <c r="Q5" s="424"/>
      <c r="R5" s="424"/>
      <c r="X5" s="97"/>
      <c r="Y5" s="97"/>
      <c r="Z5" s="97"/>
      <c r="AA5" s="97"/>
      <c r="AB5" s="97"/>
    </row>
    <row r="6" spans="1:28" ht="13.5">
      <c r="A6" s="582" t="s">
        <v>737</v>
      </c>
      <c r="B6" s="582" t="s">
        <v>738</v>
      </c>
      <c r="C6" s="582" t="s">
        <v>739</v>
      </c>
      <c r="D6" s="582" t="s">
        <v>740</v>
      </c>
      <c r="E6" s="1831" t="s">
        <v>1307</v>
      </c>
      <c r="F6" s="1844">
        <v>2017</v>
      </c>
      <c r="G6" s="583"/>
      <c r="H6" s="583"/>
      <c r="I6" s="583"/>
      <c r="J6" s="583"/>
      <c r="K6" s="583"/>
      <c r="L6" s="583"/>
      <c r="M6" s="583"/>
      <c r="N6" s="583"/>
      <c r="O6" s="583"/>
      <c r="P6" s="583"/>
      <c r="Q6" s="583"/>
      <c r="R6" s="583"/>
      <c r="X6" s="607"/>
      <c r="Y6" s="607"/>
      <c r="Z6" s="607"/>
      <c r="AA6" s="607"/>
      <c r="AB6" s="97"/>
    </row>
    <row r="7" spans="1:28" ht="13.5">
      <c r="A7" s="425"/>
      <c r="B7" s="582"/>
      <c r="C7" s="582"/>
      <c r="D7" s="583"/>
      <c r="E7" s="583"/>
      <c r="F7" s="583"/>
      <c r="G7" s="583"/>
      <c r="H7" s="583"/>
      <c r="I7" s="583"/>
      <c r="J7" s="583"/>
      <c r="K7" s="583"/>
      <c r="L7" s="583"/>
      <c r="M7" s="583"/>
      <c r="N7" s="583"/>
      <c r="O7" s="583"/>
      <c r="P7" s="583"/>
      <c r="Q7" s="583"/>
      <c r="R7" s="583"/>
      <c r="X7" s="860"/>
      <c r="Y7" s="860"/>
      <c r="Z7" s="860"/>
      <c r="AA7" s="860"/>
      <c r="AB7" s="97"/>
    </row>
    <row r="8" spans="1:28" ht="13.5">
      <c r="A8" s="584" t="s">
        <v>741</v>
      </c>
      <c r="B8" s="582"/>
      <c r="C8" s="582"/>
      <c r="D8" s="583"/>
      <c r="E8" s="583"/>
      <c r="F8" s="583"/>
      <c r="G8" s="583"/>
      <c r="H8" s="583"/>
      <c r="I8" s="583"/>
      <c r="J8" s="583"/>
      <c r="K8" s="583"/>
      <c r="L8" s="583"/>
      <c r="M8" s="583"/>
      <c r="N8" s="583"/>
      <c r="X8" s="860"/>
      <c r="Y8" s="860"/>
      <c r="Z8" s="860"/>
      <c r="AA8" s="860"/>
      <c r="AB8" s="97"/>
    </row>
    <row r="9" spans="1:28" ht="15.75">
      <c r="A9" s="585">
        <v>1</v>
      </c>
      <c r="B9" s="585" t="s">
        <v>742</v>
      </c>
      <c r="C9" s="585" t="s">
        <v>717</v>
      </c>
      <c r="D9" s="1845" t="s">
        <v>1292</v>
      </c>
      <c r="E9" s="587"/>
      <c r="F9" s="587"/>
      <c r="G9" s="587"/>
      <c r="H9" s="587"/>
      <c r="I9" s="587"/>
      <c r="J9" s="587"/>
      <c r="K9" s="587"/>
      <c r="L9" s="587"/>
      <c r="M9" s="587"/>
      <c r="N9" s="587"/>
      <c r="X9" s="860"/>
      <c r="Y9" s="861"/>
      <c r="Z9" s="861"/>
      <c r="AA9" s="862"/>
      <c r="AB9" s="97"/>
    </row>
    <row r="10" spans="1:28" ht="13.5">
      <c r="A10" s="585">
        <v>2</v>
      </c>
      <c r="B10" s="585" t="s">
        <v>742</v>
      </c>
      <c r="C10" s="585" t="s">
        <v>717</v>
      </c>
      <c r="D10" s="586" t="s">
        <v>1293</v>
      </c>
      <c r="E10" s="587"/>
      <c r="F10" s="587"/>
      <c r="G10" s="587"/>
      <c r="H10" s="587"/>
      <c r="I10" s="587"/>
      <c r="J10" s="587"/>
      <c r="K10" s="587"/>
      <c r="L10" s="587"/>
      <c r="M10" s="587"/>
      <c r="N10" s="587"/>
      <c r="X10" s="860"/>
      <c r="Y10" s="861"/>
      <c r="Z10" s="861"/>
      <c r="AA10" s="862"/>
      <c r="AB10" s="97"/>
    </row>
    <row r="11" spans="1:28" ht="13.5">
      <c r="A11" s="585">
        <v>3</v>
      </c>
      <c r="B11" s="585" t="s">
        <v>742</v>
      </c>
      <c r="C11" s="585" t="s">
        <v>717</v>
      </c>
      <c r="D11" s="586" t="s">
        <v>1294</v>
      </c>
      <c r="E11" s="587"/>
      <c r="F11" s="587"/>
      <c r="G11" s="587"/>
      <c r="H11" s="587"/>
      <c r="I11" s="587"/>
      <c r="J11" s="587"/>
      <c r="K11" s="587"/>
      <c r="L11" s="587"/>
      <c r="M11" s="587"/>
      <c r="N11" s="587"/>
      <c r="X11" s="860"/>
      <c r="Y11" s="861"/>
      <c r="Z11" s="861"/>
      <c r="AA11" s="862"/>
      <c r="AB11" s="97"/>
    </row>
    <row r="12" spans="1:28" ht="13.5">
      <c r="A12" s="585">
        <v>4</v>
      </c>
      <c r="B12" s="585" t="s">
        <v>743</v>
      </c>
      <c r="C12" s="585" t="s">
        <v>717</v>
      </c>
      <c r="D12" s="586" t="s">
        <v>1084</v>
      </c>
      <c r="E12" s="587"/>
      <c r="F12" s="587"/>
      <c r="G12" s="587"/>
      <c r="H12" s="587"/>
      <c r="I12" s="587"/>
      <c r="J12" s="587"/>
      <c r="K12" s="587"/>
      <c r="L12" s="587"/>
      <c r="M12" s="587"/>
      <c r="N12" s="587"/>
      <c r="X12" s="607"/>
      <c r="Y12" s="863"/>
      <c r="Z12" s="863"/>
      <c r="AA12" s="862"/>
      <c r="AB12" s="97"/>
    </row>
    <row r="13" spans="1:28" ht="13.5">
      <c r="A13" s="585">
        <v>5</v>
      </c>
      <c r="B13" s="588" t="s">
        <v>744</v>
      </c>
      <c r="C13" s="585" t="s">
        <v>717</v>
      </c>
      <c r="D13" s="586" t="s">
        <v>1295</v>
      </c>
      <c r="E13" s="587"/>
      <c r="F13" s="587"/>
      <c r="G13" s="587"/>
      <c r="H13" s="587"/>
      <c r="I13" s="587"/>
      <c r="J13" s="587"/>
      <c r="K13" s="587"/>
      <c r="L13" s="587"/>
      <c r="M13" s="587"/>
      <c r="N13" s="587"/>
      <c r="X13" s="607"/>
      <c r="Y13" s="863"/>
      <c r="Z13" s="863"/>
      <c r="AA13" s="862"/>
      <c r="AB13" s="97"/>
    </row>
    <row r="14" spans="1:28" ht="13.5">
      <c r="A14" s="582">
        <v>6</v>
      </c>
      <c r="B14" s="582" t="s">
        <v>742</v>
      </c>
      <c r="C14" s="585" t="s">
        <v>718</v>
      </c>
      <c r="D14" s="586" t="s">
        <v>1296</v>
      </c>
      <c r="E14" s="583"/>
      <c r="F14" s="583"/>
      <c r="G14" s="583"/>
      <c r="H14" s="583"/>
      <c r="I14" s="583"/>
      <c r="J14" s="583"/>
      <c r="K14" s="583"/>
      <c r="L14" s="583"/>
      <c r="M14" s="583"/>
      <c r="N14" s="583"/>
      <c r="X14" s="607"/>
      <c r="Y14" s="863"/>
      <c r="Z14" s="863"/>
      <c r="AA14" s="862"/>
      <c r="AB14" s="97"/>
    </row>
    <row r="15" spans="1:28" ht="13.5">
      <c r="A15" s="582">
        <v>7</v>
      </c>
      <c r="B15" s="582" t="s">
        <v>742</v>
      </c>
      <c r="C15" s="585" t="s">
        <v>718</v>
      </c>
      <c r="D15" s="586" t="str">
        <f>+D65</f>
        <v>Reconciliation</v>
      </c>
      <c r="E15" s="590"/>
      <c r="F15" s="590"/>
      <c r="G15" s="590"/>
      <c r="H15" s="590"/>
      <c r="I15" s="590"/>
      <c r="J15" s="590"/>
      <c r="K15" s="583"/>
      <c r="L15" s="583"/>
      <c r="M15" s="583"/>
      <c r="N15" s="583"/>
      <c r="X15" s="607"/>
      <c r="Y15" s="863"/>
      <c r="Z15" s="863"/>
      <c r="AA15" s="862"/>
      <c r="AB15" s="97"/>
    </row>
    <row r="16" spans="1:28" ht="13.5">
      <c r="A16" s="582">
        <v>8</v>
      </c>
      <c r="B16" s="582" t="s">
        <v>742</v>
      </c>
      <c r="C16" s="585" t="s">
        <v>718</v>
      </c>
      <c r="D16" s="586" t="s">
        <v>1310</v>
      </c>
      <c r="E16" s="583"/>
      <c r="F16" s="583"/>
      <c r="G16" s="583"/>
      <c r="H16" s="583"/>
      <c r="I16" s="583"/>
      <c r="J16" s="583"/>
      <c r="K16" s="583"/>
      <c r="L16" s="583"/>
      <c r="M16" s="583"/>
      <c r="N16" s="583"/>
      <c r="X16" s="607"/>
      <c r="Y16" s="863"/>
      <c r="Z16" s="863"/>
      <c r="AA16" s="862"/>
      <c r="AB16" s="97"/>
    </row>
    <row r="17" spans="1:28" ht="13.5">
      <c r="A17" s="582">
        <v>9</v>
      </c>
      <c r="B17" s="582" t="s">
        <v>742</v>
      </c>
      <c r="C17" s="585" t="s">
        <v>718</v>
      </c>
      <c r="D17" s="586" t="s">
        <v>1297</v>
      </c>
      <c r="E17" s="583"/>
      <c r="F17" s="583"/>
      <c r="G17" s="583"/>
      <c r="H17" s="583"/>
      <c r="I17" s="583"/>
      <c r="J17" s="583"/>
      <c r="K17" s="583"/>
      <c r="L17" s="583"/>
      <c r="M17" s="583"/>
      <c r="N17" s="583"/>
      <c r="X17" s="607"/>
      <c r="Y17" s="863"/>
      <c r="Z17" s="863"/>
      <c r="AA17" s="862"/>
      <c r="AB17" s="97"/>
    </row>
    <row r="18" spans="1:28" ht="13.5">
      <c r="A18" s="582">
        <v>10</v>
      </c>
      <c r="B18" s="582" t="s">
        <v>743</v>
      </c>
      <c r="C18" s="585" t="s">
        <v>718</v>
      </c>
      <c r="D18" s="586" t="s">
        <v>528</v>
      </c>
      <c r="E18" s="583"/>
      <c r="F18" s="583"/>
      <c r="G18" s="583"/>
      <c r="H18" s="583"/>
      <c r="I18" s="583"/>
      <c r="J18" s="583"/>
      <c r="K18" s="583"/>
      <c r="L18" s="583"/>
      <c r="M18" s="583"/>
      <c r="N18" s="583"/>
      <c r="X18" s="607"/>
      <c r="Y18" s="863"/>
      <c r="Z18" s="863"/>
      <c r="AA18" s="862"/>
      <c r="AB18" s="97"/>
    </row>
    <row r="19" spans="1:28" ht="13.5">
      <c r="A19" s="582">
        <v>11</v>
      </c>
      <c r="B19" s="591" t="s">
        <v>744</v>
      </c>
      <c r="C19" s="585" t="s">
        <v>718</v>
      </c>
      <c r="D19" s="586" t="s">
        <v>1298</v>
      </c>
      <c r="E19" s="583"/>
      <c r="F19" s="583"/>
      <c r="G19" s="583"/>
      <c r="H19" s="583"/>
      <c r="I19" s="583"/>
      <c r="J19" s="583"/>
      <c r="K19" s="583"/>
      <c r="L19" s="583"/>
      <c r="M19" s="583"/>
      <c r="N19" s="583"/>
      <c r="X19" s="607"/>
      <c r="Y19" s="863"/>
      <c r="Z19" s="863"/>
      <c r="AA19" s="863"/>
      <c r="AB19" s="97"/>
    </row>
    <row r="20" spans="1:28" ht="13.5">
      <c r="A20" s="582"/>
      <c r="B20" s="591"/>
      <c r="C20" s="582"/>
      <c r="D20" s="589"/>
      <c r="E20" s="583"/>
      <c r="F20" s="583"/>
      <c r="G20" s="583"/>
      <c r="H20" s="583"/>
      <c r="I20" s="583"/>
      <c r="J20" s="583"/>
      <c r="K20" s="583"/>
      <c r="L20" s="583"/>
      <c r="M20" s="583"/>
      <c r="N20" s="583"/>
      <c r="X20" s="607"/>
      <c r="Y20" s="607"/>
      <c r="Z20" s="607"/>
      <c r="AA20" s="607"/>
      <c r="AB20" s="97"/>
    </row>
    <row r="21" spans="1:28" ht="13.5">
      <c r="A21" s="592"/>
      <c r="B21" s="585"/>
      <c r="C21" s="582"/>
      <c r="D21" s="593"/>
      <c r="E21" s="583"/>
      <c r="F21" s="583"/>
      <c r="G21" s="583"/>
      <c r="H21" s="583"/>
      <c r="I21" s="583"/>
      <c r="J21" s="583"/>
      <c r="K21" s="583"/>
      <c r="L21" s="583"/>
      <c r="M21" s="583"/>
      <c r="N21" s="583"/>
      <c r="X21" s="607"/>
      <c r="Y21" s="607"/>
      <c r="Z21" s="607"/>
      <c r="AA21" s="607"/>
      <c r="AB21" s="97"/>
    </row>
    <row r="22" spans="1:28" ht="13.5">
      <c r="A22" s="582">
        <v>1</v>
      </c>
      <c r="B22" s="582" t="s">
        <v>742</v>
      </c>
      <c r="C22" s="582" t="s">
        <v>717</v>
      </c>
      <c r="D22" s="583" t="s">
        <v>1299</v>
      </c>
      <c r="E22" s="583"/>
      <c r="F22" s="583"/>
      <c r="G22" s="583"/>
      <c r="H22" s="583"/>
      <c r="I22" s="583"/>
      <c r="J22" s="424"/>
      <c r="K22" s="583"/>
      <c r="L22" s="583"/>
      <c r="M22" s="583"/>
      <c r="N22" s="583"/>
    </row>
    <row r="23" spans="1:28" ht="13.5">
      <c r="A23" s="582"/>
      <c r="B23" s="582"/>
      <c r="C23" s="582"/>
      <c r="D23" s="594">
        <v>7985646</v>
      </c>
      <c r="E23" s="583" t="s">
        <v>426</v>
      </c>
      <c r="F23" s="583"/>
      <c r="G23" s="1846" t="s">
        <v>1289</v>
      </c>
      <c r="H23" s="1546"/>
      <c r="I23" s="1546"/>
      <c r="J23" s="1546"/>
      <c r="K23" s="583"/>
      <c r="L23" s="583"/>
      <c r="M23" s="583"/>
      <c r="N23" s="583"/>
    </row>
    <row r="24" spans="1:28" ht="13.5">
      <c r="A24" s="582"/>
      <c r="B24" s="582"/>
      <c r="C24" s="582"/>
      <c r="D24" s="596"/>
      <c r="E24" s="583"/>
      <c r="F24" s="583"/>
      <c r="G24" s="583"/>
      <c r="H24" s="583"/>
      <c r="I24" s="583"/>
      <c r="J24" s="583"/>
      <c r="K24" s="583"/>
      <c r="L24" s="583"/>
      <c r="M24" s="583"/>
      <c r="N24" s="583"/>
      <c r="O24" s="583"/>
      <c r="P24" s="583"/>
      <c r="Q24" s="583"/>
      <c r="R24" s="583"/>
    </row>
    <row r="25" spans="1:28" ht="13.5">
      <c r="A25" s="582">
        <v>2</v>
      </c>
      <c r="B25" s="582" t="s">
        <v>742</v>
      </c>
      <c r="C25" s="582" t="s">
        <v>717</v>
      </c>
      <c r="D25" s="589" t="s">
        <v>1293</v>
      </c>
      <c r="E25" s="583"/>
      <c r="F25" s="583"/>
      <c r="G25" s="583"/>
      <c r="H25" s="583"/>
      <c r="I25" s="583"/>
      <c r="J25" s="424"/>
      <c r="K25" s="583"/>
      <c r="L25" s="583"/>
      <c r="M25" s="583"/>
      <c r="N25" s="583"/>
      <c r="O25" s="583"/>
      <c r="P25" s="583"/>
      <c r="Q25" s="583"/>
      <c r="R25" s="583"/>
    </row>
    <row r="26" spans="1:28" ht="13.5">
      <c r="A26" s="582"/>
      <c r="C26" s="582"/>
      <c r="D26" s="589"/>
      <c r="E26" s="583"/>
      <c r="F26" s="583"/>
      <c r="G26" s="583"/>
      <c r="H26" s="583"/>
      <c r="I26" s="583"/>
      <c r="J26" s="424"/>
      <c r="K26" s="583"/>
      <c r="L26" s="583"/>
      <c r="M26" s="583"/>
      <c r="N26" s="583"/>
      <c r="O26" s="583"/>
      <c r="P26" s="583"/>
      <c r="Q26" s="583"/>
      <c r="R26" s="583"/>
    </row>
    <row r="27" spans="1:28" ht="13.5">
      <c r="A27" s="582"/>
      <c r="B27" s="424"/>
      <c r="C27" s="485" t="s">
        <v>323</v>
      </c>
      <c r="D27" s="485" t="s">
        <v>324</v>
      </c>
      <c r="E27" s="485" t="s">
        <v>416</v>
      </c>
      <c r="F27" s="485" t="s">
        <v>325</v>
      </c>
      <c r="G27" s="485" t="s">
        <v>326</v>
      </c>
      <c r="H27" s="485" t="s">
        <v>322</v>
      </c>
      <c r="I27" s="485"/>
      <c r="J27" s="485" t="s">
        <v>678</v>
      </c>
      <c r="K27" s="485" t="s">
        <v>679</v>
      </c>
      <c r="L27" s="485" t="s">
        <v>1085</v>
      </c>
      <c r="M27" s="585" t="s">
        <v>1086</v>
      </c>
      <c r="N27" s="582" t="s">
        <v>1087</v>
      </c>
      <c r="O27" s="582" t="s">
        <v>1088</v>
      </c>
      <c r="P27" s="582"/>
      <c r="Q27" s="585"/>
      <c r="R27" s="585"/>
    </row>
    <row r="28" spans="1:28" ht="13.5">
      <c r="A28" s="582"/>
      <c r="B28" s="424"/>
      <c r="C28" s="582" t="s">
        <v>279</v>
      </c>
      <c r="D28" s="582" t="s">
        <v>279</v>
      </c>
      <c r="E28" s="582" t="s">
        <v>279</v>
      </c>
      <c r="F28" s="582" t="s">
        <v>279</v>
      </c>
      <c r="G28" s="582" t="s">
        <v>279</v>
      </c>
      <c r="H28" s="582" t="s">
        <v>279</v>
      </c>
      <c r="I28" s="582"/>
      <c r="J28" s="582" t="s">
        <v>74</v>
      </c>
      <c r="K28" s="582" t="s">
        <v>74</v>
      </c>
      <c r="L28" s="582" t="s">
        <v>74</v>
      </c>
      <c r="M28" s="582" t="s">
        <v>74</v>
      </c>
      <c r="N28" s="582" t="s">
        <v>74</v>
      </c>
      <c r="O28" s="582" t="s">
        <v>74</v>
      </c>
      <c r="P28" s="582"/>
      <c r="Q28" s="585"/>
      <c r="R28" s="2"/>
    </row>
    <row r="29" spans="1:28" ht="13.5">
      <c r="A29" s="582"/>
      <c r="B29" s="583"/>
      <c r="C29" s="582" t="s">
        <v>70</v>
      </c>
      <c r="D29" s="582" t="s">
        <v>70</v>
      </c>
      <c r="E29" s="582" t="s">
        <v>70</v>
      </c>
      <c r="F29" s="582" t="s">
        <v>70</v>
      </c>
      <c r="G29" s="633"/>
      <c r="H29" s="633"/>
      <c r="I29" s="582"/>
      <c r="J29" s="582" t="s">
        <v>75</v>
      </c>
      <c r="K29" s="582" t="s">
        <v>76</v>
      </c>
      <c r="L29" s="582" t="s">
        <v>77</v>
      </c>
      <c r="M29" s="582" t="s">
        <v>78</v>
      </c>
      <c r="N29" s="582" t="s">
        <v>79</v>
      </c>
      <c r="O29" s="582" t="s">
        <v>80</v>
      </c>
      <c r="P29" s="582"/>
      <c r="Q29" s="587"/>
      <c r="R29" s="2"/>
    </row>
    <row r="30" spans="1:28" ht="13.5">
      <c r="A30" s="582"/>
      <c r="B30" s="583"/>
      <c r="C30" s="582"/>
      <c r="D30" s="582"/>
      <c r="E30" s="582"/>
      <c r="F30" s="582"/>
      <c r="G30" s="582" t="s">
        <v>71</v>
      </c>
      <c r="H30" s="582" t="s">
        <v>72</v>
      </c>
      <c r="I30" s="582"/>
      <c r="J30" s="582"/>
      <c r="K30" s="582"/>
      <c r="L30" s="582"/>
      <c r="M30" s="582"/>
      <c r="N30" s="582"/>
      <c r="O30" s="582"/>
      <c r="Q30" s="587"/>
      <c r="R30" s="2"/>
    </row>
    <row r="31" spans="1:28" ht="13.5">
      <c r="A31" s="582"/>
      <c r="B31" s="583"/>
      <c r="C31" s="582"/>
      <c r="D31" s="597"/>
      <c r="E31" s="597"/>
      <c r="F31" s="597"/>
      <c r="G31" s="582"/>
      <c r="H31" s="582"/>
      <c r="I31" s="632"/>
      <c r="J31" s="582"/>
      <c r="K31" s="582"/>
      <c r="L31" s="598"/>
      <c r="M31" s="582"/>
      <c r="N31" s="582"/>
      <c r="O31" s="593"/>
      <c r="Q31" s="587"/>
      <c r="R31" s="2"/>
    </row>
    <row r="32" spans="1:28" ht="13.5">
      <c r="A32" s="582"/>
      <c r="B32" s="583" t="s">
        <v>745</v>
      </c>
      <c r="C32" s="864"/>
      <c r="D32" s="599"/>
      <c r="E32" s="599"/>
      <c r="F32" s="599"/>
      <c r="G32" s="599"/>
      <c r="H32" s="599"/>
      <c r="I32" s="632"/>
      <c r="J32" s="598">
        <f t="shared" ref="J32:O32" si="0">C32</f>
        <v>0</v>
      </c>
      <c r="K32" s="598">
        <f t="shared" si="0"/>
        <v>0</v>
      </c>
      <c r="L32" s="598">
        <f t="shared" si="0"/>
        <v>0</v>
      </c>
      <c r="M32" s="598">
        <f t="shared" si="0"/>
        <v>0</v>
      </c>
      <c r="N32" s="598">
        <f t="shared" si="0"/>
        <v>0</v>
      </c>
      <c r="O32" s="598">
        <f t="shared" si="0"/>
        <v>0</v>
      </c>
      <c r="P32" s="598"/>
      <c r="Q32" s="587"/>
      <c r="R32" s="2"/>
    </row>
    <row r="33" spans="1:18" ht="13.5">
      <c r="A33" s="582"/>
      <c r="B33" s="583" t="s">
        <v>746</v>
      </c>
      <c r="C33" s="864"/>
      <c r="D33" s="599"/>
      <c r="E33" s="599"/>
      <c r="F33" s="599"/>
      <c r="G33" s="599"/>
      <c r="H33" s="599"/>
      <c r="I33" s="632"/>
      <c r="J33" s="598">
        <f>J32+C33</f>
        <v>0</v>
      </c>
      <c r="K33" s="598">
        <f t="shared" ref="K33:O43" si="1">K32+D33</f>
        <v>0</v>
      </c>
      <c r="L33" s="598">
        <f t="shared" si="1"/>
        <v>0</v>
      </c>
      <c r="M33" s="598">
        <f t="shared" si="1"/>
        <v>0</v>
      </c>
      <c r="N33" s="598">
        <f t="shared" si="1"/>
        <v>0</v>
      </c>
      <c r="O33" s="598">
        <f t="shared" si="1"/>
        <v>0</v>
      </c>
      <c r="P33" s="598"/>
      <c r="Q33" s="587"/>
      <c r="R33" s="2"/>
    </row>
    <row r="34" spans="1:18" ht="13.5">
      <c r="A34" s="582"/>
      <c r="B34" s="583" t="s">
        <v>747</v>
      </c>
      <c r="C34" s="864"/>
      <c r="D34" s="599"/>
      <c r="E34" s="599"/>
      <c r="F34" s="599"/>
      <c r="G34" s="599"/>
      <c r="H34" s="599"/>
      <c r="I34" s="632"/>
      <c r="J34" s="598">
        <f t="shared" ref="J34:J43" si="2">J33+C34</f>
        <v>0</v>
      </c>
      <c r="K34" s="598">
        <f t="shared" si="1"/>
        <v>0</v>
      </c>
      <c r="L34" s="598">
        <f t="shared" si="1"/>
        <v>0</v>
      </c>
      <c r="M34" s="598">
        <f t="shared" si="1"/>
        <v>0</v>
      </c>
      <c r="N34" s="598">
        <f t="shared" si="1"/>
        <v>0</v>
      </c>
      <c r="O34" s="598">
        <f t="shared" si="1"/>
        <v>0</v>
      </c>
      <c r="P34" s="598"/>
      <c r="Q34" s="587"/>
      <c r="R34" s="2"/>
    </row>
    <row r="35" spans="1:18" ht="13.5">
      <c r="A35" s="582"/>
      <c r="B35" s="583" t="s">
        <v>748</v>
      </c>
      <c r="C35" s="864"/>
      <c r="D35" s="599"/>
      <c r="E35" s="599"/>
      <c r="F35" s="599"/>
      <c r="G35" s="599"/>
      <c r="H35" s="599"/>
      <c r="I35" s="632"/>
      <c r="J35" s="598">
        <f t="shared" si="2"/>
        <v>0</v>
      </c>
      <c r="K35" s="598">
        <f t="shared" si="1"/>
        <v>0</v>
      </c>
      <c r="L35" s="598">
        <f t="shared" si="1"/>
        <v>0</v>
      </c>
      <c r="M35" s="598">
        <f t="shared" si="1"/>
        <v>0</v>
      </c>
      <c r="N35" s="598">
        <f t="shared" si="1"/>
        <v>0</v>
      </c>
      <c r="O35" s="598">
        <f t="shared" si="1"/>
        <v>0</v>
      </c>
      <c r="P35" s="598"/>
      <c r="Q35" s="587"/>
      <c r="R35" s="2"/>
    </row>
    <row r="36" spans="1:18" ht="13.5">
      <c r="A36" s="582"/>
      <c r="B36" s="583" t="s">
        <v>743</v>
      </c>
      <c r="C36" s="864"/>
      <c r="D36" s="599"/>
      <c r="E36" s="599"/>
      <c r="F36" s="599"/>
      <c r="G36" s="599"/>
      <c r="H36" s="599"/>
      <c r="I36" s="632"/>
      <c r="J36" s="598">
        <f t="shared" si="2"/>
        <v>0</v>
      </c>
      <c r="K36" s="598">
        <f t="shared" si="1"/>
        <v>0</v>
      </c>
      <c r="L36" s="598">
        <f t="shared" si="1"/>
        <v>0</v>
      </c>
      <c r="M36" s="598">
        <f t="shared" si="1"/>
        <v>0</v>
      </c>
      <c r="N36" s="598">
        <f t="shared" si="1"/>
        <v>0</v>
      </c>
      <c r="O36" s="598">
        <f t="shared" si="1"/>
        <v>0</v>
      </c>
      <c r="P36" s="598"/>
      <c r="Q36" s="587"/>
      <c r="R36" s="2"/>
    </row>
    <row r="37" spans="1:18" ht="13.5">
      <c r="A37" s="582"/>
      <c r="B37" s="583" t="s">
        <v>749</v>
      </c>
      <c r="C37" s="864"/>
      <c r="D37" s="599"/>
      <c r="E37" s="599"/>
      <c r="F37" s="599"/>
      <c r="G37" s="599"/>
      <c r="H37" s="599"/>
      <c r="I37" s="632"/>
      <c r="J37" s="598">
        <f t="shared" si="2"/>
        <v>0</v>
      </c>
      <c r="K37" s="598">
        <f t="shared" si="1"/>
        <v>0</v>
      </c>
      <c r="L37" s="598">
        <f t="shared" si="1"/>
        <v>0</v>
      </c>
      <c r="M37" s="598">
        <f t="shared" si="1"/>
        <v>0</v>
      </c>
      <c r="N37" s="598">
        <f t="shared" si="1"/>
        <v>0</v>
      </c>
      <c r="O37" s="598">
        <f t="shared" si="1"/>
        <v>0</v>
      </c>
      <c r="P37" s="598"/>
      <c r="Q37" s="587"/>
      <c r="R37" s="2"/>
    </row>
    <row r="38" spans="1:18" ht="13.5">
      <c r="A38" s="582"/>
      <c r="B38" s="583" t="s">
        <v>750</v>
      </c>
      <c r="C38" s="864"/>
      <c r="D38" s="599"/>
      <c r="E38" s="599"/>
      <c r="F38" s="599"/>
      <c r="G38" s="599"/>
      <c r="H38" s="599"/>
      <c r="I38" s="632"/>
      <c r="J38" s="598">
        <f t="shared" si="2"/>
        <v>0</v>
      </c>
      <c r="K38" s="598">
        <f t="shared" si="1"/>
        <v>0</v>
      </c>
      <c r="L38" s="598">
        <f t="shared" si="1"/>
        <v>0</v>
      </c>
      <c r="M38" s="598">
        <f t="shared" si="1"/>
        <v>0</v>
      </c>
      <c r="N38" s="598">
        <f t="shared" si="1"/>
        <v>0</v>
      </c>
      <c r="O38" s="598">
        <f t="shared" si="1"/>
        <v>0</v>
      </c>
      <c r="P38" s="598"/>
      <c r="Q38" s="587"/>
      <c r="R38" s="2"/>
    </row>
    <row r="39" spans="1:18" ht="13.5">
      <c r="A39" s="582"/>
      <c r="B39" s="583" t="s">
        <v>751</v>
      </c>
      <c r="C39" s="864"/>
      <c r="D39" s="599"/>
      <c r="E39" s="599"/>
      <c r="F39" s="599"/>
      <c r="G39" s="599"/>
      <c r="H39" s="599"/>
      <c r="I39" s="632"/>
      <c r="J39" s="598">
        <f t="shared" si="2"/>
        <v>0</v>
      </c>
      <c r="K39" s="598">
        <f t="shared" si="1"/>
        <v>0</v>
      </c>
      <c r="L39" s="598">
        <f t="shared" si="1"/>
        <v>0</v>
      </c>
      <c r="M39" s="598">
        <f t="shared" si="1"/>
        <v>0</v>
      </c>
      <c r="N39" s="598">
        <f t="shared" si="1"/>
        <v>0</v>
      </c>
      <c r="O39" s="598">
        <f t="shared" si="1"/>
        <v>0</v>
      </c>
      <c r="P39" s="598"/>
      <c r="Q39" s="587"/>
      <c r="R39" s="2"/>
    </row>
    <row r="40" spans="1:18" ht="13.5">
      <c r="A40" s="582"/>
      <c r="B40" s="583" t="s">
        <v>752</v>
      </c>
      <c r="C40" s="864"/>
      <c r="D40" s="599"/>
      <c r="E40" s="599"/>
      <c r="F40" s="599"/>
      <c r="G40" s="599"/>
      <c r="H40" s="599"/>
      <c r="I40" s="632"/>
      <c r="J40" s="598">
        <f t="shared" si="2"/>
        <v>0</v>
      </c>
      <c r="K40" s="598">
        <f t="shared" si="1"/>
        <v>0</v>
      </c>
      <c r="L40" s="598">
        <f t="shared" si="1"/>
        <v>0</v>
      </c>
      <c r="M40" s="598">
        <f t="shared" si="1"/>
        <v>0</v>
      </c>
      <c r="N40" s="598">
        <f t="shared" si="1"/>
        <v>0</v>
      </c>
      <c r="O40" s="598">
        <f t="shared" si="1"/>
        <v>0</v>
      </c>
      <c r="P40" s="598"/>
      <c r="Q40" s="587"/>
      <c r="R40" s="2"/>
    </row>
    <row r="41" spans="1:18" ht="13.5">
      <c r="A41" s="582"/>
      <c r="B41" s="583" t="s">
        <v>753</v>
      </c>
      <c r="C41" s="864"/>
      <c r="D41" s="599"/>
      <c r="E41" s="599"/>
      <c r="F41" s="599"/>
      <c r="G41" s="599"/>
      <c r="H41" s="599"/>
      <c r="I41" s="632"/>
      <c r="J41" s="598">
        <f t="shared" si="2"/>
        <v>0</v>
      </c>
      <c r="K41" s="598">
        <f t="shared" si="1"/>
        <v>0</v>
      </c>
      <c r="L41" s="598">
        <f t="shared" si="1"/>
        <v>0</v>
      </c>
      <c r="M41" s="598">
        <f t="shared" si="1"/>
        <v>0</v>
      </c>
      <c r="N41" s="598">
        <f t="shared" si="1"/>
        <v>0</v>
      </c>
      <c r="O41" s="598">
        <f t="shared" si="1"/>
        <v>0</v>
      </c>
      <c r="P41" s="598"/>
      <c r="Q41" s="587"/>
      <c r="R41" s="2"/>
    </row>
    <row r="42" spans="1:18" ht="13.5">
      <c r="A42" s="582"/>
      <c r="B42" s="583" t="s">
        <v>754</v>
      </c>
      <c r="C42" s="864"/>
      <c r="D42" s="599"/>
      <c r="E42" s="599"/>
      <c r="F42" s="599"/>
      <c r="G42" s="599"/>
      <c r="H42" s="599"/>
      <c r="I42" s="632"/>
      <c r="J42" s="598">
        <f t="shared" si="2"/>
        <v>0</v>
      </c>
      <c r="K42" s="598">
        <f t="shared" si="1"/>
        <v>0</v>
      </c>
      <c r="L42" s="598">
        <f t="shared" si="1"/>
        <v>0</v>
      </c>
      <c r="M42" s="598">
        <f t="shared" si="1"/>
        <v>0</v>
      </c>
      <c r="N42" s="598">
        <f t="shared" si="1"/>
        <v>0</v>
      </c>
      <c r="O42" s="598">
        <f t="shared" si="1"/>
        <v>0</v>
      </c>
      <c r="P42" s="598"/>
      <c r="Q42" s="587"/>
      <c r="R42" s="2"/>
    </row>
    <row r="43" spans="1:18" ht="13.5">
      <c r="A43" s="582"/>
      <c r="B43" s="583" t="s">
        <v>755</v>
      </c>
      <c r="C43" s="864"/>
      <c r="D43" s="599"/>
      <c r="E43" s="599"/>
      <c r="F43" s="599"/>
      <c r="G43" s="599"/>
      <c r="H43" s="599"/>
      <c r="I43" s="632"/>
      <c r="J43" s="598">
        <f t="shared" si="2"/>
        <v>0</v>
      </c>
      <c r="K43" s="598">
        <f t="shared" si="1"/>
        <v>0</v>
      </c>
      <c r="L43" s="598">
        <f t="shared" si="1"/>
        <v>0</v>
      </c>
      <c r="M43" s="598">
        <f t="shared" si="1"/>
        <v>0</v>
      </c>
      <c r="N43" s="598">
        <f t="shared" si="1"/>
        <v>0</v>
      </c>
      <c r="O43" s="598">
        <f t="shared" si="1"/>
        <v>0</v>
      </c>
      <c r="P43" s="598"/>
      <c r="Q43" s="587"/>
      <c r="R43" s="2"/>
    </row>
    <row r="44" spans="1:18" ht="13.5">
      <c r="A44" s="582"/>
      <c r="B44" s="583" t="s">
        <v>972</v>
      </c>
      <c r="C44" s="598">
        <f t="shared" ref="C44:H44" si="3">SUM(C32:C43)</f>
        <v>0</v>
      </c>
      <c r="D44" s="598">
        <f t="shared" si="3"/>
        <v>0</v>
      </c>
      <c r="E44" s="598">
        <f t="shared" si="3"/>
        <v>0</v>
      </c>
      <c r="F44" s="598">
        <f t="shared" si="3"/>
        <v>0</v>
      </c>
      <c r="G44" s="598">
        <f t="shared" si="3"/>
        <v>0</v>
      </c>
      <c r="H44" s="598">
        <f t="shared" si="3"/>
        <v>0</v>
      </c>
      <c r="I44" s="598" t="s">
        <v>81</v>
      </c>
      <c r="J44" s="598">
        <f t="shared" ref="J44:O44" si="4">AVERAGE(J32:J43)</f>
        <v>0</v>
      </c>
      <c r="K44" s="598">
        <f t="shared" si="4"/>
        <v>0</v>
      </c>
      <c r="L44" s="598">
        <f t="shared" si="4"/>
        <v>0</v>
      </c>
      <c r="M44" s="598">
        <f t="shared" si="4"/>
        <v>0</v>
      </c>
      <c r="N44" s="598">
        <f t="shared" si="4"/>
        <v>0</v>
      </c>
      <c r="O44" s="598">
        <f t="shared" si="4"/>
        <v>0</v>
      </c>
      <c r="P44" s="598"/>
      <c r="Q44" s="619"/>
      <c r="R44" s="2"/>
    </row>
    <row r="45" spans="1:18" ht="13.5">
      <c r="A45" s="582"/>
      <c r="C45" s="583"/>
      <c r="D45" s="424"/>
      <c r="E45" s="424"/>
      <c r="F45" s="424"/>
      <c r="G45" s="424"/>
      <c r="H45" s="424"/>
      <c r="I45" s="424"/>
      <c r="J45" s="424"/>
      <c r="K45" s="424"/>
      <c r="L45" s="600"/>
      <c r="M45" s="583"/>
      <c r="N45" s="583"/>
      <c r="O45" s="583"/>
      <c r="Q45" s="587"/>
      <c r="R45" s="2"/>
    </row>
    <row r="46" spans="1:18" ht="13.5">
      <c r="A46" s="582"/>
      <c r="B46" s="583" t="s">
        <v>83</v>
      </c>
      <c r="C46" s="583"/>
      <c r="D46" s="424"/>
      <c r="E46" s="424"/>
      <c r="F46" s="424"/>
      <c r="G46" s="424"/>
      <c r="H46" s="424"/>
      <c r="I46" s="424"/>
      <c r="J46" s="583"/>
      <c r="K46" s="634" t="s">
        <v>82</v>
      </c>
      <c r="L46" s="424"/>
      <c r="M46" s="598">
        <f>SUM(J44:O44)</f>
        <v>0</v>
      </c>
      <c r="N46" s="598"/>
      <c r="O46" s="598"/>
      <c r="Q46" s="619"/>
      <c r="R46" s="2"/>
    </row>
    <row r="47" spans="1:18" ht="13.5">
      <c r="A47" s="582"/>
      <c r="B47" s="583"/>
      <c r="C47" s="583"/>
      <c r="D47" s="424"/>
      <c r="E47" s="424"/>
      <c r="F47" s="424"/>
      <c r="G47" s="424"/>
      <c r="H47" s="424"/>
      <c r="I47" s="424"/>
      <c r="J47" s="583"/>
      <c r="K47" s="583"/>
      <c r="L47" s="424"/>
      <c r="M47" s="598"/>
      <c r="N47" s="583"/>
      <c r="O47" s="598"/>
      <c r="Q47" s="619"/>
      <c r="R47" s="2"/>
    </row>
    <row r="48" spans="1:18" ht="13.5">
      <c r="A48" s="582"/>
      <c r="B48" s="582"/>
      <c r="C48" s="582"/>
      <c r="D48" s="583"/>
      <c r="E48" s="583"/>
      <c r="F48" s="424"/>
      <c r="G48" s="424"/>
      <c r="H48" s="424"/>
      <c r="I48" s="424"/>
      <c r="J48" s="583"/>
      <c r="L48" s="424"/>
      <c r="M48" s="601"/>
      <c r="N48" s="601"/>
      <c r="O48" s="602"/>
      <c r="Q48" s="587"/>
      <c r="R48" s="2"/>
    </row>
    <row r="49" spans="1:18" ht="13.5">
      <c r="A49" s="582">
        <v>3</v>
      </c>
      <c r="B49" s="582" t="s">
        <v>742</v>
      </c>
      <c r="C49" s="582" t="s">
        <v>717</v>
      </c>
      <c r="D49" s="589" t="s">
        <v>1294</v>
      </c>
      <c r="E49" s="583"/>
      <c r="F49" s="583"/>
      <c r="G49" s="583"/>
      <c r="H49" s="583"/>
      <c r="I49" s="583"/>
      <c r="J49" s="583"/>
      <c r="K49" s="583"/>
      <c r="L49" s="598"/>
      <c r="M49" s="583"/>
      <c r="N49" s="583"/>
      <c r="O49" s="583"/>
      <c r="P49" s="583"/>
      <c r="Q49" s="583"/>
      <c r="R49" s="583"/>
    </row>
    <row r="50" spans="1:18" ht="13.5">
      <c r="A50" s="582"/>
      <c r="B50" s="582"/>
      <c r="C50" s="582"/>
      <c r="D50" s="603"/>
      <c r="E50" s="596"/>
      <c r="F50" s="598"/>
      <c r="G50" s="1835" t="s">
        <v>1288</v>
      </c>
      <c r="H50" s="1545"/>
      <c r="I50" s="583"/>
      <c r="J50" s="583"/>
      <c r="K50" s="583"/>
      <c r="L50" s="598"/>
      <c r="M50" s="583"/>
      <c r="N50" s="583"/>
      <c r="O50" s="583"/>
      <c r="P50" s="583"/>
      <c r="Q50" s="583"/>
      <c r="R50" s="583"/>
    </row>
    <row r="51" spans="1:18" ht="13.5">
      <c r="A51" s="582"/>
      <c r="B51" s="582"/>
      <c r="C51" s="582"/>
      <c r="D51" s="604"/>
      <c r="E51" s="582"/>
      <c r="F51" s="598"/>
      <c r="G51" s="1836"/>
      <c r="H51" s="1545"/>
      <c r="I51" s="583"/>
      <c r="J51" s="583"/>
      <c r="K51" s="583"/>
      <c r="L51" s="583"/>
      <c r="M51" s="583"/>
      <c r="N51" s="583"/>
      <c r="O51" s="583"/>
      <c r="P51" s="583"/>
      <c r="Q51" s="583"/>
      <c r="R51" s="583"/>
    </row>
    <row r="52" spans="1:18" ht="13.5">
      <c r="A52" s="582">
        <v>4</v>
      </c>
      <c r="B52" s="582" t="s">
        <v>743</v>
      </c>
      <c r="C52" s="582" t="s">
        <v>717</v>
      </c>
      <c r="D52" s="583" t="s">
        <v>1084</v>
      </c>
      <c r="E52" s="583"/>
      <c r="F52" s="583"/>
      <c r="G52" s="1837"/>
      <c r="H52" s="1546"/>
      <c r="I52" s="583"/>
      <c r="J52" s="583"/>
      <c r="K52" s="583"/>
      <c r="L52" s="583"/>
      <c r="M52" s="583"/>
      <c r="N52" s="583"/>
      <c r="O52" s="583"/>
      <c r="P52" s="583"/>
      <c r="Q52" s="583"/>
      <c r="R52" s="583"/>
    </row>
    <row r="53" spans="1:18" ht="13.5">
      <c r="A53" s="582"/>
      <c r="B53" s="582"/>
      <c r="C53" s="582"/>
      <c r="D53" s="594">
        <f>D50</f>
        <v>0</v>
      </c>
      <c r="E53" s="424"/>
      <c r="F53" s="604"/>
      <c r="G53" s="1835" t="s">
        <v>1288</v>
      </c>
      <c r="H53" s="1546"/>
      <c r="I53" s="583"/>
      <c r="J53" s="583"/>
      <c r="K53" s="583"/>
      <c r="L53" s="583"/>
      <c r="M53" s="583"/>
      <c r="N53" s="583"/>
      <c r="O53" s="583"/>
      <c r="P53" s="583"/>
      <c r="Q53" s="583"/>
      <c r="R53" s="583"/>
    </row>
    <row r="54" spans="1:18" ht="13.5">
      <c r="A54" s="582"/>
      <c r="B54" s="582"/>
      <c r="C54" s="582"/>
      <c r="D54" s="605"/>
      <c r="E54" s="583"/>
      <c r="F54" s="583"/>
      <c r="G54" s="1837"/>
      <c r="H54" s="1546"/>
      <c r="I54" s="583"/>
      <c r="J54" s="583"/>
      <c r="K54" s="583"/>
      <c r="L54" s="583"/>
      <c r="M54" s="583"/>
      <c r="N54" s="583"/>
      <c r="O54" s="583"/>
      <c r="P54" s="583"/>
      <c r="Q54" s="583"/>
      <c r="R54" s="583"/>
    </row>
    <row r="55" spans="1:18" ht="13.5">
      <c r="A55" s="582">
        <v>5</v>
      </c>
      <c r="B55" s="582" t="s">
        <v>744</v>
      </c>
      <c r="C55" s="582" t="s">
        <v>717</v>
      </c>
      <c r="D55" s="586" t="s">
        <v>1295</v>
      </c>
      <c r="E55" s="583"/>
      <c r="F55" s="583"/>
      <c r="G55" s="1837"/>
      <c r="H55" s="583"/>
      <c r="I55" s="583"/>
      <c r="J55" s="583"/>
      <c r="K55" s="583"/>
      <c r="L55" s="583"/>
      <c r="M55" s="583"/>
      <c r="N55" s="583"/>
      <c r="O55" s="583"/>
      <c r="P55" s="583"/>
      <c r="Q55" s="583"/>
      <c r="R55" s="583"/>
    </row>
    <row r="56" spans="1:18" ht="13.5">
      <c r="A56" s="582"/>
      <c r="B56" s="582"/>
      <c r="C56" s="582"/>
      <c r="D56" s="603">
        <f>D53</f>
        <v>0</v>
      </c>
      <c r="E56" s="583"/>
      <c r="F56" s="583"/>
      <c r="G56" s="1837"/>
      <c r="H56" s="583"/>
      <c r="I56" s="583"/>
      <c r="J56" s="583"/>
      <c r="K56" s="583"/>
      <c r="L56" s="583"/>
      <c r="M56" s="583"/>
      <c r="N56" s="583"/>
      <c r="O56" s="583"/>
      <c r="P56" s="583"/>
      <c r="Q56" s="583"/>
      <c r="R56" s="583"/>
    </row>
    <row r="57" spans="1:18" ht="13.5">
      <c r="A57" s="606"/>
      <c r="B57" s="606"/>
      <c r="C57" s="606"/>
      <c r="D57" s="607"/>
      <c r="E57" s="607"/>
      <c r="F57" s="607"/>
      <c r="G57" s="1838"/>
      <c r="H57" s="607"/>
      <c r="I57" s="607"/>
      <c r="J57" s="607"/>
      <c r="K57" s="607"/>
      <c r="L57" s="583"/>
      <c r="M57" s="583"/>
      <c r="N57" s="583"/>
      <c r="O57" s="583"/>
      <c r="P57" s="583"/>
      <c r="Q57" s="583"/>
      <c r="R57" s="583"/>
    </row>
    <row r="58" spans="1:18" ht="15.75">
      <c r="A58" s="606"/>
      <c r="B58" s="606"/>
      <c r="C58" s="606"/>
      <c r="D58" s="607"/>
      <c r="E58" s="607"/>
      <c r="F58" s="607"/>
      <c r="G58" s="1838"/>
      <c r="H58" s="607"/>
      <c r="I58" s="607"/>
      <c r="J58" s="608"/>
      <c r="K58" s="607"/>
      <c r="L58" s="583"/>
      <c r="M58" s="583"/>
      <c r="N58" s="583"/>
      <c r="O58" s="583"/>
      <c r="P58" s="583"/>
      <c r="Q58" s="583"/>
      <c r="R58" s="583"/>
    </row>
    <row r="59" spans="1:18" ht="15.75">
      <c r="A59" s="606"/>
      <c r="B59" s="606"/>
      <c r="C59" s="606"/>
      <c r="D59" s="607"/>
      <c r="E59" s="607"/>
      <c r="F59" s="607"/>
      <c r="G59" s="1838"/>
      <c r="H59" s="607"/>
      <c r="I59" s="607"/>
      <c r="J59" s="608"/>
      <c r="K59" s="607"/>
      <c r="L59" s="583"/>
      <c r="M59" s="583"/>
      <c r="N59" s="583"/>
      <c r="O59" s="583"/>
      <c r="P59" s="583"/>
      <c r="Q59" s="583"/>
      <c r="R59" s="583"/>
    </row>
    <row r="60" spans="1:18" ht="13.5">
      <c r="A60" s="582">
        <v>6</v>
      </c>
      <c r="B60" s="582" t="s">
        <v>742</v>
      </c>
      <c r="C60" s="582" t="s">
        <v>718</v>
      </c>
      <c r="D60" s="589" t="s">
        <v>1296</v>
      </c>
      <c r="E60" s="583"/>
      <c r="F60" s="583"/>
      <c r="G60" s="1837"/>
      <c r="H60" s="583"/>
      <c r="I60" s="583"/>
      <c r="J60" s="583"/>
      <c r="K60" s="583"/>
      <c r="L60" s="583"/>
      <c r="M60" s="583"/>
      <c r="N60" s="583"/>
      <c r="O60" s="583"/>
      <c r="P60" s="583"/>
      <c r="Q60" s="583"/>
      <c r="R60" s="583"/>
    </row>
    <row r="61" spans="1:18" ht="13.5">
      <c r="A61" s="582"/>
      <c r="B61" s="582"/>
      <c r="C61" s="582"/>
      <c r="D61" s="609"/>
      <c r="E61" s="583" t="s">
        <v>773</v>
      </c>
      <c r="F61" s="583"/>
      <c r="G61" s="1835" t="s">
        <v>1288</v>
      </c>
      <c r="H61" s="583"/>
      <c r="I61" s="583"/>
      <c r="J61" s="424"/>
      <c r="K61" s="583"/>
      <c r="L61" s="583"/>
      <c r="M61" s="583"/>
      <c r="N61" s="583"/>
      <c r="O61" s="583"/>
      <c r="P61" s="583"/>
      <c r="Q61" s="583"/>
      <c r="R61" s="583"/>
    </row>
    <row r="62" spans="1:18" ht="13.5">
      <c r="A62" s="582"/>
      <c r="B62" s="582"/>
      <c r="C62" s="582"/>
      <c r="D62" s="610"/>
      <c r="E62" s="583"/>
      <c r="F62" s="583"/>
      <c r="G62" s="1839"/>
      <c r="H62" s="583"/>
      <c r="I62" s="583"/>
      <c r="J62" s="583"/>
      <c r="K62" s="583"/>
      <c r="L62" s="583"/>
      <c r="M62" s="583"/>
      <c r="N62" s="583"/>
      <c r="O62" s="583"/>
      <c r="P62" s="583"/>
      <c r="Q62" s="583"/>
      <c r="R62" s="583"/>
    </row>
    <row r="63" spans="1:18" ht="13.5">
      <c r="A63" s="582"/>
      <c r="B63" s="582"/>
      <c r="C63" s="582"/>
      <c r="D63" s="611"/>
      <c r="E63" s="583"/>
      <c r="F63" s="583"/>
      <c r="G63" s="1837"/>
      <c r="H63" s="583"/>
      <c r="I63" s="583"/>
      <c r="J63" s="583"/>
      <c r="K63" s="583"/>
      <c r="L63" s="583"/>
      <c r="M63" s="583"/>
      <c r="N63" s="583"/>
      <c r="O63" s="583"/>
      <c r="P63" s="583"/>
      <c r="Q63" s="583"/>
      <c r="R63" s="583"/>
    </row>
    <row r="64" spans="1:18" ht="13.5">
      <c r="A64" s="582"/>
      <c r="B64" s="582"/>
      <c r="C64" s="582"/>
      <c r="D64" s="583"/>
      <c r="E64" s="583"/>
      <c r="F64" s="583"/>
      <c r="G64" s="1837"/>
      <c r="H64" s="598"/>
      <c r="I64" s="583"/>
      <c r="J64" s="583"/>
      <c r="K64" s="583"/>
      <c r="L64" s="583"/>
      <c r="M64" s="583"/>
      <c r="N64" s="583"/>
      <c r="O64" s="583"/>
      <c r="P64" s="583"/>
      <c r="Q64" s="583"/>
      <c r="R64" s="583"/>
    </row>
    <row r="65" spans="1:18" ht="13.5">
      <c r="A65" s="582">
        <v>7</v>
      </c>
      <c r="B65" s="582" t="s">
        <v>742</v>
      </c>
      <c r="C65" s="582" t="s">
        <v>718</v>
      </c>
      <c r="D65" s="589" t="str">
        <f>+'6 - Est and True up'!D65</f>
        <v>Reconciliation</v>
      </c>
      <c r="E65" s="590"/>
      <c r="F65" s="590"/>
      <c r="G65" s="1840"/>
      <c r="H65" s="590"/>
      <c r="I65" s="590"/>
      <c r="J65" s="590"/>
      <c r="K65" s="583"/>
      <c r="L65" s="583"/>
      <c r="M65" s="583"/>
      <c r="N65" s="583"/>
      <c r="O65" s="583"/>
      <c r="P65" s="583"/>
      <c r="Q65" s="583"/>
      <c r="R65" s="583"/>
    </row>
    <row r="66" spans="1:18" ht="13.5">
      <c r="A66" s="582"/>
      <c r="B66" s="582"/>
      <c r="C66" s="582"/>
      <c r="D66" s="612"/>
      <c r="E66" s="613"/>
      <c r="F66" s="613"/>
      <c r="G66" s="1841"/>
      <c r="H66" s="590"/>
      <c r="I66" s="590"/>
      <c r="J66" s="590"/>
      <c r="K66" s="583"/>
      <c r="L66" s="583"/>
      <c r="M66" s="583"/>
      <c r="N66" s="583"/>
      <c r="O66" s="583"/>
      <c r="P66" s="583"/>
      <c r="Q66" s="583"/>
      <c r="R66" s="583"/>
    </row>
    <row r="67" spans="1:18" ht="13.5">
      <c r="A67" s="582"/>
      <c r="B67" s="583"/>
      <c r="C67" s="583"/>
      <c r="D67" s="424"/>
      <c r="E67" s="424"/>
      <c r="F67" s="424"/>
      <c r="G67" s="1842"/>
      <c r="H67" s="424"/>
      <c r="I67" s="424"/>
      <c r="J67" s="583"/>
      <c r="K67" s="583"/>
      <c r="L67" s="598"/>
      <c r="M67" s="583"/>
      <c r="N67" s="424"/>
      <c r="O67" s="583"/>
      <c r="P67" s="583"/>
      <c r="Q67" s="587"/>
      <c r="R67" s="628"/>
    </row>
    <row r="68" spans="1:18" ht="13.5">
      <c r="A68" s="582"/>
      <c r="B68" s="582"/>
      <c r="C68" s="582"/>
      <c r="D68" s="609">
        <f>D61</f>
        <v>0</v>
      </c>
      <c r="E68" s="615" t="s">
        <v>1102</v>
      </c>
      <c r="F68" s="583"/>
      <c r="G68" s="1835" t="s">
        <v>1288</v>
      </c>
      <c r="H68" s="583"/>
      <c r="I68" s="583"/>
      <c r="J68" s="583"/>
      <c r="K68" s="583"/>
      <c r="L68" s="598"/>
      <c r="M68" s="583"/>
      <c r="N68" s="424"/>
      <c r="O68" s="617"/>
      <c r="P68" s="618"/>
      <c r="Q68" s="618"/>
      <c r="R68" s="618"/>
    </row>
    <row r="69" spans="1:18" ht="13.5">
      <c r="A69" s="425"/>
      <c r="B69" s="582"/>
      <c r="C69" s="582"/>
      <c r="D69" s="424"/>
      <c r="E69" s="583" t="s">
        <v>1122</v>
      </c>
      <c r="F69" s="583"/>
      <c r="G69" s="587"/>
      <c r="H69" s="619"/>
      <c r="I69" s="587"/>
      <c r="J69" s="583"/>
      <c r="K69" s="583"/>
      <c r="L69" s="583"/>
      <c r="M69" s="583"/>
      <c r="N69" s="583"/>
      <c r="O69" s="583"/>
      <c r="P69" s="583"/>
      <c r="Q69" s="583"/>
      <c r="R69" s="583"/>
    </row>
    <row r="70" spans="1:18" ht="13.5">
      <c r="A70" s="582"/>
      <c r="B70" s="582"/>
      <c r="C70" s="582"/>
      <c r="D70" s="615"/>
      <c r="E70" s="583"/>
      <c r="F70" s="583"/>
      <c r="G70" s="587"/>
      <c r="H70" s="619"/>
      <c r="I70" s="587"/>
      <c r="J70" s="583"/>
      <c r="K70" s="583"/>
      <c r="L70" s="583"/>
      <c r="M70" s="583"/>
      <c r="N70" s="583"/>
      <c r="O70" s="583"/>
      <c r="P70" s="583"/>
      <c r="Q70" s="583"/>
      <c r="R70" s="583"/>
    </row>
    <row r="71" spans="1:18" ht="13.5">
      <c r="A71" s="425"/>
      <c r="B71" s="582"/>
      <c r="C71" s="582"/>
      <c r="D71" s="620">
        <v>0</v>
      </c>
      <c r="E71" s="583" t="s">
        <v>487</v>
      </c>
      <c r="F71" s="583"/>
      <c r="G71" s="587"/>
      <c r="H71" s="619"/>
      <c r="I71" s="587"/>
      <c r="J71" s="583"/>
      <c r="K71" s="583"/>
      <c r="L71" s="583"/>
      <c r="M71" s="583"/>
      <c r="N71" s="583"/>
      <c r="O71" s="583"/>
      <c r="P71" s="583"/>
      <c r="Q71" s="583"/>
      <c r="R71" s="583"/>
    </row>
    <row r="72" spans="1:18" ht="13.5">
      <c r="A72" s="425"/>
      <c r="B72" s="582"/>
      <c r="C72" s="582"/>
      <c r="D72" s="424"/>
      <c r="E72" s="583"/>
      <c r="F72" s="583"/>
      <c r="G72" s="587"/>
      <c r="H72" s="619"/>
      <c r="I72" s="587"/>
      <c r="J72" s="583"/>
      <c r="K72" s="583"/>
      <c r="L72" s="583"/>
      <c r="M72" s="583"/>
      <c r="N72" s="583"/>
      <c r="O72" s="583"/>
      <c r="P72" s="583"/>
      <c r="Q72" s="583"/>
      <c r="R72" s="583"/>
    </row>
    <row r="73" spans="1:18" ht="13.5">
      <c r="A73" s="582"/>
      <c r="B73" s="582"/>
      <c r="C73" s="582"/>
      <c r="D73" s="615"/>
      <c r="E73" s="583"/>
      <c r="F73" s="583"/>
      <c r="G73" s="587"/>
      <c r="H73" s="619"/>
      <c r="I73" s="587"/>
      <c r="J73" s="583"/>
      <c r="K73" s="583"/>
      <c r="L73" s="583"/>
      <c r="M73" s="583"/>
      <c r="N73" s="583"/>
      <c r="O73" s="583"/>
      <c r="P73" s="583"/>
      <c r="Q73" s="583"/>
      <c r="R73" s="583"/>
    </row>
    <row r="74" spans="1:18" ht="13.5">
      <c r="A74" s="582">
        <v>8</v>
      </c>
      <c r="B74" s="582" t="s">
        <v>742</v>
      </c>
      <c r="C74" s="582" t="s">
        <v>718</v>
      </c>
      <c r="D74" s="589" t="str">
        <f>+'6A-Colstrip'!D74</f>
        <v>True-Up Adjustment</v>
      </c>
      <c r="E74" s="583"/>
      <c r="F74" s="583"/>
      <c r="G74" s="583"/>
      <c r="H74" s="583"/>
      <c r="I74" s="583"/>
      <c r="J74" s="583"/>
      <c r="K74" s="583"/>
      <c r="L74" s="583"/>
      <c r="M74" s="583"/>
      <c r="N74" s="583"/>
      <c r="O74" s="583"/>
      <c r="P74" s="583"/>
      <c r="Q74" s="583"/>
      <c r="R74" s="583"/>
    </row>
    <row r="75" spans="1:18" ht="13.5">
      <c r="A75" s="582"/>
      <c r="B75" s="582"/>
      <c r="C75" s="582"/>
      <c r="D75" s="589"/>
      <c r="E75" s="583"/>
      <c r="F75" s="583"/>
      <c r="G75" s="583"/>
      <c r="H75" s="583"/>
      <c r="I75" s="583"/>
      <c r="J75" s="583"/>
      <c r="K75" s="583"/>
      <c r="L75" s="583"/>
      <c r="M75" s="583"/>
      <c r="N75" s="583"/>
      <c r="O75" s="583"/>
      <c r="P75" s="583"/>
      <c r="Q75" s="583"/>
      <c r="R75" s="583"/>
    </row>
    <row r="76" spans="1:18" ht="13.5">
      <c r="A76" s="585"/>
      <c r="B76" s="585"/>
      <c r="C76" s="582"/>
      <c r="D76" s="422" t="s">
        <v>1065</v>
      </c>
      <c r="E76" s="424"/>
      <c r="F76" s="424"/>
      <c r="G76" s="424"/>
      <c r="H76" s="424"/>
      <c r="I76" s="424"/>
      <c r="J76" s="424"/>
      <c r="K76" s="424"/>
      <c r="L76" s="583"/>
      <c r="M76" s="583"/>
      <c r="N76" s="583"/>
      <c r="O76" s="583"/>
      <c r="P76" s="583"/>
      <c r="Q76" s="583"/>
      <c r="R76" s="583"/>
    </row>
    <row r="77" spans="1:18" ht="13.5">
      <c r="A77" s="585"/>
      <c r="B77" s="585"/>
      <c r="C77" s="582"/>
      <c r="D77" s="424"/>
      <c r="E77" s="583" t="s">
        <v>1123</v>
      </c>
      <c r="F77" s="583"/>
      <c r="G77" s="583"/>
      <c r="H77" s="583"/>
      <c r="I77" s="583"/>
      <c r="J77" s="583"/>
      <c r="K77" s="424"/>
      <c r="L77" s="583"/>
      <c r="M77" s="583"/>
      <c r="N77" s="583"/>
      <c r="O77" s="583"/>
      <c r="P77" s="583"/>
      <c r="Q77" s="583"/>
      <c r="R77" s="583"/>
    </row>
    <row r="78" spans="1:18" ht="27">
      <c r="A78" s="585"/>
      <c r="B78" s="585"/>
      <c r="C78" s="582"/>
      <c r="D78" s="424"/>
      <c r="E78" s="842" t="s">
        <v>738</v>
      </c>
      <c r="F78" s="842" t="s">
        <v>1124</v>
      </c>
      <c r="G78" s="842" t="s">
        <v>1125</v>
      </c>
      <c r="H78" s="842" t="s">
        <v>1126</v>
      </c>
      <c r="I78" s="842" t="s">
        <v>1127</v>
      </c>
      <c r="J78" s="842" t="s">
        <v>1128</v>
      </c>
      <c r="K78" s="614"/>
      <c r="L78" s="583"/>
      <c r="M78" s="1822" t="s">
        <v>1300</v>
      </c>
      <c r="N78" s="635"/>
      <c r="O78" s="583"/>
      <c r="P78" s="583"/>
      <c r="Q78" s="583"/>
      <c r="R78" s="583"/>
    </row>
    <row r="79" spans="1:18" ht="13.5">
      <c r="A79" s="585"/>
      <c r="B79" s="585"/>
      <c r="C79" s="582"/>
      <c r="D79" s="424"/>
      <c r="E79" s="583" t="s">
        <v>745</v>
      </c>
      <c r="F79" s="858">
        <v>0.82579999999999998</v>
      </c>
      <c r="G79" s="621">
        <f>'WKSHT4 - Monthly Tx System Peak'!C34</f>
        <v>700</v>
      </c>
      <c r="H79" s="636">
        <f t="shared" ref="H79:H90" si="5">+F79*G79*1000</f>
        <v>578060</v>
      </c>
      <c r="I79" s="621">
        <v>0</v>
      </c>
      <c r="J79" s="636">
        <f t="shared" ref="J79:J90" si="6">+H79-I79</f>
        <v>578060</v>
      </c>
      <c r="K79" s="424"/>
      <c r="L79" s="583"/>
      <c r="M79" s="1378">
        <v>6755</v>
      </c>
      <c r="N79" s="621" t="s">
        <v>1416</v>
      </c>
      <c r="O79" s="583"/>
      <c r="P79" s="583"/>
      <c r="Q79" s="583"/>
      <c r="R79" s="583"/>
    </row>
    <row r="80" spans="1:18" ht="13.5">
      <c r="A80" s="585"/>
      <c r="B80" s="585"/>
      <c r="C80" s="582"/>
      <c r="D80" s="424"/>
      <c r="E80" s="583" t="s">
        <v>746</v>
      </c>
      <c r="F80" s="858">
        <f>F79</f>
        <v>0.82579999999999998</v>
      </c>
      <c r="G80" s="621">
        <f>'WKSHT4 - Monthly Tx System Peak'!C35</f>
        <v>700</v>
      </c>
      <c r="H80" s="636">
        <f t="shared" si="5"/>
        <v>578060</v>
      </c>
      <c r="I80" s="621">
        <v>0</v>
      </c>
      <c r="J80" s="636">
        <f t="shared" si="6"/>
        <v>578060</v>
      </c>
      <c r="K80" s="424"/>
      <c r="L80" s="583"/>
      <c r="M80" s="1847"/>
      <c r="N80" s="621"/>
      <c r="O80" s="583"/>
      <c r="P80" s="583"/>
      <c r="Q80" s="583"/>
      <c r="R80" s="583"/>
    </row>
    <row r="81" spans="1:18" ht="13.5">
      <c r="A81" s="585"/>
      <c r="B81" s="585"/>
      <c r="C81" s="582"/>
      <c r="D81" s="424"/>
      <c r="E81" s="583" t="s">
        <v>747</v>
      </c>
      <c r="F81" s="858">
        <f>F80</f>
        <v>0.82579999999999998</v>
      </c>
      <c r="G81" s="621">
        <f>'WKSHT4 - Monthly Tx System Peak'!C36</f>
        <v>400</v>
      </c>
      <c r="H81" s="636">
        <f t="shared" si="5"/>
        <v>330320</v>
      </c>
      <c r="I81" s="621">
        <v>0</v>
      </c>
      <c r="J81" s="636">
        <f t="shared" si="6"/>
        <v>330320</v>
      </c>
      <c r="K81" s="424"/>
      <c r="L81" s="583"/>
      <c r="M81" s="621"/>
      <c r="N81" s="621"/>
      <c r="O81" s="583"/>
      <c r="P81" s="583"/>
      <c r="Q81" s="583"/>
      <c r="R81" s="583"/>
    </row>
    <row r="82" spans="1:18" ht="13.5">
      <c r="A82" s="585"/>
      <c r="B82" s="585"/>
      <c r="C82" s="582"/>
      <c r="D82" s="424"/>
      <c r="E82" s="583" t="s">
        <v>748</v>
      </c>
      <c r="F82" s="858">
        <f>F81</f>
        <v>0.82579999999999998</v>
      </c>
      <c r="G82" s="621">
        <f>'WKSHT4 - Monthly Tx System Peak'!C38</f>
        <v>400</v>
      </c>
      <c r="H82" s="636">
        <f t="shared" si="5"/>
        <v>330320</v>
      </c>
      <c r="I82" s="621">
        <v>0</v>
      </c>
      <c r="J82" s="636">
        <f t="shared" si="6"/>
        <v>330320</v>
      </c>
      <c r="K82" s="424"/>
      <c r="L82" s="583"/>
      <c r="M82" s="621"/>
      <c r="N82" s="621"/>
      <c r="O82" s="583"/>
      <c r="P82" s="583"/>
      <c r="Q82" s="583"/>
      <c r="R82" s="583"/>
    </row>
    <row r="83" spans="1:18" ht="13.5">
      <c r="A83" s="585"/>
      <c r="B83" s="585"/>
      <c r="C83" s="582"/>
      <c r="D83" s="424"/>
      <c r="E83" s="583" t="s">
        <v>743</v>
      </c>
      <c r="F83" s="858">
        <f>F82</f>
        <v>0.82579999999999998</v>
      </c>
      <c r="G83" s="621">
        <f>'WKSHT4 - Monthly Tx System Peak'!C39</f>
        <v>400</v>
      </c>
      <c r="H83" s="636">
        <f t="shared" si="5"/>
        <v>330320</v>
      </c>
      <c r="I83" s="621">
        <v>0</v>
      </c>
      <c r="J83" s="636">
        <f t="shared" si="6"/>
        <v>330320</v>
      </c>
      <c r="K83" s="424"/>
      <c r="L83" s="583"/>
      <c r="M83" s="621"/>
      <c r="N83" s="621"/>
      <c r="O83" s="583"/>
      <c r="P83" s="583"/>
      <c r="Q83" s="583"/>
      <c r="R83" s="583"/>
    </row>
    <row r="84" spans="1:18" ht="15.75">
      <c r="A84" s="585"/>
      <c r="B84" s="585"/>
      <c r="C84" s="582"/>
      <c r="D84" s="424"/>
      <c r="E84" s="583" t="s">
        <v>749</v>
      </c>
      <c r="F84" s="858">
        <v>1.0931067276093223</v>
      </c>
      <c r="G84" s="621">
        <f>'WKSHT4 - Monthly Tx System Peak'!C40</f>
        <v>700</v>
      </c>
      <c r="H84" s="636">
        <f t="shared" si="5"/>
        <v>765174.70932652557</v>
      </c>
      <c r="I84" s="1378">
        <f>-146219/12</f>
        <v>-12184.916666666666</v>
      </c>
      <c r="J84" s="636">
        <f t="shared" si="6"/>
        <v>777359.6259931922</v>
      </c>
      <c r="K84" s="424"/>
      <c r="L84" s="583"/>
      <c r="M84" s="1823">
        <f>SUM(M79:M83)</f>
        <v>6755</v>
      </c>
      <c r="N84" s="587" t="s">
        <v>1301</v>
      </c>
      <c r="O84" s="583"/>
      <c r="P84" s="583"/>
      <c r="Q84" s="583"/>
      <c r="R84" s="583"/>
    </row>
    <row r="85" spans="1:18" ht="13.5">
      <c r="A85" s="585"/>
      <c r="B85" s="585"/>
      <c r="C85" s="582"/>
      <c r="D85" s="424"/>
      <c r="E85" s="583" t="s">
        <v>750</v>
      </c>
      <c r="F85" s="858">
        <f t="shared" ref="F85:F90" si="7">F84</f>
        <v>1.0931067276093223</v>
      </c>
      <c r="G85" s="621">
        <f>'WKSHT4 - Monthly Tx System Peak'!C42</f>
        <v>700</v>
      </c>
      <c r="H85" s="636">
        <f t="shared" si="5"/>
        <v>765174.70932652557</v>
      </c>
      <c r="I85" s="1378">
        <f t="shared" ref="I85:I90" si="8">I84</f>
        <v>-12184.916666666666</v>
      </c>
      <c r="J85" s="636">
        <f t="shared" si="6"/>
        <v>777359.6259931922</v>
      </c>
      <c r="K85" s="424"/>
      <c r="L85" s="583"/>
      <c r="M85" s="583"/>
      <c r="N85" s="583"/>
      <c r="O85" s="583"/>
      <c r="P85" s="583"/>
      <c r="Q85" s="583"/>
      <c r="R85" s="583"/>
    </row>
    <row r="86" spans="1:18" ht="13.5">
      <c r="A86" s="585"/>
      <c r="B86" s="585"/>
      <c r="C86" s="582"/>
      <c r="D86" s="424"/>
      <c r="E86" s="583" t="s">
        <v>751</v>
      </c>
      <c r="F86" s="858">
        <f t="shared" si="7"/>
        <v>1.0931067276093223</v>
      </c>
      <c r="G86" s="621">
        <f>'WKSHT4 - Monthly Tx System Peak'!C43</f>
        <v>700</v>
      </c>
      <c r="H86" s="636">
        <f t="shared" si="5"/>
        <v>765174.70932652557</v>
      </c>
      <c r="I86" s="1378">
        <f t="shared" si="8"/>
        <v>-12184.916666666666</v>
      </c>
      <c r="J86" s="636">
        <f t="shared" si="6"/>
        <v>777359.6259931922</v>
      </c>
      <c r="K86" s="424"/>
      <c r="L86" s="583"/>
      <c r="M86" s="583"/>
      <c r="N86" s="583"/>
      <c r="O86" s="583"/>
      <c r="P86" s="583"/>
      <c r="Q86" s="583"/>
      <c r="R86" s="583"/>
    </row>
    <row r="87" spans="1:18" ht="13.5">
      <c r="A87" s="585"/>
      <c r="B87" s="585"/>
      <c r="C87" s="582"/>
      <c r="D87" s="424"/>
      <c r="E87" s="583" t="s">
        <v>752</v>
      </c>
      <c r="F87" s="858">
        <f t="shared" si="7"/>
        <v>1.0931067276093223</v>
      </c>
      <c r="G87" s="621">
        <f>'WKSHT4 - Monthly Tx System Peak'!C44</f>
        <v>700</v>
      </c>
      <c r="H87" s="636">
        <f t="shared" si="5"/>
        <v>765174.70932652557</v>
      </c>
      <c r="I87" s="1378">
        <f t="shared" si="8"/>
        <v>-12184.916666666666</v>
      </c>
      <c r="J87" s="636">
        <f t="shared" si="6"/>
        <v>777359.6259931922</v>
      </c>
      <c r="K87" s="424"/>
      <c r="L87" s="583"/>
      <c r="M87" s="583"/>
      <c r="N87" s="583"/>
      <c r="O87" s="583"/>
      <c r="P87" s="583"/>
      <c r="Q87" s="583"/>
      <c r="R87" s="583"/>
    </row>
    <row r="88" spans="1:18" ht="13.5">
      <c r="A88" s="585"/>
      <c r="B88" s="585"/>
      <c r="C88" s="582"/>
      <c r="D88" s="424"/>
      <c r="E88" s="583" t="s">
        <v>753</v>
      </c>
      <c r="F88" s="858">
        <f t="shared" si="7"/>
        <v>1.0931067276093223</v>
      </c>
      <c r="G88" s="621">
        <f>'WKSHT4 - Monthly Tx System Peak'!C46</f>
        <v>400</v>
      </c>
      <c r="H88" s="636">
        <f t="shared" si="5"/>
        <v>437242.6910437289</v>
      </c>
      <c r="I88" s="1378">
        <f t="shared" si="8"/>
        <v>-12184.916666666666</v>
      </c>
      <c r="J88" s="636">
        <f t="shared" si="6"/>
        <v>449427.60771039559</v>
      </c>
      <c r="K88" s="424"/>
      <c r="L88" s="583"/>
      <c r="M88" s="583"/>
      <c r="N88" s="583"/>
      <c r="O88" s="583"/>
      <c r="P88" s="583"/>
      <c r="Q88" s="583"/>
      <c r="R88" s="583"/>
    </row>
    <row r="89" spans="1:18" ht="13.5">
      <c r="A89" s="585"/>
      <c r="B89" s="585"/>
      <c r="C89" s="582"/>
      <c r="D89" s="424"/>
      <c r="E89" s="583" t="s">
        <v>754</v>
      </c>
      <c r="F89" s="858">
        <f t="shared" si="7"/>
        <v>1.0931067276093223</v>
      </c>
      <c r="G89" s="621">
        <f>'WKSHT4 - Monthly Tx System Peak'!C47</f>
        <v>700</v>
      </c>
      <c r="H89" s="636">
        <f t="shared" si="5"/>
        <v>765174.70932652557</v>
      </c>
      <c r="I89" s="1378">
        <f t="shared" si="8"/>
        <v>-12184.916666666666</v>
      </c>
      <c r="J89" s="636">
        <f t="shared" si="6"/>
        <v>777359.6259931922</v>
      </c>
      <c r="K89" s="424"/>
      <c r="L89" s="583"/>
      <c r="M89" s="583"/>
      <c r="N89" s="583"/>
      <c r="O89" s="583"/>
      <c r="P89" s="583"/>
      <c r="Q89" s="583"/>
      <c r="R89" s="583"/>
    </row>
    <row r="90" spans="1:18" ht="13.5">
      <c r="A90" s="585"/>
      <c r="B90" s="585"/>
      <c r="C90" s="582"/>
      <c r="D90" s="424"/>
      <c r="E90" s="583" t="s">
        <v>755</v>
      </c>
      <c r="F90" s="858">
        <f t="shared" si="7"/>
        <v>1.0931067276093223</v>
      </c>
      <c r="G90" s="621">
        <f>'WKSHT4 - Monthly Tx System Peak'!C48</f>
        <v>700</v>
      </c>
      <c r="H90" s="636">
        <f t="shared" si="5"/>
        <v>765174.70932652557</v>
      </c>
      <c r="I90" s="1378">
        <f t="shared" si="8"/>
        <v>-12184.916666666666</v>
      </c>
      <c r="J90" s="636">
        <f t="shared" si="6"/>
        <v>777359.6259931922</v>
      </c>
      <c r="K90" s="424"/>
      <c r="L90" s="583"/>
      <c r="M90" s="583"/>
      <c r="N90" s="583"/>
      <c r="O90" s="583"/>
      <c r="P90" s="583"/>
      <c r="Q90" s="583"/>
      <c r="R90" s="583"/>
    </row>
    <row r="91" spans="1:18" ht="13.5">
      <c r="A91" s="585"/>
      <c r="B91" s="585"/>
      <c r="C91" s="582"/>
      <c r="D91" s="583"/>
      <c r="E91" s="583" t="s">
        <v>1129</v>
      </c>
      <c r="F91" s="622"/>
      <c r="G91" s="622"/>
      <c r="H91" s="622"/>
      <c r="I91" s="622"/>
      <c r="J91" s="622">
        <f>SUM(J79:J90)</f>
        <v>7260665.3636695491</v>
      </c>
      <c r="K91" s="424"/>
      <c r="L91" s="583"/>
      <c r="M91" s="583"/>
      <c r="N91" s="583"/>
      <c r="O91" s="583"/>
      <c r="P91" s="583"/>
      <c r="Q91" s="583"/>
      <c r="R91" s="583"/>
    </row>
    <row r="92" spans="1:18" ht="13.5">
      <c r="A92" s="585"/>
      <c r="B92" s="585"/>
      <c r="C92" s="582"/>
      <c r="D92" s="583"/>
      <c r="E92" s="622"/>
      <c r="F92" s="622"/>
      <c r="G92" s="622"/>
      <c r="H92" s="622"/>
      <c r="I92" s="622"/>
      <c r="J92" s="424"/>
      <c r="K92" s="424"/>
      <c r="L92" s="583"/>
      <c r="M92" s="583"/>
      <c r="N92" s="583"/>
      <c r="O92" s="583"/>
      <c r="P92" s="583"/>
      <c r="Q92" s="583"/>
      <c r="R92" s="583"/>
    </row>
    <row r="93" spans="1:18" ht="13.5">
      <c r="A93" s="585"/>
      <c r="B93" s="585"/>
      <c r="C93" s="582"/>
      <c r="D93" s="589"/>
      <c r="E93" s="583"/>
      <c r="F93" s="424"/>
      <c r="G93" s="583"/>
      <c r="H93" s="583"/>
      <c r="I93" s="583"/>
      <c r="J93" s="583"/>
      <c r="K93" s="583"/>
      <c r="L93" s="583"/>
      <c r="M93" s="583"/>
      <c r="N93" s="583"/>
      <c r="O93" s="583"/>
      <c r="P93" s="583"/>
      <c r="Q93" s="583"/>
      <c r="R93" s="583"/>
    </row>
    <row r="94" spans="1:18" ht="31.5">
      <c r="A94" s="585"/>
      <c r="B94" s="585"/>
      <c r="C94" s="582"/>
      <c r="D94" s="1824" t="s">
        <v>1130</v>
      </c>
      <c r="E94" s="1848"/>
      <c r="F94" s="1848" t="s">
        <v>1105</v>
      </c>
      <c r="G94" s="583"/>
      <c r="H94" s="1826" t="s">
        <v>1302</v>
      </c>
      <c r="I94" s="176"/>
      <c r="J94" s="1827" t="s">
        <v>1303</v>
      </c>
      <c r="K94" s="185"/>
      <c r="L94" s="1828" t="s">
        <v>1304</v>
      </c>
      <c r="M94" s="583"/>
      <c r="N94" s="583"/>
      <c r="O94" s="583"/>
      <c r="P94" s="583"/>
      <c r="Q94" s="583"/>
      <c r="R94" s="583"/>
    </row>
    <row r="95" spans="1:18" ht="13.5">
      <c r="A95" s="585"/>
      <c r="B95" s="585"/>
      <c r="C95" s="589" t="s">
        <v>1131</v>
      </c>
      <c r="D95" s="619">
        <f>D68</f>
        <v>0</v>
      </c>
      <c r="E95" s="582" t="s">
        <v>488</v>
      </c>
      <c r="F95" s="619">
        <f>J91</f>
        <v>7260665.3636695491</v>
      </c>
      <c r="G95" s="582" t="s">
        <v>489</v>
      </c>
      <c r="H95" s="598">
        <f>D95-F95</f>
        <v>-7260665.3636695491</v>
      </c>
      <c r="I95" s="582" t="s">
        <v>488</v>
      </c>
      <c r="J95" s="1843">
        <f>M84</f>
        <v>6755</v>
      </c>
      <c r="K95" s="582" t="s">
        <v>489</v>
      </c>
      <c r="L95" s="1803">
        <f>H95-J95</f>
        <v>-7267420.3636695491</v>
      </c>
      <c r="M95" s="183"/>
      <c r="N95" s="583"/>
      <c r="O95" s="583"/>
      <c r="P95" s="583"/>
      <c r="Q95" s="583"/>
      <c r="R95" s="583"/>
    </row>
    <row r="96" spans="1:18" ht="15.75">
      <c r="A96" s="582"/>
      <c r="B96" s="582"/>
      <c r="C96" s="582"/>
      <c r="D96" s="623"/>
      <c r="E96" s="582"/>
      <c r="F96" s="598"/>
      <c r="G96" s="582"/>
      <c r="H96" s="598"/>
      <c r="I96" s="583"/>
      <c r="J96" s="176"/>
      <c r="K96" s="12"/>
      <c r="L96" s="12"/>
      <c r="M96" s="183"/>
      <c r="N96" s="583"/>
      <c r="O96" s="583"/>
      <c r="P96" s="583"/>
      <c r="Q96" s="583"/>
      <c r="R96" s="583"/>
    </row>
    <row r="97" spans="1:18" ht="15.75">
      <c r="A97" s="582"/>
      <c r="B97" s="582"/>
      <c r="C97" s="582"/>
      <c r="D97" s="623"/>
      <c r="E97" s="582"/>
      <c r="F97" s="598"/>
      <c r="G97" s="582"/>
      <c r="H97" s="598"/>
      <c r="I97" s="583"/>
      <c r="J97" s="176"/>
      <c r="K97" s="12"/>
      <c r="L97" s="12"/>
      <c r="M97" s="183"/>
      <c r="N97" s="583"/>
      <c r="O97" s="583"/>
      <c r="P97" s="583"/>
      <c r="Q97" s="583"/>
      <c r="R97" s="583"/>
    </row>
    <row r="98" spans="1:18" ht="15.75">
      <c r="A98" s="582"/>
      <c r="B98" s="582"/>
      <c r="C98" s="582"/>
      <c r="D98" s="1350" t="s">
        <v>756</v>
      </c>
      <c r="E98" s="585"/>
      <c r="F98" s="619"/>
      <c r="G98" s="582"/>
      <c r="H98" s="598"/>
      <c r="I98" s="583"/>
      <c r="J98" s="176"/>
      <c r="K98" s="12"/>
      <c r="L98" s="12"/>
      <c r="M98" s="183"/>
      <c r="N98" s="583"/>
      <c r="O98" s="583"/>
      <c r="P98" s="583"/>
      <c r="Q98" s="583"/>
      <c r="R98" s="583"/>
    </row>
    <row r="99" spans="1:18" ht="15.75">
      <c r="A99" s="582"/>
      <c r="B99" s="582"/>
      <c r="C99" s="582"/>
      <c r="D99" s="1947" t="s">
        <v>1132</v>
      </c>
      <c r="E99" s="1947"/>
      <c r="F99" s="176">
        <f>'6 - Est and True up'!F119</f>
        <v>2.8999999999999998E-3</v>
      </c>
      <c r="G99" s="585"/>
      <c r="H99" s="619"/>
      <c r="I99" s="583"/>
      <c r="J99" s="176"/>
      <c r="K99" s="12"/>
      <c r="L99" s="12"/>
      <c r="M99" s="183"/>
      <c r="N99" s="583"/>
      <c r="O99" s="583"/>
      <c r="P99" s="583"/>
      <c r="Q99" s="583"/>
      <c r="R99" s="583"/>
    </row>
    <row r="100" spans="1:18" ht="13.5">
      <c r="A100" s="582"/>
      <c r="B100" s="582"/>
      <c r="C100" s="582"/>
      <c r="D100" s="616" t="s">
        <v>738</v>
      </c>
      <c r="E100" s="582" t="s">
        <v>757</v>
      </c>
      <c r="F100" s="585" t="s">
        <v>1133</v>
      </c>
      <c r="G100" s="1800" t="s">
        <v>1134</v>
      </c>
      <c r="H100" s="585"/>
      <c r="I100" s="616" t="s">
        <v>758</v>
      </c>
      <c r="J100" s="586" t="s">
        <v>1135</v>
      </c>
      <c r="K100" s="583"/>
      <c r="L100" s="583"/>
      <c r="M100" s="583"/>
      <c r="N100" s="583"/>
      <c r="O100" s="583"/>
      <c r="P100" s="583"/>
      <c r="Q100" s="583"/>
      <c r="R100" s="583"/>
    </row>
    <row r="101" spans="1:18" ht="13.5">
      <c r="A101" s="582"/>
      <c r="B101" s="582"/>
      <c r="C101" s="582"/>
      <c r="D101" s="582"/>
      <c r="E101" s="582"/>
      <c r="F101" s="585" t="s">
        <v>1136</v>
      </c>
      <c r="G101" s="585" t="s">
        <v>1137</v>
      </c>
      <c r="H101" s="585" t="s">
        <v>759</v>
      </c>
      <c r="I101" s="582"/>
      <c r="J101" s="582"/>
      <c r="K101" s="583" t="s">
        <v>1138</v>
      </c>
      <c r="L101" s="583"/>
      <c r="M101" s="583"/>
      <c r="N101" s="583"/>
      <c r="O101" s="583"/>
      <c r="P101" s="583"/>
      <c r="Q101" s="583"/>
      <c r="R101" s="583"/>
    </row>
    <row r="102" spans="1:18" ht="13.5">
      <c r="A102" s="582"/>
      <c r="B102" s="582"/>
      <c r="C102" s="582"/>
      <c r="D102" s="583" t="s">
        <v>745</v>
      </c>
      <c r="E102" s="583" t="s">
        <v>427</v>
      </c>
      <c r="F102" s="1801">
        <f>L95/12</f>
        <v>-605618.36363912909</v>
      </c>
      <c r="G102" s="1796">
        <f>+F99</f>
        <v>2.8999999999999998E-3</v>
      </c>
      <c r="H102" s="587">
        <v>12</v>
      </c>
      <c r="I102" s="593">
        <f>+F102*G102*H102</f>
        <v>-21075.519054641692</v>
      </c>
      <c r="J102" s="593">
        <f>+F102+I102</f>
        <v>-626693.88269377081</v>
      </c>
      <c r="K102" s="583" t="s">
        <v>1139</v>
      </c>
      <c r="L102" s="583"/>
      <c r="M102" s="583"/>
      <c r="N102" s="583"/>
      <c r="O102" s="583"/>
      <c r="P102" s="583"/>
      <c r="Q102" s="583"/>
      <c r="R102" s="583"/>
    </row>
    <row r="103" spans="1:18" ht="13.5">
      <c r="A103" s="582"/>
      <c r="B103" s="582"/>
      <c r="C103" s="582"/>
      <c r="D103" s="583" t="s">
        <v>746</v>
      </c>
      <c r="E103" s="583" t="s">
        <v>427</v>
      </c>
      <c r="F103" s="619">
        <f t="shared" ref="F103:G113" si="9">+F102</f>
        <v>-605618.36363912909</v>
      </c>
      <c r="G103" s="1797">
        <f>+G102</f>
        <v>2.8999999999999998E-3</v>
      </c>
      <c r="H103" s="587">
        <v>11</v>
      </c>
      <c r="I103" s="593">
        <f t="shared" ref="I103:I113" si="10">+F103*G103*H103</f>
        <v>-19319.225800088218</v>
      </c>
      <c r="J103" s="593">
        <f t="shared" ref="J103:J113" si="11">+F103+I103</f>
        <v>-624937.58943921735</v>
      </c>
      <c r="K103" s="583" t="s">
        <v>1140</v>
      </c>
      <c r="L103" s="583"/>
      <c r="M103" s="583"/>
      <c r="N103" s="583"/>
      <c r="O103" s="583"/>
      <c r="P103" s="583"/>
      <c r="Q103" s="583"/>
      <c r="R103" s="583"/>
    </row>
    <row r="104" spans="1:18" ht="13.5">
      <c r="A104" s="582"/>
      <c r="B104" s="582"/>
      <c r="C104" s="582"/>
      <c r="D104" s="583" t="s">
        <v>747</v>
      </c>
      <c r="E104" s="583" t="s">
        <v>427</v>
      </c>
      <c r="F104" s="619">
        <f t="shared" si="9"/>
        <v>-605618.36363912909</v>
      </c>
      <c r="G104" s="1797">
        <f t="shared" si="9"/>
        <v>2.8999999999999998E-3</v>
      </c>
      <c r="H104" s="587">
        <v>10</v>
      </c>
      <c r="I104" s="593">
        <f t="shared" si="10"/>
        <v>-17562.932545534743</v>
      </c>
      <c r="J104" s="593">
        <f t="shared" si="11"/>
        <v>-623181.29618466389</v>
      </c>
      <c r="K104" s="583"/>
      <c r="L104" s="583"/>
      <c r="M104" s="583"/>
      <c r="N104" s="583"/>
      <c r="O104" s="583"/>
      <c r="P104" s="583"/>
      <c r="Q104" s="583"/>
      <c r="R104" s="583"/>
    </row>
    <row r="105" spans="1:18" ht="13.5">
      <c r="A105" s="582"/>
      <c r="B105" s="582"/>
      <c r="C105" s="582"/>
      <c r="D105" s="583" t="s">
        <v>748</v>
      </c>
      <c r="E105" s="583" t="s">
        <v>427</v>
      </c>
      <c r="F105" s="619">
        <f t="shared" si="9"/>
        <v>-605618.36363912909</v>
      </c>
      <c r="G105" s="1797">
        <f t="shared" si="9"/>
        <v>2.8999999999999998E-3</v>
      </c>
      <c r="H105" s="587">
        <v>9</v>
      </c>
      <c r="I105" s="593">
        <f t="shared" si="10"/>
        <v>-15806.639290981269</v>
      </c>
      <c r="J105" s="593">
        <f t="shared" si="11"/>
        <v>-621425.00293011032</v>
      </c>
      <c r="K105" s="583"/>
      <c r="L105" s="583"/>
      <c r="M105" s="583"/>
      <c r="N105" s="583"/>
      <c r="O105" s="583"/>
      <c r="P105" s="583"/>
      <c r="Q105" s="583"/>
      <c r="R105" s="583"/>
    </row>
    <row r="106" spans="1:18" ht="13.5">
      <c r="A106" s="582"/>
      <c r="B106" s="582"/>
      <c r="C106" s="582"/>
      <c r="D106" s="583" t="s">
        <v>743</v>
      </c>
      <c r="E106" s="583" t="s">
        <v>427</v>
      </c>
      <c r="F106" s="619">
        <f t="shared" si="9"/>
        <v>-605618.36363912909</v>
      </c>
      <c r="G106" s="1797">
        <f t="shared" si="9"/>
        <v>2.8999999999999998E-3</v>
      </c>
      <c r="H106" s="587">
        <v>8</v>
      </c>
      <c r="I106" s="593">
        <f t="shared" si="10"/>
        <v>-14050.346036427794</v>
      </c>
      <c r="J106" s="593">
        <f t="shared" si="11"/>
        <v>-619668.70967555686</v>
      </c>
      <c r="K106" s="583"/>
      <c r="L106" s="583"/>
      <c r="M106" s="583"/>
      <c r="N106" s="583"/>
      <c r="O106" s="583"/>
      <c r="P106" s="583"/>
      <c r="Q106" s="583"/>
      <c r="R106" s="583"/>
    </row>
    <row r="107" spans="1:18" ht="13.5">
      <c r="A107" s="582"/>
      <c r="B107" s="582"/>
      <c r="C107" s="582"/>
      <c r="D107" s="583" t="s">
        <v>749</v>
      </c>
      <c r="E107" s="583" t="s">
        <v>427</v>
      </c>
      <c r="F107" s="619">
        <f t="shared" si="9"/>
        <v>-605618.36363912909</v>
      </c>
      <c r="G107" s="1797">
        <f t="shared" si="9"/>
        <v>2.8999999999999998E-3</v>
      </c>
      <c r="H107" s="587">
        <v>7</v>
      </c>
      <c r="I107" s="593">
        <f t="shared" si="10"/>
        <v>-12294.052781874319</v>
      </c>
      <c r="J107" s="593">
        <f t="shared" si="11"/>
        <v>-617912.41642100341</v>
      </c>
      <c r="K107" s="583"/>
      <c r="L107" s="583"/>
      <c r="M107" s="583"/>
      <c r="N107" s="583"/>
      <c r="O107" s="583"/>
      <c r="P107" s="583"/>
      <c r="Q107" s="583"/>
      <c r="R107" s="583"/>
    </row>
    <row r="108" spans="1:18" ht="13.5">
      <c r="A108" s="582"/>
      <c r="B108" s="582"/>
      <c r="C108" s="582"/>
      <c r="D108" s="583" t="s">
        <v>750</v>
      </c>
      <c r="E108" s="583" t="s">
        <v>427</v>
      </c>
      <c r="F108" s="619">
        <f t="shared" si="9"/>
        <v>-605618.36363912909</v>
      </c>
      <c r="G108" s="1797">
        <f t="shared" si="9"/>
        <v>2.8999999999999998E-3</v>
      </c>
      <c r="H108" s="587">
        <v>6</v>
      </c>
      <c r="I108" s="593">
        <f t="shared" si="10"/>
        <v>-10537.759527320846</v>
      </c>
      <c r="J108" s="593">
        <f t="shared" si="11"/>
        <v>-616156.12316644995</v>
      </c>
      <c r="K108" s="583"/>
      <c r="L108" s="583"/>
      <c r="M108" s="583"/>
      <c r="N108" s="583"/>
      <c r="O108" s="583"/>
      <c r="P108" s="583"/>
      <c r="Q108" s="583"/>
      <c r="R108" s="583"/>
    </row>
    <row r="109" spans="1:18" ht="13.5">
      <c r="A109" s="582"/>
      <c r="B109" s="582"/>
      <c r="C109" s="582"/>
      <c r="D109" s="583" t="s">
        <v>751</v>
      </c>
      <c r="E109" s="583" t="s">
        <v>717</v>
      </c>
      <c r="F109" s="619">
        <f t="shared" si="9"/>
        <v>-605618.36363912909</v>
      </c>
      <c r="G109" s="1797">
        <f t="shared" si="9"/>
        <v>2.8999999999999998E-3</v>
      </c>
      <c r="H109" s="587">
        <v>5</v>
      </c>
      <c r="I109" s="593">
        <f t="shared" si="10"/>
        <v>-8781.4662727673713</v>
      </c>
      <c r="J109" s="593">
        <f t="shared" si="11"/>
        <v>-614399.82991189649</v>
      </c>
      <c r="K109" s="583"/>
      <c r="L109" s="583"/>
      <c r="M109" s="583"/>
      <c r="N109" s="583"/>
      <c r="O109" s="583"/>
      <c r="P109" s="583"/>
      <c r="Q109" s="583"/>
      <c r="R109" s="583"/>
    </row>
    <row r="110" spans="1:18" ht="13.5">
      <c r="A110" s="582"/>
      <c r="B110" s="582"/>
      <c r="C110" s="582"/>
      <c r="D110" s="583" t="s">
        <v>752</v>
      </c>
      <c r="E110" s="583" t="s">
        <v>717</v>
      </c>
      <c r="F110" s="619">
        <f t="shared" si="9"/>
        <v>-605618.36363912909</v>
      </c>
      <c r="G110" s="1797">
        <f t="shared" si="9"/>
        <v>2.8999999999999998E-3</v>
      </c>
      <c r="H110" s="587">
        <v>4</v>
      </c>
      <c r="I110" s="593">
        <f t="shared" si="10"/>
        <v>-7025.1730182138972</v>
      </c>
      <c r="J110" s="593">
        <f t="shared" si="11"/>
        <v>-612643.53665734304</v>
      </c>
      <c r="K110" s="583"/>
      <c r="L110" s="583"/>
      <c r="M110" s="583"/>
      <c r="N110" s="583"/>
      <c r="O110" s="583"/>
      <c r="P110" s="583"/>
      <c r="Q110" s="583"/>
      <c r="R110" s="583"/>
    </row>
    <row r="111" spans="1:18" ht="13.5">
      <c r="A111" s="582"/>
      <c r="B111" s="582"/>
      <c r="C111" s="582"/>
      <c r="D111" s="583" t="s">
        <v>753</v>
      </c>
      <c r="E111" s="583" t="s">
        <v>717</v>
      </c>
      <c r="F111" s="619">
        <f t="shared" si="9"/>
        <v>-605618.36363912909</v>
      </c>
      <c r="G111" s="1797">
        <f t="shared" si="9"/>
        <v>2.8999999999999998E-3</v>
      </c>
      <c r="H111" s="587">
        <v>3</v>
      </c>
      <c r="I111" s="593">
        <f t="shared" si="10"/>
        <v>-5268.8797636604231</v>
      </c>
      <c r="J111" s="593">
        <f t="shared" si="11"/>
        <v>-610887.24340278946</v>
      </c>
      <c r="K111" s="583"/>
      <c r="L111" s="583"/>
      <c r="M111" s="583"/>
      <c r="N111" s="583"/>
      <c r="O111" s="583"/>
      <c r="P111" s="583"/>
      <c r="Q111" s="583"/>
      <c r="R111" s="583"/>
    </row>
    <row r="112" spans="1:18" ht="13.5">
      <c r="A112" s="582"/>
      <c r="B112" s="582"/>
      <c r="C112" s="582"/>
      <c r="D112" s="583" t="s">
        <v>754</v>
      </c>
      <c r="E112" s="583" t="s">
        <v>717</v>
      </c>
      <c r="F112" s="619">
        <f t="shared" si="9"/>
        <v>-605618.36363912909</v>
      </c>
      <c r="G112" s="1797">
        <f t="shared" si="9"/>
        <v>2.8999999999999998E-3</v>
      </c>
      <c r="H112" s="587">
        <v>2</v>
      </c>
      <c r="I112" s="593">
        <f t="shared" si="10"/>
        <v>-3512.5865091069486</v>
      </c>
      <c r="J112" s="593">
        <f t="shared" si="11"/>
        <v>-609130.95014823601</v>
      </c>
      <c r="K112" s="583"/>
      <c r="L112" s="583"/>
      <c r="M112" s="583"/>
      <c r="N112" s="583"/>
      <c r="O112" s="583"/>
      <c r="P112" s="583"/>
      <c r="Q112" s="583"/>
      <c r="R112" s="583"/>
    </row>
    <row r="113" spans="1:18" ht="13.5">
      <c r="A113" s="582"/>
      <c r="B113" s="582"/>
      <c r="C113" s="582"/>
      <c r="D113" s="583" t="s">
        <v>755</v>
      </c>
      <c r="E113" s="583" t="s">
        <v>717</v>
      </c>
      <c r="F113" s="619">
        <f t="shared" si="9"/>
        <v>-605618.36363912909</v>
      </c>
      <c r="G113" s="1797">
        <f t="shared" si="9"/>
        <v>2.8999999999999998E-3</v>
      </c>
      <c r="H113" s="587">
        <v>1</v>
      </c>
      <c r="I113" s="593">
        <f t="shared" si="10"/>
        <v>-1756.2932545534743</v>
      </c>
      <c r="J113" s="593">
        <f t="shared" si="11"/>
        <v>-607374.65689368255</v>
      </c>
      <c r="K113" s="583"/>
      <c r="L113" s="583"/>
      <c r="M113" s="583"/>
      <c r="N113" s="583"/>
      <c r="O113" s="583"/>
      <c r="P113" s="583"/>
      <c r="Q113" s="583"/>
      <c r="R113" s="583"/>
    </row>
    <row r="114" spans="1:18" ht="13.5">
      <c r="A114" s="582"/>
      <c r="B114" s="582"/>
      <c r="C114" s="582"/>
      <c r="D114" s="583" t="s">
        <v>972</v>
      </c>
      <c r="E114" s="583"/>
      <c r="F114" s="619">
        <v>0</v>
      </c>
      <c r="G114" s="587"/>
      <c r="H114" s="587"/>
      <c r="I114" s="583"/>
      <c r="J114" s="593">
        <f>SUM(J102:J113)</f>
        <v>-7404411.2375247199</v>
      </c>
      <c r="K114" s="583"/>
      <c r="L114" s="583"/>
      <c r="M114" s="583"/>
      <c r="N114" s="583"/>
      <c r="O114" s="583"/>
      <c r="P114" s="583"/>
      <c r="Q114" s="583"/>
      <c r="R114" s="583"/>
    </row>
    <row r="115" spans="1:18" ht="13.5">
      <c r="A115" s="582"/>
      <c r="B115" s="582"/>
      <c r="C115" s="582"/>
      <c r="D115" s="583"/>
      <c r="E115" s="583"/>
      <c r="F115" s="1800" t="s">
        <v>760</v>
      </c>
      <c r="G115" s="1798" t="s">
        <v>1141</v>
      </c>
      <c r="H115" s="1798" t="s">
        <v>1142</v>
      </c>
      <c r="I115" s="616" t="s">
        <v>758</v>
      </c>
      <c r="J115" s="593" t="str">
        <f>+J100</f>
        <v>Surcharge (Refund) Owed</v>
      </c>
      <c r="K115" s="583"/>
      <c r="L115" s="583"/>
      <c r="M115" s="583"/>
      <c r="N115" s="583"/>
      <c r="O115" s="583"/>
      <c r="P115" s="583"/>
      <c r="Q115" s="583"/>
      <c r="R115" s="583"/>
    </row>
    <row r="116" spans="1:18" ht="13.5">
      <c r="A116" s="582"/>
      <c r="B116" s="582"/>
      <c r="C116" s="582"/>
      <c r="D116" s="583" t="s">
        <v>745</v>
      </c>
      <c r="E116" s="583" t="s">
        <v>717</v>
      </c>
      <c r="F116" s="619">
        <f>+J114</f>
        <v>-7404411.2375247199</v>
      </c>
      <c r="G116" s="1797">
        <f>+G113</f>
        <v>2.8999999999999998E-3</v>
      </c>
      <c r="H116" s="600">
        <v>0</v>
      </c>
      <c r="I116" s="593">
        <f t="shared" ref="I116:I132" si="12">+F116*G116</f>
        <v>-21472.792588821685</v>
      </c>
      <c r="J116" s="593">
        <f>+F116+I116-H116</f>
        <v>-7425884.0301135415</v>
      </c>
      <c r="K116" s="583"/>
      <c r="L116" s="583"/>
      <c r="M116" s="583"/>
      <c r="N116" s="583"/>
      <c r="O116" s="583"/>
      <c r="P116" s="583"/>
      <c r="Q116" s="583"/>
      <c r="R116" s="583"/>
    </row>
    <row r="117" spans="1:18" ht="13.5">
      <c r="A117" s="582"/>
      <c r="B117" s="582"/>
      <c r="C117" s="582"/>
      <c r="D117" s="583" t="s">
        <v>746</v>
      </c>
      <c r="E117" s="583" t="s">
        <v>717</v>
      </c>
      <c r="F117" s="619">
        <f>+J116</f>
        <v>-7425884.0301135415</v>
      </c>
      <c r="G117" s="1797">
        <f>+G116</f>
        <v>2.8999999999999998E-3</v>
      </c>
      <c r="H117" s="1802">
        <v>0</v>
      </c>
      <c r="I117" s="593">
        <f t="shared" si="12"/>
        <v>-21535.063687329268</v>
      </c>
      <c r="J117" s="593">
        <f t="shared" ref="J117:J132" si="13">+F117+I117-H117</f>
        <v>-7447419.0938008707</v>
      </c>
      <c r="K117" s="583"/>
      <c r="L117" s="583"/>
      <c r="M117" s="583"/>
      <c r="N117" s="583"/>
      <c r="O117" s="583"/>
      <c r="P117" s="583"/>
      <c r="Q117" s="583"/>
      <c r="R117" s="583"/>
    </row>
    <row r="118" spans="1:18" ht="13.5">
      <c r="A118" s="582"/>
      <c r="B118" s="582"/>
      <c r="C118" s="582"/>
      <c r="D118" s="583" t="s">
        <v>747</v>
      </c>
      <c r="E118" s="583" t="s">
        <v>717</v>
      </c>
      <c r="F118" s="619">
        <f t="shared" ref="F118:F132" si="14">+J117</f>
        <v>-7447419.0938008707</v>
      </c>
      <c r="G118" s="1797">
        <f t="shared" ref="G118:G132" si="15">+G117</f>
        <v>2.8999999999999998E-3</v>
      </c>
      <c r="H118" s="1802">
        <f t="shared" ref="H118:H132" si="16">H117</f>
        <v>0</v>
      </c>
      <c r="I118" s="593">
        <f t="shared" si="12"/>
        <v>-21597.515372022524</v>
      </c>
      <c r="J118" s="593">
        <f t="shared" si="13"/>
        <v>-7469016.6091728937</v>
      </c>
      <c r="K118" s="583"/>
      <c r="L118" s="583"/>
      <c r="M118" s="583"/>
      <c r="N118" s="583"/>
      <c r="O118" s="583"/>
      <c r="P118" s="583"/>
      <c r="Q118" s="583"/>
      <c r="R118" s="583"/>
    </row>
    <row r="119" spans="1:18" ht="13.5">
      <c r="A119" s="582"/>
      <c r="B119" s="582"/>
      <c r="C119" s="582"/>
      <c r="D119" s="583" t="s">
        <v>748</v>
      </c>
      <c r="E119" s="583" t="s">
        <v>717</v>
      </c>
      <c r="F119" s="619">
        <f t="shared" si="14"/>
        <v>-7469016.6091728937</v>
      </c>
      <c r="G119" s="1797">
        <f t="shared" si="15"/>
        <v>2.8999999999999998E-3</v>
      </c>
      <c r="H119" s="1802">
        <f t="shared" si="16"/>
        <v>0</v>
      </c>
      <c r="I119" s="593">
        <f t="shared" si="12"/>
        <v>-21660.14816660139</v>
      </c>
      <c r="J119" s="593">
        <f t="shared" si="13"/>
        <v>-7490676.7573394952</v>
      </c>
      <c r="K119" s="626"/>
      <c r="L119" s="583"/>
      <c r="M119" s="583"/>
      <c r="N119" s="583"/>
      <c r="O119" s="583"/>
      <c r="P119" s="583"/>
      <c r="Q119" s="583"/>
      <c r="R119" s="583"/>
    </row>
    <row r="120" spans="1:18" ht="13.5">
      <c r="A120" s="582"/>
      <c r="B120" s="582"/>
      <c r="C120" s="582"/>
      <c r="D120" s="583" t="s">
        <v>743</v>
      </c>
      <c r="E120" s="583" t="s">
        <v>717</v>
      </c>
      <c r="F120" s="619">
        <f t="shared" si="14"/>
        <v>-7490676.7573394952</v>
      </c>
      <c r="G120" s="1797">
        <f t="shared" si="15"/>
        <v>2.8999999999999998E-3</v>
      </c>
      <c r="H120" s="1802">
        <f t="shared" si="16"/>
        <v>0</v>
      </c>
      <c r="I120" s="593">
        <f t="shared" si="12"/>
        <v>-21722.962596284535</v>
      </c>
      <c r="J120" s="593">
        <f t="shared" si="13"/>
        <v>-7512399.7199357795</v>
      </c>
      <c r="K120" s="625"/>
      <c r="L120" s="583"/>
      <c r="M120" s="583"/>
      <c r="N120" s="583"/>
      <c r="O120" s="583"/>
      <c r="P120" s="583"/>
      <c r="Q120" s="583"/>
      <c r="R120" s="583"/>
    </row>
    <row r="121" spans="1:18" ht="13.5">
      <c r="A121" s="582"/>
      <c r="B121" s="582"/>
      <c r="C121" s="582"/>
      <c r="D121" s="583" t="s">
        <v>749</v>
      </c>
      <c r="E121" s="583" t="s">
        <v>717</v>
      </c>
      <c r="F121" s="619">
        <f t="shared" si="14"/>
        <v>-7512399.7199357795</v>
      </c>
      <c r="G121" s="1797">
        <f t="shared" si="15"/>
        <v>2.8999999999999998E-3</v>
      </c>
      <c r="H121" s="600">
        <f>-PMT(G121,12,J120)</f>
        <v>-637896.686356819</v>
      </c>
      <c r="I121" s="593">
        <f t="shared" si="12"/>
        <v>-21785.959187813758</v>
      </c>
      <c r="J121" s="593">
        <f t="shared" si="13"/>
        <v>-6896288.9927667743</v>
      </c>
      <c r="K121" s="583"/>
      <c r="L121" s="583"/>
      <c r="M121" s="583"/>
      <c r="N121" s="583"/>
      <c r="O121" s="583"/>
      <c r="P121" s="583"/>
      <c r="Q121" s="583"/>
      <c r="R121" s="583"/>
    </row>
    <row r="122" spans="1:18" ht="13.5">
      <c r="A122" s="582"/>
      <c r="B122" s="582"/>
      <c r="C122" s="582"/>
      <c r="D122" s="583" t="s">
        <v>750</v>
      </c>
      <c r="E122" s="583" t="s">
        <v>717</v>
      </c>
      <c r="F122" s="619">
        <f t="shared" si="14"/>
        <v>-6896288.9927667743</v>
      </c>
      <c r="G122" s="1797">
        <f t="shared" si="15"/>
        <v>2.8999999999999998E-3</v>
      </c>
      <c r="H122" s="1802">
        <f t="shared" si="16"/>
        <v>-637896.686356819</v>
      </c>
      <c r="I122" s="593">
        <f t="shared" si="12"/>
        <v>-19999.238079023646</v>
      </c>
      <c r="J122" s="593">
        <f t="shared" si="13"/>
        <v>-6278391.5444889786</v>
      </c>
      <c r="K122" s="583"/>
      <c r="L122" s="583"/>
      <c r="M122" s="583"/>
      <c r="N122" s="583"/>
      <c r="O122" s="583"/>
      <c r="P122" s="583"/>
      <c r="Q122" s="583"/>
      <c r="R122" s="583"/>
    </row>
    <row r="123" spans="1:18" ht="13.5">
      <c r="A123" s="582"/>
      <c r="B123" s="582"/>
      <c r="C123" s="582"/>
      <c r="D123" s="583" t="s">
        <v>751</v>
      </c>
      <c r="E123" s="583" t="s">
        <v>717</v>
      </c>
      <c r="F123" s="619">
        <f t="shared" si="14"/>
        <v>-6278391.5444889786</v>
      </c>
      <c r="G123" s="1797">
        <f t="shared" si="15"/>
        <v>2.8999999999999998E-3</v>
      </c>
      <c r="H123" s="1802">
        <f t="shared" si="16"/>
        <v>-637896.686356819</v>
      </c>
      <c r="I123" s="593">
        <f t="shared" si="12"/>
        <v>-18207.335479018038</v>
      </c>
      <c r="J123" s="593">
        <f t="shared" si="13"/>
        <v>-5658702.1936111776</v>
      </c>
      <c r="K123" s="583"/>
      <c r="L123" s="583"/>
      <c r="M123" s="583"/>
      <c r="N123" s="583"/>
      <c r="O123" s="583"/>
      <c r="P123" s="583"/>
      <c r="Q123" s="583"/>
      <c r="R123" s="583"/>
    </row>
    <row r="124" spans="1:18" ht="13.5">
      <c r="A124" s="582"/>
      <c r="B124" s="582"/>
      <c r="C124" s="582"/>
      <c r="D124" s="583" t="s">
        <v>752</v>
      </c>
      <c r="E124" s="583" t="s">
        <v>717</v>
      </c>
      <c r="F124" s="619">
        <f t="shared" si="14"/>
        <v>-5658702.1936111776</v>
      </c>
      <c r="G124" s="1797">
        <f t="shared" si="15"/>
        <v>2.8999999999999998E-3</v>
      </c>
      <c r="H124" s="1802">
        <f t="shared" si="16"/>
        <v>-637896.686356819</v>
      </c>
      <c r="I124" s="593">
        <f t="shared" si="12"/>
        <v>-16410.236361472413</v>
      </c>
      <c r="J124" s="593">
        <f t="shared" si="13"/>
        <v>-5037215.7436158312</v>
      </c>
      <c r="K124" s="583"/>
      <c r="L124" s="583"/>
      <c r="M124" s="583"/>
      <c r="N124" s="583"/>
      <c r="O124" s="583"/>
      <c r="P124" s="583"/>
      <c r="Q124" s="583"/>
      <c r="R124" s="583"/>
    </row>
    <row r="125" spans="1:18" ht="13.5">
      <c r="A125" s="582"/>
      <c r="B125" s="582"/>
      <c r="C125" s="582"/>
      <c r="D125" s="583" t="s">
        <v>753</v>
      </c>
      <c r="E125" s="583" t="s">
        <v>717</v>
      </c>
      <c r="F125" s="619">
        <f t="shared" si="14"/>
        <v>-5037215.7436158312</v>
      </c>
      <c r="G125" s="1797">
        <f t="shared" si="15"/>
        <v>2.8999999999999998E-3</v>
      </c>
      <c r="H125" s="1802">
        <f t="shared" si="16"/>
        <v>-637896.686356819</v>
      </c>
      <c r="I125" s="593">
        <f t="shared" si="12"/>
        <v>-14607.92565648591</v>
      </c>
      <c r="J125" s="593">
        <f t="shared" si="13"/>
        <v>-4413926.9829154983</v>
      </c>
      <c r="K125" s="583"/>
      <c r="L125" s="583"/>
      <c r="M125" s="583"/>
      <c r="N125" s="583"/>
      <c r="O125" s="583"/>
      <c r="P125" s="583"/>
      <c r="Q125" s="583"/>
      <c r="R125" s="583"/>
    </row>
    <row r="126" spans="1:18" ht="13.5">
      <c r="A126" s="582"/>
      <c r="B126" s="582"/>
      <c r="C126" s="582"/>
      <c r="D126" s="583" t="s">
        <v>754</v>
      </c>
      <c r="E126" s="583" t="s">
        <v>717</v>
      </c>
      <c r="F126" s="619">
        <f t="shared" si="14"/>
        <v>-4413926.9829154983</v>
      </c>
      <c r="G126" s="1797">
        <f t="shared" si="15"/>
        <v>2.8999999999999998E-3</v>
      </c>
      <c r="H126" s="1802">
        <f t="shared" si="16"/>
        <v>-637896.686356819</v>
      </c>
      <c r="I126" s="593">
        <f t="shared" si="12"/>
        <v>-12800.388250454944</v>
      </c>
      <c r="J126" s="593">
        <f t="shared" si="13"/>
        <v>-3788830.6848091343</v>
      </c>
      <c r="K126" s="583"/>
      <c r="L126" s="583"/>
      <c r="M126" s="583"/>
      <c r="N126" s="583"/>
      <c r="O126" s="583"/>
      <c r="P126" s="583"/>
      <c r="Q126" s="583"/>
      <c r="R126" s="583"/>
    </row>
    <row r="127" spans="1:18" ht="13.5">
      <c r="A127" s="582"/>
      <c r="B127" s="582"/>
      <c r="C127" s="582"/>
      <c r="D127" s="583" t="s">
        <v>755</v>
      </c>
      <c r="E127" s="583" t="s">
        <v>717</v>
      </c>
      <c r="F127" s="619">
        <f t="shared" si="14"/>
        <v>-3788830.6848091343</v>
      </c>
      <c r="G127" s="1797">
        <f t="shared" si="15"/>
        <v>2.8999999999999998E-3</v>
      </c>
      <c r="H127" s="1802">
        <f t="shared" si="16"/>
        <v>-637896.686356819</v>
      </c>
      <c r="I127" s="593">
        <f t="shared" si="12"/>
        <v>-10987.608985946488</v>
      </c>
      <c r="J127" s="593">
        <f t="shared" si="13"/>
        <v>-3161921.6074382616</v>
      </c>
      <c r="K127" s="583"/>
      <c r="L127" s="583"/>
      <c r="M127" s="583"/>
      <c r="N127" s="583"/>
      <c r="O127" s="583"/>
      <c r="P127" s="583"/>
      <c r="Q127" s="583"/>
      <c r="R127" s="583"/>
    </row>
    <row r="128" spans="1:18" ht="13.5">
      <c r="A128" s="582"/>
      <c r="B128" s="582"/>
      <c r="C128" s="582"/>
      <c r="D128" s="583" t="s">
        <v>745</v>
      </c>
      <c r="E128" s="583" t="s">
        <v>718</v>
      </c>
      <c r="F128" s="619">
        <f t="shared" si="14"/>
        <v>-3161921.6074382616</v>
      </c>
      <c r="G128" s="1797">
        <f t="shared" si="15"/>
        <v>2.8999999999999998E-3</v>
      </c>
      <c r="H128" s="1802">
        <f t="shared" si="16"/>
        <v>-637896.686356819</v>
      </c>
      <c r="I128" s="593">
        <f t="shared" si="12"/>
        <v>-9169.5726615709573</v>
      </c>
      <c r="J128" s="593">
        <f t="shared" si="13"/>
        <v>-2533194.4937430136</v>
      </c>
      <c r="K128" s="583"/>
      <c r="L128" s="583"/>
      <c r="M128" s="583"/>
      <c r="N128" s="583"/>
      <c r="O128" s="583"/>
      <c r="P128" s="583"/>
      <c r="Q128" s="583"/>
      <c r="R128" s="583"/>
    </row>
    <row r="129" spans="1:18" ht="13.5">
      <c r="A129" s="582"/>
      <c r="B129" s="582"/>
      <c r="C129" s="582"/>
      <c r="D129" s="583" t="s">
        <v>746</v>
      </c>
      <c r="E129" s="583" t="s">
        <v>718</v>
      </c>
      <c r="F129" s="619">
        <f t="shared" si="14"/>
        <v>-2533194.4937430136</v>
      </c>
      <c r="G129" s="1797">
        <f t="shared" si="15"/>
        <v>2.8999999999999998E-3</v>
      </c>
      <c r="H129" s="1802">
        <f t="shared" si="16"/>
        <v>-637896.686356819</v>
      </c>
      <c r="I129" s="593">
        <f t="shared" si="12"/>
        <v>-7346.2640318547392</v>
      </c>
      <c r="J129" s="593">
        <f t="shared" si="13"/>
        <v>-1902644.0714180495</v>
      </c>
      <c r="K129" s="583"/>
      <c r="L129" s="583"/>
      <c r="M129" s="583"/>
      <c r="N129" s="583"/>
      <c r="O129" s="583"/>
      <c r="P129" s="583"/>
      <c r="Q129" s="583"/>
      <c r="R129" s="583"/>
    </row>
    <row r="130" spans="1:18" ht="13.5">
      <c r="A130" s="582"/>
      <c r="B130" s="582"/>
      <c r="C130" s="582"/>
      <c r="D130" s="583" t="s">
        <v>747</v>
      </c>
      <c r="E130" s="583" t="s">
        <v>718</v>
      </c>
      <c r="F130" s="619">
        <f t="shared" si="14"/>
        <v>-1902644.0714180495</v>
      </c>
      <c r="G130" s="1797">
        <f t="shared" si="15"/>
        <v>2.8999999999999998E-3</v>
      </c>
      <c r="H130" s="1802">
        <f t="shared" si="16"/>
        <v>-637896.686356819</v>
      </c>
      <c r="I130" s="593">
        <f t="shared" si="12"/>
        <v>-5517.6678071123433</v>
      </c>
      <c r="J130" s="593">
        <f t="shared" si="13"/>
        <v>-1270265.052868343</v>
      </c>
      <c r="K130" s="583"/>
      <c r="L130" s="583"/>
      <c r="M130" s="583"/>
      <c r="N130" s="583"/>
      <c r="O130" s="583"/>
      <c r="P130" s="583"/>
      <c r="Q130" s="583"/>
      <c r="R130" s="583"/>
    </row>
    <row r="131" spans="1:18" ht="13.5">
      <c r="A131" s="582"/>
      <c r="B131" s="582"/>
      <c r="C131" s="582"/>
      <c r="D131" s="583" t="s">
        <v>748</v>
      </c>
      <c r="E131" s="583" t="s">
        <v>718</v>
      </c>
      <c r="F131" s="619">
        <f t="shared" si="14"/>
        <v>-1270265.052868343</v>
      </c>
      <c r="G131" s="1797">
        <f t="shared" si="15"/>
        <v>2.8999999999999998E-3</v>
      </c>
      <c r="H131" s="1802">
        <f t="shared" si="16"/>
        <v>-637896.686356819</v>
      </c>
      <c r="I131" s="593">
        <f t="shared" si="12"/>
        <v>-3683.7686533181945</v>
      </c>
      <c r="J131" s="593">
        <f t="shared" si="13"/>
        <v>-636052.13516484224</v>
      </c>
      <c r="K131" s="583"/>
      <c r="L131" s="583"/>
      <c r="M131" s="583"/>
      <c r="N131" s="583"/>
      <c r="O131" s="583"/>
      <c r="P131" s="583"/>
      <c r="Q131" s="583"/>
      <c r="R131" s="583"/>
    </row>
    <row r="132" spans="1:18" ht="13.5">
      <c r="A132" s="582"/>
      <c r="B132" s="582"/>
      <c r="C132" s="582"/>
      <c r="D132" s="583" t="s">
        <v>743</v>
      </c>
      <c r="E132" s="583" t="s">
        <v>718</v>
      </c>
      <c r="F132" s="619">
        <f t="shared" si="14"/>
        <v>-636052.13516484224</v>
      </c>
      <c r="G132" s="1797">
        <f t="shared" si="15"/>
        <v>2.8999999999999998E-3</v>
      </c>
      <c r="H132" s="1802">
        <f t="shared" si="16"/>
        <v>-637896.686356819</v>
      </c>
      <c r="I132" s="593">
        <f t="shared" si="12"/>
        <v>-1844.5511919780424</v>
      </c>
      <c r="J132" s="593">
        <f t="shared" si="13"/>
        <v>-1.280568540096283E-9</v>
      </c>
      <c r="K132" s="583"/>
      <c r="L132" s="583"/>
      <c r="M132" s="583"/>
      <c r="N132" s="583"/>
      <c r="O132" s="583"/>
      <c r="P132" s="583"/>
      <c r="Q132" s="583"/>
      <c r="R132" s="583"/>
    </row>
    <row r="133" spans="1:18" ht="13.5">
      <c r="A133" s="582"/>
      <c r="B133" s="582"/>
      <c r="C133" s="582"/>
      <c r="D133" s="583" t="s">
        <v>774</v>
      </c>
      <c r="E133" s="583"/>
      <c r="F133" s="587"/>
      <c r="G133" s="587"/>
      <c r="H133" s="619">
        <f>SUM(H116:H132)</f>
        <v>-7654760.2362818299</v>
      </c>
      <c r="I133" s="583"/>
      <c r="J133" s="583"/>
      <c r="K133" s="583"/>
      <c r="L133" s="583"/>
      <c r="M133" s="583"/>
      <c r="N133" s="583"/>
      <c r="O133" s="583"/>
      <c r="P133" s="583"/>
      <c r="Q133" s="583"/>
      <c r="R133" s="583"/>
    </row>
    <row r="134" spans="1:18" ht="13.5">
      <c r="A134" s="582"/>
      <c r="B134" s="582"/>
      <c r="C134" s="582"/>
      <c r="D134" s="583"/>
      <c r="E134" s="583"/>
      <c r="F134" s="583"/>
      <c r="G134" s="583"/>
      <c r="H134" s="583"/>
      <c r="I134" s="583"/>
      <c r="J134" s="583"/>
      <c r="K134" s="583"/>
      <c r="L134" s="583"/>
      <c r="M134" s="583"/>
      <c r="N134" s="583"/>
      <c r="O134" s="583"/>
      <c r="P134" s="583"/>
      <c r="Q134" s="583"/>
      <c r="R134" s="583"/>
    </row>
    <row r="135" spans="1:18" ht="13.5">
      <c r="A135" s="425"/>
      <c r="B135" s="582"/>
      <c r="C135" s="582"/>
      <c r="D135" s="624" t="str">
        <f>+D133</f>
        <v>Total with interest</v>
      </c>
      <c r="E135" s="582"/>
      <c r="F135" s="424"/>
      <c r="G135" s="582"/>
      <c r="H135" s="598">
        <f>+H133</f>
        <v>-7654760.2362818299</v>
      </c>
      <c r="I135" s="582"/>
      <c r="J135" s="598"/>
      <c r="K135" s="583"/>
      <c r="L135" s="583"/>
      <c r="M135" s="583"/>
      <c r="N135" s="583"/>
      <c r="O135" s="583"/>
      <c r="P135" s="583"/>
      <c r="Q135" s="583"/>
      <c r="R135" s="583"/>
    </row>
    <row r="136" spans="1:18" ht="13.5">
      <c r="A136" s="425"/>
      <c r="B136" s="582"/>
      <c r="C136" s="582"/>
      <c r="D136" s="624" t="s">
        <v>68</v>
      </c>
      <c r="E136" s="582"/>
      <c r="F136" s="424"/>
      <c r="G136" s="582"/>
      <c r="H136" s="627">
        <f>'ATT H-1 '!L282</f>
        <v>8215659.4132970534</v>
      </c>
      <c r="I136" s="595"/>
      <c r="J136" s="619"/>
      <c r="K136" s="583"/>
      <c r="L136" s="583"/>
      <c r="M136" s="583"/>
      <c r="N136" s="583"/>
      <c r="O136" s="583"/>
      <c r="P136" s="583"/>
      <c r="Q136" s="583"/>
      <c r="R136" s="583"/>
    </row>
    <row r="137" spans="1:18" ht="13.5">
      <c r="A137" s="425"/>
      <c r="B137" s="582"/>
      <c r="C137" s="582"/>
      <c r="D137" s="624" t="s">
        <v>69</v>
      </c>
      <c r="E137" s="582"/>
      <c r="F137" s="424"/>
      <c r="G137" s="582"/>
      <c r="H137" s="598">
        <f>+H135+H136</f>
        <v>560899.17701522354</v>
      </c>
      <c r="I137" s="586"/>
      <c r="J137" s="619"/>
      <c r="K137" s="583"/>
      <c r="L137" s="583"/>
      <c r="M137" s="583"/>
      <c r="N137" s="583"/>
      <c r="O137" s="583"/>
      <c r="P137" s="583"/>
      <c r="Q137" s="583"/>
      <c r="R137" s="583"/>
    </row>
    <row r="138" spans="1:18" ht="13.5">
      <c r="A138" s="582"/>
      <c r="B138" s="582"/>
      <c r="C138" s="582"/>
      <c r="D138" s="615"/>
      <c r="E138" s="583"/>
      <c r="F138" s="583"/>
      <c r="G138" s="587"/>
      <c r="H138" s="619"/>
      <c r="I138" s="587"/>
      <c r="J138" s="583"/>
      <c r="K138" s="583"/>
      <c r="L138" s="583"/>
      <c r="M138" s="583"/>
      <c r="N138" s="583"/>
      <c r="O138" s="583"/>
      <c r="P138" s="583"/>
      <c r="Q138" s="583"/>
      <c r="R138" s="583"/>
    </row>
    <row r="139" spans="1:18" ht="13.5">
      <c r="A139" s="582">
        <v>9</v>
      </c>
      <c r="B139" s="582" t="s">
        <v>742</v>
      </c>
      <c r="C139" s="582" t="s">
        <v>718</v>
      </c>
      <c r="D139" s="589" t="s">
        <v>1308</v>
      </c>
      <c r="E139" s="583"/>
      <c r="F139" s="583"/>
      <c r="G139" s="583"/>
      <c r="H139" s="583"/>
      <c r="I139" s="583"/>
      <c r="J139" s="424"/>
      <c r="K139" s="583"/>
      <c r="L139" s="583"/>
      <c r="M139" s="583"/>
      <c r="N139" s="583"/>
      <c r="O139" s="583"/>
      <c r="P139" s="583"/>
      <c r="Q139" s="583"/>
      <c r="R139" s="583"/>
    </row>
    <row r="140" spans="1:18" ht="13.5">
      <c r="A140" s="582"/>
      <c r="B140" s="582"/>
      <c r="C140" s="582"/>
      <c r="D140" s="589"/>
      <c r="E140" s="583"/>
      <c r="F140" s="583"/>
      <c r="G140" s="583"/>
      <c r="H140" s="583"/>
      <c r="I140" s="583"/>
      <c r="J140" s="424"/>
      <c r="K140" s="583"/>
      <c r="L140" s="583"/>
      <c r="M140" s="583"/>
      <c r="N140" s="583"/>
      <c r="O140" s="583"/>
      <c r="P140" s="583"/>
      <c r="Q140" s="583"/>
      <c r="R140" s="583"/>
    </row>
    <row r="141" spans="1:18" ht="13.5">
      <c r="A141" s="582"/>
      <c r="B141" s="424"/>
      <c r="C141" s="485" t="s">
        <v>323</v>
      </c>
      <c r="D141" s="485" t="s">
        <v>324</v>
      </c>
      <c r="E141" s="485" t="s">
        <v>416</v>
      </c>
      <c r="F141" s="485" t="s">
        <v>325</v>
      </c>
      <c r="G141" s="485" t="s">
        <v>326</v>
      </c>
      <c r="H141" s="485" t="s">
        <v>322</v>
      </c>
      <c r="I141" s="485"/>
      <c r="J141" s="485" t="s">
        <v>678</v>
      </c>
      <c r="K141" s="485" t="s">
        <v>679</v>
      </c>
      <c r="L141" s="485" t="s">
        <v>1085</v>
      </c>
      <c r="M141" s="585" t="s">
        <v>1086</v>
      </c>
      <c r="N141" s="582" t="s">
        <v>1087</v>
      </c>
      <c r="O141" s="582" t="s">
        <v>1088</v>
      </c>
      <c r="P141" s="582"/>
      <c r="Q141" s="582"/>
      <c r="R141" s="582"/>
    </row>
    <row r="142" spans="1:18" ht="13.5">
      <c r="A142" s="582"/>
      <c r="B142" s="424"/>
      <c r="C142" s="582" t="s">
        <v>279</v>
      </c>
      <c r="D142" s="582" t="s">
        <v>279</v>
      </c>
      <c r="E142" s="582" t="s">
        <v>279</v>
      </c>
      <c r="F142" s="582" t="s">
        <v>279</v>
      </c>
      <c r="G142" s="582" t="s">
        <v>279</v>
      </c>
      <c r="H142" s="582" t="s">
        <v>279</v>
      </c>
      <c r="I142" s="582"/>
      <c r="J142" s="582" t="s">
        <v>74</v>
      </c>
      <c r="K142" s="582" t="s">
        <v>74</v>
      </c>
      <c r="L142" s="582" t="s">
        <v>74</v>
      </c>
      <c r="M142" s="582" t="s">
        <v>74</v>
      </c>
      <c r="N142" s="582" t="s">
        <v>74</v>
      </c>
      <c r="O142" s="582" t="s">
        <v>74</v>
      </c>
      <c r="P142" s="582"/>
      <c r="Q142" s="582"/>
      <c r="R142" s="582"/>
    </row>
    <row r="143" spans="1:18" ht="13.5">
      <c r="A143" s="582"/>
      <c r="B143" s="583"/>
      <c r="C143" s="582" t="s">
        <v>70</v>
      </c>
      <c r="D143" s="582" t="s">
        <v>70</v>
      </c>
      <c r="E143" s="582" t="s">
        <v>70</v>
      </c>
      <c r="F143" s="633"/>
      <c r="G143" s="633"/>
      <c r="H143" s="633"/>
      <c r="I143" s="582"/>
      <c r="J143" s="582" t="s">
        <v>75</v>
      </c>
      <c r="K143" s="582" t="s">
        <v>76</v>
      </c>
      <c r="L143" s="582" t="s">
        <v>77</v>
      </c>
      <c r="M143" s="582" t="s">
        <v>78</v>
      </c>
      <c r="N143" s="582" t="s">
        <v>79</v>
      </c>
      <c r="O143" s="582" t="s">
        <v>80</v>
      </c>
      <c r="P143" s="582"/>
      <c r="Q143" s="582"/>
      <c r="R143" s="582"/>
    </row>
    <row r="144" spans="1:18" ht="13.5">
      <c r="A144" s="582"/>
      <c r="B144" s="583"/>
      <c r="C144" s="582"/>
      <c r="D144" s="582"/>
      <c r="E144" s="582"/>
      <c r="F144" s="582" t="s">
        <v>71</v>
      </c>
      <c r="G144" s="582" t="s">
        <v>72</v>
      </c>
      <c r="H144" s="582" t="s">
        <v>73</v>
      </c>
      <c r="I144" s="582"/>
      <c r="J144" s="582"/>
      <c r="K144" s="582"/>
      <c r="L144" s="582"/>
      <c r="M144" s="582"/>
      <c r="N144" s="582"/>
      <c r="O144" s="582"/>
      <c r="P144" s="582"/>
      <c r="Q144" s="582"/>
      <c r="R144" s="582"/>
    </row>
    <row r="145" spans="1:18" ht="13.5">
      <c r="A145" s="582"/>
      <c r="B145" s="583"/>
      <c r="C145" s="582"/>
      <c r="D145" s="597"/>
      <c r="E145" s="597"/>
      <c r="F145" s="597"/>
      <c r="G145" s="582"/>
      <c r="H145" s="582"/>
      <c r="I145" s="632"/>
      <c r="J145" s="582"/>
      <c r="K145" s="582"/>
      <c r="L145" s="598"/>
      <c r="M145" s="582"/>
      <c r="N145" s="582"/>
      <c r="O145" s="593"/>
      <c r="P145" s="582"/>
      <c r="Q145" s="616"/>
      <c r="R145" s="598"/>
    </row>
    <row r="146" spans="1:18" ht="13.5">
      <c r="A146" s="582"/>
      <c r="B146" s="583" t="s">
        <v>745</v>
      </c>
      <c r="C146" s="599"/>
      <c r="D146" s="599"/>
      <c r="E146" s="599"/>
      <c r="F146" s="599"/>
      <c r="G146" s="599"/>
      <c r="H146" s="599"/>
      <c r="I146" s="632"/>
      <c r="J146" s="598">
        <f t="shared" ref="J146:O146" si="17">C146</f>
        <v>0</v>
      </c>
      <c r="K146" s="598">
        <f t="shared" si="17"/>
        <v>0</v>
      </c>
      <c r="L146" s="598">
        <f t="shared" si="17"/>
        <v>0</v>
      </c>
      <c r="M146" s="598">
        <f t="shared" si="17"/>
        <v>0</v>
      </c>
      <c r="N146" s="598">
        <f t="shared" si="17"/>
        <v>0</v>
      </c>
      <c r="O146" s="598">
        <f t="shared" si="17"/>
        <v>0</v>
      </c>
      <c r="P146" s="598"/>
      <c r="Q146" s="598"/>
      <c r="R146" s="598"/>
    </row>
    <row r="147" spans="1:18" ht="13.5">
      <c r="A147" s="582"/>
      <c r="B147" s="583" t="s">
        <v>746</v>
      </c>
      <c r="C147" s="599"/>
      <c r="D147" s="599"/>
      <c r="E147" s="599"/>
      <c r="F147" s="599"/>
      <c r="G147" s="599"/>
      <c r="H147" s="599"/>
      <c r="I147" s="632"/>
      <c r="J147" s="598">
        <f>J146+C147</f>
        <v>0</v>
      </c>
      <c r="K147" s="598">
        <f t="shared" ref="K147:K157" si="18">K146+D147</f>
        <v>0</v>
      </c>
      <c r="L147" s="598">
        <f t="shared" ref="L147:L157" si="19">L146+E147</f>
        <v>0</v>
      </c>
      <c r="M147" s="598">
        <f t="shared" ref="M147:M157" si="20">M146+F147</f>
        <v>0</v>
      </c>
      <c r="N147" s="598">
        <f t="shared" ref="N147:N157" si="21">N146+G147</f>
        <v>0</v>
      </c>
      <c r="O147" s="598">
        <f t="shared" ref="O147:O157" si="22">O146+H147</f>
        <v>0</v>
      </c>
      <c r="P147" s="598"/>
      <c r="Q147" s="598"/>
      <c r="R147" s="598"/>
    </row>
    <row r="148" spans="1:18" ht="13.5">
      <c r="A148" s="582"/>
      <c r="B148" s="583" t="s">
        <v>747</v>
      </c>
      <c r="C148" s="599"/>
      <c r="D148" s="599"/>
      <c r="E148" s="599"/>
      <c r="F148" s="599"/>
      <c r="G148" s="599"/>
      <c r="H148" s="599"/>
      <c r="I148" s="632"/>
      <c r="J148" s="598">
        <f t="shared" ref="J148:J157" si="23">J147+C148</f>
        <v>0</v>
      </c>
      <c r="K148" s="598">
        <f t="shared" si="18"/>
        <v>0</v>
      </c>
      <c r="L148" s="598">
        <f t="shared" si="19"/>
        <v>0</v>
      </c>
      <c r="M148" s="598">
        <f t="shared" si="20"/>
        <v>0</v>
      </c>
      <c r="N148" s="598">
        <f t="shared" si="21"/>
        <v>0</v>
      </c>
      <c r="O148" s="598">
        <f t="shared" si="22"/>
        <v>0</v>
      </c>
      <c r="P148" s="598"/>
      <c r="Q148" s="598"/>
      <c r="R148" s="598"/>
    </row>
    <row r="149" spans="1:18" ht="13.5">
      <c r="A149" s="582"/>
      <c r="B149" s="583" t="s">
        <v>748</v>
      </c>
      <c r="C149" s="599"/>
      <c r="D149" s="599"/>
      <c r="E149" s="599"/>
      <c r="F149" s="599"/>
      <c r="G149" s="599"/>
      <c r="H149" s="599"/>
      <c r="I149" s="632"/>
      <c r="J149" s="598">
        <f t="shared" si="23"/>
        <v>0</v>
      </c>
      <c r="K149" s="598">
        <f t="shared" si="18"/>
        <v>0</v>
      </c>
      <c r="L149" s="598">
        <f t="shared" si="19"/>
        <v>0</v>
      </c>
      <c r="M149" s="598">
        <f t="shared" si="20"/>
        <v>0</v>
      </c>
      <c r="N149" s="598">
        <f t="shared" si="21"/>
        <v>0</v>
      </c>
      <c r="O149" s="598">
        <f t="shared" si="22"/>
        <v>0</v>
      </c>
      <c r="P149" s="598"/>
      <c r="Q149" s="598"/>
      <c r="R149" s="598"/>
    </row>
    <row r="150" spans="1:18" ht="13.5">
      <c r="A150" s="582"/>
      <c r="B150" s="583" t="s">
        <v>743</v>
      </c>
      <c r="C150" s="599"/>
      <c r="D150" s="599"/>
      <c r="E150" s="599"/>
      <c r="F150" s="599"/>
      <c r="G150" s="599"/>
      <c r="H150" s="599"/>
      <c r="I150" s="632"/>
      <c r="J150" s="598">
        <f t="shared" si="23"/>
        <v>0</v>
      </c>
      <c r="K150" s="598">
        <f t="shared" si="18"/>
        <v>0</v>
      </c>
      <c r="L150" s="598">
        <f t="shared" si="19"/>
        <v>0</v>
      </c>
      <c r="M150" s="598">
        <f t="shared" si="20"/>
        <v>0</v>
      </c>
      <c r="N150" s="598">
        <f t="shared" si="21"/>
        <v>0</v>
      </c>
      <c r="O150" s="598">
        <f t="shared" si="22"/>
        <v>0</v>
      </c>
      <c r="P150" s="598"/>
      <c r="Q150" s="598"/>
      <c r="R150" s="598"/>
    </row>
    <row r="151" spans="1:18" ht="13.5">
      <c r="A151" s="582"/>
      <c r="B151" s="583" t="s">
        <v>749</v>
      </c>
      <c r="C151" s="599"/>
      <c r="D151" s="599"/>
      <c r="E151" s="599"/>
      <c r="F151" s="599"/>
      <c r="G151" s="599"/>
      <c r="H151" s="599"/>
      <c r="I151" s="632"/>
      <c r="J151" s="598">
        <f t="shared" si="23"/>
        <v>0</v>
      </c>
      <c r="K151" s="598">
        <f t="shared" si="18"/>
        <v>0</v>
      </c>
      <c r="L151" s="598">
        <f t="shared" si="19"/>
        <v>0</v>
      </c>
      <c r="M151" s="598">
        <f t="shared" si="20"/>
        <v>0</v>
      </c>
      <c r="N151" s="598">
        <f t="shared" si="21"/>
        <v>0</v>
      </c>
      <c r="O151" s="598">
        <f t="shared" si="22"/>
        <v>0</v>
      </c>
      <c r="P151" s="598"/>
      <c r="Q151" s="598"/>
      <c r="R151" s="598"/>
    </row>
    <row r="152" spans="1:18" ht="13.5">
      <c r="A152" s="582"/>
      <c r="B152" s="583" t="s">
        <v>750</v>
      </c>
      <c r="C152" s="599"/>
      <c r="D152" s="599"/>
      <c r="E152" s="599"/>
      <c r="F152" s="599"/>
      <c r="G152" s="599"/>
      <c r="H152" s="599"/>
      <c r="I152" s="632"/>
      <c r="J152" s="598">
        <f t="shared" si="23"/>
        <v>0</v>
      </c>
      <c r="K152" s="598">
        <f t="shared" si="18"/>
        <v>0</v>
      </c>
      <c r="L152" s="598">
        <f t="shared" si="19"/>
        <v>0</v>
      </c>
      <c r="M152" s="598">
        <f t="shared" si="20"/>
        <v>0</v>
      </c>
      <c r="N152" s="598">
        <f t="shared" si="21"/>
        <v>0</v>
      </c>
      <c r="O152" s="598">
        <f t="shared" si="22"/>
        <v>0</v>
      </c>
      <c r="P152" s="598"/>
      <c r="Q152" s="598"/>
      <c r="R152" s="598"/>
    </row>
    <row r="153" spans="1:18" ht="13.5">
      <c r="A153" s="582"/>
      <c r="B153" s="583" t="s">
        <v>751</v>
      </c>
      <c r="C153" s="599"/>
      <c r="D153" s="599"/>
      <c r="E153" s="599"/>
      <c r="F153" s="599"/>
      <c r="G153" s="599"/>
      <c r="H153" s="599"/>
      <c r="I153" s="632"/>
      <c r="J153" s="598">
        <f t="shared" si="23"/>
        <v>0</v>
      </c>
      <c r="K153" s="598">
        <f t="shared" si="18"/>
        <v>0</v>
      </c>
      <c r="L153" s="598">
        <f t="shared" si="19"/>
        <v>0</v>
      </c>
      <c r="M153" s="598">
        <f t="shared" si="20"/>
        <v>0</v>
      </c>
      <c r="N153" s="598">
        <f t="shared" si="21"/>
        <v>0</v>
      </c>
      <c r="O153" s="598">
        <f t="shared" si="22"/>
        <v>0</v>
      </c>
      <c r="P153" s="598"/>
      <c r="Q153" s="598"/>
      <c r="R153" s="598"/>
    </row>
    <row r="154" spans="1:18" ht="13.5">
      <c r="A154" s="582"/>
      <c r="B154" s="583" t="s">
        <v>752</v>
      </c>
      <c r="C154" s="599"/>
      <c r="D154" s="599"/>
      <c r="E154" s="599"/>
      <c r="F154" s="599"/>
      <c r="G154" s="599"/>
      <c r="H154" s="599"/>
      <c r="I154" s="632"/>
      <c r="J154" s="598">
        <f t="shared" si="23"/>
        <v>0</v>
      </c>
      <c r="K154" s="598">
        <f t="shared" si="18"/>
        <v>0</v>
      </c>
      <c r="L154" s="598">
        <f t="shared" si="19"/>
        <v>0</v>
      </c>
      <c r="M154" s="598">
        <f t="shared" si="20"/>
        <v>0</v>
      </c>
      <c r="N154" s="598">
        <f t="shared" si="21"/>
        <v>0</v>
      </c>
      <c r="O154" s="598">
        <f t="shared" si="22"/>
        <v>0</v>
      </c>
      <c r="P154" s="598"/>
      <c r="Q154" s="598"/>
      <c r="R154" s="598"/>
    </row>
    <row r="155" spans="1:18" ht="13.5">
      <c r="A155" s="582"/>
      <c r="B155" s="583" t="s">
        <v>753</v>
      </c>
      <c r="C155" s="599"/>
      <c r="D155" s="599"/>
      <c r="E155" s="599"/>
      <c r="F155" s="599"/>
      <c r="G155" s="599"/>
      <c r="H155" s="599"/>
      <c r="I155" s="632"/>
      <c r="J155" s="598">
        <f t="shared" si="23"/>
        <v>0</v>
      </c>
      <c r="K155" s="598">
        <f t="shared" si="18"/>
        <v>0</v>
      </c>
      <c r="L155" s="598">
        <f t="shared" si="19"/>
        <v>0</v>
      </c>
      <c r="M155" s="598">
        <f t="shared" si="20"/>
        <v>0</v>
      </c>
      <c r="N155" s="598">
        <f t="shared" si="21"/>
        <v>0</v>
      </c>
      <c r="O155" s="598">
        <f t="shared" si="22"/>
        <v>0</v>
      </c>
      <c r="P155" s="598"/>
      <c r="Q155" s="598"/>
      <c r="R155" s="598"/>
    </row>
    <row r="156" spans="1:18" ht="13.5">
      <c r="A156" s="582"/>
      <c r="B156" s="583" t="s">
        <v>754</v>
      </c>
      <c r="C156" s="599"/>
      <c r="D156" s="599"/>
      <c r="E156" s="599"/>
      <c r="F156" s="599"/>
      <c r="G156" s="599"/>
      <c r="H156" s="599"/>
      <c r="I156" s="632"/>
      <c r="J156" s="598">
        <f t="shared" si="23"/>
        <v>0</v>
      </c>
      <c r="K156" s="598">
        <f t="shared" si="18"/>
        <v>0</v>
      </c>
      <c r="L156" s="598">
        <f t="shared" si="19"/>
        <v>0</v>
      </c>
      <c r="M156" s="598">
        <f t="shared" si="20"/>
        <v>0</v>
      </c>
      <c r="N156" s="598">
        <f t="shared" si="21"/>
        <v>0</v>
      </c>
      <c r="O156" s="598">
        <f t="shared" si="22"/>
        <v>0</v>
      </c>
      <c r="P156" s="598"/>
      <c r="Q156" s="598"/>
      <c r="R156" s="598"/>
    </row>
    <row r="157" spans="1:18" ht="13.5">
      <c r="A157" s="582"/>
      <c r="B157" s="583" t="s">
        <v>755</v>
      </c>
      <c r="C157" s="599"/>
      <c r="D157" s="599"/>
      <c r="E157" s="599"/>
      <c r="F157" s="599"/>
      <c r="G157" s="599"/>
      <c r="H157" s="599"/>
      <c r="I157" s="632"/>
      <c r="J157" s="598">
        <f t="shared" si="23"/>
        <v>0</v>
      </c>
      <c r="K157" s="598">
        <f t="shared" si="18"/>
        <v>0</v>
      </c>
      <c r="L157" s="598">
        <f t="shared" si="19"/>
        <v>0</v>
      </c>
      <c r="M157" s="598">
        <f t="shared" si="20"/>
        <v>0</v>
      </c>
      <c r="N157" s="598">
        <f t="shared" si="21"/>
        <v>0</v>
      </c>
      <c r="O157" s="598">
        <f t="shared" si="22"/>
        <v>0</v>
      </c>
      <c r="P157" s="598"/>
      <c r="Q157" s="598"/>
      <c r="R157" s="598"/>
    </row>
    <row r="158" spans="1:18" ht="13.5">
      <c r="A158" s="582"/>
      <c r="B158" s="583" t="s">
        <v>972</v>
      </c>
      <c r="C158" s="598">
        <f t="shared" ref="C158:H158" si="24">SUM(C146:C157)</f>
        <v>0</v>
      </c>
      <c r="D158" s="598">
        <f t="shared" si="24"/>
        <v>0</v>
      </c>
      <c r="E158" s="598">
        <f t="shared" si="24"/>
        <v>0</v>
      </c>
      <c r="F158" s="598">
        <f t="shared" si="24"/>
        <v>0</v>
      </c>
      <c r="G158" s="598">
        <f t="shared" si="24"/>
        <v>0</v>
      </c>
      <c r="H158" s="598">
        <f t="shared" si="24"/>
        <v>0</v>
      </c>
      <c r="I158" s="598" t="s">
        <v>81</v>
      </c>
      <c r="J158" s="598">
        <f t="shared" ref="J158:O158" si="25">AVERAGE(J146:J157)</f>
        <v>0</v>
      </c>
      <c r="K158" s="598">
        <f t="shared" si="25"/>
        <v>0</v>
      </c>
      <c r="L158" s="598">
        <f t="shared" si="25"/>
        <v>0</v>
      </c>
      <c r="M158" s="598">
        <f t="shared" si="25"/>
        <v>0</v>
      </c>
      <c r="N158" s="598">
        <f t="shared" si="25"/>
        <v>0</v>
      </c>
      <c r="O158" s="598">
        <f t="shared" si="25"/>
        <v>0</v>
      </c>
      <c r="P158" s="598"/>
      <c r="Q158" s="598"/>
      <c r="R158" s="598"/>
    </row>
    <row r="159" spans="1:18" ht="13.5">
      <c r="A159" s="582"/>
      <c r="C159" s="583"/>
      <c r="D159" s="424"/>
      <c r="E159" s="424"/>
      <c r="F159" s="424"/>
      <c r="G159" s="424"/>
      <c r="H159" s="424"/>
      <c r="I159" s="424"/>
      <c r="J159" s="424"/>
      <c r="K159" s="424"/>
      <c r="L159" s="600"/>
      <c r="M159" s="583"/>
      <c r="N159" s="583"/>
      <c r="O159" s="583"/>
      <c r="P159" s="424"/>
      <c r="Q159" s="600"/>
      <c r="R159" s="583"/>
    </row>
    <row r="160" spans="1:18" ht="15.75">
      <c r="A160" s="582" t="s">
        <v>876</v>
      </c>
      <c r="B160" s="583" t="s">
        <v>83</v>
      </c>
      <c r="C160" s="583"/>
      <c r="D160" s="424"/>
      <c r="E160" s="424"/>
      <c r="F160" s="424"/>
      <c r="G160" s="424"/>
      <c r="H160" s="424"/>
      <c r="I160" s="424"/>
      <c r="J160" s="583"/>
      <c r="K160" s="634" t="s">
        <v>82</v>
      </c>
      <c r="L160" s="424"/>
      <c r="M160" s="598">
        <f>SUM(J158:O158)</f>
        <v>0</v>
      </c>
      <c r="N160" s="598"/>
      <c r="O160" s="1834" t="s">
        <v>1309</v>
      </c>
      <c r="P160" s="583"/>
      <c r="Q160" s="600"/>
      <c r="R160" s="598"/>
    </row>
    <row r="161" spans="1:18" ht="13.5">
      <c r="A161" s="582"/>
      <c r="B161" s="583"/>
      <c r="C161" s="583"/>
      <c r="D161" s="424"/>
      <c r="E161" s="424"/>
      <c r="F161" s="424"/>
      <c r="G161" s="424"/>
      <c r="H161" s="424"/>
      <c r="I161" s="424"/>
      <c r="J161" s="583"/>
      <c r="K161" s="583"/>
      <c r="L161" s="598"/>
      <c r="M161" s="583"/>
      <c r="N161" s="424"/>
      <c r="O161" s="583"/>
      <c r="P161" s="583"/>
      <c r="Q161" s="583"/>
      <c r="R161" s="583"/>
    </row>
    <row r="162" spans="1:18" ht="13.5">
      <c r="A162" s="582"/>
      <c r="B162" s="582"/>
      <c r="C162" s="582"/>
      <c r="D162" s="583"/>
      <c r="E162" s="583"/>
      <c r="F162" s="424"/>
      <c r="G162" s="583"/>
      <c r="H162" s="583"/>
      <c r="I162" s="598"/>
      <c r="J162" s="583"/>
      <c r="K162" s="424"/>
      <c r="L162" s="583"/>
      <c r="M162" s="583"/>
      <c r="N162" s="601"/>
      <c r="O162" s="601"/>
      <c r="P162" s="583"/>
      <c r="Q162" s="583"/>
      <c r="R162" s="601"/>
    </row>
    <row r="163" spans="1:18" ht="13.5">
      <c r="A163" s="425"/>
      <c r="B163" s="582"/>
      <c r="C163" s="582"/>
      <c r="D163" s="604"/>
      <c r="E163" s="582"/>
      <c r="F163" s="424"/>
      <c r="G163" s="582"/>
      <c r="H163" s="598"/>
      <c r="I163" s="586"/>
      <c r="J163" s="619"/>
      <c r="K163" s="583"/>
      <c r="L163" s="583"/>
      <c r="M163" s="583"/>
      <c r="N163" s="583"/>
      <c r="O163" s="583"/>
      <c r="P163" s="583"/>
      <c r="Q163" s="583"/>
      <c r="R163" s="583"/>
    </row>
    <row r="164" spans="1:18" ht="13.5">
      <c r="A164" s="582"/>
      <c r="B164" s="582"/>
      <c r="C164" s="582"/>
      <c r="D164" s="604"/>
      <c r="E164" s="582"/>
      <c r="F164" s="598"/>
      <c r="G164" s="582"/>
      <c r="H164" s="598"/>
      <c r="I164" s="586"/>
      <c r="J164" s="619"/>
      <c r="K164" s="583"/>
      <c r="L164" s="583"/>
      <c r="M164" s="583"/>
      <c r="N164" s="583"/>
      <c r="O164" s="583"/>
      <c r="P164" s="583"/>
      <c r="Q164" s="583"/>
      <c r="R164" s="583"/>
    </row>
    <row r="165" spans="1:18" ht="13.5">
      <c r="A165" s="582">
        <v>10</v>
      </c>
      <c r="B165" s="582" t="s">
        <v>743</v>
      </c>
      <c r="C165" s="582" t="s">
        <v>718</v>
      </c>
      <c r="D165" s="589" t="s">
        <v>528</v>
      </c>
      <c r="E165" s="583"/>
      <c r="F165" s="583"/>
      <c r="G165" s="583"/>
      <c r="H165" s="583"/>
      <c r="I165" s="586"/>
      <c r="J165" s="587"/>
      <c r="K165" s="583"/>
      <c r="L165" s="583"/>
      <c r="M165" s="583"/>
      <c r="N165" s="583"/>
      <c r="O165" s="583"/>
      <c r="P165" s="583"/>
      <c r="Q165" s="587"/>
      <c r="R165" s="628"/>
    </row>
    <row r="166" spans="1:18" ht="13.5">
      <c r="A166" s="582"/>
      <c r="B166" s="582"/>
      <c r="C166" s="582"/>
      <c r="D166" s="605"/>
      <c r="E166" s="583" t="s">
        <v>1084</v>
      </c>
      <c r="F166" s="583"/>
      <c r="G166" s="583"/>
      <c r="H166" s="583"/>
      <c r="I166" s="587"/>
      <c r="J166" s="587"/>
      <c r="K166" s="583"/>
      <c r="L166" s="583"/>
      <c r="M166" s="583"/>
      <c r="N166" s="583"/>
      <c r="O166" s="583"/>
      <c r="P166" s="583"/>
      <c r="Q166" s="583"/>
      <c r="R166" s="583"/>
    </row>
    <row r="167" spans="1:18" ht="13.5">
      <c r="A167" s="582"/>
      <c r="B167" s="582"/>
      <c r="C167" s="582"/>
      <c r="D167" s="611"/>
      <c r="E167" s="604"/>
      <c r="F167" s="583"/>
      <c r="G167" s="583"/>
      <c r="H167" s="583"/>
      <c r="I167" s="587"/>
      <c r="J167" s="587"/>
      <c r="K167" s="583"/>
      <c r="L167" s="583"/>
      <c r="M167" s="583"/>
      <c r="N167" s="583"/>
      <c r="O167" s="583"/>
      <c r="P167" s="583"/>
      <c r="Q167" s="583"/>
      <c r="R167" s="583"/>
    </row>
    <row r="168" spans="1:18" ht="13.5">
      <c r="A168" s="582"/>
      <c r="B168" s="582"/>
      <c r="C168" s="582"/>
      <c r="D168" s="605"/>
      <c r="E168" s="583"/>
      <c r="F168" s="583"/>
      <c r="G168" s="583"/>
      <c r="H168" s="583"/>
      <c r="I168" s="587"/>
      <c r="J168" s="587"/>
      <c r="K168" s="583"/>
      <c r="L168" s="583"/>
      <c r="M168" s="583"/>
      <c r="N168" s="583"/>
      <c r="O168" s="583"/>
      <c r="P168" s="583"/>
      <c r="Q168" s="583"/>
      <c r="R168" s="583"/>
    </row>
    <row r="169" spans="1:18" ht="13.5">
      <c r="A169" s="582">
        <v>11</v>
      </c>
      <c r="B169" s="582" t="s">
        <v>744</v>
      </c>
      <c r="C169" s="582" t="s">
        <v>718</v>
      </c>
      <c r="D169" s="612" t="s">
        <v>1298</v>
      </c>
      <c r="E169" s="583"/>
      <c r="F169" s="583"/>
      <c r="G169" s="583"/>
      <c r="H169" s="583"/>
      <c r="I169" s="583"/>
      <c r="J169" s="583"/>
      <c r="K169" s="583"/>
      <c r="L169" s="583"/>
      <c r="M169" s="583"/>
      <c r="N169" s="583"/>
      <c r="O169" s="583"/>
      <c r="P169" s="583"/>
      <c r="Q169" s="583"/>
      <c r="R169" s="583"/>
    </row>
    <row r="170" spans="1:18" ht="13.5">
      <c r="A170" s="582"/>
      <c r="B170" s="582"/>
      <c r="C170" s="582"/>
      <c r="D170" s="629">
        <v>0</v>
      </c>
      <c r="E170" s="583"/>
      <c r="F170" s="583"/>
      <c r="G170" s="583"/>
      <c r="H170" s="583"/>
      <c r="I170" s="583"/>
      <c r="J170" s="583"/>
      <c r="K170" s="583"/>
      <c r="L170" s="583"/>
      <c r="M170" s="583"/>
      <c r="N170" s="583"/>
      <c r="O170" s="583"/>
      <c r="P170" s="583"/>
      <c r="Q170" s="583"/>
      <c r="R170" s="583"/>
    </row>
    <row r="171" spans="1:18" ht="13.5">
      <c r="A171" s="582"/>
      <c r="B171" s="582"/>
      <c r="C171" s="582"/>
      <c r="D171" s="583"/>
      <c r="E171" s="583"/>
      <c r="F171" s="583"/>
      <c r="G171" s="583"/>
      <c r="H171" s="583"/>
      <c r="I171" s="583"/>
      <c r="J171" s="583"/>
      <c r="K171" s="583"/>
      <c r="L171" s="583"/>
      <c r="M171" s="583"/>
      <c r="N171" s="583"/>
      <c r="O171" s="583"/>
      <c r="P171" s="583"/>
      <c r="Q171" s="583"/>
      <c r="R171" s="583"/>
    </row>
    <row r="172" spans="1:18" ht="13.5">
      <c r="A172" s="582"/>
      <c r="B172" s="583"/>
      <c r="C172" s="582"/>
      <c r="D172" s="604"/>
      <c r="E172" s="583"/>
      <c r="F172" s="583"/>
      <c r="G172" s="583"/>
      <c r="H172" s="583"/>
      <c r="I172" s="583"/>
      <c r="J172" s="583"/>
      <c r="K172" s="583"/>
      <c r="L172" s="583"/>
      <c r="M172" s="583"/>
      <c r="N172" s="583"/>
      <c r="O172" s="583"/>
      <c r="P172" s="583"/>
      <c r="Q172" s="583"/>
      <c r="R172" s="583"/>
    </row>
    <row r="173" spans="1:18" ht="13.5">
      <c r="A173" s="582"/>
      <c r="B173" s="582"/>
      <c r="C173" s="582"/>
      <c r="D173" s="583"/>
      <c r="E173" s="583"/>
      <c r="F173" s="583"/>
      <c r="G173" s="583"/>
      <c r="H173" s="583"/>
      <c r="I173" s="583"/>
      <c r="J173" s="583"/>
      <c r="K173" s="583"/>
      <c r="L173" s="583"/>
      <c r="M173" s="583"/>
      <c r="N173" s="583"/>
      <c r="O173" s="583"/>
      <c r="P173" s="583"/>
      <c r="Q173" s="583"/>
      <c r="R173" s="583"/>
    </row>
    <row r="174" spans="1:18" ht="13.5">
      <c r="A174" s="582"/>
      <c r="B174" s="582"/>
      <c r="C174" s="582"/>
      <c r="D174" s="583"/>
      <c r="E174" s="583"/>
      <c r="F174" s="583"/>
      <c r="G174" s="583"/>
      <c r="H174" s="583"/>
      <c r="I174" s="583"/>
      <c r="J174" s="583"/>
      <c r="K174" s="583"/>
      <c r="L174" s="583"/>
      <c r="M174" s="583"/>
      <c r="N174" s="583"/>
      <c r="O174" s="583"/>
      <c r="P174" s="583"/>
      <c r="Q174" s="583"/>
      <c r="R174" s="583"/>
    </row>
    <row r="175" spans="1:18" ht="13.5">
      <c r="A175" s="582"/>
      <c r="B175" s="582"/>
      <c r="C175" s="582"/>
      <c r="D175" s="583"/>
      <c r="E175" s="583"/>
      <c r="F175" s="583"/>
      <c r="G175" s="583"/>
      <c r="H175" s="583"/>
      <c r="I175" s="583"/>
      <c r="J175" s="583"/>
      <c r="K175" s="583"/>
      <c r="L175" s="583"/>
      <c r="M175" s="583"/>
      <c r="N175" s="583"/>
      <c r="O175" s="583"/>
      <c r="P175" s="583"/>
      <c r="Q175" s="583"/>
      <c r="R175" s="583"/>
    </row>
    <row r="176" spans="1:18" ht="13.5">
      <c r="A176" s="582"/>
      <c r="B176" s="582"/>
      <c r="C176" s="582"/>
      <c r="D176" s="583"/>
      <c r="E176" s="583"/>
      <c r="F176" s="583"/>
      <c r="G176" s="583"/>
      <c r="H176" s="583"/>
      <c r="I176" s="583"/>
      <c r="J176" s="583"/>
      <c r="K176" s="583"/>
      <c r="L176" s="583"/>
      <c r="M176" s="583"/>
      <c r="N176" s="583"/>
      <c r="O176" s="583"/>
      <c r="P176" s="583"/>
      <c r="Q176" s="583"/>
      <c r="R176" s="583"/>
    </row>
    <row r="177" spans="1:18" ht="13.5">
      <c r="A177" s="582"/>
      <c r="B177" s="582"/>
      <c r="C177" s="582"/>
      <c r="D177" s="583"/>
      <c r="E177" s="583"/>
      <c r="F177" s="583"/>
      <c r="G177" s="583"/>
      <c r="H177" s="583"/>
      <c r="I177" s="583"/>
      <c r="J177" s="583"/>
      <c r="K177" s="583"/>
      <c r="L177" s="583"/>
      <c r="M177" s="583"/>
      <c r="N177" s="583"/>
      <c r="O177" s="583"/>
      <c r="P177" s="583"/>
      <c r="Q177" s="583"/>
      <c r="R177" s="583"/>
    </row>
    <row r="178" spans="1:18" ht="13.5">
      <c r="A178" s="582"/>
      <c r="B178" s="582"/>
      <c r="C178" s="582"/>
      <c r="D178" s="583"/>
      <c r="E178" s="583"/>
      <c r="F178" s="583"/>
      <c r="G178" s="583"/>
      <c r="H178" s="583"/>
      <c r="I178" s="583"/>
      <c r="J178" s="583"/>
      <c r="K178" s="583"/>
      <c r="L178" s="583"/>
      <c r="M178" s="583"/>
      <c r="N178" s="583"/>
      <c r="O178" s="583"/>
      <c r="P178" s="583"/>
      <c r="Q178" s="583"/>
      <c r="R178" s="583"/>
    </row>
    <row r="179" spans="1:18" ht="13.5">
      <c r="A179" s="582"/>
      <c r="B179" s="582"/>
      <c r="C179" s="582"/>
      <c r="D179" s="583"/>
      <c r="E179" s="583"/>
      <c r="F179" s="583"/>
      <c r="G179" s="583"/>
      <c r="H179" s="583"/>
      <c r="I179" s="583"/>
      <c r="J179" s="583"/>
      <c r="K179" s="583"/>
      <c r="L179" s="583"/>
      <c r="M179" s="583"/>
      <c r="N179" s="583"/>
      <c r="O179" s="583"/>
      <c r="P179" s="583"/>
      <c r="Q179" s="583"/>
      <c r="R179" s="583"/>
    </row>
    <row r="180" spans="1:18" ht="13.5">
      <c r="A180" s="582"/>
      <c r="B180" s="582"/>
      <c r="C180" s="582"/>
      <c r="D180" s="583"/>
      <c r="E180" s="583"/>
      <c r="F180" s="583"/>
      <c r="G180" s="583"/>
      <c r="H180" s="583"/>
      <c r="I180" s="583"/>
      <c r="J180" s="583"/>
      <c r="K180" s="583"/>
      <c r="L180" s="583"/>
      <c r="M180" s="583"/>
      <c r="N180" s="583"/>
      <c r="O180" s="583"/>
      <c r="P180" s="583"/>
      <c r="Q180" s="583"/>
      <c r="R180" s="583"/>
    </row>
    <row r="181" spans="1:18" ht="13.5">
      <c r="A181" s="582"/>
      <c r="B181" s="582"/>
      <c r="C181" s="582"/>
      <c r="D181" s="583"/>
      <c r="E181" s="583"/>
      <c r="F181" s="583"/>
      <c r="G181" s="583"/>
      <c r="H181" s="583"/>
      <c r="I181" s="583"/>
      <c r="J181" s="583"/>
      <c r="K181" s="583"/>
      <c r="L181" s="583"/>
      <c r="M181" s="583"/>
      <c r="N181" s="583"/>
      <c r="O181" s="583"/>
      <c r="P181" s="583"/>
      <c r="Q181" s="583"/>
      <c r="R181" s="583"/>
    </row>
    <row r="182" spans="1:18" ht="13.5">
      <c r="A182" s="582"/>
      <c r="B182" s="582"/>
      <c r="C182" s="582"/>
      <c r="D182" s="583"/>
      <c r="E182" s="583"/>
      <c r="F182" s="583"/>
      <c r="G182" s="583"/>
      <c r="H182" s="583"/>
      <c r="I182" s="583"/>
      <c r="J182" s="583"/>
      <c r="K182" s="583"/>
      <c r="L182" s="583"/>
      <c r="M182" s="583"/>
      <c r="N182" s="583"/>
      <c r="O182" s="583"/>
      <c r="P182" s="583"/>
      <c r="Q182" s="583"/>
      <c r="R182" s="583"/>
    </row>
    <row r="183" spans="1:18" ht="13.5">
      <c r="A183" s="582"/>
      <c r="B183" s="582"/>
      <c r="C183" s="582"/>
      <c r="D183" s="583"/>
      <c r="E183" s="583"/>
      <c r="F183" s="583"/>
      <c r="G183" s="583"/>
      <c r="H183" s="583"/>
      <c r="I183" s="583"/>
      <c r="J183" s="583"/>
      <c r="K183" s="583"/>
      <c r="L183" s="583"/>
      <c r="M183" s="583"/>
      <c r="N183" s="583"/>
      <c r="O183" s="583"/>
      <c r="P183" s="583"/>
      <c r="Q183" s="583"/>
      <c r="R183" s="583"/>
    </row>
    <row r="184" spans="1:18" ht="13.5">
      <c r="A184" s="582"/>
      <c r="B184" s="582"/>
      <c r="C184" s="582"/>
      <c r="D184" s="583"/>
      <c r="E184" s="583"/>
      <c r="F184" s="583"/>
      <c r="G184" s="583"/>
      <c r="H184" s="583"/>
      <c r="I184" s="583"/>
      <c r="J184" s="583"/>
      <c r="K184" s="583"/>
      <c r="L184" s="583"/>
      <c r="M184" s="583"/>
      <c r="N184" s="583"/>
      <c r="O184" s="583"/>
      <c r="P184" s="583"/>
      <c r="Q184" s="583"/>
      <c r="R184" s="583"/>
    </row>
    <row r="185" spans="1:18" ht="13.5">
      <c r="A185" s="582"/>
      <c r="B185" s="582"/>
      <c r="C185" s="582"/>
      <c r="D185" s="583"/>
      <c r="E185" s="583"/>
      <c r="F185" s="583"/>
      <c r="G185" s="583"/>
      <c r="H185" s="583"/>
      <c r="I185" s="583"/>
      <c r="J185" s="583"/>
      <c r="K185" s="583"/>
      <c r="L185" s="583"/>
      <c r="M185" s="583"/>
      <c r="N185" s="583"/>
      <c r="O185" s="583"/>
      <c r="P185" s="583"/>
      <c r="Q185" s="583"/>
      <c r="R185" s="583"/>
    </row>
    <row r="186" spans="1:18" ht="13.5">
      <c r="A186" s="582"/>
      <c r="B186" s="582"/>
      <c r="C186" s="582"/>
      <c r="D186" s="583"/>
      <c r="E186" s="583"/>
      <c r="F186" s="583"/>
      <c r="G186" s="583"/>
      <c r="H186" s="583"/>
      <c r="I186" s="583"/>
      <c r="J186" s="583"/>
      <c r="K186" s="583"/>
      <c r="L186" s="583"/>
      <c r="M186" s="583"/>
      <c r="N186" s="583"/>
      <c r="O186" s="583"/>
      <c r="P186" s="583"/>
      <c r="Q186" s="583"/>
      <c r="R186" s="583"/>
    </row>
    <row r="187" spans="1:18" ht="13.5">
      <c r="A187" s="582"/>
      <c r="B187" s="582"/>
      <c r="C187" s="582"/>
      <c r="D187" s="583"/>
      <c r="E187" s="583"/>
      <c r="F187" s="583"/>
      <c r="G187" s="583"/>
      <c r="H187" s="583"/>
      <c r="I187" s="583"/>
      <c r="J187" s="583"/>
      <c r="K187" s="583"/>
      <c r="L187" s="583"/>
      <c r="M187" s="583"/>
      <c r="N187" s="583"/>
      <c r="O187" s="583"/>
      <c r="P187" s="583"/>
      <c r="Q187" s="583"/>
      <c r="R187" s="583"/>
    </row>
    <row r="188" spans="1:18" ht="15.75">
      <c r="A188" s="630"/>
      <c r="B188" s="582"/>
      <c r="C188" s="582"/>
      <c r="D188" s="583"/>
      <c r="E188" s="583"/>
      <c r="F188" s="583"/>
      <c r="G188" s="583"/>
      <c r="H188" s="583"/>
      <c r="I188" s="583"/>
      <c r="J188" s="583"/>
      <c r="K188" s="583"/>
      <c r="L188" s="583"/>
      <c r="M188" s="583"/>
      <c r="N188" s="583"/>
      <c r="O188" s="583"/>
      <c r="P188" s="583"/>
      <c r="Q188" s="583"/>
      <c r="R188" s="583"/>
    </row>
    <row r="189" spans="1:18" ht="15.75">
      <c r="A189" s="630"/>
      <c r="B189" s="582"/>
      <c r="C189" s="582"/>
      <c r="D189" s="583"/>
      <c r="E189" s="583"/>
      <c r="F189" s="583"/>
      <c r="G189" s="583"/>
      <c r="H189" s="583"/>
      <c r="I189" s="583"/>
      <c r="J189" s="583"/>
      <c r="K189" s="583"/>
      <c r="L189" s="583"/>
      <c r="M189" s="583"/>
      <c r="N189" s="583"/>
      <c r="O189" s="583"/>
      <c r="P189" s="583"/>
      <c r="Q189" s="583"/>
      <c r="R189" s="583"/>
    </row>
    <row r="190" spans="1:18" ht="15.75">
      <c r="A190" s="630"/>
      <c r="B190" s="630"/>
      <c r="C190" s="630"/>
      <c r="D190" s="631"/>
      <c r="E190" s="631"/>
      <c r="F190" s="631"/>
      <c r="G190" s="631"/>
      <c r="H190" s="631"/>
      <c r="I190" s="631"/>
      <c r="J190" s="631"/>
      <c r="K190" s="631"/>
      <c r="L190" s="631"/>
      <c r="M190" s="631"/>
      <c r="N190" s="631"/>
      <c r="O190" s="631"/>
      <c r="P190" s="631"/>
      <c r="Q190" s="631"/>
      <c r="R190" s="631"/>
    </row>
  </sheetData>
  <mergeCells count="2">
    <mergeCell ref="D99:E99"/>
    <mergeCell ref="A2:R2"/>
  </mergeCells>
  <phoneticPr fontId="74"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zoomScaleNormal="100" zoomScaleSheetLayoutView="75" workbookViewId="0">
      <selection activeCell="P34" sqref="P34"/>
    </sheetView>
  </sheetViews>
  <sheetFormatPr defaultRowHeight="12.75"/>
  <cols>
    <col min="1" max="1" width="7" style="670" customWidth="1"/>
    <col min="2" max="2" width="18.140625" style="422" customWidth="1"/>
    <col min="3" max="3" width="13.5703125" style="670" customWidth="1"/>
    <col min="4" max="4" width="11.5703125" style="422" customWidth="1"/>
    <col min="5" max="5" width="17" style="422" customWidth="1"/>
    <col min="6" max="6" width="24" style="184" customWidth="1"/>
    <col min="7" max="7" width="10.7109375" style="422" customWidth="1"/>
    <col min="8" max="8" width="17.42578125" style="422" customWidth="1"/>
    <col min="9" max="9" width="25.140625" style="184" customWidth="1"/>
    <col min="10" max="12" width="11.5703125" style="422" bestFit="1" customWidth="1"/>
    <col min="13" max="13" width="10.85546875" style="422" bestFit="1" customWidth="1"/>
    <col min="14" max="16384" width="9.140625" style="422"/>
  </cols>
  <sheetData>
    <row r="1" spans="1:13" ht="18">
      <c r="A1" s="1914" t="s">
        <v>513</v>
      </c>
      <c r="B1" s="1914"/>
      <c r="C1" s="1914"/>
      <c r="D1" s="1914"/>
      <c r="E1" s="1914"/>
      <c r="F1" s="1914"/>
      <c r="G1" s="1914"/>
      <c r="H1" s="1914"/>
      <c r="I1" s="1914"/>
      <c r="J1" s="1914"/>
      <c r="K1" s="1914"/>
      <c r="L1" s="1914"/>
      <c r="M1"/>
    </row>
    <row r="2" spans="1:13" ht="10.5" customHeight="1">
      <c r="B2" s="671"/>
      <c r="C2" s="672"/>
      <c r="D2" s="672"/>
      <c r="E2" s="672"/>
      <c r="F2" s="672"/>
      <c r="G2" s="672"/>
      <c r="H2" s="672"/>
      <c r="I2" s="672"/>
      <c r="M2"/>
    </row>
    <row r="3" spans="1:13" ht="18.75" customHeight="1">
      <c r="A3" s="1951" t="s">
        <v>552</v>
      </c>
      <c r="B3" s="1951"/>
      <c r="C3" s="1951"/>
      <c r="D3" s="1951"/>
      <c r="E3" s="1951"/>
      <c r="F3" s="1951"/>
      <c r="G3" s="1951"/>
      <c r="H3" s="1951"/>
      <c r="I3" s="1951"/>
      <c r="J3" s="1951"/>
      <c r="K3" s="1951"/>
      <c r="L3" s="1951"/>
      <c r="M3"/>
    </row>
    <row r="4" spans="1:13" ht="13.5" thickBot="1">
      <c r="A4" s="670" t="s">
        <v>553</v>
      </c>
      <c r="C4" s="422" t="s">
        <v>647</v>
      </c>
      <c r="M4"/>
    </row>
    <row r="5" spans="1:13" ht="31.5">
      <c r="I5" s="1423" t="s">
        <v>542</v>
      </c>
      <c r="J5" s="1424" t="s">
        <v>1096</v>
      </c>
      <c r="K5" s="1424" t="s">
        <v>503</v>
      </c>
      <c r="L5" s="1425" t="s">
        <v>504</v>
      </c>
    </row>
    <row r="6" spans="1:13">
      <c r="I6" s="676"/>
      <c r="J6" s="676"/>
      <c r="K6" s="676"/>
      <c r="L6" s="2"/>
    </row>
    <row r="7" spans="1:13">
      <c r="B7" s="673" t="s">
        <v>648</v>
      </c>
      <c r="C7" s="674"/>
      <c r="I7" s="676"/>
      <c r="J7" s="676"/>
      <c r="K7" s="676"/>
      <c r="L7" s="2"/>
    </row>
    <row r="8" spans="1:13">
      <c r="A8" s="670">
        <v>1</v>
      </c>
      <c r="B8" s="670" t="s">
        <v>878</v>
      </c>
      <c r="C8" s="670">
        <f>+'ATT H-1 '!A271</f>
        <v>169</v>
      </c>
      <c r="D8" s="674" t="s">
        <v>1062</v>
      </c>
      <c r="F8" s="675"/>
      <c r="G8" s="674"/>
      <c r="H8" s="674"/>
      <c r="I8" s="1426">
        <f>+'ATT H-1 '!H271</f>
        <v>0.15413356633783415</v>
      </c>
      <c r="J8" s="1426">
        <f>+'ATT H-1 '!J271</f>
        <v>0.1161740515258332</v>
      </c>
      <c r="K8" s="1426">
        <f>+'ATT H-1 '!K271</f>
        <v>0.55836692011146938</v>
      </c>
      <c r="L8" s="1426">
        <f>+'ATT H-1 '!L271</f>
        <v>0.14251135036290624</v>
      </c>
    </row>
    <row r="9" spans="1:13">
      <c r="A9" s="670">
        <v>2</v>
      </c>
      <c r="B9" s="670" t="s">
        <v>973</v>
      </c>
      <c r="C9" s="670">
        <f>+'ATT H-1 '!A280</f>
        <v>176</v>
      </c>
      <c r="D9" s="674" t="s">
        <v>1060</v>
      </c>
      <c r="F9" s="675"/>
      <c r="I9" s="1426">
        <f>+'ATT H-1 '!H280</f>
        <v>0.16051905424706608</v>
      </c>
      <c r="J9" s="1426">
        <f>+'ATT H-1 '!J280</f>
        <v>0.12246184687473342</v>
      </c>
      <c r="K9" s="1426">
        <f>+'ATT H-1 '!K280</f>
        <v>0.56589910711743785</v>
      </c>
      <c r="L9" s="1426">
        <f>+'ATT H-1 '!L280</f>
        <v>0.15004353736887474</v>
      </c>
    </row>
    <row r="10" spans="1:13">
      <c r="A10" s="670">
        <v>3</v>
      </c>
      <c r="B10" s="670" t="s">
        <v>859</v>
      </c>
      <c r="D10" s="422" t="s">
        <v>649</v>
      </c>
      <c r="F10" s="675"/>
      <c r="I10" s="1426">
        <f>+I9-I8</f>
        <v>6.385487909231935E-3</v>
      </c>
      <c r="J10" s="1426">
        <f>+J9-J8</f>
        <v>6.287795348900227E-3</v>
      </c>
      <c r="K10" s="1426">
        <f>+K9-K8</f>
        <v>7.5321870059684715E-3</v>
      </c>
      <c r="L10" s="1426">
        <f>+L9-L8</f>
        <v>7.5321870059684992E-3</v>
      </c>
    </row>
    <row r="11" spans="1:13">
      <c r="B11" s="673" t="s">
        <v>658</v>
      </c>
      <c r="F11" s="675"/>
      <c r="I11" s="1426"/>
      <c r="J11" s="1426"/>
      <c r="K11" s="1426"/>
      <c r="L11" s="1426"/>
    </row>
    <row r="12" spans="1:13">
      <c r="A12" s="670">
        <v>4</v>
      </c>
      <c r="B12" s="670" t="s">
        <v>879</v>
      </c>
      <c r="C12" s="670">
        <f>+'ATT H-1 '!A272</f>
        <v>170</v>
      </c>
      <c r="D12" s="674" t="s">
        <v>1063</v>
      </c>
      <c r="F12" s="675"/>
      <c r="I12" s="1426">
        <f>+'ATT H-1 '!H272</f>
        <v>6.5429568199423985E-2</v>
      </c>
      <c r="J12" s="1426">
        <f>+'ATT H-1 '!J272</f>
        <v>2.8827149479840709E-2</v>
      </c>
      <c r="K12" s="1426">
        <f>+'ATT H-1 '!K272</f>
        <v>0.45373355275521465</v>
      </c>
      <c r="L12" s="1426">
        <f>+'ATT H-1 '!L272</f>
        <v>3.7877983006651586E-2</v>
      </c>
    </row>
    <row r="13" spans="1:13">
      <c r="B13" s="670"/>
      <c r="D13" s="674"/>
      <c r="F13" s="675"/>
      <c r="M13"/>
    </row>
    <row r="14" spans="1:13">
      <c r="B14" s="676" t="s">
        <v>659</v>
      </c>
      <c r="M14"/>
    </row>
    <row r="15" spans="1:13">
      <c r="B15" s="676" t="s">
        <v>660</v>
      </c>
      <c r="C15" s="685"/>
      <c r="D15" s="676"/>
      <c r="E15" s="676"/>
      <c r="F15" s="675"/>
      <c r="G15" s="676"/>
      <c r="H15" s="676"/>
      <c r="I15" s="675"/>
      <c r="J15" s="676"/>
      <c r="K15" s="676"/>
      <c r="L15" s="676"/>
      <c r="M15"/>
    </row>
    <row r="16" spans="1:13">
      <c r="B16" s="677"/>
      <c r="C16" s="685"/>
      <c r="D16" s="680"/>
      <c r="E16" s="680"/>
      <c r="F16" s="718"/>
      <c r="G16" s="680"/>
      <c r="H16" s="680"/>
      <c r="I16" s="718"/>
      <c r="J16" s="676"/>
      <c r="K16" s="676"/>
      <c r="L16" s="676"/>
      <c r="M16"/>
    </row>
    <row r="17" spans="1:13">
      <c r="C17" s="685"/>
      <c r="F17" s="718"/>
      <c r="G17" s="680"/>
      <c r="H17" s="680"/>
      <c r="J17" s="676"/>
      <c r="K17" s="676"/>
      <c r="L17" s="676"/>
      <c r="M17"/>
    </row>
    <row r="18" spans="1:13">
      <c r="C18" s="685"/>
      <c r="D18" s="680" t="s">
        <v>539</v>
      </c>
      <c r="E18" s="680"/>
      <c r="F18" s="718"/>
      <c r="G18" s="680"/>
      <c r="H18" s="680"/>
      <c r="I18" s="680" t="s">
        <v>895</v>
      </c>
      <c r="J18" s="676"/>
      <c r="K18" s="676"/>
      <c r="L18" s="676"/>
      <c r="M18"/>
    </row>
    <row r="19" spans="1:13">
      <c r="B19" s="676"/>
      <c r="C19" s="685"/>
      <c r="D19" s="680" t="s">
        <v>666</v>
      </c>
      <c r="E19" s="680"/>
      <c r="F19" s="718"/>
      <c r="G19" s="680"/>
      <c r="H19" s="680"/>
      <c r="I19" s="680" t="s">
        <v>893</v>
      </c>
      <c r="J19" s="676"/>
      <c r="K19" s="676"/>
      <c r="L19" s="676"/>
      <c r="M19"/>
    </row>
    <row r="20" spans="1:13" ht="13.5" thickBot="1">
      <c r="B20" s="677"/>
      <c r="C20" s="685"/>
      <c r="D20" s="681" t="s">
        <v>887</v>
      </c>
      <c r="E20" s="681"/>
      <c r="F20" s="1351"/>
      <c r="G20" s="680"/>
      <c r="H20" s="680"/>
      <c r="I20" s="680" t="s">
        <v>894</v>
      </c>
      <c r="J20" s="676"/>
      <c r="K20" s="676"/>
      <c r="L20" s="676"/>
      <c r="M20"/>
    </row>
    <row r="21" spans="1:13">
      <c r="B21" s="682" t="s">
        <v>148</v>
      </c>
      <c r="C21" s="1352"/>
      <c r="D21" s="1954" t="s">
        <v>486</v>
      </c>
      <c r="E21" s="1955"/>
      <c r="F21" s="1956"/>
      <c r="G21" s="1957" t="s">
        <v>667</v>
      </c>
      <c r="H21" s="1958"/>
      <c r="I21" s="1959"/>
      <c r="J21" s="1354"/>
      <c r="K21" s="682"/>
      <c r="L21" s="1447"/>
      <c r="M21" s="1449"/>
    </row>
    <row r="22" spans="1:13">
      <c r="A22" s="685"/>
      <c r="B22" s="686"/>
      <c r="C22" s="690"/>
      <c r="D22" s="687"/>
      <c r="E22" s="717"/>
      <c r="F22" s="1353"/>
      <c r="G22" s="688"/>
      <c r="H22" s="717"/>
      <c r="I22" s="1353"/>
      <c r="J22" s="1355"/>
      <c r="K22" s="686"/>
      <c r="L22" s="692"/>
      <c r="M22" s="435"/>
    </row>
    <row r="23" spans="1:13">
      <c r="A23" s="670">
        <v>5</v>
      </c>
      <c r="B23" s="686" t="s">
        <v>668</v>
      </c>
      <c r="C23" s="690"/>
      <c r="D23" s="1420">
        <v>0</v>
      </c>
      <c r="E23" s="690"/>
      <c r="F23" s="691"/>
      <c r="G23" s="1420">
        <v>0</v>
      </c>
      <c r="H23" s="690"/>
      <c r="I23" s="691"/>
      <c r="J23" s="1355"/>
      <c r="K23" s="686"/>
      <c r="L23" s="692"/>
      <c r="M23" s="435"/>
    </row>
    <row r="24" spans="1:13">
      <c r="A24" s="670">
        <v>6</v>
      </c>
      <c r="B24" s="686" t="s">
        <v>669</v>
      </c>
      <c r="C24" s="690"/>
      <c r="D24" s="1420">
        <v>0</v>
      </c>
      <c r="E24" s="690"/>
      <c r="F24" s="691"/>
      <c r="G24" s="1420">
        <v>0</v>
      </c>
      <c r="H24" s="690"/>
      <c r="I24" s="691"/>
      <c r="J24" s="1355"/>
      <c r="K24" s="686"/>
      <c r="L24" s="692"/>
      <c r="M24" s="435"/>
    </row>
    <row r="25" spans="1:13">
      <c r="A25" s="670">
        <v>7</v>
      </c>
      <c r="B25" s="686" t="s">
        <v>670</v>
      </c>
      <c r="C25" s="690"/>
      <c r="D25" s="1421">
        <v>50</v>
      </c>
      <c r="E25" s="775"/>
      <c r="F25" s="776"/>
      <c r="G25" s="1420">
        <v>0</v>
      </c>
      <c r="H25" s="690"/>
      <c r="I25" s="691"/>
      <c r="J25" s="1355"/>
      <c r="K25" s="686"/>
      <c r="L25" s="692"/>
      <c r="M25" s="435"/>
    </row>
    <row r="26" spans="1:13">
      <c r="A26" s="670">
        <v>8</v>
      </c>
      <c r="B26" s="686" t="s">
        <v>490</v>
      </c>
      <c r="C26" s="690"/>
      <c r="D26" s="1422">
        <f>+J8</f>
        <v>0.1161740515258332</v>
      </c>
      <c r="E26" s="692"/>
      <c r="F26" s="693"/>
      <c r="G26" s="1422">
        <f>+J8</f>
        <v>0.1161740515258332</v>
      </c>
      <c r="H26" s="692"/>
      <c r="I26" s="693"/>
      <c r="J26" s="1355"/>
      <c r="K26" s="686"/>
      <c r="L26" s="692"/>
      <c r="M26" s="435"/>
    </row>
    <row r="27" spans="1:13">
      <c r="A27" s="670">
        <v>9</v>
      </c>
      <c r="B27" s="686" t="s">
        <v>671</v>
      </c>
      <c r="C27" s="690"/>
      <c r="D27" s="1422">
        <f>+D25/100*J10+D26</f>
        <v>0.11931794920028331</v>
      </c>
      <c r="E27" s="692"/>
      <c r="F27" s="693"/>
      <c r="G27" s="1422">
        <f>+G25/100*J10+G26</f>
        <v>0.1161740515258332</v>
      </c>
      <c r="H27" s="692"/>
      <c r="I27" s="693"/>
      <c r="J27" s="1355"/>
      <c r="K27" s="686"/>
      <c r="L27" s="692"/>
      <c r="M27" s="435"/>
    </row>
    <row r="28" spans="1:13">
      <c r="A28" s="670">
        <v>10</v>
      </c>
      <c r="B28" s="686" t="s">
        <v>896</v>
      </c>
      <c r="C28" s="690"/>
      <c r="D28" s="694">
        <v>0</v>
      </c>
      <c r="E28" s="662"/>
      <c r="F28" s="693"/>
      <c r="G28" s="694"/>
      <c r="H28" s="662"/>
      <c r="I28" s="693"/>
      <c r="J28" s="1355"/>
      <c r="K28" s="686"/>
      <c r="L28" s="692"/>
      <c r="M28" s="435"/>
    </row>
    <row r="29" spans="1:13">
      <c r="A29" s="670">
        <v>11</v>
      </c>
      <c r="B29" s="689" t="s">
        <v>672</v>
      </c>
      <c r="C29" s="690"/>
      <c r="D29" s="694">
        <v>0</v>
      </c>
      <c r="E29" s="662"/>
      <c r="F29" s="693"/>
      <c r="G29" s="694">
        <v>0</v>
      </c>
      <c r="H29" s="662"/>
      <c r="I29" s="693"/>
      <c r="J29" s="1355"/>
      <c r="K29" s="686"/>
      <c r="L29" s="692"/>
      <c r="M29" s="435"/>
    </row>
    <row r="30" spans="1:13" ht="13.5" thickBot="1">
      <c r="B30" s="695"/>
      <c r="C30" s="1357"/>
      <c r="D30" s="696"/>
      <c r="E30" s="662"/>
      <c r="F30" s="698"/>
      <c r="G30" s="696"/>
      <c r="H30" s="697"/>
      <c r="I30" s="698"/>
      <c r="J30" s="1358"/>
      <c r="K30" s="1359"/>
      <c r="L30" s="1448"/>
      <c r="M30" s="1454"/>
    </row>
    <row r="31" spans="1:13" ht="25.5">
      <c r="A31" s="670">
        <f>+A29+1</f>
        <v>12</v>
      </c>
      <c r="B31" s="684"/>
      <c r="C31" s="700" t="s">
        <v>673</v>
      </c>
      <c r="D31" s="1360" t="s">
        <v>896</v>
      </c>
      <c r="E31" s="1456" t="s">
        <v>496</v>
      </c>
      <c r="F31" s="699" t="s">
        <v>888</v>
      </c>
      <c r="G31" s="1360" t="s">
        <v>896</v>
      </c>
      <c r="H31" s="1456" t="s">
        <v>496</v>
      </c>
      <c r="I31" s="699" t="s">
        <v>888</v>
      </c>
      <c r="J31" s="700" t="s">
        <v>972</v>
      </c>
      <c r="K31" s="1450" t="s">
        <v>889</v>
      </c>
      <c r="L31" s="1360" t="s">
        <v>890</v>
      </c>
      <c r="M31" s="1455" t="s">
        <v>891</v>
      </c>
    </row>
    <row r="32" spans="1:13">
      <c r="A32" s="670">
        <f>+A31+1</f>
        <v>13</v>
      </c>
      <c r="B32" s="689" t="s">
        <v>490</v>
      </c>
      <c r="C32" s="1361">
        <v>2010</v>
      </c>
      <c r="D32" s="702">
        <f>+D28</f>
        <v>0</v>
      </c>
      <c r="E32" s="1457">
        <v>0</v>
      </c>
      <c r="F32" s="693">
        <f>+D32*D$26+E32</f>
        <v>0</v>
      </c>
      <c r="G32" s="702">
        <f>+G28</f>
        <v>0</v>
      </c>
      <c r="H32" s="1457">
        <v>0</v>
      </c>
      <c r="I32" s="693">
        <f>+G32*G$26+H32</f>
        <v>0</v>
      </c>
      <c r="J32" s="1362">
        <f>+F32+I32</f>
        <v>0</v>
      </c>
      <c r="K32" s="686"/>
      <c r="L32" s="1363">
        <f>J32</f>
        <v>0</v>
      </c>
      <c r="M32" s="1452">
        <f>+L32-K33</f>
        <v>0</v>
      </c>
    </row>
    <row r="33" spans="1:13">
      <c r="A33" s="670">
        <f t="shared" ref="A33:A73" si="0">+A32+1</f>
        <v>14</v>
      </c>
      <c r="B33" s="689" t="s">
        <v>674</v>
      </c>
      <c r="C33" s="1361">
        <v>2010</v>
      </c>
      <c r="D33" s="702">
        <f>+D32</f>
        <v>0</v>
      </c>
      <c r="E33" s="662">
        <v>0</v>
      </c>
      <c r="F33" s="693">
        <f>+D33*D$27+E33</f>
        <v>0</v>
      </c>
      <c r="G33" s="702">
        <f>+G32</f>
        <v>0</v>
      </c>
      <c r="H33" s="662">
        <v>0</v>
      </c>
      <c r="I33" s="693">
        <f>+G33*G$27+H33</f>
        <v>0</v>
      </c>
      <c r="J33" s="1362">
        <f t="shared" ref="J33:J71" si="1">+F33+I33</f>
        <v>0</v>
      </c>
      <c r="K33" s="1451">
        <f>J33</f>
        <v>0</v>
      </c>
      <c r="L33" s="692"/>
      <c r="M33" s="1452"/>
    </row>
    <row r="34" spans="1:13">
      <c r="A34" s="670">
        <f t="shared" si="0"/>
        <v>15</v>
      </c>
      <c r="B34" s="689" t="s">
        <v>490</v>
      </c>
      <c r="C34" s="701">
        <f>+C32+1</f>
        <v>2011</v>
      </c>
      <c r="D34" s="702">
        <v>0</v>
      </c>
      <c r="E34" s="702">
        <v>0</v>
      </c>
      <c r="F34" s="693">
        <f>+D34*D$26+E34</f>
        <v>0</v>
      </c>
      <c r="G34" s="702">
        <v>0</v>
      </c>
      <c r="H34" s="702">
        <v>0</v>
      </c>
      <c r="I34" s="693">
        <f>+G34*G$26+H34</f>
        <v>0</v>
      </c>
      <c r="J34" s="1362">
        <f t="shared" si="1"/>
        <v>0</v>
      </c>
      <c r="K34" s="689"/>
      <c r="L34" s="1363">
        <f>J34</f>
        <v>0</v>
      </c>
      <c r="M34" s="1452">
        <f>+L34-K35</f>
        <v>0</v>
      </c>
    </row>
    <row r="35" spans="1:13">
      <c r="A35" s="670">
        <f t="shared" si="0"/>
        <v>16</v>
      </c>
      <c r="B35" s="689" t="s">
        <v>674</v>
      </c>
      <c r="C35" s="701">
        <f>+C34</f>
        <v>2011</v>
      </c>
      <c r="D35" s="702">
        <v>0</v>
      </c>
      <c r="E35" s="702">
        <v>0</v>
      </c>
      <c r="F35" s="693">
        <f>+D35*D$27+E35</f>
        <v>0</v>
      </c>
      <c r="G35" s="702">
        <v>0</v>
      </c>
      <c r="H35" s="702">
        <v>0</v>
      </c>
      <c r="I35" s="693">
        <f>+G35*G$27+H35</f>
        <v>0</v>
      </c>
      <c r="J35" s="1362">
        <f t="shared" si="1"/>
        <v>0</v>
      </c>
      <c r="K35" s="1451">
        <f>J35</f>
        <v>0</v>
      </c>
      <c r="L35" s="704"/>
      <c r="M35" s="1452"/>
    </row>
    <row r="36" spans="1:13">
      <c r="A36" s="670">
        <f t="shared" si="0"/>
        <v>17</v>
      </c>
      <c r="B36" s="689" t="s">
        <v>490</v>
      </c>
      <c r="C36" s="701">
        <f>+C34+1</f>
        <v>2012</v>
      </c>
      <c r="D36" s="702">
        <v>0</v>
      </c>
      <c r="E36" s="702">
        <v>0</v>
      </c>
      <c r="F36" s="693">
        <f>+D36*D$26+E36</f>
        <v>0</v>
      </c>
      <c r="G36" s="702">
        <v>0</v>
      </c>
      <c r="H36" s="702">
        <v>0</v>
      </c>
      <c r="I36" s="693">
        <f>+G36*G$26+H36</f>
        <v>0</v>
      </c>
      <c r="J36" s="1362">
        <f t="shared" si="1"/>
        <v>0</v>
      </c>
      <c r="K36" s="689"/>
      <c r="L36" s="1363">
        <f>J36</f>
        <v>0</v>
      </c>
      <c r="M36" s="1452">
        <f>+K37-L36</f>
        <v>0</v>
      </c>
    </row>
    <row r="37" spans="1:13">
      <c r="A37" s="670">
        <f t="shared" si="0"/>
        <v>18</v>
      </c>
      <c r="B37" s="689" t="s">
        <v>674</v>
      </c>
      <c r="C37" s="701">
        <f>+C36</f>
        <v>2012</v>
      </c>
      <c r="D37" s="702">
        <v>0</v>
      </c>
      <c r="E37" s="702">
        <v>0</v>
      </c>
      <c r="F37" s="693">
        <f>+D37*D$27+E37</f>
        <v>0</v>
      </c>
      <c r="G37" s="702">
        <v>0</v>
      </c>
      <c r="H37" s="702">
        <v>0</v>
      </c>
      <c r="I37" s="693">
        <f>+G37*G$27+H37</f>
        <v>0</v>
      </c>
      <c r="J37" s="1362">
        <f t="shared" si="1"/>
        <v>0</v>
      </c>
      <c r="K37" s="1451">
        <f>J37</f>
        <v>0</v>
      </c>
      <c r="L37" s="704"/>
      <c r="M37" s="1452"/>
    </row>
    <row r="38" spans="1:13">
      <c r="A38" s="670">
        <f t="shared" si="0"/>
        <v>19</v>
      </c>
      <c r="B38" s="689" t="s">
        <v>490</v>
      </c>
      <c r="C38" s="701">
        <f>+C36+1</f>
        <v>2013</v>
      </c>
      <c r="D38" s="702">
        <v>0</v>
      </c>
      <c r="E38" s="702">
        <v>0</v>
      </c>
      <c r="F38" s="693">
        <f>+D38*D$26+E38</f>
        <v>0</v>
      </c>
      <c r="G38" s="702">
        <v>0</v>
      </c>
      <c r="H38" s="702">
        <v>0</v>
      </c>
      <c r="I38" s="693">
        <f>+G38*G$26+H38</f>
        <v>0</v>
      </c>
      <c r="J38" s="1362">
        <f t="shared" si="1"/>
        <v>0</v>
      </c>
      <c r="K38" s="689"/>
      <c r="L38" s="1363">
        <f>J38</f>
        <v>0</v>
      </c>
      <c r="M38" s="1452">
        <f>+K39-L38</f>
        <v>0</v>
      </c>
    </row>
    <row r="39" spans="1:13">
      <c r="A39" s="670">
        <f t="shared" si="0"/>
        <v>20</v>
      </c>
      <c r="B39" s="689" t="s">
        <v>674</v>
      </c>
      <c r="C39" s="701">
        <f>+C38</f>
        <v>2013</v>
      </c>
      <c r="D39" s="702">
        <v>0</v>
      </c>
      <c r="E39" s="702">
        <v>0</v>
      </c>
      <c r="F39" s="693">
        <f>+D39*D$27+E39</f>
        <v>0</v>
      </c>
      <c r="G39" s="702">
        <v>0</v>
      </c>
      <c r="H39" s="702">
        <v>0</v>
      </c>
      <c r="I39" s="693">
        <f>+G39*G$27+H39</f>
        <v>0</v>
      </c>
      <c r="J39" s="1362">
        <f t="shared" si="1"/>
        <v>0</v>
      </c>
      <c r="K39" s="1451">
        <f>J39</f>
        <v>0</v>
      </c>
      <c r="L39" s="704"/>
      <c r="M39" s="1452"/>
    </row>
    <row r="40" spans="1:13">
      <c r="A40" s="670">
        <f t="shared" si="0"/>
        <v>21</v>
      </c>
      <c r="B40" s="689" t="s">
        <v>490</v>
      </c>
      <c r="C40" s="701">
        <f>+C38+1</f>
        <v>2014</v>
      </c>
      <c r="D40" s="702">
        <v>0</v>
      </c>
      <c r="E40" s="702">
        <v>0</v>
      </c>
      <c r="F40" s="693">
        <f>+D40*D$26+E40</f>
        <v>0</v>
      </c>
      <c r="G40" s="702">
        <v>0</v>
      </c>
      <c r="H40" s="702">
        <v>0</v>
      </c>
      <c r="I40" s="693">
        <f>+G40*G$26+H40</f>
        <v>0</v>
      </c>
      <c r="J40" s="1362">
        <f t="shared" si="1"/>
        <v>0</v>
      </c>
      <c r="K40" s="689"/>
      <c r="L40" s="1363">
        <f>J40</f>
        <v>0</v>
      </c>
      <c r="M40" s="1452">
        <f>+K41-L40</f>
        <v>0</v>
      </c>
    </row>
    <row r="41" spans="1:13">
      <c r="A41" s="670">
        <f t="shared" si="0"/>
        <v>22</v>
      </c>
      <c r="B41" s="689" t="s">
        <v>674</v>
      </c>
      <c r="C41" s="701">
        <f>+C40</f>
        <v>2014</v>
      </c>
      <c r="D41" s="702">
        <v>0</v>
      </c>
      <c r="E41" s="702">
        <v>0</v>
      </c>
      <c r="F41" s="693">
        <f>+D41*D$27+E41</f>
        <v>0</v>
      </c>
      <c r="G41" s="702">
        <v>0</v>
      </c>
      <c r="H41" s="702">
        <v>0</v>
      </c>
      <c r="I41" s="693">
        <f>+G41*G$27+H41</f>
        <v>0</v>
      </c>
      <c r="J41" s="1362">
        <f t="shared" si="1"/>
        <v>0</v>
      </c>
      <c r="K41" s="1451">
        <f>J41</f>
        <v>0</v>
      </c>
      <c r="L41" s="704"/>
      <c r="M41" s="1452"/>
    </row>
    <row r="42" spans="1:13">
      <c r="A42" s="670">
        <f t="shared" si="0"/>
        <v>23</v>
      </c>
      <c r="B42" s="689" t="s">
        <v>490</v>
      </c>
      <c r="C42" s="701">
        <f>+C40+1</f>
        <v>2015</v>
      </c>
      <c r="D42" s="702">
        <v>0</v>
      </c>
      <c r="E42" s="702">
        <v>0</v>
      </c>
      <c r="F42" s="693">
        <f>+D42*D$26+E42</f>
        <v>0</v>
      </c>
      <c r="G42" s="702">
        <v>0</v>
      </c>
      <c r="H42" s="702">
        <v>0</v>
      </c>
      <c r="I42" s="693">
        <f>+G42*G$26+H42</f>
        <v>0</v>
      </c>
      <c r="J42" s="1362">
        <f t="shared" si="1"/>
        <v>0</v>
      </c>
      <c r="K42" s="689"/>
      <c r="L42" s="1363">
        <f>J42</f>
        <v>0</v>
      </c>
      <c r="M42" s="1452">
        <f>+K43-L42</f>
        <v>0</v>
      </c>
    </row>
    <row r="43" spans="1:13">
      <c r="A43" s="670">
        <f t="shared" si="0"/>
        <v>24</v>
      </c>
      <c r="B43" s="689" t="s">
        <v>674</v>
      </c>
      <c r="C43" s="701">
        <f>+C42</f>
        <v>2015</v>
      </c>
      <c r="D43" s="702">
        <v>0</v>
      </c>
      <c r="E43" s="702">
        <v>0</v>
      </c>
      <c r="F43" s="693">
        <f>+D43*D$27+E43</f>
        <v>0</v>
      </c>
      <c r="G43" s="702">
        <v>0</v>
      </c>
      <c r="H43" s="702">
        <v>0</v>
      </c>
      <c r="I43" s="693">
        <f>+G43*G$27+H43</f>
        <v>0</v>
      </c>
      <c r="J43" s="1362">
        <f t="shared" si="1"/>
        <v>0</v>
      </c>
      <c r="K43" s="1451">
        <f>J43</f>
        <v>0</v>
      </c>
      <c r="L43" s="704"/>
      <c r="M43" s="1452"/>
    </row>
    <row r="44" spans="1:13">
      <c r="A44" s="670">
        <f t="shared" si="0"/>
        <v>25</v>
      </c>
      <c r="B44" s="689" t="s">
        <v>490</v>
      </c>
      <c r="C44" s="701">
        <f>+C42+1</f>
        <v>2016</v>
      </c>
      <c r="D44" s="702">
        <v>0</v>
      </c>
      <c r="E44" s="702">
        <v>0</v>
      </c>
      <c r="F44" s="693">
        <f>+D44*D$26+E44</f>
        <v>0</v>
      </c>
      <c r="G44" s="702">
        <v>0</v>
      </c>
      <c r="H44" s="702">
        <v>0</v>
      </c>
      <c r="I44" s="693">
        <f>+G44*G$26+H44</f>
        <v>0</v>
      </c>
      <c r="J44" s="1362">
        <f t="shared" si="1"/>
        <v>0</v>
      </c>
      <c r="K44" s="689"/>
      <c r="L44" s="1363">
        <f>J44</f>
        <v>0</v>
      </c>
      <c r="M44" s="1452">
        <f>+K45-L44</f>
        <v>0</v>
      </c>
    </row>
    <row r="45" spans="1:13">
      <c r="A45" s="670">
        <f t="shared" si="0"/>
        <v>26</v>
      </c>
      <c r="B45" s="689" t="s">
        <v>674</v>
      </c>
      <c r="C45" s="701">
        <f>+C44</f>
        <v>2016</v>
      </c>
      <c r="D45" s="702">
        <v>0</v>
      </c>
      <c r="E45" s="702">
        <v>0</v>
      </c>
      <c r="F45" s="693">
        <f>+D45*D$27+E45</f>
        <v>0</v>
      </c>
      <c r="G45" s="702">
        <v>0</v>
      </c>
      <c r="H45" s="702">
        <v>0</v>
      </c>
      <c r="I45" s="693">
        <f>+G45*G$27+H45</f>
        <v>0</v>
      </c>
      <c r="J45" s="1362">
        <f t="shared" si="1"/>
        <v>0</v>
      </c>
      <c r="K45" s="1451">
        <f>J45</f>
        <v>0</v>
      </c>
      <c r="L45" s="704"/>
      <c r="M45" s="1452"/>
    </row>
    <row r="46" spans="1:13">
      <c r="A46" s="670">
        <f t="shared" si="0"/>
        <v>27</v>
      </c>
      <c r="B46" s="689" t="s">
        <v>490</v>
      </c>
      <c r="C46" s="701">
        <f>+C44+1</f>
        <v>2017</v>
      </c>
      <c r="D46" s="702">
        <v>0</v>
      </c>
      <c r="E46" s="702">
        <v>0</v>
      </c>
      <c r="F46" s="693">
        <f>+D46*D$26+E46</f>
        <v>0</v>
      </c>
      <c r="G46" s="702">
        <v>0</v>
      </c>
      <c r="H46" s="702">
        <v>0</v>
      </c>
      <c r="I46" s="693">
        <f>+G46*G$26+H46</f>
        <v>0</v>
      </c>
      <c r="J46" s="1362">
        <f t="shared" si="1"/>
        <v>0</v>
      </c>
      <c r="K46" s="689"/>
      <c r="L46" s="1363">
        <f>J46</f>
        <v>0</v>
      </c>
      <c r="M46" s="1452">
        <f>+K47-L46</f>
        <v>0</v>
      </c>
    </row>
    <row r="47" spans="1:13">
      <c r="A47" s="670">
        <f t="shared" si="0"/>
        <v>28</v>
      </c>
      <c r="B47" s="689" t="s">
        <v>674</v>
      </c>
      <c r="C47" s="701">
        <f>+C46</f>
        <v>2017</v>
      </c>
      <c r="D47" s="702">
        <v>0</v>
      </c>
      <c r="E47" s="702">
        <v>0</v>
      </c>
      <c r="F47" s="693">
        <f>+D47*D$27+E47</f>
        <v>0</v>
      </c>
      <c r="G47" s="702">
        <v>0</v>
      </c>
      <c r="H47" s="702">
        <v>0</v>
      </c>
      <c r="I47" s="693">
        <f>+G47*G$27+H47</f>
        <v>0</v>
      </c>
      <c r="J47" s="1362">
        <f t="shared" si="1"/>
        <v>0</v>
      </c>
      <c r="K47" s="1451">
        <f>J47</f>
        <v>0</v>
      </c>
      <c r="L47" s="704"/>
      <c r="M47" s="1452"/>
    </row>
    <row r="48" spans="1:13">
      <c r="A48" s="670">
        <f t="shared" si="0"/>
        <v>29</v>
      </c>
      <c r="B48" s="689" t="s">
        <v>490</v>
      </c>
      <c r="C48" s="701">
        <f>+C46+1</f>
        <v>2018</v>
      </c>
      <c r="D48" s="702">
        <v>0</v>
      </c>
      <c r="E48" s="702">
        <v>0</v>
      </c>
      <c r="F48" s="693">
        <f>+D48*D$26+E48</f>
        <v>0</v>
      </c>
      <c r="G48" s="702">
        <v>0</v>
      </c>
      <c r="H48" s="702">
        <v>0</v>
      </c>
      <c r="I48" s="693">
        <f>+G48*G$26+H48</f>
        <v>0</v>
      </c>
      <c r="J48" s="1362">
        <f t="shared" si="1"/>
        <v>0</v>
      </c>
      <c r="K48" s="689"/>
      <c r="L48" s="1363">
        <f>J48</f>
        <v>0</v>
      </c>
      <c r="M48" s="1452">
        <f>+K49-L48</f>
        <v>0</v>
      </c>
    </row>
    <row r="49" spans="1:13">
      <c r="A49" s="670">
        <f t="shared" si="0"/>
        <v>30</v>
      </c>
      <c r="B49" s="689" t="s">
        <v>674</v>
      </c>
      <c r="C49" s="701">
        <f>+C48</f>
        <v>2018</v>
      </c>
      <c r="D49" s="702">
        <v>0</v>
      </c>
      <c r="E49" s="702">
        <v>0</v>
      </c>
      <c r="F49" s="693">
        <f>+D49*D$27+E49</f>
        <v>0</v>
      </c>
      <c r="G49" s="702">
        <v>0</v>
      </c>
      <c r="H49" s="702">
        <v>0</v>
      </c>
      <c r="I49" s="693">
        <f>+G49*G$27+H49</f>
        <v>0</v>
      </c>
      <c r="J49" s="1362">
        <f t="shared" si="1"/>
        <v>0</v>
      </c>
      <c r="K49" s="1451">
        <f>J49</f>
        <v>0</v>
      </c>
      <c r="L49" s="704"/>
      <c r="M49" s="1452"/>
    </row>
    <row r="50" spans="1:13">
      <c r="A50" s="670">
        <f t="shared" si="0"/>
        <v>31</v>
      </c>
      <c r="B50" s="689" t="s">
        <v>490</v>
      </c>
      <c r="C50" s="701">
        <f>+C48+1</f>
        <v>2019</v>
      </c>
      <c r="D50" s="702">
        <v>0</v>
      </c>
      <c r="E50" s="702">
        <v>0</v>
      </c>
      <c r="F50" s="693">
        <f>+D50*D$26+E50</f>
        <v>0</v>
      </c>
      <c r="G50" s="702">
        <v>0</v>
      </c>
      <c r="H50" s="702">
        <v>0</v>
      </c>
      <c r="I50" s="693">
        <f>+G50*G$26+H50</f>
        <v>0</v>
      </c>
      <c r="J50" s="1362">
        <f t="shared" si="1"/>
        <v>0</v>
      </c>
      <c r="K50" s="689"/>
      <c r="L50" s="1363">
        <f>J50</f>
        <v>0</v>
      </c>
      <c r="M50" s="1452">
        <f>+K51-L50</f>
        <v>0</v>
      </c>
    </row>
    <row r="51" spans="1:13">
      <c r="A51" s="670">
        <f t="shared" si="0"/>
        <v>32</v>
      </c>
      <c r="B51" s="689" t="s">
        <v>674</v>
      </c>
      <c r="C51" s="701">
        <f>+C50</f>
        <v>2019</v>
      </c>
      <c r="D51" s="702">
        <v>0</v>
      </c>
      <c r="E51" s="702">
        <v>0</v>
      </c>
      <c r="F51" s="693">
        <f>+D51*D$27+E51</f>
        <v>0</v>
      </c>
      <c r="G51" s="702">
        <v>0</v>
      </c>
      <c r="H51" s="702">
        <v>0</v>
      </c>
      <c r="I51" s="693">
        <f>+G51*G$27+H51</f>
        <v>0</v>
      </c>
      <c r="J51" s="1362">
        <f t="shared" si="1"/>
        <v>0</v>
      </c>
      <c r="K51" s="1451">
        <f>J51</f>
        <v>0</v>
      </c>
      <c r="L51" s="704"/>
      <c r="M51" s="1452"/>
    </row>
    <row r="52" spans="1:13">
      <c r="A52" s="670">
        <f t="shared" si="0"/>
        <v>33</v>
      </c>
      <c r="B52" s="689" t="s">
        <v>490</v>
      </c>
      <c r="C52" s="701">
        <f>+C50+1</f>
        <v>2020</v>
      </c>
      <c r="D52" s="702">
        <v>0</v>
      </c>
      <c r="E52" s="702">
        <v>0</v>
      </c>
      <c r="F52" s="693">
        <f>+D52*D$26+E52</f>
        <v>0</v>
      </c>
      <c r="G52" s="702">
        <v>0</v>
      </c>
      <c r="H52" s="702">
        <v>0</v>
      </c>
      <c r="I52" s="693">
        <f>+G52*G$26+H52</f>
        <v>0</v>
      </c>
      <c r="J52" s="1362">
        <f t="shared" si="1"/>
        <v>0</v>
      </c>
      <c r="K52" s="689"/>
      <c r="L52" s="1363">
        <f>J52</f>
        <v>0</v>
      </c>
      <c r="M52" s="1452">
        <f>+K53-L52</f>
        <v>0</v>
      </c>
    </row>
    <row r="53" spans="1:13">
      <c r="A53" s="670">
        <f t="shared" si="0"/>
        <v>34</v>
      </c>
      <c r="B53" s="689" t="s">
        <v>674</v>
      </c>
      <c r="C53" s="701">
        <f>+C52</f>
        <v>2020</v>
      </c>
      <c r="D53" s="702">
        <v>0</v>
      </c>
      <c r="E53" s="702">
        <v>0</v>
      </c>
      <c r="F53" s="693">
        <f>+D53*D$27+E53</f>
        <v>0</v>
      </c>
      <c r="G53" s="702">
        <v>0</v>
      </c>
      <c r="H53" s="702">
        <v>0</v>
      </c>
      <c r="I53" s="693">
        <f>+G53*G$27+H53</f>
        <v>0</v>
      </c>
      <c r="J53" s="1362">
        <f t="shared" si="1"/>
        <v>0</v>
      </c>
      <c r="K53" s="1451">
        <f>J53</f>
        <v>0</v>
      </c>
      <c r="L53" s="704"/>
      <c r="M53" s="1452"/>
    </row>
    <row r="54" spans="1:13">
      <c r="A54" s="670">
        <f t="shared" si="0"/>
        <v>35</v>
      </c>
      <c r="B54" s="689" t="s">
        <v>490</v>
      </c>
      <c r="C54" s="701">
        <f>+C52+1</f>
        <v>2021</v>
      </c>
      <c r="D54" s="702">
        <v>0</v>
      </c>
      <c r="E54" s="702">
        <v>0</v>
      </c>
      <c r="F54" s="693">
        <f>+D54*D$26+E54</f>
        <v>0</v>
      </c>
      <c r="G54" s="702">
        <v>0</v>
      </c>
      <c r="H54" s="702">
        <v>0</v>
      </c>
      <c r="I54" s="693">
        <f>+G54*G$26+H54</f>
        <v>0</v>
      </c>
      <c r="J54" s="1362">
        <f t="shared" si="1"/>
        <v>0</v>
      </c>
      <c r="K54" s="689"/>
      <c r="L54" s="1363">
        <f>J54</f>
        <v>0</v>
      </c>
      <c r="M54" s="1452">
        <f>+K55-L54</f>
        <v>0</v>
      </c>
    </row>
    <row r="55" spans="1:13">
      <c r="A55" s="670">
        <f t="shared" si="0"/>
        <v>36</v>
      </c>
      <c r="B55" s="689" t="s">
        <v>674</v>
      </c>
      <c r="C55" s="701">
        <f>+C54</f>
        <v>2021</v>
      </c>
      <c r="D55" s="702">
        <v>0</v>
      </c>
      <c r="E55" s="702">
        <v>0</v>
      </c>
      <c r="F55" s="693">
        <f>+D55*D$27+E55</f>
        <v>0</v>
      </c>
      <c r="G55" s="702">
        <v>0</v>
      </c>
      <c r="H55" s="702">
        <v>0</v>
      </c>
      <c r="I55" s="693">
        <f>+G55*G$27+H55</f>
        <v>0</v>
      </c>
      <c r="J55" s="1362">
        <f t="shared" si="1"/>
        <v>0</v>
      </c>
      <c r="K55" s="1451">
        <f>J55</f>
        <v>0</v>
      </c>
      <c r="L55" s="704"/>
      <c r="M55" s="1452"/>
    </row>
    <row r="56" spans="1:13">
      <c r="A56" s="670">
        <f t="shared" si="0"/>
        <v>37</v>
      </c>
      <c r="B56" s="689" t="s">
        <v>490</v>
      </c>
      <c r="C56" s="701">
        <f>+C54+1</f>
        <v>2022</v>
      </c>
      <c r="D56" s="702">
        <v>0</v>
      </c>
      <c r="E56" s="702">
        <v>0</v>
      </c>
      <c r="F56" s="693">
        <f>+D56*D$26+E56</f>
        <v>0</v>
      </c>
      <c r="G56" s="702">
        <v>0</v>
      </c>
      <c r="H56" s="702">
        <v>0</v>
      </c>
      <c r="I56" s="693">
        <f>+G56*G$26+H56</f>
        <v>0</v>
      </c>
      <c r="J56" s="1362">
        <f t="shared" si="1"/>
        <v>0</v>
      </c>
      <c r="K56" s="689"/>
      <c r="L56" s="1363">
        <f>J56</f>
        <v>0</v>
      </c>
      <c r="M56" s="1452">
        <f>+K57-L56</f>
        <v>0</v>
      </c>
    </row>
    <row r="57" spans="1:13">
      <c r="A57" s="670">
        <f t="shared" si="0"/>
        <v>38</v>
      </c>
      <c r="B57" s="689" t="s">
        <v>674</v>
      </c>
      <c r="C57" s="701">
        <f>+C56</f>
        <v>2022</v>
      </c>
      <c r="D57" s="702">
        <v>0</v>
      </c>
      <c r="E57" s="702">
        <v>0</v>
      </c>
      <c r="F57" s="693">
        <f>+D57*D$27+E57</f>
        <v>0</v>
      </c>
      <c r="G57" s="702">
        <v>0</v>
      </c>
      <c r="H57" s="702">
        <v>0</v>
      </c>
      <c r="I57" s="693">
        <f>+G57*G$27+H57</f>
        <v>0</v>
      </c>
      <c r="J57" s="1362">
        <f t="shared" si="1"/>
        <v>0</v>
      </c>
      <c r="K57" s="1451">
        <f>J57</f>
        <v>0</v>
      </c>
      <c r="L57" s="704"/>
      <c r="M57" s="1452"/>
    </row>
    <row r="58" spans="1:13">
      <c r="A58" s="670">
        <f t="shared" si="0"/>
        <v>39</v>
      </c>
      <c r="B58" s="689" t="s">
        <v>490</v>
      </c>
      <c r="C58" s="701">
        <f>+C56+1</f>
        <v>2023</v>
      </c>
      <c r="D58" s="702">
        <v>0</v>
      </c>
      <c r="E58" s="702">
        <v>0</v>
      </c>
      <c r="F58" s="693">
        <f>+D58*D$26+E58</f>
        <v>0</v>
      </c>
      <c r="G58" s="702">
        <v>0</v>
      </c>
      <c r="H58" s="702">
        <v>0</v>
      </c>
      <c r="I58" s="693">
        <f>+G58*G$26+H58</f>
        <v>0</v>
      </c>
      <c r="J58" s="1362">
        <f t="shared" si="1"/>
        <v>0</v>
      </c>
      <c r="K58" s="689"/>
      <c r="L58" s="1363">
        <f>J58</f>
        <v>0</v>
      </c>
      <c r="M58" s="1452">
        <f>+K59-L58</f>
        <v>0</v>
      </c>
    </row>
    <row r="59" spans="1:13">
      <c r="A59" s="670">
        <f t="shared" si="0"/>
        <v>40</v>
      </c>
      <c r="B59" s="689" t="s">
        <v>674</v>
      </c>
      <c r="C59" s="701">
        <f>+C58</f>
        <v>2023</v>
      </c>
      <c r="D59" s="702">
        <v>0</v>
      </c>
      <c r="E59" s="702">
        <v>0</v>
      </c>
      <c r="F59" s="693">
        <f>+D59*D$27+E59</f>
        <v>0</v>
      </c>
      <c r="G59" s="702">
        <v>0</v>
      </c>
      <c r="H59" s="702">
        <v>0</v>
      </c>
      <c r="I59" s="693">
        <f>+G59*G$27+H59</f>
        <v>0</v>
      </c>
      <c r="J59" s="1362">
        <f t="shared" si="1"/>
        <v>0</v>
      </c>
      <c r="K59" s="1451">
        <f>J59</f>
        <v>0</v>
      </c>
      <c r="L59" s="704"/>
      <c r="M59" s="1452"/>
    </row>
    <row r="60" spans="1:13">
      <c r="A60" s="670">
        <f t="shared" si="0"/>
        <v>41</v>
      </c>
      <c r="B60" s="689" t="s">
        <v>490</v>
      </c>
      <c r="C60" s="701">
        <f>+C58+1</f>
        <v>2024</v>
      </c>
      <c r="D60" s="702">
        <v>0</v>
      </c>
      <c r="E60" s="702">
        <v>0</v>
      </c>
      <c r="F60" s="693">
        <f>+D60*D$26+E60</f>
        <v>0</v>
      </c>
      <c r="G60" s="702">
        <v>0</v>
      </c>
      <c r="H60" s="702">
        <v>0</v>
      </c>
      <c r="I60" s="693">
        <f>+G60*G$26+H60</f>
        <v>0</v>
      </c>
      <c r="J60" s="1362">
        <f t="shared" si="1"/>
        <v>0</v>
      </c>
      <c r="K60" s="689"/>
      <c r="L60" s="1363">
        <f>J60</f>
        <v>0</v>
      </c>
      <c r="M60" s="1452">
        <f>+K61-L60</f>
        <v>0</v>
      </c>
    </row>
    <row r="61" spans="1:13">
      <c r="A61" s="670">
        <f t="shared" si="0"/>
        <v>42</v>
      </c>
      <c r="B61" s="689" t="s">
        <v>674</v>
      </c>
      <c r="C61" s="701">
        <f>+C60</f>
        <v>2024</v>
      </c>
      <c r="D61" s="702">
        <v>0</v>
      </c>
      <c r="E61" s="702">
        <v>0</v>
      </c>
      <c r="F61" s="693">
        <f>+D61*D$27+E61</f>
        <v>0</v>
      </c>
      <c r="G61" s="702">
        <v>0</v>
      </c>
      <c r="H61" s="702">
        <v>0</v>
      </c>
      <c r="I61" s="693">
        <f>+G61*G$27+H61</f>
        <v>0</v>
      </c>
      <c r="J61" s="1362">
        <f t="shared" si="1"/>
        <v>0</v>
      </c>
      <c r="K61" s="1451">
        <f>J61</f>
        <v>0</v>
      </c>
      <c r="L61" s="704"/>
      <c r="M61" s="1452"/>
    </row>
    <row r="62" spans="1:13">
      <c r="A62" s="670">
        <f t="shared" si="0"/>
        <v>43</v>
      </c>
      <c r="B62" s="689" t="s">
        <v>490</v>
      </c>
      <c r="C62" s="701">
        <f>+C60+1</f>
        <v>2025</v>
      </c>
      <c r="D62" s="702">
        <v>0</v>
      </c>
      <c r="E62" s="702">
        <v>0</v>
      </c>
      <c r="F62" s="693">
        <f>+D62*D$26+E62</f>
        <v>0</v>
      </c>
      <c r="G62" s="702">
        <v>0</v>
      </c>
      <c r="H62" s="702">
        <v>0</v>
      </c>
      <c r="I62" s="693">
        <f>+G62*G$26+H62</f>
        <v>0</v>
      </c>
      <c r="J62" s="1362">
        <f t="shared" si="1"/>
        <v>0</v>
      </c>
      <c r="K62" s="689"/>
      <c r="L62" s="1363">
        <f>J62</f>
        <v>0</v>
      </c>
      <c r="M62" s="1452">
        <f>+K63-L62</f>
        <v>0</v>
      </c>
    </row>
    <row r="63" spans="1:13">
      <c r="A63" s="670">
        <f t="shared" si="0"/>
        <v>44</v>
      </c>
      <c r="B63" s="689" t="s">
        <v>674</v>
      </c>
      <c r="C63" s="701">
        <f>+C62</f>
        <v>2025</v>
      </c>
      <c r="D63" s="702">
        <v>0</v>
      </c>
      <c r="E63" s="702">
        <v>0</v>
      </c>
      <c r="F63" s="693">
        <f>+D63*D$27+E63</f>
        <v>0</v>
      </c>
      <c r="G63" s="702">
        <v>0</v>
      </c>
      <c r="H63" s="702">
        <v>0</v>
      </c>
      <c r="I63" s="693">
        <f>+G63*G$27+H63</f>
        <v>0</v>
      </c>
      <c r="J63" s="1362">
        <f t="shared" si="1"/>
        <v>0</v>
      </c>
      <c r="K63" s="1451">
        <f>J63</f>
        <v>0</v>
      </c>
      <c r="L63" s="704"/>
      <c r="M63" s="1452"/>
    </row>
    <row r="64" spans="1:13">
      <c r="A64" s="670">
        <f t="shared" si="0"/>
        <v>45</v>
      </c>
      <c r="B64" s="689" t="s">
        <v>490</v>
      </c>
      <c r="C64" s="701">
        <f>+C62+1</f>
        <v>2026</v>
      </c>
      <c r="D64" s="702">
        <v>0</v>
      </c>
      <c r="E64" s="702">
        <v>0</v>
      </c>
      <c r="F64" s="693">
        <f>+D64*D$26+E64</f>
        <v>0</v>
      </c>
      <c r="G64" s="702">
        <v>0</v>
      </c>
      <c r="H64" s="702">
        <v>0</v>
      </c>
      <c r="I64" s="693">
        <f>+G64*G$26+H64</f>
        <v>0</v>
      </c>
      <c r="J64" s="1362">
        <f t="shared" si="1"/>
        <v>0</v>
      </c>
      <c r="K64" s="689"/>
      <c r="L64" s="1363">
        <f>J64</f>
        <v>0</v>
      </c>
      <c r="M64" s="1452">
        <f>+K65-L64</f>
        <v>0</v>
      </c>
    </row>
    <row r="65" spans="1:13">
      <c r="A65" s="670">
        <f t="shared" si="0"/>
        <v>46</v>
      </c>
      <c r="B65" s="689" t="s">
        <v>674</v>
      </c>
      <c r="C65" s="701">
        <f>+C64</f>
        <v>2026</v>
      </c>
      <c r="D65" s="702">
        <v>0</v>
      </c>
      <c r="E65" s="702">
        <v>0</v>
      </c>
      <c r="F65" s="693">
        <f>+D65*D$27+E65</f>
        <v>0</v>
      </c>
      <c r="G65" s="702">
        <v>0</v>
      </c>
      <c r="H65" s="702">
        <v>0</v>
      </c>
      <c r="I65" s="693">
        <f>+G65*G$27+H65</f>
        <v>0</v>
      </c>
      <c r="J65" s="1362">
        <f t="shared" si="1"/>
        <v>0</v>
      </c>
      <c r="K65" s="1451">
        <f>J65</f>
        <v>0</v>
      </c>
      <c r="L65" s="704"/>
      <c r="M65" s="1452"/>
    </row>
    <row r="66" spans="1:13">
      <c r="A66" s="670">
        <f t="shared" si="0"/>
        <v>47</v>
      </c>
      <c r="B66" s="689" t="s">
        <v>490</v>
      </c>
      <c r="C66" s="701">
        <f>+C64+1</f>
        <v>2027</v>
      </c>
      <c r="D66" s="702">
        <v>0</v>
      </c>
      <c r="E66" s="702">
        <v>0</v>
      </c>
      <c r="F66" s="693">
        <f>+D66*D$26+E66</f>
        <v>0</v>
      </c>
      <c r="G66" s="702">
        <v>0</v>
      </c>
      <c r="H66" s="702">
        <v>0</v>
      </c>
      <c r="I66" s="693">
        <f>+G66*G$26+H66</f>
        <v>0</v>
      </c>
      <c r="J66" s="1362">
        <f t="shared" si="1"/>
        <v>0</v>
      </c>
      <c r="K66" s="689"/>
      <c r="L66" s="1363">
        <f>J66</f>
        <v>0</v>
      </c>
      <c r="M66" s="1452">
        <f>+K67-L66</f>
        <v>0</v>
      </c>
    </row>
    <row r="67" spans="1:13">
      <c r="A67" s="670">
        <f t="shared" si="0"/>
        <v>48</v>
      </c>
      <c r="B67" s="689" t="s">
        <v>674</v>
      </c>
      <c r="C67" s="701">
        <f>+C66</f>
        <v>2027</v>
      </c>
      <c r="D67" s="702">
        <v>0</v>
      </c>
      <c r="E67" s="702">
        <v>0</v>
      </c>
      <c r="F67" s="693">
        <f>+D67*D$27+E67</f>
        <v>0</v>
      </c>
      <c r="G67" s="702">
        <v>0</v>
      </c>
      <c r="H67" s="702">
        <v>0</v>
      </c>
      <c r="I67" s="693">
        <f>+G67*G$27+H67</f>
        <v>0</v>
      </c>
      <c r="J67" s="1362">
        <f t="shared" si="1"/>
        <v>0</v>
      </c>
      <c r="K67" s="1451">
        <f>J67</f>
        <v>0</v>
      </c>
      <c r="L67" s="704"/>
      <c r="M67" s="1452"/>
    </row>
    <row r="68" spans="1:13">
      <c r="A68" s="670">
        <f t="shared" si="0"/>
        <v>49</v>
      </c>
      <c r="B68" s="689" t="s">
        <v>490</v>
      </c>
      <c r="C68" s="701">
        <f>+C66+1</f>
        <v>2028</v>
      </c>
      <c r="D68" s="702">
        <v>0</v>
      </c>
      <c r="E68" s="702">
        <v>0</v>
      </c>
      <c r="F68" s="693">
        <f>+D68*D$26+E68</f>
        <v>0</v>
      </c>
      <c r="G68" s="702">
        <v>0</v>
      </c>
      <c r="H68" s="702">
        <v>0</v>
      </c>
      <c r="I68" s="693">
        <f>+G68*G$26+H68</f>
        <v>0</v>
      </c>
      <c r="J68" s="1362">
        <f t="shared" si="1"/>
        <v>0</v>
      </c>
      <c r="K68" s="689"/>
      <c r="L68" s="1363">
        <f>J68</f>
        <v>0</v>
      </c>
      <c r="M68" s="1452">
        <f>+K69-L68</f>
        <v>0</v>
      </c>
    </row>
    <row r="69" spans="1:13">
      <c r="A69" s="670">
        <f t="shared" si="0"/>
        <v>50</v>
      </c>
      <c r="B69" s="689" t="s">
        <v>674</v>
      </c>
      <c r="C69" s="701">
        <f>+C68</f>
        <v>2028</v>
      </c>
      <c r="D69" s="702">
        <v>0</v>
      </c>
      <c r="E69" s="702">
        <v>0</v>
      </c>
      <c r="F69" s="693">
        <f>+D69*D$27+E69</f>
        <v>0</v>
      </c>
      <c r="G69" s="702">
        <v>0</v>
      </c>
      <c r="H69" s="702">
        <v>0</v>
      </c>
      <c r="I69" s="693">
        <f>+G69*G$27+H69</f>
        <v>0</v>
      </c>
      <c r="J69" s="1362">
        <f t="shared" si="1"/>
        <v>0</v>
      </c>
      <c r="K69" s="1451">
        <f>J69</f>
        <v>0</v>
      </c>
      <c r="L69" s="704"/>
      <c r="M69" s="1452"/>
    </row>
    <row r="70" spans="1:13">
      <c r="A70" s="670">
        <f t="shared" si="0"/>
        <v>51</v>
      </c>
      <c r="B70" s="689" t="s">
        <v>490</v>
      </c>
      <c r="C70" s="701">
        <f>+C68+1</f>
        <v>2029</v>
      </c>
      <c r="D70" s="702">
        <v>0</v>
      </c>
      <c r="E70" s="702">
        <v>0</v>
      </c>
      <c r="F70" s="693">
        <f>+D70*D$26+E70</f>
        <v>0</v>
      </c>
      <c r="G70" s="702">
        <v>0</v>
      </c>
      <c r="H70" s="702">
        <v>0</v>
      </c>
      <c r="I70" s="693">
        <f>+G70*G$26+H70</f>
        <v>0</v>
      </c>
      <c r="J70" s="1362">
        <f t="shared" si="1"/>
        <v>0</v>
      </c>
      <c r="K70" s="689"/>
      <c r="L70" s="1363">
        <f>J70</f>
        <v>0</v>
      </c>
      <c r="M70" s="1452">
        <f>+K71-L70</f>
        <v>0</v>
      </c>
    </row>
    <row r="71" spans="1:13">
      <c r="A71" s="670">
        <f t="shared" si="0"/>
        <v>52</v>
      </c>
      <c r="B71" s="689" t="s">
        <v>674</v>
      </c>
      <c r="C71" s="701">
        <f>+C70</f>
        <v>2029</v>
      </c>
      <c r="D71" s="702"/>
      <c r="E71" s="702">
        <v>0</v>
      </c>
      <c r="F71" s="693">
        <f>+D71*D$27+E71</f>
        <v>0</v>
      </c>
      <c r="G71" s="702"/>
      <c r="H71" s="702">
        <v>0</v>
      </c>
      <c r="I71" s="693">
        <f>+G71*G$27+H71</f>
        <v>0</v>
      </c>
      <c r="J71" s="1362">
        <f t="shared" si="1"/>
        <v>0</v>
      </c>
      <c r="K71" s="1451">
        <f>J71</f>
        <v>0</v>
      </c>
      <c r="L71" s="704"/>
      <c r="M71" s="1452"/>
    </row>
    <row r="72" spans="1:13">
      <c r="A72" s="670">
        <f t="shared" si="0"/>
        <v>53</v>
      </c>
      <c r="B72" s="705"/>
      <c r="C72" s="701">
        <f>+C70+1</f>
        <v>2030</v>
      </c>
      <c r="D72" s="706" t="s">
        <v>675</v>
      </c>
      <c r="E72" s="706" t="s">
        <v>675</v>
      </c>
      <c r="F72" s="693" t="s">
        <v>892</v>
      </c>
      <c r="G72" s="706"/>
      <c r="H72" s="706"/>
      <c r="I72" s="707"/>
      <c r="J72" s="703"/>
      <c r="K72" s="689"/>
      <c r="L72" s="1363"/>
      <c r="M72" s="1452"/>
    </row>
    <row r="73" spans="1:13" ht="13.5" thickBot="1">
      <c r="A73" s="670">
        <f t="shared" si="0"/>
        <v>54</v>
      </c>
      <c r="B73" s="708"/>
      <c r="C73" s="701">
        <f>+C72</f>
        <v>2030</v>
      </c>
      <c r="D73" s="709" t="s">
        <v>675</v>
      </c>
      <c r="E73" s="709" t="s">
        <v>676</v>
      </c>
      <c r="F73" s="710" t="s">
        <v>675</v>
      </c>
      <c r="G73" s="709"/>
      <c r="H73" s="709"/>
      <c r="I73" s="710"/>
      <c r="J73" s="711"/>
      <c r="K73" s="1453"/>
      <c r="L73" s="712"/>
      <c r="M73" s="1454"/>
    </row>
    <row r="74" spans="1:13">
      <c r="B74" s="713"/>
      <c r="C74" s="714"/>
      <c r="D74" s="713"/>
      <c r="E74" s="713"/>
      <c r="F74" s="715"/>
      <c r="G74" s="713"/>
      <c r="H74" s="713"/>
      <c r="I74" s="715"/>
      <c r="J74" s="713"/>
      <c r="K74" s="716"/>
      <c r="L74" s="716"/>
      <c r="M74"/>
    </row>
    <row r="75" spans="1:13" ht="42.75" customHeight="1">
      <c r="A75" s="1372" t="s">
        <v>485</v>
      </c>
      <c r="B75" s="1953" t="s">
        <v>26</v>
      </c>
      <c r="C75" s="1953"/>
      <c r="D75" s="1953"/>
      <c r="E75" s="1953"/>
      <c r="F75" s="1953"/>
      <c r="G75" s="1953"/>
      <c r="H75" s="1953"/>
      <c r="I75" s="1953"/>
      <c r="J75" s="1953"/>
      <c r="K75" s="1953"/>
      <c r="L75" s="1953"/>
      <c r="M75"/>
    </row>
    <row r="76" spans="1:13" ht="14.25">
      <c r="A76" s="670" t="s">
        <v>898</v>
      </c>
      <c r="B76" s="1952" t="s">
        <v>897</v>
      </c>
      <c r="C76" s="1952"/>
      <c r="D76" s="1952"/>
      <c r="E76" s="1952"/>
      <c r="F76" s="1952"/>
      <c r="G76" s="1952"/>
      <c r="H76" s="1952"/>
      <c r="I76" s="1952"/>
      <c r="J76" s="1952"/>
      <c r="K76" s="1952"/>
      <c r="L76" s="1952"/>
      <c r="M76"/>
    </row>
    <row r="77" spans="1:13">
      <c r="A77" t="s">
        <v>650</v>
      </c>
      <c r="B77" s="1950" t="s">
        <v>651</v>
      </c>
      <c r="C77" s="1950"/>
      <c r="D77" s="1950"/>
      <c r="E77" s="1950"/>
      <c r="F77" s="1950"/>
      <c r="G77" s="1950"/>
      <c r="H77" s="1950"/>
      <c r="I77" s="1950"/>
      <c r="J77" s="1950"/>
      <c r="K77" s="1950"/>
      <c r="L77" s="1950"/>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80"/>
      <c r="C306" s="717"/>
      <c r="D306" s="680"/>
      <c r="E306" s="680"/>
      <c r="F306" s="718"/>
      <c r="G306"/>
      <c r="H306"/>
      <c r="I306"/>
      <c r="J306"/>
      <c r="K306"/>
      <c r="L306"/>
      <c r="M306"/>
    </row>
    <row r="307" spans="1:13">
      <c r="A307"/>
      <c r="B307" s="680"/>
      <c r="C307" s="717"/>
      <c r="D307" s="680"/>
      <c r="E307" s="680"/>
      <c r="F307" s="718"/>
      <c r="G307"/>
      <c r="H307"/>
      <c r="I307"/>
      <c r="J307"/>
      <c r="K307"/>
      <c r="L307"/>
      <c r="M307"/>
    </row>
    <row r="308" spans="1:13">
      <c r="A308"/>
      <c r="B308" s="680"/>
      <c r="C308" s="717"/>
      <c r="D308" s="680"/>
      <c r="E308" s="680"/>
      <c r="F308" s="718"/>
      <c r="G308"/>
      <c r="H308"/>
      <c r="I308"/>
      <c r="J308"/>
      <c r="K308"/>
      <c r="L308"/>
      <c r="M308"/>
    </row>
    <row r="309" spans="1:13">
      <c r="A309"/>
      <c r="B309" s="680"/>
      <c r="C309" s="717"/>
      <c r="D309" s="680"/>
      <c r="E309" s="680"/>
      <c r="F309" s="718"/>
      <c r="G309"/>
      <c r="H309"/>
      <c r="I309"/>
      <c r="J309"/>
      <c r="K309"/>
      <c r="L309"/>
      <c r="M309"/>
    </row>
    <row r="310" spans="1:13">
      <c r="A310"/>
      <c r="B310" s="680"/>
      <c r="C310" s="717"/>
      <c r="D310" s="680"/>
      <c r="E310" s="680"/>
      <c r="F310" s="718"/>
      <c r="G310"/>
      <c r="H310"/>
      <c r="I310"/>
      <c r="J310"/>
      <c r="K310"/>
      <c r="L310"/>
      <c r="M310"/>
    </row>
    <row r="311" spans="1:13">
      <c r="A311"/>
      <c r="B311" s="680"/>
      <c r="C311" s="717"/>
      <c r="D311" s="680"/>
      <c r="E311" s="680"/>
      <c r="F311" s="718"/>
      <c r="G311"/>
      <c r="H311"/>
      <c r="I311"/>
      <c r="J311"/>
      <c r="K311"/>
      <c r="L311"/>
      <c r="M311"/>
    </row>
    <row r="312" spans="1:13">
      <c r="A312"/>
      <c r="B312" s="680"/>
      <c r="C312" s="717"/>
      <c r="D312" s="680"/>
      <c r="E312" s="680"/>
      <c r="F312" s="718"/>
      <c r="G312"/>
      <c r="H312"/>
      <c r="I312"/>
      <c r="J312"/>
      <c r="K312"/>
      <c r="L312"/>
      <c r="M312"/>
    </row>
    <row r="313" spans="1:13">
      <c r="A313"/>
      <c r="B313" s="680"/>
      <c r="C313" s="717"/>
      <c r="D313" s="680"/>
      <c r="E313" s="680"/>
      <c r="F313" s="718"/>
      <c r="G313"/>
      <c r="H313"/>
      <c r="I313"/>
      <c r="J313"/>
      <c r="K313"/>
      <c r="L313"/>
      <c r="M313"/>
    </row>
    <row r="314" spans="1:13">
      <c r="A314"/>
      <c r="B314" s="680"/>
      <c r="C314" s="717"/>
      <c r="D314" s="680"/>
      <c r="E314" s="680"/>
      <c r="F314" s="718"/>
      <c r="G314"/>
      <c r="H314"/>
      <c r="I314"/>
      <c r="J314"/>
      <c r="K314"/>
      <c r="L314"/>
      <c r="M314"/>
    </row>
  </sheetData>
  <mergeCells count="7">
    <mergeCell ref="B77:L77"/>
    <mergeCell ref="A1:L1"/>
    <mergeCell ref="A3:L3"/>
    <mergeCell ref="B76:L76"/>
    <mergeCell ref="B75:L75"/>
    <mergeCell ref="D21:F21"/>
    <mergeCell ref="G21:I21"/>
  </mergeCells>
  <phoneticPr fontId="74"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
  <sheetViews>
    <sheetView view="pageBreakPreview" zoomScaleNormal="100" workbookViewId="0">
      <selection activeCell="A3" sqref="A3:E3"/>
    </sheetView>
  </sheetViews>
  <sheetFormatPr defaultRowHeight="12.75"/>
  <cols>
    <col min="1" max="1" width="14.7109375" style="422" customWidth="1"/>
    <col min="2" max="2" width="38.7109375" style="422" customWidth="1"/>
    <col min="3" max="3" width="13.42578125" style="422" customWidth="1"/>
    <col min="4" max="16384" width="9.140625" style="422"/>
  </cols>
  <sheetData>
    <row r="2" spans="1:5" ht="18">
      <c r="A2" s="1949" t="str">
        <f>+'7 - Cap Add WS'!A1:L1</f>
        <v xml:space="preserve">Puget Sound Energy </v>
      </c>
      <c r="B2" s="1949"/>
      <c r="C2" s="1949"/>
      <c r="D2" s="1949"/>
      <c r="E2" s="1949"/>
    </row>
    <row r="3" spans="1:5" ht="18">
      <c r="A3" s="1949" t="s">
        <v>514</v>
      </c>
      <c r="B3" s="1949"/>
      <c r="C3" s="1949"/>
      <c r="D3" s="1949"/>
      <c r="E3" s="1949"/>
    </row>
    <row r="7" spans="1:5">
      <c r="C7" s="670"/>
    </row>
    <row r="8" spans="1:5">
      <c r="A8" s="777" t="s">
        <v>515</v>
      </c>
      <c r="B8" s="778"/>
      <c r="C8" s="777" t="s">
        <v>526</v>
      </c>
    </row>
    <row r="10" spans="1:5">
      <c r="A10" s="778" t="s">
        <v>1065</v>
      </c>
      <c r="C10" s="841"/>
      <c r="D10" s="779"/>
    </row>
    <row r="11" spans="1:5">
      <c r="A11" s="422" t="s">
        <v>207</v>
      </c>
      <c r="C11" s="841">
        <v>1.9</v>
      </c>
      <c r="D11" s="779"/>
    </row>
    <row r="12" spans="1:5">
      <c r="A12" s="422" t="s">
        <v>208</v>
      </c>
      <c r="C12" s="841">
        <v>1.7</v>
      </c>
      <c r="D12" s="779"/>
    </row>
    <row r="13" spans="1:5">
      <c r="A13" s="422" t="s">
        <v>209</v>
      </c>
      <c r="C13" s="841">
        <v>2.11</v>
      </c>
      <c r="D13" s="779"/>
    </row>
    <row r="14" spans="1:5">
      <c r="A14" s="422" t="s">
        <v>210</v>
      </c>
      <c r="C14" s="841">
        <v>1.67</v>
      </c>
      <c r="D14" s="779"/>
    </row>
    <row r="15" spans="1:5">
      <c r="A15" s="422" t="s">
        <v>253</v>
      </c>
      <c r="C15" s="841">
        <v>3.02</v>
      </c>
      <c r="D15" s="779"/>
    </row>
    <row r="16" spans="1:5">
      <c r="A16" s="422" t="s">
        <v>211</v>
      </c>
      <c r="C16" s="841">
        <v>2.11</v>
      </c>
      <c r="D16" s="779"/>
    </row>
    <row r="17" spans="1:4">
      <c r="A17" s="422" t="s">
        <v>212</v>
      </c>
      <c r="C17" s="841">
        <v>1.92</v>
      </c>
      <c r="D17" s="779"/>
    </row>
    <row r="18" spans="1:4">
      <c r="A18" s="422" t="s">
        <v>213</v>
      </c>
      <c r="C18" s="841">
        <v>1.43</v>
      </c>
      <c r="D18" s="779"/>
    </row>
    <row r="19" spans="1:4">
      <c r="C19" s="676"/>
    </row>
    <row r="20" spans="1:4">
      <c r="A20" s="778" t="s">
        <v>710</v>
      </c>
      <c r="C20" s="676"/>
    </row>
    <row r="21" spans="1:4">
      <c r="A21" s="780" t="s">
        <v>519</v>
      </c>
      <c r="C21" s="676">
        <v>1.81</v>
      </c>
    </row>
    <row r="22" spans="1:4">
      <c r="A22" s="780" t="s">
        <v>214</v>
      </c>
      <c r="C22" s="676">
        <v>1.97</v>
      </c>
    </row>
    <row r="23" spans="1:4">
      <c r="A23" s="780" t="s">
        <v>215</v>
      </c>
      <c r="C23" s="676">
        <v>3.11</v>
      </c>
    </row>
    <row r="24" spans="1:4">
      <c r="A24" s="780" t="s">
        <v>216</v>
      </c>
      <c r="C24" s="676">
        <v>2.83</v>
      </c>
    </row>
    <row r="25" spans="1:4">
      <c r="A25" s="780" t="s">
        <v>217</v>
      </c>
      <c r="C25" s="676">
        <v>2.2599999999999998</v>
      </c>
    </row>
    <row r="26" spans="1:4">
      <c r="A26" s="780" t="s">
        <v>218</v>
      </c>
      <c r="C26" s="676">
        <v>3.53</v>
      </c>
    </row>
    <row r="27" spans="1:4">
      <c r="A27" s="780" t="s">
        <v>517</v>
      </c>
      <c r="C27" s="676">
        <v>3.26</v>
      </c>
    </row>
    <row r="28" spans="1:4">
      <c r="A28" s="780" t="s">
        <v>219</v>
      </c>
      <c r="C28" s="676">
        <v>2.33</v>
      </c>
    </row>
    <row r="29" spans="1:4">
      <c r="A29" s="780" t="s">
        <v>516</v>
      </c>
      <c r="C29" s="676">
        <v>2.3199999999999998</v>
      </c>
    </row>
    <row r="30" spans="1:4">
      <c r="A30" s="780" t="s">
        <v>220</v>
      </c>
      <c r="C30" s="676">
        <v>3.34</v>
      </c>
    </row>
    <row r="31" spans="1:4">
      <c r="A31" s="780" t="s">
        <v>221</v>
      </c>
      <c r="C31" s="676">
        <v>2.2400000000000002</v>
      </c>
    </row>
    <row r="32" spans="1:4">
      <c r="C32" s="840"/>
    </row>
    <row r="33" spans="1:8">
      <c r="A33" s="778" t="s">
        <v>518</v>
      </c>
      <c r="C33" s="676"/>
    </row>
    <row r="34" spans="1:8">
      <c r="A34" s="780" t="s">
        <v>519</v>
      </c>
      <c r="C34" s="840">
        <v>6.6</v>
      </c>
      <c r="H34" s="781"/>
    </row>
    <row r="35" spans="1:8">
      <c r="A35" s="780" t="s">
        <v>520</v>
      </c>
      <c r="C35" s="840">
        <v>5</v>
      </c>
    </row>
    <row r="36" spans="1:8">
      <c r="A36" s="780" t="s">
        <v>521</v>
      </c>
      <c r="C36" s="840">
        <v>20</v>
      </c>
    </row>
    <row r="37" spans="1:8">
      <c r="A37" s="780" t="s">
        <v>222</v>
      </c>
      <c r="C37" s="840">
        <v>9</v>
      </c>
    </row>
    <row r="38" spans="1:8">
      <c r="A38" s="780" t="s">
        <v>223</v>
      </c>
      <c r="C38" s="840">
        <v>5</v>
      </c>
    </row>
    <row r="39" spans="1:8">
      <c r="A39" s="780" t="s">
        <v>522</v>
      </c>
      <c r="C39" s="840">
        <v>5</v>
      </c>
    </row>
    <row r="40" spans="1:8">
      <c r="A40" s="780" t="s">
        <v>224</v>
      </c>
      <c r="C40" s="840">
        <v>6</v>
      </c>
    </row>
    <row r="41" spans="1:8">
      <c r="A41" s="780" t="s">
        <v>523</v>
      </c>
      <c r="C41" s="840">
        <v>5</v>
      </c>
    </row>
    <row r="42" spans="1:8">
      <c r="A42" s="780" t="s">
        <v>524</v>
      </c>
      <c r="C42" s="840">
        <v>6.67</v>
      </c>
    </row>
    <row r="43" spans="1:8">
      <c r="A43" s="780" t="s">
        <v>525</v>
      </c>
      <c r="C43" s="840">
        <v>6.67</v>
      </c>
    </row>
  </sheetData>
  <mergeCells count="2">
    <mergeCell ref="A2:E2"/>
    <mergeCell ref="A3:E3"/>
  </mergeCells>
  <phoneticPr fontId="74"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43"/>
  <sheetViews>
    <sheetView zoomScale="85" zoomScaleNormal="85" zoomScaleSheetLayoutView="75" workbookViewId="0">
      <selection activeCell="A13" sqref="A13"/>
    </sheetView>
  </sheetViews>
  <sheetFormatPr defaultRowHeight="11.25"/>
  <cols>
    <col min="1" max="1" width="44.140625" style="452" customWidth="1"/>
    <col min="2" max="2" width="12" style="452" customWidth="1"/>
    <col min="3" max="3" width="12.85546875" style="452" bestFit="1" customWidth="1"/>
    <col min="4" max="4" width="12.140625" style="452" bestFit="1" customWidth="1"/>
    <col min="5" max="5" width="12" style="452" customWidth="1"/>
    <col min="6" max="6" width="12.5703125" style="452" customWidth="1"/>
    <col min="7" max="7" width="12.140625" style="452" customWidth="1"/>
    <col min="8" max="8" width="12.42578125" style="452" customWidth="1"/>
    <col min="9" max="9" width="13.7109375" style="452" bestFit="1" customWidth="1"/>
    <col min="10" max="10" width="11.140625" style="452" customWidth="1"/>
    <col min="11" max="11" width="14.140625" style="452" customWidth="1"/>
    <col min="12" max="12" width="19.5703125" style="452" customWidth="1"/>
    <col min="13" max="13" width="19.7109375" style="452" customWidth="1"/>
    <col min="14" max="16384" width="9.140625" style="452"/>
  </cols>
  <sheetData>
    <row r="1" spans="1:13" ht="16.5" thickBot="1">
      <c r="A1" s="76" t="s">
        <v>653</v>
      </c>
    </row>
    <row r="2" spans="1:13">
      <c r="B2" s="1559"/>
      <c r="C2" s="467"/>
      <c r="D2" s="1139" t="s">
        <v>1098</v>
      </c>
      <c r="E2" s="1130" t="s">
        <v>503</v>
      </c>
      <c r="F2" s="1139" t="s">
        <v>504</v>
      </c>
    </row>
    <row r="3" spans="1:13">
      <c r="C3" s="543" t="s">
        <v>1116</v>
      </c>
      <c r="D3" s="1132">
        <f>'ATT H-1 '!J26</f>
        <v>0.15672059553414452</v>
      </c>
      <c r="E3" s="1129">
        <f>'ATT H-1 '!K26</f>
        <v>4.6132240738067419E-3</v>
      </c>
      <c r="F3" s="1132">
        <f>'ATT H-1 '!L26</f>
        <v>8.2722131573007059E-3</v>
      </c>
    </row>
    <row r="4" spans="1:13" ht="12" thickBot="1">
      <c r="A4" s="452" t="s">
        <v>776</v>
      </c>
      <c r="C4" s="1131" t="s">
        <v>492</v>
      </c>
      <c r="D4" s="1705">
        <f>'ATT H-1 '!J13</f>
        <v>0.12652289669965341</v>
      </c>
      <c r="E4" s="1706">
        <f>'ATT H-1 '!K13</f>
        <v>0</v>
      </c>
      <c r="F4" s="1705">
        <f>'ATT H-1 '!L13</f>
        <v>0</v>
      </c>
    </row>
    <row r="5" spans="1:13" ht="12" thickBot="1">
      <c r="A5" s="467" t="s">
        <v>966</v>
      </c>
      <c r="B5" s="469" t="s">
        <v>145</v>
      </c>
      <c r="D5" s="1133"/>
      <c r="F5" s="1133"/>
      <c r="H5" s="467" t="s">
        <v>532</v>
      </c>
      <c r="I5" s="468"/>
      <c r="J5" s="468"/>
      <c r="K5" s="468"/>
      <c r="L5" s="469"/>
    </row>
    <row r="6" spans="1:13" ht="12" thickBot="1">
      <c r="A6" s="1707" t="s">
        <v>352</v>
      </c>
      <c r="B6" s="1708">
        <v>6247462</v>
      </c>
      <c r="C6" s="1709"/>
      <c r="D6" s="1134">
        <f>B6*L10</f>
        <v>3510682.3231407194</v>
      </c>
      <c r="E6" s="1710">
        <v>0</v>
      </c>
      <c r="F6" s="1711">
        <v>0</v>
      </c>
      <c r="H6" s="339"/>
      <c r="I6" s="419"/>
      <c r="J6" s="419"/>
      <c r="K6" s="419" t="s">
        <v>470</v>
      </c>
      <c r="L6" s="341"/>
    </row>
    <row r="7" spans="1:13" ht="12" thickBot="1">
      <c r="A7" s="339" t="s">
        <v>353</v>
      </c>
      <c r="B7" s="545">
        <v>4428793</v>
      </c>
      <c r="D7" s="1135"/>
      <c r="E7" s="1559"/>
      <c r="F7" s="1135"/>
      <c r="H7" s="1140" t="s">
        <v>542</v>
      </c>
      <c r="I7" s="419"/>
      <c r="J7" s="419"/>
      <c r="K7" s="419"/>
      <c r="L7" s="341"/>
    </row>
    <row r="8" spans="1:13" ht="12" thickBot="1">
      <c r="A8" s="1707" t="s">
        <v>705</v>
      </c>
      <c r="B8" s="1708">
        <v>431872</v>
      </c>
      <c r="C8" s="1709"/>
      <c r="D8" s="1712">
        <f>$B$8*D3</f>
        <v>67683.23703452207</v>
      </c>
      <c r="E8" s="1713">
        <f>$B$8*E3</f>
        <v>1992.3223072030653</v>
      </c>
      <c r="F8" s="1712">
        <f>$B$8*F3</f>
        <v>3572.5372406697707</v>
      </c>
      <c r="H8" s="339" t="s">
        <v>913</v>
      </c>
      <c r="I8" s="419"/>
      <c r="J8" s="419"/>
      <c r="K8" s="470">
        <v>92203928</v>
      </c>
      <c r="L8" s="471"/>
    </row>
    <row r="9" spans="1:13" ht="12" thickBot="1">
      <c r="A9" s="1707" t="s">
        <v>706</v>
      </c>
      <c r="B9" s="1708">
        <v>5135179</v>
      </c>
      <c r="C9" s="1709"/>
      <c r="D9" s="1712">
        <f>$B$9*D3</f>
        <v>804788.31105443276</v>
      </c>
      <c r="E9" s="1713">
        <f>$B$9*E3</f>
        <v>23689.731386106832</v>
      </c>
      <c r="F9" s="1712">
        <f>$B$9*F3</f>
        <v>42479.295288894282</v>
      </c>
      <c r="H9" s="543" t="s">
        <v>914</v>
      </c>
      <c r="I9" s="419"/>
      <c r="J9" s="419"/>
      <c r="K9" s="470">
        <v>350798818</v>
      </c>
      <c r="L9" s="471"/>
      <c r="M9" s="1559" t="s">
        <v>1417</v>
      </c>
    </row>
    <row r="10" spans="1:13">
      <c r="A10" s="339" t="s">
        <v>707</v>
      </c>
      <c r="B10" s="545">
        <v>877199</v>
      </c>
      <c r="D10" s="1133"/>
      <c r="F10" s="1133"/>
      <c r="H10" s="339"/>
      <c r="I10" s="419"/>
      <c r="J10" s="419"/>
      <c r="K10" s="472">
        <f>SUM(K8:K9)</f>
        <v>443002746</v>
      </c>
      <c r="L10" s="479">
        <f>K10/K15</f>
        <v>0.5619373632269743</v>
      </c>
    </row>
    <row r="11" spans="1:13">
      <c r="A11" s="543" t="s">
        <v>1435</v>
      </c>
      <c r="B11" s="545">
        <v>29565</v>
      </c>
      <c r="D11" s="1136"/>
      <c r="F11" s="1133"/>
      <c r="H11" s="339"/>
      <c r="I11" s="419"/>
      <c r="J11" s="419"/>
      <c r="K11" s="419"/>
      <c r="L11" s="341"/>
    </row>
    <row r="12" spans="1:13">
      <c r="A12" s="543" t="s">
        <v>1436</v>
      </c>
      <c r="B12" s="545">
        <v>72280</v>
      </c>
      <c r="D12" s="1136"/>
      <c r="F12" s="1133"/>
      <c r="H12" s="1140" t="s">
        <v>1099</v>
      </c>
      <c r="I12" s="419"/>
      <c r="J12" s="419"/>
      <c r="K12" s="470"/>
      <c r="L12" s="341"/>
    </row>
    <row r="13" spans="1:13">
      <c r="A13" s="339"/>
      <c r="B13" s="545"/>
      <c r="D13" s="1136"/>
      <c r="F13" s="1133"/>
      <c r="H13" s="339" t="s">
        <v>915</v>
      </c>
      <c r="I13" s="419"/>
      <c r="J13" s="419"/>
      <c r="K13" s="470">
        <v>345346232</v>
      </c>
      <c r="L13" s="479">
        <f>K13/K15</f>
        <v>0.43806263677302565</v>
      </c>
    </row>
    <row r="14" spans="1:13">
      <c r="A14" s="339" t="s">
        <v>972</v>
      </c>
      <c r="B14" s="549">
        <f>SUM(B6:B13)</f>
        <v>17222350</v>
      </c>
      <c r="C14" s="481"/>
      <c r="D14" s="1137"/>
      <c r="E14" s="481"/>
      <c r="F14" s="1133"/>
      <c r="H14" s="339"/>
      <c r="I14" s="419"/>
      <c r="J14" s="419"/>
      <c r="K14" s="419"/>
      <c r="L14" s="341"/>
    </row>
    <row r="15" spans="1:13">
      <c r="A15" s="339" t="s">
        <v>167</v>
      </c>
      <c r="B15" s="545"/>
      <c r="D15" s="1136"/>
      <c r="F15" s="1133"/>
      <c r="H15" s="475" t="s">
        <v>98</v>
      </c>
      <c r="I15" s="476"/>
      <c r="J15" s="476"/>
      <c r="K15" s="477">
        <f>+K10+K13</f>
        <v>788348978</v>
      </c>
      <c r="L15" s="478">
        <f>+K15/K15</f>
        <v>1</v>
      </c>
    </row>
    <row r="16" spans="1:13" ht="12" thickBot="1">
      <c r="A16" s="482" t="s">
        <v>354</v>
      </c>
      <c r="B16" s="550">
        <f>B14-B15</f>
        <v>17222350</v>
      </c>
      <c r="D16" s="1133"/>
      <c r="F16" s="1133"/>
      <c r="H16" s="473"/>
      <c r="I16" s="457"/>
      <c r="J16" s="457"/>
      <c r="K16" s="457"/>
      <c r="L16" s="474"/>
    </row>
    <row r="17" spans="1:17">
      <c r="B17" s="1714"/>
      <c r="D17" s="1133"/>
      <c r="F17" s="1133"/>
      <c r="H17" s="475" t="s">
        <v>99</v>
      </c>
      <c r="I17" s="476"/>
      <c r="J17" s="476"/>
      <c r="K17" s="477">
        <f>+K10</f>
        <v>443002746</v>
      </c>
      <c r="L17" s="480">
        <f>+K17/K15</f>
        <v>0.5619373632269743</v>
      </c>
    </row>
    <row r="18" spans="1:17" ht="12" thickBot="1">
      <c r="A18" s="452" t="s">
        <v>967</v>
      </c>
      <c r="C18" s="419"/>
      <c r="D18" s="1715"/>
      <c r="F18" s="1133"/>
      <c r="H18" s="339"/>
      <c r="I18" s="419"/>
      <c r="J18" s="419"/>
      <c r="K18" s="419"/>
      <c r="L18" s="341"/>
    </row>
    <row r="19" spans="1:17" ht="12" thickBot="1">
      <c r="A19" s="542" t="s">
        <v>966</v>
      </c>
      <c r="B19" s="544" t="s">
        <v>145</v>
      </c>
      <c r="C19" s="541"/>
      <c r="D19" s="1138"/>
      <c r="F19" s="1133"/>
      <c r="H19" s="339"/>
      <c r="I19" s="419"/>
      <c r="J19" s="419"/>
      <c r="K19" s="419"/>
      <c r="L19" s="341"/>
    </row>
    <row r="20" spans="1:17" ht="12" thickBot="1">
      <c r="A20" s="1595" t="s">
        <v>715</v>
      </c>
      <c r="B20" s="1716">
        <v>1026108</v>
      </c>
      <c r="C20" s="1709"/>
      <c r="D20" s="1134">
        <f>$B$20*D4</f>
        <v>129826.15648668796</v>
      </c>
      <c r="E20" s="1128">
        <f>$B$20*E4</f>
        <v>0</v>
      </c>
      <c r="F20" s="1134">
        <f>$B$20*F4</f>
        <v>0</v>
      </c>
      <c r="G20" s="655"/>
      <c r="H20" s="482"/>
      <c r="I20" s="483"/>
      <c r="J20" s="483"/>
      <c r="K20" s="483"/>
      <c r="L20" s="484"/>
    </row>
    <row r="21" spans="1:17">
      <c r="A21" s="543" t="s">
        <v>1407</v>
      </c>
      <c r="B21" s="545">
        <v>713690</v>
      </c>
      <c r="C21" s="419"/>
      <c r="D21" s="655"/>
      <c r="E21" s="655"/>
      <c r="F21" s="655"/>
      <c r="G21" s="655"/>
      <c r="H21" s="419"/>
      <c r="I21" s="419"/>
      <c r="J21" s="419"/>
      <c r="K21" s="419"/>
      <c r="L21" s="419"/>
    </row>
    <row r="22" spans="1:17">
      <c r="A22" s="543" t="s">
        <v>686</v>
      </c>
      <c r="B22" s="545">
        <v>33162</v>
      </c>
      <c r="C22" s="419"/>
      <c r="D22" s="655"/>
      <c r="E22" s="655"/>
      <c r="F22" s="655"/>
      <c r="G22" s="655"/>
      <c r="H22" s="419"/>
      <c r="I22" s="419"/>
      <c r="J22" s="419"/>
      <c r="K22" s="419"/>
      <c r="L22" s="419"/>
    </row>
    <row r="23" spans="1:17">
      <c r="A23" s="543" t="s">
        <v>687</v>
      </c>
      <c r="B23" s="545">
        <v>-31826</v>
      </c>
      <c r="C23" s="419"/>
      <c r="D23" s="655"/>
      <c r="E23" s="655"/>
      <c r="F23" s="655"/>
      <c r="G23" s="655"/>
      <c r="H23" s="419"/>
      <c r="I23" s="419"/>
      <c r="J23" s="419"/>
      <c r="K23" s="419"/>
      <c r="L23" s="419"/>
    </row>
    <row r="24" spans="1:17">
      <c r="A24" s="543" t="s">
        <v>685</v>
      </c>
      <c r="B24" s="545">
        <v>179942</v>
      </c>
      <c r="C24" s="419"/>
      <c r="D24" s="655"/>
      <c r="E24" s="655"/>
      <c r="F24" s="655"/>
      <c r="G24" s="655"/>
      <c r="H24" s="419"/>
      <c r="I24" s="419"/>
      <c r="J24" s="419"/>
      <c r="K24" s="419"/>
      <c r="L24" s="419"/>
    </row>
    <row r="25" spans="1:17">
      <c r="A25" s="543" t="s">
        <v>688</v>
      </c>
      <c r="B25" s="545">
        <v>-1780536</v>
      </c>
      <c r="C25" s="419"/>
      <c r="D25" s="655"/>
      <c r="E25" s="655"/>
      <c r="F25" s="655"/>
      <c r="G25" s="655"/>
      <c r="H25" s="419"/>
      <c r="I25" s="419"/>
      <c r="J25" s="419"/>
      <c r="K25" s="419"/>
      <c r="L25" s="419"/>
    </row>
    <row r="26" spans="1:17">
      <c r="A26" s="543" t="s">
        <v>689</v>
      </c>
      <c r="B26" s="545">
        <v>127418874</v>
      </c>
      <c r="C26" s="419"/>
      <c r="D26" s="655"/>
      <c r="E26" s="655"/>
      <c r="F26" s="655"/>
      <c r="G26" s="655"/>
      <c r="H26" s="419"/>
      <c r="I26" s="419"/>
      <c r="J26" s="419"/>
      <c r="K26" s="419"/>
      <c r="L26" s="419"/>
    </row>
    <row r="27" spans="1:17">
      <c r="A27" s="543" t="s">
        <v>690</v>
      </c>
      <c r="B27" s="545">
        <v>-136076480</v>
      </c>
      <c r="C27" s="419"/>
      <c r="D27" s="655"/>
      <c r="E27" s="655"/>
      <c r="F27" s="655"/>
      <c r="G27" s="655"/>
      <c r="H27" s="419"/>
      <c r="I27" s="419"/>
      <c r="J27" s="419"/>
      <c r="K27" s="419"/>
      <c r="L27" s="419"/>
      <c r="O27" s="1559"/>
      <c r="P27" s="1559"/>
      <c r="Q27" s="1559"/>
    </row>
    <row r="28" spans="1:17">
      <c r="A28" s="543" t="s">
        <v>691</v>
      </c>
      <c r="B28" s="545">
        <v>83849</v>
      </c>
      <c r="C28" s="419"/>
      <c r="D28" s="655"/>
      <c r="E28" s="655"/>
      <c r="F28" s="655"/>
      <c r="G28" s="655"/>
      <c r="H28" s="419"/>
      <c r="I28" s="419"/>
      <c r="J28" s="419"/>
      <c r="K28" s="419"/>
      <c r="L28" s="419"/>
    </row>
    <row r="29" spans="1:17">
      <c r="A29" s="543" t="s">
        <v>694</v>
      </c>
      <c r="B29" s="545">
        <v>925352</v>
      </c>
      <c r="D29" s="655"/>
      <c r="E29" s="1788"/>
      <c r="F29" s="655"/>
      <c r="G29" s="655"/>
      <c r="H29" s="419"/>
      <c r="I29" s="419"/>
      <c r="J29" s="419"/>
      <c r="K29" s="419"/>
      <c r="L29" s="419"/>
      <c r="M29" s="1852"/>
    </row>
    <row r="30" spans="1:17">
      <c r="A30" s="543" t="s">
        <v>1281</v>
      </c>
      <c r="B30" s="545">
        <v>583614</v>
      </c>
      <c r="C30" s="419"/>
      <c r="D30" s="655"/>
      <c r="E30" s="655"/>
      <c r="F30" s="655"/>
      <c r="G30" s="655"/>
      <c r="H30" s="419"/>
      <c r="I30" s="419"/>
      <c r="J30" s="419"/>
      <c r="K30" s="419"/>
      <c r="L30" s="419"/>
      <c r="M30" s="1852"/>
    </row>
    <row r="31" spans="1:17">
      <c r="A31" s="543" t="s">
        <v>1282</v>
      </c>
      <c r="B31" s="545">
        <v>74812</v>
      </c>
      <c r="C31" s="419"/>
      <c r="D31" s="655"/>
      <c r="E31" s="655"/>
      <c r="F31" s="655"/>
      <c r="G31" s="655"/>
      <c r="H31" s="419"/>
      <c r="I31" s="419"/>
      <c r="J31" s="419"/>
      <c r="K31" s="419"/>
      <c r="L31" s="419"/>
      <c r="M31" s="1852"/>
    </row>
    <row r="32" spans="1:17">
      <c r="A32" s="543" t="s">
        <v>692</v>
      </c>
      <c r="B32" s="545">
        <v>31545</v>
      </c>
      <c r="C32" s="419"/>
      <c r="D32" s="655"/>
      <c r="E32" s="655"/>
      <c r="F32" s="655"/>
      <c r="G32" s="655"/>
      <c r="H32" s="419"/>
      <c r="I32" s="419"/>
      <c r="J32" s="419"/>
      <c r="K32" s="419"/>
      <c r="L32" s="419"/>
    </row>
    <row r="33" spans="1:13">
      <c r="A33" s="543" t="s">
        <v>1258</v>
      </c>
      <c r="B33" s="545">
        <v>8086472</v>
      </c>
      <c r="C33" s="419"/>
      <c r="D33" s="655"/>
      <c r="E33" s="655"/>
      <c r="F33" s="655"/>
      <c r="G33" s="655"/>
      <c r="H33" s="419"/>
      <c r="I33" s="419"/>
      <c r="J33" s="419"/>
      <c r="K33" s="419"/>
      <c r="L33" s="419"/>
      <c r="M33" s="1853"/>
    </row>
    <row r="34" spans="1:13">
      <c r="A34" s="543" t="s">
        <v>693</v>
      </c>
      <c r="B34" s="545">
        <v>337688</v>
      </c>
      <c r="C34" s="419"/>
      <c r="D34" s="655"/>
      <c r="E34" s="655"/>
      <c r="F34" s="655"/>
      <c r="G34" s="655"/>
      <c r="H34" s="419"/>
      <c r="I34" s="419"/>
      <c r="J34" s="419"/>
      <c r="K34" s="419"/>
      <c r="L34" s="419"/>
    </row>
    <row r="35" spans="1:13">
      <c r="A35" s="1559" t="s">
        <v>1408</v>
      </c>
      <c r="B35" s="545">
        <v>250000</v>
      </c>
      <c r="C35" s="419"/>
      <c r="D35" s="655"/>
      <c r="E35" s="655"/>
      <c r="F35" s="655"/>
      <c r="G35" s="655"/>
      <c r="H35" s="419"/>
      <c r="I35" s="419"/>
      <c r="J35" s="419"/>
      <c r="K35" s="419"/>
      <c r="L35" s="419"/>
    </row>
    <row r="36" spans="1:13">
      <c r="A36" s="543" t="s">
        <v>1434</v>
      </c>
      <c r="B36" s="545">
        <v>173123</v>
      </c>
      <c r="C36" s="419"/>
      <c r="D36" s="655"/>
      <c r="E36" s="655"/>
      <c r="F36" s="655"/>
      <c r="G36" s="655"/>
      <c r="H36" s="419"/>
      <c r="I36" s="419"/>
      <c r="J36" s="419"/>
      <c r="K36" s="419"/>
      <c r="L36" s="419"/>
    </row>
    <row r="37" spans="1:13">
      <c r="A37" s="339" t="s">
        <v>972</v>
      </c>
      <c r="B37" s="546">
        <f>SUM(B20:B36)</f>
        <v>2029389</v>
      </c>
      <c r="C37" s="340"/>
      <c r="D37" s="340"/>
      <c r="E37" s="419"/>
    </row>
    <row r="38" spans="1:13">
      <c r="A38" s="339" t="s">
        <v>168</v>
      </c>
      <c r="B38" s="545"/>
      <c r="C38" s="419"/>
      <c r="D38" s="419"/>
      <c r="E38" s="419"/>
    </row>
    <row r="39" spans="1:13" ht="12" thickBot="1">
      <c r="A39" s="482" t="s">
        <v>354</v>
      </c>
      <c r="B39" s="547">
        <f>B37-B38</f>
        <v>2029389</v>
      </c>
      <c r="C39" s="419"/>
      <c r="D39" s="419"/>
    </row>
    <row r="40" spans="1:13">
      <c r="H40" s="419"/>
      <c r="I40" s="419"/>
      <c r="J40" s="419"/>
      <c r="K40" s="419"/>
      <c r="L40" s="419"/>
    </row>
    <row r="41" spans="1:13" ht="12" thickBot="1">
      <c r="A41" s="452" t="s">
        <v>968</v>
      </c>
      <c r="H41" s="419"/>
      <c r="I41" s="419"/>
      <c r="J41" s="419"/>
      <c r="K41" s="419"/>
      <c r="L41" s="419"/>
    </row>
    <row r="42" spans="1:13" ht="22.5">
      <c r="A42" s="1551" t="s">
        <v>169</v>
      </c>
      <c r="B42" s="1767" t="s">
        <v>359</v>
      </c>
      <c r="C42" s="1552" t="s">
        <v>969</v>
      </c>
      <c r="D42" s="1552" t="s">
        <v>357</v>
      </c>
      <c r="E42" s="1552" t="s">
        <v>356</v>
      </c>
      <c r="F42" s="1552" t="s">
        <v>355</v>
      </c>
      <c r="G42" s="1553"/>
      <c r="H42" s="1554"/>
      <c r="I42" s="1554"/>
      <c r="J42" s="1554"/>
      <c r="K42" s="1555" t="s">
        <v>358</v>
      </c>
      <c r="L42" s="1559"/>
    </row>
    <row r="43" spans="1:13" ht="12.75">
      <c r="A43" s="1812" t="s">
        <v>156</v>
      </c>
      <c r="B43" s="1812" t="s">
        <v>347</v>
      </c>
      <c r="C43" s="1813">
        <v>332297</v>
      </c>
      <c r="D43" s="1813"/>
      <c r="E43" s="1813"/>
      <c r="F43" s="1813">
        <v>332297</v>
      </c>
      <c r="G43" s="1777"/>
      <c r="H43" s="1780"/>
      <c r="I43" s="1780"/>
      <c r="J43" s="1780"/>
      <c r="K43" s="1773"/>
      <c r="L43" s="2"/>
      <c r="M43"/>
    </row>
    <row r="44" spans="1:13" ht="12.75">
      <c r="A44" s="1812" t="s">
        <v>157</v>
      </c>
      <c r="B44" s="1812" t="s">
        <v>349</v>
      </c>
      <c r="C44" s="1813"/>
      <c r="D44" s="1813"/>
      <c r="E44" s="1813">
        <v>600</v>
      </c>
      <c r="F44" s="1813">
        <v>600</v>
      </c>
      <c r="G44" s="1777"/>
      <c r="H44" s="1774"/>
      <c r="I44" s="1774"/>
      <c r="J44" s="1774"/>
      <c r="K44" s="1778"/>
      <c r="L44" s="2"/>
      <c r="M44"/>
    </row>
    <row r="45" spans="1:13" ht="12.75">
      <c r="A45" s="1812" t="s">
        <v>157</v>
      </c>
      <c r="B45" s="1812" t="s">
        <v>347</v>
      </c>
      <c r="C45" s="1813">
        <v>12089</v>
      </c>
      <c r="D45" s="1813"/>
      <c r="E45" s="1813">
        <v>1200</v>
      </c>
      <c r="F45" s="1813">
        <v>13289</v>
      </c>
      <c r="G45" s="1777"/>
      <c r="H45" s="1780"/>
      <c r="I45" s="1780"/>
      <c r="J45" s="1780"/>
      <c r="K45" s="1773"/>
      <c r="L45" s="2"/>
      <c r="M45"/>
    </row>
    <row r="46" spans="1:13" ht="12.75">
      <c r="A46" s="1812" t="s">
        <v>158</v>
      </c>
      <c r="B46" s="1812" t="s">
        <v>349</v>
      </c>
      <c r="C46" s="1813"/>
      <c r="D46" s="1813"/>
      <c r="E46" s="1813">
        <v>4576</v>
      </c>
      <c r="F46" s="1813">
        <v>4576</v>
      </c>
      <c r="G46" s="1777"/>
      <c r="H46" s="1774"/>
      <c r="I46" s="1774"/>
      <c r="J46" s="1774"/>
      <c r="K46" s="1778"/>
      <c r="L46" s="2"/>
      <c r="M46"/>
    </row>
    <row r="47" spans="1:13" ht="12.75">
      <c r="A47" s="1812" t="s">
        <v>628</v>
      </c>
      <c r="B47" s="1812" t="s">
        <v>628</v>
      </c>
      <c r="C47" s="1813"/>
      <c r="D47" s="1813"/>
      <c r="E47" s="1813"/>
      <c r="F47" s="1813"/>
      <c r="G47" s="1777"/>
      <c r="H47" s="1774"/>
      <c r="I47" s="1774"/>
      <c r="J47" s="1774"/>
      <c r="K47" s="1773"/>
      <c r="L47" s="2"/>
      <c r="M47"/>
    </row>
    <row r="48" spans="1:13" ht="12.75">
      <c r="A48" s="1812" t="s">
        <v>629</v>
      </c>
      <c r="B48" s="1812" t="s">
        <v>345</v>
      </c>
      <c r="C48" s="1813">
        <v>239101</v>
      </c>
      <c r="D48" s="1813"/>
      <c r="E48" s="1813">
        <v>224936</v>
      </c>
      <c r="F48" s="1813">
        <v>464037</v>
      </c>
      <c r="G48" s="1777"/>
      <c r="H48" s="1774"/>
      <c r="I48" s="1774"/>
      <c r="J48" s="1774"/>
      <c r="K48" s="1778"/>
      <c r="L48" s="2"/>
      <c r="M48"/>
    </row>
    <row r="49" spans="1:13" ht="12.75">
      <c r="A49" s="1812" t="s">
        <v>629</v>
      </c>
      <c r="B49" s="1812" t="s">
        <v>345</v>
      </c>
      <c r="C49" s="1813">
        <v>105892</v>
      </c>
      <c r="D49" s="1813"/>
      <c r="E49" s="1813">
        <v>164696</v>
      </c>
      <c r="F49" s="1813">
        <v>270588</v>
      </c>
      <c r="G49" s="1777"/>
      <c r="H49" s="1780"/>
      <c r="I49" s="1780"/>
      <c r="J49" s="1780"/>
      <c r="K49" s="1778"/>
      <c r="L49" s="2"/>
      <c r="M49"/>
    </row>
    <row r="50" spans="1:13" ht="12.75">
      <c r="A50" s="1812" t="s">
        <v>629</v>
      </c>
      <c r="B50" s="1812" t="s">
        <v>345</v>
      </c>
      <c r="C50" s="1813">
        <v>57472</v>
      </c>
      <c r="D50" s="1813"/>
      <c r="E50" s="1813">
        <v>54396</v>
      </c>
      <c r="F50" s="1813">
        <v>111868</v>
      </c>
      <c r="G50" s="1777"/>
      <c r="H50" s="1780"/>
      <c r="I50" s="1780"/>
      <c r="J50" s="1780"/>
      <c r="K50" s="1776"/>
      <c r="L50" s="2"/>
      <c r="M50"/>
    </row>
    <row r="51" spans="1:13" ht="12.75">
      <c r="A51" s="1812" t="s">
        <v>629</v>
      </c>
      <c r="B51" s="1812" t="s">
        <v>345</v>
      </c>
      <c r="C51" s="1813">
        <v>667984</v>
      </c>
      <c r="D51" s="1813"/>
      <c r="E51" s="1813">
        <v>159651</v>
      </c>
      <c r="F51" s="1813">
        <v>827635</v>
      </c>
      <c r="G51" s="1777"/>
      <c r="H51" s="1774"/>
      <c r="I51" s="1774"/>
      <c r="J51" s="1774"/>
      <c r="K51" s="1778"/>
      <c r="L51" s="2"/>
      <c r="M51"/>
    </row>
    <row r="52" spans="1:13" ht="12.75">
      <c r="A52" s="1812" t="s">
        <v>629</v>
      </c>
      <c r="B52" s="1812" t="s">
        <v>345</v>
      </c>
      <c r="C52" s="1813">
        <v>425725</v>
      </c>
      <c r="D52" s="1813"/>
      <c r="E52" s="1813">
        <v>327830</v>
      </c>
      <c r="F52" s="1813">
        <v>753555</v>
      </c>
      <c r="G52" s="1777"/>
      <c r="H52" s="1774"/>
      <c r="I52" s="1774"/>
      <c r="J52" s="1774"/>
      <c r="K52" s="1778"/>
      <c r="L52" s="2"/>
      <c r="M52"/>
    </row>
    <row r="53" spans="1:13" ht="12.75">
      <c r="A53" s="1812" t="s">
        <v>629</v>
      </c>
      <c r="B53" s="1812" t="s">
        <v>345</v>
      </c>
      <c r="C53" s="1813">
        <v>320513</v>
      </c>
      <c r="D53" s="1813"/>
      <c r="E53" s="1813">
        <v>175233</v>
      </c>
      <c r="F53" s="1813">
        <v>495746</v>
      </c>
      <c r="G53" s="1777"/>
      <c r="H53" s="1774"/>
      <c r="I53" s="1774"/>
      <c r="J53" s="1774"/>
      <c r="K53" s="1778"/>
      <c r="L53" s="2"/>
      <c r="M53"/>
    </row>
    <row r="54" spans="1:13" ht="12.75">
      <c r="A54" s="1812" t="s">
        <v>628</v>
      </c>
      <c r="B54" s="1812" t="s">
        <v>628</v>
      </c>
      <c r="C54" s="1813"/>
      <c r="D54" s="1813"/>
      <c r="E54" s="1813"/>
      <c r="F54" s="1813"/>
      <c r="G54" s="1777"/>
      <c r="H54" s="1780"/>
      <c r="I54" s="1780"/>
      <c r="J54" s="1780"/>
      <c r="K54" s="1778"/>
      <c r="L54" s="2"/>
      <c r="M54"/>
    </row>
    <row r="55" spans="1:13">
      <c r="A55" s="1812" t="s">
        <v>631</v>
      </c>
      <c r="B55" s="1812" t="s">
        <v>346</v>
      </c>
      <c r="C55" s="1813">
        <v>1164218</v>
      </c>
      <c r="D55" s="1813"/>
      <c r="E55" s="1813">
        <v>237129</v>
      </c>
      <c r="F55" s="1813">
        <v>1401347</v>
      </c>
      <c r="G55" s="1777"/>
      <c r="H55" s="1774"/>
      <c r="I55" s="1774"/>
      <c r="J55" s="1774"/>
      <c r="K55" s="1778">
        <v>848.21</v>
      </c>
      <c r="L55" s="1812" t="s">
        <v>1409</v>
      </c>
      <c r="M55" s="1879" t="s">
        <v>1418</v>
      </c>
    </row>
    <row r="56" spans="1:13">
      <c r="A56" s="1812" t="s">
        <v>351</v>
      </c>
      <c r="B56" s="1812" t="s">
        <v>346</v>
      </c>
      <c r="C56" s="1813">
        <v>2472212</v>
      </c>
      <c r="D56" s="1813" t="s">
        <v>1410</v>
      </c>
      <c r="E56" s="1813">
        <v>537963</v>
      </c>
      <c r="F56" s="1813">
        <v>3010175</v>
      </c>
      <c r="G56" s="1777"/>
      <c r="H56" s="1780"/>
      <c r="I56" s="1780"/>
      <c r="J56" s="1780"/>
      <c r="K56" s="1778"/>
      <c r="L56" s="1812"/>
      <c r="M56" s="1879"/>
    </row>
    <row r="57" spans="1:13">
      <c r="A57" s="1812" t="s">
        <v>351</v>
      </c>
      <c r="B57" s="1812" t="s">
        <v>346</v>
      </c>
      <c r="C57" s="1813">
        <v>1804409</v>
      </c>
      <c r="D57" s="1813" t="s">
        <v>1410</v>
      </c>
      <c r="E57" s="1813">
        <v>2358814</v>
      </c>
      <c r="F57" s="1813">
        <v>4163223</v>
      </c>
      <c r="G57" s="1777"/>
      <c r="H57" s="1774"/>
      <c r="I57" s="1774"/>
      <c r="J57" s="1854"/>
      <c r="K57" s="1778">
        <v>381324.37</v>
      </c>
      <c r="L57" s="1812" t="s">
        <v>1411</v>
      </c>
      <c r="M57" s="1879" t="s">
        <v>1418</v>
      </c>
    </row>
    <row r="58" spans="1:13" ht="12.75">
      <c r="A58" s="1812" t="s">
        <v>634</v>
      </c>
      <c r="B58" s="1812" t="s">
        <v>346</v>
      </c>
      <c r="C58" s="1813">
        <v>422501</v>
      </c>
      <c r="D58" s="1813"/>
      <c r="E58" s="1813">
        <v>134612</v>
      </c>
      <c r="F58" s="1813">
        <v>557113</v>
      </c>
      <c r="G58" s="1777"/>
      <c r="H58" s="1774"/>
      <c r="I58" s="1774"/>
      <c r="J58" s="1774"/>
      <c r="K58" s="1778"/>
      <c r="L58" s="1812"/>
      <c r="M58"/>
    </row>
    <row r="59" spans="1:13" ht="12.75">
      <c r="A59" s="1812" t="s">
        <v>636</v>
      </c>
      <c r="B59" s="1812" t="s">
        <v>346</v>
      </c>
      <c r="C59" s="1813">
        <v>883557</v>
      </c>
      <c r="D59" s="1813"/>
      <c r="E59" s="1813">
        <v>262798</v>
      </c>
      <c r="F59" s="1813">
        <v>1146355</v>
      </c>
      <c r="G59" s="1777"/>
      <c r="H59" s="1774"/>
      <c r="I59" s="1774"/>
      <c r="J59" s="1774"/>
      <c r="K59" s="1778"/>
      <c r="L59" s="1812"/>
      <c r="M59"/>
    </row>
    <row r="60" spans="1:13" ht="12.75">
      <c r="A60" s="1812" t="s">
        <v>1261</v>
      </c>
      <c r="B60" s="1812" t="s">
        <v>346</v>
      </c>
      <c r="C60" s="1813">
        <v>-2988</v>
      </c>
      <c r="D60" s="1813"/>
      <c r="E60" s="1813">
        <v>-120</v>
      </c>
      <c r="F60" s="1813">
        <v>-3108</v>
      </c>
      <c r="G60" s="1777"/>
      <c r="H60" s="1774"/>
      <c r="I60" s="1774"/>
      <c r="J60" s="1774"/>
      <c r="K60" s="1778"/>
      <c r="L60" s="1812"/>
      <c r="M60"/>
    </row>
    <row r="61" spans="1:13" ht="12.75">
      <c r="A61" s="1812" t="s">
        <v>637</v>
      </c>
      <c r="B61" s="1812" t="s">
        <v>346</v>
      </c>
      <c r="C61" s="1813">
        <v>45295</v>
      </c>
      <c r="D61" s="1813"/>
      <c r="E61" s="1813">
        <v>18301</v>
      </c>
      <c r="F61" s="1813">
        <v>63596</v>
      </c>
      <c r="G61" s="1777"/>
      <c r="H61" s="1774"/>
      <c r="I61" s="1774"/>
      <c r="J61" s="1774"/>
      <c r="K61" s="1778"/>
      <c r="L61" s="1806"/>
      <c r="M61"/>
    </row>
    <row r="62" spans="1:13" ht="12.75">
      <c r="A62" s="1812" t="s">
        <v>628</v>
      </c>
      <c r="B62" s="1812" t="s">
        <v>628</v>
      </c>
      <c r="C62" s="1813"/>
      <c r="D62" s="1813"/>
      <c r="E62" s="1813"/>
      <c r="F62" s="1813"/>
      <c r="G62" s="1777"/>
      <c r="H62" s="1774"/>
      <c r="I62" s="1774"/>
      <c r="J62" s="1774"/>
      <c r="K62" s="1778"/>
      <c r="L62" s="2"/>
      <c r="M62"/>
    </row>
    <row r="63" spans="1:13" ht="12.75">
      <c r="A63" s="1812" t="s">
        <v>1412</v>
      </c>
      <c r="B63" s="1812" t="s">
        <v>350</v>
      </c>
      <c r="C63" s="1813">
        <v>25223</v>
      </c>
      <c r="D63" s="1813"/>
      <c r="E63" s="1813">
        <v>9297</v>
      </c>
      <c r="F63" s="1813">
        <v>34520</v>
      </c>
      <c r="G63" s="1777"/>
      <c r="H63" s="1774"/>
      <c r="I63" s="1774"/>
      <c r="J63" s="1774"/>
      <c r="K63" s="1880">
        <f>C63</f>
        <v>25223</v>
      </c>
      <c r="L63" s="1812" t="s">
        <v>1409</v>
      </c>
      <c r="M63"/>
    </row>
    <row r="64" spans="1:13" ht="12.75">
      <c r="A64" s="1812" t="s">
        <v>1336</v>
      </c>
      <c r="B64" s="1812" t="s">
        <v>350</v>
      </c>
      <c r="C64" s="1813">
        <v>6300</v>
      </c>
      <c r="D64" s="1813"/>
      <c r="E64" s="1813">
        <v>456</v>
      </c>
      <c r="F64" s="1813">
        <v>6756</v>
      </c>
      <c r="G64" s="1777"/>
      <c r="H64" s="1774"/>
      <c r="I64" s="1774"/>
      <c r="J64" s="1774"/>
      <c r="K64" s="1880">
        <f t="shared" ref="K64:K67" si="0">C64</f>
        <v>6300</v>
      </c>
      <c r="L64" s="1812" t="s">
        <v>1409</v>
      </c>
      <c r="M64"/>
    </row>
    <row r="65" spans="1:13" ht="12.75">
      <c r="A65" s="1812" t="s">
        <v>631</v>
      </c>
      <c r="B65" s="1812" t="s">
        <v>350</v>
      </c>
      <c r="C65" s="1813">
        <v>14706</v>
      </c>
      <c r="D65" s="1813"/>
      <c r="E65" s="1813">
        <v>1065</v>
      </c>
      <c r="F65" s="1813">
        <v>15771</v>
      </c>
      <c r="G65" s="1777"/>
      <c r="H65" s="1774"/>
      <c r="I65" s="1774"/>
      <c r="J65" s="1774"/>
      <c r="K65" s="1880">
        <f t="shared" si="0"/>
        <v>14706</v>
      </c>
      <c r="L65" s="1812" t="s">
        <v>1409</v>
      </c>
      <c r="M65"/>
    </row>
    <row r="66" spans="1:13" ht="12.75">
      <c r="A66" s="1812" t="s">
        <v>351</v>
      </c>
      <c r="B66" s="1812" t="s">
        <v>350</v>
      </c>
      <c r="C66" s="1813">
        <v>1705275</v>
      </c>
      <c r="D66" s="1813"/>
      <c r="E66" s="1813">
        <v>106668</v>
      </c>
      <c r="F66" s="1813">
        <v>1811943</v>
      </c>
      <c r="G66" s="1777"/>
      <c r="H66" s="1774"/>
      <c r="I66" s="1774"/>
      <c r="J66" s="1774"/>
      <c r="K66" s="1880">
        <f t="shared" si="0"/>
        <v>1705275</v>
      </c>
      <c r="L66" s="1812" t="s">
        <v>1411</v>
      </c>
      <c r="M66"/>
    </row>
    <row r="67" spans="1:13" ht="12.75">
      <c r="A67" s="1812" t="s">
        <v>633</v>
      </c>
      <c r="B67" s="1812" t="s">
        <v>350</v>
      </c>
      <c r="C67" s="1813">
        <v>183771</v>
      </c>
      <c r="D67" s="1813"/>
      <c r="E67" s="1813">
        <v>-17969</v>
      </c>
      <c r="F67" s="1813">
        <v>165802</v>
      </c>
      <c r="G67" s="1777"/>
      <c r="H67" s="1774"/>
      <c r="I67" s="1774"/>
      <c r="J67" s="1774"/>
      <c r="K67" s="1880">
        <f t="shared" si="0"/>
        <v>183771</v>
      </c>
      <c r="L67" s="1812" t="s">
        <v>1411</v>
      </c>
      <c r="M67"/>
    </row>
    <row r="68" spans="1:13" ht="12.75">
      <c r="A68" s="1812" t="s">
        <v>628</v>
      </c>
      <c r="B68" s="1812"/>
      <c r="C68" s="1813"/>
      <c r="D68" s="1813"/>
      <c r="E68" s="1813"/>
      <c r="F68" s="1813"/>
      <c r="G68" s="1777"/>
      <c r="H68" s="1774"/>
      <c r="I68" s="1774"/>
      <c r="J68" s="1774"/>
      <c r="K68" s="1778"/>
      <c r="L68" s="1812"/>
      <c r="M68"/>
    </row>
    <row r="69" spans="1:13" ht="12.75">
      <c r="A69" s="1812" t="s">
        <v>629</v>
      </c>
      <c r="B69" s="1812" t="s">
        <v>348</v>
      </c>
      <c r="C69" s="1813"/>
      <c r="D69" s="1813">
        <v>1027</v>
      </c>
      <c r="E69" s="1813">
        <v>74</v>
      </c>
      <c r="F69" s="1813">
        <v>1101</v>
      </c>
      <c r="G69" s="1777"/>
      <c r="H69" s="1774"/>
      <c r="I69" s="1774"/>
      <c r="J69" s="1774"/>
      <c r="K69" s="1778">
        <f>D69</f>
        <v>1027</v>
      </c>
      <c r="L69" s="1812" t="s">
        <v>1409</v>
      </c>
      <c r="M69"/>
    </row>
    <row r="70" spans="1:13" ht="12.75">
      <c r="A70" s="1812" t="s">
        <v>1413</v>
      </c>
      <c r="B70" s="1812" t="s">
        <v>348</v>
      </c>
      <c r="C70" s="1813"/>
      <c r="D70" s="1813">
        <v>263</v>
      </c>
      <c r="E70" s="1813">
        <v>19</v>
      </c>
      <c r="F70" s="1813">
        <v>282</v>
      </c>
      <c r="G70" s="1777"/>
      <c r="H70" s="1774"/>
      <c r="I70" s="1774"/>
      <c r="J70" s="1774"/>
      <c r="K70" s="1778">
        <f t="shared" ref="K70:K87" si="1">D70</f>
        <v>263</v>
      </c>
      <c r="L70" s="1812" t="s">
        <v>1409</v>
      </c>
      <c r="M70"/>
    </row>
    <row r="71" spans="1:13" ht="12.75">
      <c r="A71" s="1812" t="s">
        <v>1414</v>
      </c>
      <c r="B71" s="1812" t="s">
        <v>348</v>
      </c>
      <c r="C71" s="1813"/>
      <c r="D71" s="1813">
        <v>1386</v>
      </c>
      <c r="E71" s="1813">
        <v>176</v>
      </c>
      <c r="F71" s="1813">
        <v>1562</v>
      </c>
      <c r="G71" s="1777"/>
      <c r="H71" s="1774"/>
      <c r="I71" s="1774"/>
      <c r="J71" s="1774"/>
      <c r="K71" s="1778">
        <f t="shared" si="1"/>
        <v>1386</v>
      </c>
      <c r="L71" s="1812" t="s">
        <v>1409</v>
      </c>
      <c r="M71"/>
    </row>
    <row r="72" spans="1:13" ht="12.75">
      <c r="A72" s="1812" t="s">
        <v>1254</v>
      </c>
      <c r="B72" s="1812" t="s">
        <v>348</v>
      </c>
      <c r="C72" s="1813"/>
      <c r="D72" s="1813">
        <v>1058</v>
      </c>
      <c r="E72" s="1813">
        <v>306</v>
      </c>
      <c r="F72" s="1813">
        <v>1364</v>
      </c>
      <c r="G72" s="1777"/>
      <c r="H72" s="1774"/>
      <c r="I72" s="1774"/>
      <c r="J72" s="1774"/>
      <c r="K72" s="1778">
        <f t="shared" si="1"/>
        <v>1058</v>
      </c>
      <c r="L72" s="1812" t="s">
        <v>1409</v>
      </c>
      <c r="M72"/>
    </row>
    <row r="73" spans="1:13" ht="12.75">
      <c r="A73" s="1812" t="s">
        <v>630</v>
      </c>
      <c r="B73" s="1812" t="s">
        <v>348</v>
      </c>
      <c r="C73" s="1813"/>
      <c r="D73" s="1813">
        <v>13116</v>
      </c>
      <c r="E73" s="1813">
        <v>2817</v>
      </c>
      <c r="F73" s="1813">
        <v>15933</v>
      </c>
      <c r="G73" s="1777"/>
      <c r="H73" s="1780"/>
      <c r="I73" s="1780"/>
      <c r="J73" s="1780"/>
      <c r="K73" s="1778">
        <f t="shared" si="1"/>
        <v>13116</v>
      </c>
      <c r="L73" s="1812" t="s">
        <v>1409</v>
      </c>
      <c r="M73"/>
    </row>
    <row r="74" spans="1:13" ht="12.75">
      <c r="A74" s="1812" t="s">
        <v>631</v>
      </c>
      <c r="B74" s="1812" t="s">
        <v>348</v>
      </c>
      <c r="C74" s="1813"/>
      <c r="D74" s="1813">
        <v>108140</v>
      </c>
      <c r="E74" s="1813">
        <v>8484</v>
      </c>
      <c r="F74" s="1813">
        <v>116624</v>
      </c>
      <c r="G74" s="1777"/>
      <c r="H74" s="1774"/>
      <c r="I74" s="1774"/>
      <c r="J74" s="1774"/>
      <c r="K74" s="1778">
        <f t="shared" si="1"/>
        <v>108140</v>
      </c>
      <c r="L74" s="1812" t="s">
        <v>1409</v>
      </c>
      <c r="M74"/>
    </row>
    <row r="75" spans="1:13" ht="12.75">
      <c r="A75" s="1812" t="s">
        <v>631</v>
      </c>
      <c r="B75" s="1812" t="s">
        <v>348</v>
      </c>
      <c r="C75" s="1813"/>
      <c r="D75" s="1813">
        <v>6851</v>
      </c>
      <c r="E75" s="1813">
        <v>563</v>
      </c>
      <c r="F75" s="1813">
        <v>7414</v>
      </c>
      <c r="G75" s="1777"/>
      <c r="H75" s="1774"/>
      <c r="I75" s="1774"/>
      <c r="J75" s="1774"/>
      <c r="K75" s="1778">
        <f t="shared" si="1"/>
        <v>6851</v>
      </c>
      <c r="L75" s="1812" t="s">
        <v>1411</v>
      </c>
      <c r="M75"/>
    </row>
    <row r="76" spans="1:13" ht="12.75">
      <c r="A76" s="1812" t="s">
        <v>632</v>
      </c>
      <c r="B76" s="1812" t="s">
        <v>348</v>
      </c>
      <c r="C76" s="1813"/>
      <c r="D76" s="1813">
        <v>71</v>
      </c>
      <c r="E76" s="1813">
        <v>5</v>
      </c>
      <c r="F76" s="1813">
        <v>76</v>
      </c>
      <c r="G76" s="1777"/>
      <c r="H76" s="1774"/>
      <c r="I76" s="1774"/>
      <c r="J76" s="1774"/>
      <c r="K76" s="1778">
        <f t="shared" si="1"/>
        <v>71</v>
      </c>
      <c r="L76" s="1812" t="s">
        <v>1409</v>
      </c>
      <c r="M76"/>
    </row>
    <row r="77" spans="1:13" ht="12.75">
      <c r="A77" s="1812" t="s">
        <v>351</v>
      </c>
      <c r="B77" s="1812" t="s">
        <v>348</v>
      </c>
      <c r="C77" s="1813"/>
      <c r="D77" s="1813">
        <v>197091</v>
      </c>
      <c r="E77" s="1813">
        <v>31920</v>
      </c>
      <c r="F77" s="1813">
        <v>229011</v>
      </c>
      <c r="G77" s="1777"/>
      <c r="H77" s="1780"/>
      <c r="I77" s="1780"/>
      <c r="J77" s="1780"/>
      <c r="K77" s="1778">
        <f t="shared" si="1"/>
        <v>197091</v>
      </c>
      <c r="L77" s="1812" t="s">
        <v>1409</v>
      </c>
      <c r="M77"/>
    </row>
    <row r="78" spans="1:13" ht="12.75">
      <c r="A78" s="1812" t="s">
        <v>351</v>
      </c>
      <c r="B78" s="1812" t="s">
        <v>348</v>
      </c>
      <c r="C78" s="1813"/>
      <c r="D78" s="1813">
        <v>126316</v>
      </c>
      <c r="E78" s="1813">
        <v>37957</v>
      </c>
      <c r="F78" s="1813">
        <v>164273</v>
      </c>
      <c r="G78" s="1777"/>
      <c r="H78" s="1780"/>
      <c r="I78" s="1780"/>
      <c r="J78" s="1780"/>
      <c r="K78" s="1778">
        <f t="shared" si="1"/>
        <v>126316</v>
      </c>
      <c r="L78" s="1812" t="s">
        <v>1411</v>
      </c>
      <c r="M78" s="2"/>
    </row>
    <row r="79" spans="1:13" ht="12.75">
      <c r="A79" s="1812" t="s">
        <v>1263</v>
      </c>
      <c r="B79" s="1812" t="s">
        <v>348</v>
      </c>
      <c r="C79" s="1813"/>
      <c r="D79" s="1813">
        <v>2941</v>
      </c>
      <c r="E79" s="1813">
        <v>494</v>
      </c>
      <c r="F79" s="1813">
        <v>3435</v>
      </c>
      <c r="G79" s="1777"/>
      <c r="H79" s="1774"/>
      <c r="I79" s="1774"/>
      <c r="J79" s="1774"/>
      <c r="K79" s="1778">
        <f t="shared" si="1"/>
        <v>2941</v>
      </c>
      <c r="L79" s="1812" t="s">
        <v>1409</v>
      </c>
      <c r="M79"/>
    </row>
    <row r="80" spans="1:13" ht="12.75">
      <c r="A80" s="1812" t="s">
        <v>1263</v>
      </c>
      <c r="B80" s="1812" t="s">
        <v>348</v>
      </c>
      <c r="C80" s="1813"/>
      <c r="D80" s="1813">
        <v>215</v>
      </c>
      <c r="E80" s="1813">
        <v>18</v>
      </c>
      <c r="F80" s="1813">
        <v>233</v>
      </c>
      <c r="G80" s="1777"/>
      <c r="H80" s="1774"/>
      <c r="I80" s="1774"/>
      <c r="J80" s="1774"/>
      <c r="K80" s="1778">
        <f t="shared" si="1"/>
        <v>215</v>
      </c>
      <c r="L80" s="1812" t="s">
        <v>1411</v>
      </c>
      <c r="M80"/>
    </row>
    <row r="81" spans="1:13" ht="12.75">
      <c r="A81" s="1812" t="s">
        <v>633</v>
      </c>
      <c r="B81" s="1812" t="s">
        <v>348</v>
      </c>
      <c r="C81" s="1813"/>
      <c r="D81" s="1813">
        <v>47972</v>
      </c>
      <c r="E81" s="1813">
        <v>7515</v>
      </c>
      <c r="F81" s="1813">
        <v>55487</v>
      </c>
      <c r="G81" s="1777"/>
      <c r="H81" s="1774"/>
      <c r="I81" s="1774"/>
      <c r="J81" s="1774"/>
      <c r="K81" s="1778">
        <f t="shared" si="1"/>
        <v>47972</v>
      </c>
      <c r="L81" s="1812" t="s">
        <v>1409</v>
      </c>
      <c r="M81"/>
    </row>
    <row r="82" spans="1:13" ht="12.75">
      <c r="A82" s="1812" t="s">
        <v>633</v>
      </c>
      <c r="B82" s="1812" t="s">
        <v>348</v>
      </c>
      <c r="C82" s="1813"/>
      <c r="D82" s="1813">
        <v>323377</v>
      </c>
      <c r="E82" s="1813">
        <v>260311</v>
      </c>
      <c r="F82" s="1813">
        <v>583688</v>
      </c>
      <c r="G82" s="1777"/>
      <c r="H82" s="1774"/>
      <c r="I82" s="1774"/>
      <c r="J82" s="1774"/>
      <c r="K82" s="1778">
        <f t="shared" si="1"/>
        <v>323377</v>
      </c>
      <c r="L82" s="1812" t="s">
        <v>1411</v>
      </c>
      <c r="M82" s="2"/>
    </row>
    <row r="83" spans="1:13" ht="12.75">
      <c r="A83" s="1812" t="s">
        <v>634</v>
      </c>
      <c r="B83" s="1812" t="s">
        <v>348</v>
      </c>
      <c r="C83" s="1813"/>
      <c r="D83" s="1813">
        <v>44014</v>
      </c>
      <c r="E83" s="1813">
        <v>16595</v>
      </c>
      <c r="F83" s="1813">
        <v>60609</v>
      </c>
      <c r="G83" s="1777"/>
      <c r="H83" s="1774"/>
      <c r="I83" s="1774"/>
      <c r="J83" s="1774"/>
      <c r="K83" s="1778">
        <f t="shared" si="1"/>
        <v>44014</v>
      </c>
      <c r="L83" s="1812" t="s">
        <v>1411</v>
      </c>
      <c r="M83"/>
    </row>
    <row r="84" spans="1:13" ht="12.75">
      <c r="A84" s="1812" t="s">
        <v>701</v>
      </c>
      <c r="B84" s="1812" t="s">
        <v>348</v>
      </c>
      <c r="C84" s="1813"/>
      <c r="D84" s="1813">
        <v>402</v>
      </c>
      <c r="E84" s="1813">
        <v>33</v>
      </c>
      <c r="F84" s="1813">
        <v>435</v>
      </c>
      <c r="G84" s="1777"/>
      <c r="H84" s="1774"/>
      <c r="I84" s="1774"/>
      <c r="J84" s="1774"/>
      <c r="K84" s="1778">
        <f t="shared" si="1"/>
        <v>402</v>
      </c>
      <c r="L84" s="1812" t="s">
        <v>1411</v>
      </c>
      <c r="M84"/>
    </row>
    <row r="85" spans="1:13" ht="12.75">
      <c r="A85" s="1812" t="s">
        <v>635</v>
      </c>
      <c r="B85" s="1812" t="s">
        <v>348</v>
      </c>
      <c r="C85" s="1813"/>
      <c r="D85" s="1813">
        <v>7371</v>
      </c>
      <c r="E85" s="1813">
        <v>1591</v>
      </c>
      <c r="F85" s="1813">
        <v>8962</v>
      </c>
      <c r="G85" s="1777"/>
      <c r="H85" s="1774"/>
      <c r="I85" s="1774"/>
      <c r="J85" s="1774"/>
      <c r="K85" s="1778">
        <f t="shared" si="1"/>
        <v>7371</v>
      </c>
      <c r="L85" s="1812" t="s">
        <v>1409</v>
      </c>
      <c r="M85"/>
    </row>
    <row r="86" spans="1:13" ht="12.75">
      <c r="A86" s="1812" t="s">
        <v>636</v>
      </c>
      <c r="B86" s="1812" t="s">
        <v>348</v>
      </c>
      <c r="C86" s="1813"/>
      <c r="D86" s="1813">
        <v>2319</v>
      </c>
      <c r="E86" s="1813">
        <v>443</v>
      </c>
      <c r="F86" s="1813">
        <v>2762</v>
      </c>
      <c r="G86" s="1777"/>
      <c r="H86" s="1774"/>
      <c r="I86" s="1774"/>
      <c r="J86" s="1774"/>
      <c r="K86" s="1778">
        <f t="shared" si="1"/>
        <v>2319</v>
      </c>
      <c r="L86" s="1812" t="s">
        <v>1409</v>
      </c>
      <c r="M86"/>
    </row>
    <row r="87" spans="1:13" ht="12.75">
      <c r="A87" s="1812" t="s">
        <v>1255</v>
      </c>
      <c r="B87" s="1812" t="s">
        <v>348</v>
      </c>
      <c r="C87" s="1813"/>
      <c r="D87" s="1813">
        <v>521</v>
      </c>
      <c r="E87" s="1813">
        <v>206</v>
      </c>
      <c r="F87" s="1813">
        <v>727</v>
      </c>
      <c r="G87" s="1777"/>
      <c r="H87" s="1780"/>
      <c r="I87" s="1780"/>
      <c r="J87" s="1780"/>
      <c r="K87" s="1778">
        <f t="shared" si="1"/>
        <v>521</v>
      </c>
      <c r="L87" s="1812" t="s">
        <v>1409</v>
      </c>
      <c r="M87"/>
    </row>
    <row r="88" spans="1:13" ht="12.75">
      <c r="A88" s="1812" t="s">
        <v>628</v>
      </c>
      <c r="B88" s="1812"/>
      <c r="C88" s="1813"/>
      <c r="D88" s="1813"/>
      <c r="E88" s="1813"/>
      <c r="F88" s="1813"/>
      <c r="G88" s="1777"/>
      <c r="H88" s="1774"/>
      <c r="I88" s="1774"/>
      <c r="J88" s="1774"/>
      <c r="K88" s="1778"/>
      <c r="L88" s="1812"/>
      <c r="M88"/>
    </row>
    <row r="89" spans="1:13" ht="12.75">
      <c r="A89" s="1812" t="s">
        <v>1264</v>
      </c>
      <c r="B89" s="1812" t="s">
        <v>170</v>
      </c>
      <c r="C89" s="1813"/>
      <c r="D89" s="1813"/>
      <c r="E89" s="1813">
        <v>-2019</v>
      </c>
      <c r="F89" s="1813">
        <v>-2019</v>
      </c>
      <c r="G89" s="1777"/>
      <c r="H89" s="1774"/>
      <c r="I89" s="1774"/>
      <c r="J89" s="1774"/>
      <c r="K89" s="1778"/>
      <c r="L89" s="1812"/>
      <c r="M89"/>
    </row>
    <row r="90" spans="1:13" ht="12.75">
      <c r="A90" s="1812" t="s">
        <v>1262</v>
      </c>
      <c r="B90" s="1812" t="s">
        <v>170</v>
      </c>
      <c r="C90" s="1813"/>
      <c r="D90" s="1813"/>
      <c r="E90" s="1813">
        <v>-1</v>
      </c>
      <c r="F90" s="1813">
        <v>-1</v>
      </c>
      <c r="G90" s="1777"/>
      <c r="H90" s="1774"/>
      <c r="I90" s="1774"/>
      <c r="J90" s="1774"/>
      <c r="K90" s="1778"/>
      <c r="L90" s="1812"/>
      <c r="M90"/>
    </row>
    <row r="91" spans="1:13" ht="12.75">
      <c r="A91" s="1812" t="s">
        <v>1254</v>
      </c>
      <c r="B91" s="1812" t="s">
        <v>170</v>
      </c>
      <c r="C91" s="1813"/>
      <c r="D91" s="1813"/>
      <c r="E91" s="1813">
        <v>-2</v>
      </c>
      <c r="F91" s="1813">
        <v>-2</v>
      </c>
      <c r="G91" s="1777"/>
      <c r="H91" s="1774"/>
      <c r="I91" s="1774"/>
      <c r="J91" s="1774"/>
      <c r="K91" s="1778"/>
      <c r="L91" s="1812"/>
      <c r="M91"/>
    </row>
    <row r="92" spans="1:13" ht="12.75">
      <c r="A92" s="1812" t="s">
        <v>630</v>
      </c>
      <c r="B92" s="1812" t="s">
        <v>170</v>
      </c>
      <c r="C92" s="1813"/>
      <c r="D92" s="1813"/>
      <c r="E92" s="1813">
        <v>-18</v>
      </c>
      <c r="F92" s="1813">
        <v>-18</v>
      </c>
      <c r="G92" s="1777"/>
      <c r="H92" s="1774"/>
      <c r="I92" s="1774"/>
      <c r="J92" s="1774"/>
      <c r="K92" s="1778"/>
      <c r="L92" s="1812"/>
      <c r="M92"/>
    </row>
    <row r="93" spans="1:13" ht="12.75">
      <c r="A93" s="1812" t="s">
        <v>631</v>
      </c>
      <c r="B93" s="1812" t="s">
        <v>170</v>
      </c>
      <c r="C93" s="1813"/>
      <c r="D93" s="1813"/>
      <c r="E93" s="1813">
        <v>-441</v>
      </c>
      <c r="F93" s="1813">
        <v>-441</v>
      </c>
      <c r="G93" s="1777"/>
      <c r="H93" s="1774"/>
      <c r="I93" s="1774"/>
      <c r="J93" s="1774"/>
      <c r="K93" s="1778"/>
      <c r="L93" s="1812"/>
      <c r="M93"/>
    </row>
    <row r="94" spans="1:13" ht="12.75">
      <c r="A94" s="1812" t="s">
        <v>1337</v>
      </c>
      <c r="B94" s="1812" t="s">
        <v>170</v>
      </c>
      <c r="C94" s="1813"/>
      <c r="D94" s="1813"/>
      <c r="E94" s="1813">
        <v>-9</v>
      </c>
      <c r="F94" s="1813">
        <v>-9</v>
      </c>
      <c r="G94" s="1777"/>
      <c r="H94" s="1774"/>
      <c r="I94" s="1774"/>
      <c r="J94" s="1774"/>
      <c r="K94" s="1778"/>
      <c r="L94" s="1812"/>
      <c r="M94"/>
    </row>
    <row r="95" spans="1:13" ht="12.75">
      <c r="A95" s="1812" t="s">
        <v>351</v>
      </c>
      <c r="B95" s="1812" t="s">
        <v>170</v>
      </c>
      <c r="C95" s="1813"/>
      <c r="D95" s="1813"/>
      <c r="E95" s="1813">
        <v>-6974</v>
      </c>
      <c r="F95" s="1813">
        <v>-6974</v>
      </c>
      <c r="G95" s="1777"/>
      <c r="H95" s="1780"/>
      <c r="I95" s="1780"/>
      <c r="J95" s="1780"/>
      <c r="K95" s="1778"/>
      <c r="L95" s="1812"/>
      <c r="M95"/>
    </row>
    <row r="96" spans="1:13" ht="12.75">
      <c r="A96" s="1812" t="s">
        <v>1263</v>
      </c>
      <c r="B96" s="1812" t="s">
        <v>170</v>
      </c>
      <c r="C96" s="1813"/>
      <c r="D96" s="1813"/>
      <c r="E96" s="1813">
        <v>-1</v>
      </c>
      <c r="F96" s="1813">
        <v>-1</v>
      </c>
      <c r="G96" s="1777"/>
      <c r="H96" s="1780"/>
      <c r="I96" s="1780"/>
      <c r="J96" s="1780"/>
      <c r="K96" s="1778"/>
      <c r="L96" s="1812"/>
      <c r="M96"/>
    </row>
    <row r="97" spans="1:13" ht="12.75">
      <c r="A97" s="1812" t="s">
        <v>633</v>
      </c>
      <c r="B97" s="1812" t="s">
        <v>170</v>
      </c>
      <c r="C97" s="1813"/>
      <c r="D97" s="1813"/>
      <c r="E97" s="1813">
        <v>-4946</v>
      </c>
      <c r="F97" s="1813">
        <v>-4946</v>
      </c>
      <c r="G97" s="1777"/>
      <c r="H97" s="1774"/>
      <c r="I97" s="1774"/>
      <c r="J97" s="1774"/>
      <c r="K97" s="1778"/>
      <c r="L97" s="1812"/>
      <c r="M97"/>
    </row>
    <row r="98" spans="1:13" ht="12.75">
      <c r="A98" s="1812" t="s">
        <v>634</v>
      </c>
      <c r="B98" s="1812" t="s">
        <v>170</v>
      </c>
      <c r="C98" s="1813"/>
      <c r="D98" s="1813"/>
      <c r="E98" s="1813">
        <v>-662</v>
      </c>
      <c r="F98" s="1813">
        <v>-662</v>
      </c>
      <c r="G98" s="1777"/>
      <c r="H98" s="1774"/>
      <c r="I98" s="1774"/>
      <c r="J98" s="1774"/>
      <c r="K98" s="1778"/>
      <c r="L98" s="1812"/>
      <c r="M98"/>
    </row>
    <row r="99" spans="1:13" ht="12.75">
      <c r="A99" s="1812" t="s">
        <v>701</v>
      </c>
      <c r="B99" s="1812" t="s">
        <v>170</v>
      </c>
      <c r="C99" s="1813"/>
      <c r="D99" s="1813"/>
      <c r="E99" s="1813">
        <v>-1</v>
      </c>
      <c r="F99" s="1813">
        <v>-1</v>
      </c>
      <c r="G99" s="1777"/>
      <c r="H99" s="1774"/>
      <c r="I99" s="1774"/>
      <c r="J99" s="1774"/>
      <c r="K99" s="1778"/>
      <c r="L99" s="1812"/>
      <c r="M99"/>
    </row>
    <row r="100" spans="1:13" ht="12.75">
      <c r="A100" s="1812" t="s">
        <v>635</v>
      </c>
      <c r="B100" s="1812" t="s">
        <v>170</v>
      </c>
      <c r="C100" s="1813"/>
      <c r="D100" s="1813"/>
      <c r="E100" s="1813">
        <v>-1</v>
      </c>
      <c r="F100" s="1813">
        <v>-1</v>
      </c>
      <c r="G100" s="1777"/>
      <c r="H100" s="1774"/>
      <c r="I100" s="1774"/>
      <c r="J100" s="1774"/>
      <c r="K100" s="1778"/>
      <c r="L100" s="1812"/>
      <c r="M100"/>
    </row>
    <row r="101" spans="1:13" ht="12.75">
      <c r="A101" s="1812" t="s">
        <v>636</v>
      </c>
      <c r="B101" s="1812" t="s">
        <v>170</v>
      </c>
      <c r="C101" s="1813"/>
      <c r="D101" s="1813"/>
      <c r="E101" s="1813">
        <v>-327</v>
      </c>
      <c r="F101" s="1813">
        <v>-327</v>
      </c>
      <c r="G101" s="1777"/>
      <c r="H101" s="1774"/>
      <c r="I101" s="1774"/>
      <c r="J101" s="1774"/>
      <c r="K101" s="1778"/>
      <c r="L101" s="1812"/>
      <c r="M101"/>
    </row>
    <row r="102" spans="1:13" ht="12.75">
      <c r="A102" s="1812" t="s">
        <v>637</v>
      </c>
      <c r="B102" s="1812" t="s">
        <v>170</v>
      </c>
      <c r="C102" s="1813"/>
      <c r="D102" s="1813"/>
      <c r="E102" s="1813">
        <v>-88</v>
      </c>
      <c r="F102" s="1813">
        <v>-88</v>
      </c>
      <c r="G102" s="1777"/>
      <c r="H102" s="1774"/>
      <c r="I102" s="1774"/>
      <c r="J102" s="1774"/>
      <c r="K102" s="1778"/>
      <c r="L102" s="1812"/>
      <c r="M102"/>
    </row>
    <row r="103" spans="1:13" ht="12.75">
      <c r="A103" s="1812" t="s">
        <v>628</v>
      </c>
      <c r="B103" s="1812"/>
      <c r="C103" s="1813"/>
      <c r="D103" s="1813"/>
      <c r="E103" s="1813"/>
      <c r="F103" s="1813"/>
      <c r="G103" s="1777"/>
      <c r="H103" s="1774"/>
      <c r="I103" s="1774"/>
      <c r="J103" s="1774"/>
      <c r="K103" s="1778"/>
      <c r="L103" s="1812"/>
      <c r="M103"/>
    </row>
    <row r="104" spans="1:13" ht="12.75">
      <c r="A104" s="1812" t="s">
        <v>159</v>
      </c>
      <c r="B104" s="1812" t="s">
        <v>345</v>
      </c>
      <c r="C104" s="1813">
        <v>212760</v>
      </c>
      <c r="D104" s="1813"/>
      <c r="E104" s="1813">
        <v>197976</v>
      </c>
      <c r="F104" s="1813">
        <v>410736</v>
      </c>
      <c r="G104" s="1777"/>
      <c r="H104" s="1774"/>
      <c r="I104" s="1774"/>
      <c r="J104" s="1774"/>
      <c r="K104" s="1778"/>
      <c r="L104" s="1812"/>
      <c r="M104"/>
    </row>
    <row r="105" spans="1:13" ht="12.75">
      <c r="A105" s="1812" t="s">
        <v>850</v>
      </c>
      <c r="B105" s="1812" t="s">
        <v>345</v>
      </c>
      <c r="C105" s="1813">
        <v>112219</v>
      </c>
      <c r="D105" s="1813"/>
      <c r="E105" s="1813">
        <v>198039</v>
      </c>
      <c r="F105" s="1813">
        <v>310258</v>
      </c>
      <c r="G105" s="1777"/>
      <c r="H105" s="1774"/>
      <c r="I105" s="1774"/>
      <c r="J105" s="1774"/>
      <c r="K105" s="1778"/>
      <c r="L105" s="1812"/>
      <c r="M105"/>
    </row>
    <row r="106" spans="1:13" ht="12.75">
      <c r="A106" s="1812" t="s">
        <v>1256</v>
      </c>
      <c r="B106" s="1812" t="s">
        <v>345</v>
      </c>
      <c r="C106" s="1813">
        <v>99307</v>
      </c>
      <c r="D106" s="1813"/>
      <c r="E106" s="1813">
        <v>58193</v>
      </c>
      <c r="F106" s="1813">
        <v>157500</v>
      </c>
      <c r="G106" s="1777"/>
      <c r="H106" s="1774"/>
      <c r="I106" s="1774"/>
      <c r="J106" s="1774"/>
      <c r="K106" s="1778"/>
      <c r="L106" s="1812"/>
      <c r="M106"/>
    </row>
    <row r="107" spans="1:13" ht="12.75">
      <c r="A107" s="1812" t="s">
        <v>702</v>
      </c>
      <c r="B107" s="1812" t="s">
        <v>345</v>
      </c>
      <c r="C107" s="1813">
        <v>45975</v>
      </c>
      <c r="D107" s="1813"/>
      <c r="E107" s="1813">
        <v>56186</v>
      </c>
      <c r="F107" s="1813">
        <v>102161</v>
      </c>
      <c r="G107" s="1777"/>
      <c r="H107" s="1774"/>
      <c r="I107" s="1774"/>
      <c r="J107" s="1774"/>
      <c r="K107" s="1778"/>
      <c r="L107" s="1812"/>
      <c r="M107"/>
    </row>
    <row r="108" spans="1:13" ht="12.75">
      <c r="A108" s="1812" t="s">
        <v>703</v>
      </c>
      <c r="B108" s="1812" t="s">
        <v>345</v>
      </c>
      <c r="C108" s="1813">
        <v>44610</v>
      </c>
      <c r="D108" s="1813"/>
      <c r="E108" s="1813">
        <v>-55952</v>
      </c>
      <c r="F108" s="1813">
        <v>-11342</v>
      </c>
      <c r="G108" s="1777"/>
      <c r="H108" s="1774"/>
      <c r="I108" s="1774"/>
      <c r="J108" s="1774"/>
      <c r="K108" s="1778"/>
      <c r="L108" s="1812"/>
      <c r="M108"/>
    </row>
    <row r="109" spans="1:13" ht="12.75">
      <c r="A109" s="1812" t="s">
        <v>160</v>
      </c>
      <c r="B109" s="1812" t="s">
        <v>345</v>
      </c>
      <c r="C109" s="1813">
        <v>1435922</v>
      </c>
      <c r="D109" s="1813"/>
      <c r="E109" s="1813">
        <v>641976</v>
      </c>
      <c r="F109" s="1813">
        <v>2077898</v>
      </c>
      <c r="G109" s="1777"/>
      <c r="H109" s="1774"/>
      <c r="I109" s="1774"/>
      <c r="J109" s="1774"/>
      <c r="K109" s="1778"/>
      <c r="L109" s="1812"/>
      <c r="M109"/>
    </row>
    <row r="110" spans="1:13" ht="12.75">
      <c r="A110" s="1812" t="s">
        <v>704</v>
      </c>
      <c r="B110" s="1812" t="s">
        <v>345</v>
      </c>
      <c r="C110" s="1813">
        <v>2049349</v>
      </c>
      <c r="D110" s="1813"/>
      <c r="E110" s="1813">
        <v>937917</v>
      </c>
      <c r="F110" s="1813">
        <v>2987266</v>
      </c>
      <c r="G110" s="1777"/>
      <c r="H110" s="1774"/>
      <c r="I110" s="1774"/>
      <c r="J110" s="1774"/>
      <c r="K110" s="1778"/>
      <c r="L110" s="1812"/>
      <c r="M110"/>
    </row>
    <row r="111" spans="1:13" ht="12.75">
      <c r="A111" s="1812" t="s">
        <v>161</v>
      </c>
      <c r="B111" s="1812" t="s">
        <v>345</v>
      </c>
      <c r="C111" s="1813">
        <v>45182</v>
      </c>
      <c r="D111" s="1813"/>
      <c r="E111" s="1813">
        <v>-87436</v>
      </c>
      <c r="F111" s="1813">
        <v>-42254</v>
      </c>
      <c r="G111" s="1777"/>
      <c r="H111" s="1774"/>
      <c r="I111" s="1774"/>
      <c r="J111" s="1774"/>
      <c r="K111" s="1778"/>
      <c r="L111" s="1812"/>
      <c r="M111"/>
    </row>
    <row r="112" spans="1:13" ht="12.75">
      <c r="A112" s="1812" t="s">
        <v>1257</v>
      </c>
      <c r="B112" s="1812" t="s">
        <v>345</v>
      </c>
      <c r="C112" s="1813">
        <v>848630</v>
      </c>
      <c r="D112" s="1813"/>
      <c r="E112" s="1813">
        <v>367051</v>
      </c>
      <c r="F112" s="1813">
        <v>1215681</v>
      </c>
      <c r="G112" s="1777"/>
      <c r="H112" s="1774"/>
      <c r="I112" s="1774"/>
      <c r="J112" s="1774"/>
      <c r="K112" s="1778"/>
      <c r="L112" s="1812"/>
      <c r="M112"/>
    </row>
    <row r="113" spans="1:13" ht="12.75">
      <c r="A113" s="1812" t="s">
        <v>162</v>
      </c>
      <c r="B113" s="1812" t="s">
        <v>345</v>
      </c>
      <c r="C113" s="1813">
        <v>655004</v>
      </c>
      <c r="D113" s="1813"/>
      <c r="E113" s="1813">
        <v>129769</v>
      </c>
      <c r="F113" s="1813">
        <v>784773</v>
      </c>
      <c r="G113" s="1777"/>
      <c r="H113" s="1774"/>
      <c r="I113" s="1774"/>
      <c r="J113" s="1774"/>
      <c r="K113" s="1778"/>
      <c r="L113" s="1812"/>
      <c r="M113"/>
    </row>
    <row r="114" spans="1:13" ht="12.75">
      <c r="A114" s="1812" t="s">
        <v>628</v>
      </c>
      <c r="B114" s="1812" t="s">
        <v>628</v>
      </c>
      <c r="C114" s="1813"/>
      <c r="D114" s="1813"/>
      <c r="E114" s="1813"/>
      <c r="F114" s="1813"/>
      <c r="G114" s="1777"/>
      <c r="H114" s="1774"/>
      <c r="I114" s="1774"/>
      <c r="J114" s="1774"/>
      <c r="K114" s="1778"/>
      <c r="L114" s="1812"/>
      <c r="M114"/>
    </row>
    <row r="115" spans="1:13" ht="12.75">
      <c r="A115" s="1812" t="s">
        <v>159</v>
      </c>
      <c r="B115" s="1812" t="s">
        <v>170</v>
      </c>
      <c r="C115" s="1813"/>
      <c r="D115" s="1813"/>
      <c r="E115" s="1813">
        <v>-90</v>
      </c>
      <c r="F115" s="1813">
        <v>-90</v>
      </c>
      <c r="G115" s="1777"/>
      <c r="H115" s="1774"/>
      <c r="I115" s="1774"/>
      <c r="J115" s="1774"/>
      <c r="K115" s="1778"/>
      <c r="L115" s="1812"/>
      <c r="M115"/>
    </row>
    <row r="116" spans="1:13" ht="12.75">
      <c r="A116" s="1812" t="s">
        <v>850</v>
      </c>
      <c r="B116" s="1812" t="s">
        <v>170</v>
      </c>
      <c r="C116" s="1813"/>
      <c r="D116" s="1813"/>
      <c r="E116" s="1813">
        <v>-174</v>
      </c>
      <c r="F116" s="1813">
        <v>-174</v>
      </c>
      <c r="G116" s="1777"/>
      <c r="H116" s="1774"/>
      <c r="I116" s="1774"/>
      <c r="J116" s="1774"/>
      <c r="K116" s="1778"/>
      <c r="L116" s="1812"/>
      <c r="M116"/>
    </row>
    <row r="117" spans="1:13" ht="12.75">
      <c r="A117" s="1812" t="s">
        <v>1256</v>
      </c>
      <c r="B117" s="1812" t="s">
        <v>170</v>
      </c>
      <c r="C117" s="1813"/>
      <c r="D117" s="1813"/>
      <c r="E117" s="1813">
        <v>-210</v>
      </c>
      <c r="F117" s="1813">
        <v>-210</v>
      </c>
      <c r="G117" s="1777"/>
      <c r="H117" s="1774"/>
      <c r="I117" s="1774"/>
      <c r="J117" s="1774"/>
      <c r="K117" s="1778"/>
      <c r="L117" s="1812"/>
      <c r="M117"/>
    </row>
    <row r="118" spans="1:13" ht="12.75">
      <c r="A118" s="1812" t="s">
        <v>702</v>
      </c>
      <c r="B118" s="1812" t="s">
        <v>170</v>
      </c>
      <c r="C118" s="1813"/>
      <c r="D118" s="1813"/>
      <c r="E118" s="1813">
        <v>-169</v>
      </c>
      <c r="F118" s="1813">
        <v>-169</v>
      </c>
      <c r="G118" s="1777"/>
      <c r="H118" s="1774"/>
      <c r="I118" s="1774"/>
      <c r="J118" s="1774"/>
      <c r="K118" s="1778"/>
      <c r="L118" s="1812"/>
      <c r="M118"/>
    </row>
    <row r="119" spans="1:13" ht="12.75">
      <c r="A119" s="1812" t="s">
        <v>160</v>
      </c>
      <c r="B119" s="1812" t="s">
        <v>170</v>
      </c>
      <c r="C119" s="1813"/>
      <c r="D119" s="1813"/>
      <c r="E119" s="1813">
        <v>-2374</v>
      </c>
      <c r="F119" s="1813">
        <v>-2374</v>
      </c>
      <c r="G119" s="1777"/>
      <c r="H119" s="1774"/>
      <c r="I119" s="1774"/>
      <c r="J119" s="1774"/>
      <c r="K119" s="1778"/>
      <c r="L119" s="1812"/>
      <c r="M119"/>
    </row>
    <row r="120" spans="1:13" ht="12.75">
      <c r="A120" s="1812" t="s">
        <v>704</v>
      </c>
      <c r="B120" s="1812" t="s">
        <v>170</v>
      </c>
      <c r="C120" s="1813"/>
      <c r="D120" s="1813"/>
      <c r="E120" s="1813">
        <v>-3144</v>
      </c>
      <c r="F120" s="1813">
        <v>-3144</v>
      </c>
      <c r="G120" s="1777"/>
      <c r="H120" s="1774"/>
      <c r="I120" s="1774"/>
      <c r="J120" s="1774"/>
      <c r="K120" s="1778"/>
      <c r="L120" s="1812"/>
      <c r="M120"/>
    </row>
    <row r="121" spans="1:13" ht="12.75">
      <c r="A121" s="1812" t="s">
        <v>161</v>
      </c>
      <c r="B121" s="1812" t="s">
        <v>170</v>
      </c>
      <c r="C121" s="1813"/>
      <c r="D121" s="1813"/>
      <c r="E121" s="1813">
        <v>-84</v>
      </c>
      <c r="F121" s="1813">
        <v>-84</v>
      </c>
      <c r="G121" s="1777"/>
      <c r="H121" s="1774"/>
      <c r="I121" s="1774"/>
      <c r="J121" s="1774"/>
      <c r="K121" s="1778"/>
      <c r="L121" s="1812"/>
      <c r="M121"/>
    </row>
    <row r="122" spans="1:13" ht="12.75">
      <c r="A122" s="1812" t="s">
        <v>1257</v>
      </c>
      <c r="B122" s="1812" t="s">
        <v>170</v>
      </c>
      <c r="C122" s="1813"/>
      <c r="D122" s="1813"/>
      <c r="E122" s="1813">
        <v>-1548</v>
      </c>
      <c r="F122" s="1813">
        <v>-1548</v>
      </c>
      <c r="G122" s="1777"/>
      <c r="H122" s="1774"/>
      <c r="I122" s="1774"/>
      <c r="J122" s="1774"/>
      <c r="K122" s="1778"/>
      <c r="L122" s="1812"/>
      <c r="M122"/>
    </row>
    <row r="123" spans="1:13" ht="12.75">
      <c r="A123" s="1812" t="s">
        <v>162</v>
      </c>
      <c r="B123" s="1812" t="s">
        <v>170</v>
      </c>
      <c r="C123" s="1813"/>
      <c r="D123" s="1813"/>
      <c r="E123" s="1813">
        <v>-1149</v>
      </c>
      <c r="F123" s="1813">
        <v>-1149</v>
      </c>
      <c r="G123" s="1777"/>
      <c r="H123" s="1774"/>
      <c r="I123" s="1774"/>
      <c r="J123" s="1774"/>
      <c r="K123" s="1778"/>
      <c r="L123" s="1812"/>
      <c r="M123"/>
    </row>
    <row r="124" spans="1:13" ht="12.75">
      <c r="A124" s="1812" t="s">
        <v>628</v>
      </c>
      <c r="B124" s="1812"/>
      <c r="C124" s="1813"/>
      <c r="D124" s="1813"/>
      <c r="E124" s="1813"/>
      <c r="F124" s="1813"/>
      <c r="G124" s="1777"/>
      <c r="H124" s="1774"/>
      <c r="I124" s="1774"/>
      <c r="J124" s="1774"/>
      <c r="K124" s="1778"/>
      <c r="L124" s="1812"/>
      <c r="M124"/>
    </row>
    <row r="125" spans="1:13" ht="12.75">
      <c r="A125" s="1812" t="s">
        <v>1069</v>
      </c>
      <c r="B125" s="1812"/>
      <c r="C125" s="1813"/>
      <c r="D125" s="1813"/>
      <c r="E125" s="1813">
        <v>1800</v>
      </c>
      <c r="F125" s="1813">
        <v>1800</v>
      </c>
      <c r="G125" s="1777"/>
      <c r="H125" s="1774"/>
      <c r="I125" s="1774"/>
      <c r="J125" s="1774"/>
      <c r="K125" s="1778"/>
      <c r="L125" s="1812"/>
      <c r="M125"/>
    </row>
    <row r="126" spans="1:13" ht="12.75">
      <c r="A126" s="1812" t="s">
        <v>1415</v>
      </c>
      <c r="B126" s="1781"/>
      <c r="C126" s="1782"/>
      <c r="D126" s="1782"/>
      <c r="E126" s="1813">
        <v>961297</v>
      </c>
      <c r="F126" s="1813">
        <v>961297</v>
      </c>
      <c r="G126" s="1777" t="s">
        <v>876</v>
      </c>
      <c r="H126" s="1774"/>
      <c r="I126" s="1774"/>
      <c r="J126" s="1774"/>
      <c r="K126" s="1778"/>
      <c r="L126" s="1775"/>
      <c r="M126"/>
    </row>
    <row r="127" spans="1:13" ht="12.75">
      <c r="A127" s="543"/>
      <c r="B127" s="1566"/>
      <c r="C127" s="1561"/>
      <c r="D127" s="1561"/>
      <c r="E127" s="1561"/>
      <c r="F127" s="1561"/>
      <c r="G127" s="1779"/>
      <c r="H127" s="1566"/>
      <c r="I127" s="1566"/>
      <c r="J127" s="1566"/>
      <c r="K127" s="1560"/>
      <c r="L127" s="2"/>
      <c r="M127"/>
    </row>
    <row r="128" spans="1:13" ht="13.5" thickBot="1">
      <c r="A128" s="1131"/>
      <c r="B128" s="1610"/>
      <c r="C128" s="1562"/>
      <c r="D128" s="1562"/>
      <c r="E128" s="1562"/>
      <c r="F128" s="1562"/>
      <c r="G128" s="1563"/>
      <c r="H128" s="1563"/>
      <c r="I128" s="1563"/>
      <c r="J128" s="1563"/>
      <c r="K128" s="1717"/>
      <c r="L128" s="2"/>
      <c r="M128"/>
    </row>
    <row r="129" spans="1:12">
      <c r="A129" s="1564" t="s">
        <v>972</v>
      </c>
      <c r="B129" s="1565"/>
      <c r="C129" s="1591">
        <f>SUM(C43:C128)</f>
        <v>16434510</v>
      </c>
      <c r="D129" s="1591">
        <f>SUM(D43:D128)</f>
        <v>884451</v>
      </c>
      <c r="E129" s="1591">
        <f>SUM(E43:E128)</f>
        <v>8514043</v>
      </c>
      <c r="F129" s="1591">
        <f>SUM(F43:F128)</f>
        <v>25833004</v>
      </c>
      <c r="G129" s="1591">
        <v>0</v>
      </c>
      <c r="H129" s="1591">
        <v>0</v>
      </c>
      <c r="I129" s="1591">
        <v>0</v>
      </c>
      <c r="J129" s="1591">
        <v>0</v>
      </c>
      <c r="K129" s="1592">
        <f>SUM(K43:K128)</f>
        <v>3201898.58</v>
      </c>
      <c r="L129" s="1559"/>
    </row>
    <row r="130" spans="1:12">
      <c r="A130" s="1556" t="s">
        <v>171</v>
      </c>
      <c r="B130" s="1557"/>
      <c r="C130" s="1557"/>
      <c r="D130" s="1557"/>
      <c r="E130" s="1557"/>
      <c r="F130" s="1561">
        <v>25833004</v>
      </c>
      <c r="G130" s="1557"/>
      <c r="H130" s="1566"/>
      <c r="I130" s="1566"/>
      <c r="J130" s="1566"/>
      <c r="K130" s="1558"/>
      <c r="L130" s="1559"/>
    </row>
    <row r="131" spans="1:12">
      <c r="A131" s="1556" t="s">
        <v>354</v>
      </c>
      <c r="B131" s="1557"/>
      <c r="C131" s="1557"/>
      <c r="D131" s="1557"/>
      <c r="E131" s="1557"/>
      <c r="F131" s="655">
        <f>F129-F130</f>
        <v>0</v>
      </c>
      <c r="G131" s="1557"/>
      <c r="H131" s="1566"/>
      <c r="I131" s="1566"/>
      <c r="J131" s="1566"/>
      <c r="K131" s="1558"/>
      <c r="L131" s="1559"/>
    </row>
    <row r="132" spans="1:12">
      <c r="A132" s="1556" t="s">
        <v>970</v>
      </c>
      <c r="B132" s="1566"/>
      <c r="C132" s="1566"/>
      <c r="D132" s="1566"/>
      <c r="E132" s="1566"/>
      <c r="F132" s="1566"/>
      <c r="G132" s="1566"/>
      <c r="H132" s="1566"/>
      <c r="I132" s="1566"/>
      <c r="J132" s="1566"/>
      <c r="K132" s="1567">
        <v>0</v>
      </c>
      <c r="L132" s="1559"/>
    </row>
    <row r="133" spans="1:12">
      <c r="A133" s="1556" t="s">
        <v>250</v>
      </c>
      <c r="B133" s="1566"/>
      <c r="C133" s="1566"/>
      <c r="D133" s="1566"/>
      <c r="E133" s="1566"/>
      <c r="F133" s="1566"/>
      <c r="G133" s="1566"/>
      <c r="H133" s="1566"/>
      <c r="I133" s="1566"/>
      <c r="J133" s="1566"/>
      <c r="K133" s="1560">
        <f>K84+K83+K82+K80+K78+K75+K67+K66+K61+K60+K58+K57</f>
        <v>2771545.37</v>
      </c>
    </row>
    <row r="134" spans="1:12">
      <c r="A134" s="1556" t="s">
        <v>251</v>
      </c>
      <c r="B134" s="1566"/>
      <c r="C134" s="1566"/>
      <c r="D134" s="1566"/>
      <c r="E134" s="1566"/>
      <c r="F134" s="1566"/>
      <c r="G134" s="1566"/>
      <c r="H134" s="1566"/>
      <c r="I134" s="1566"/>
      <c r="J134" s="1566"/>
      <c r="K134" s="1560">
        <v>0</v>
      </c>
    </row>
    <row r="135" spans="1:12">
      <c r="A135" s="1556" t="s">
        <v>252</v>
      </c>
      <c r="B135" s="1566"/>
      <c r="C135" s="1566"/>
      <c r="D135" s="1566"/>
      <c r="E135" s="1566"/>
      <c r="F135" s="1566"/>
      <c r="G135" s="1566"/>
      <c r="H135" s="1566"/>
      <c r="I135" s="1566"/>
      <c r="J135" s="1566"/>
      <c r="K135" s="1560">
        <f>K87+K86+K85+K81+K79+K77+K76+K74+K73+K72+K71+K70+K69+K65+K64+K63+K59+K56+K55</f>
        <v>430353.21</v>
      </c>
    </row>
    <row r="136" spans="1:12" ht="12" thickBot="1">
      <c r="A136" s="1568" t="s">
        <v>829</v>
      </c>
      <c r="B136" s="1610"/>
      <c r="C136" s="1610"/>
      <c r="D136" s="1610"/>
      <c r="E136" s="1610"/>
      <c r="F136" s="1610"/>
      <c r="G136" s="1610"/>
      <c r="H136" s="1610"/>
      <c r="I136" s="1610"/>
      <c r="J136" s="1610"/>
      <c r="K136" s="1569">
        <f>SUM(K132:K135)</f>
        <v>3201898.58</v>
      </c>
      <c r="L136" s="1559"/>
    </row>
    <row r="138" spans="1:12">
      <c r="K138" s="657"/>
    </row>
    <row r="139" spans="1:12">
      <c r="I139" s="1609"/>
      <c r="K139" s="657"/>
    </row>
    <row r="140" spans="1:12">
      <c r="I140" s="1609"/>
      <c r="K140" s="657"/>
    </row>
    <row r="141" spans="1:12">
      <c r="I141" s="1714"/>
      <c r="K141" s="657"/>
    </row>
    <row r="142" spans="1:12">
      <c r="I142" s="657"/>
      <c r="K142" s="657"/>
    </row>
    <row r="143" spans="1:12">
      <c r="I143" s="1714"/>
      <c r="K143" s="657"/>
    </row>
  </sheetData>
  <phoneticPr fontId="50" type="noConversion"/>
  <pageMargins left="0.18" right="0.7" top="0.17" bottom="0.22" header="0.3" footer="0.3"/>
  <pageSetup scale="69" fitToHeight="2" orientation="landscape" r:id="rId1"/>
  <rowBreaks count="1" manualBreakCount="1">
    <brk id="39"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104"/>
  <sheetViews>
    <sheetView zoomScale="75" zoomScaleNormal="75" workbookViewId="0">
      <pane xSplit="3" ySplit="4" topLeftCell="M71" activePane="bottomRight" state="frozen"/>
      <selection pane="topRight" activeCell="D1" sqref="D1"/>
      <selection pane="bottomLeft" activeCell="A5" sqref="A5"/>
      <selection pane="bottomRight" activeCell="P104" activeCellId="3" sqref="P11 P66 P72 P104"/>
    </sheetView>
  </sheetViews>
  <sheetFormatPr defaultRowHeight="12.75"/>
  <cols>
    <col min="1" max="1" width="15.42578125" customWidth="1"/>
    <col min="2" max="2" width="15.5703125" style="81" customWidth="1"/>
    <col min="3" max="3" width="57" customWidth="1"/>
    <col min="4" max="4" width="18.140625" style="494" customWidth="1"/>
    <col min="5" max="5" width="20.140625" style="494" customWidth="1"/>
    <col min="6" max="8" width="20.42578125" style="494" customWidth="1"/>
    <col min="9" max="10" width="21" style="494" customWidth="1"/>
    <col min="11" max="11" width="19.5703125" style="494" customWidth="1"/>
    <col min="12" max="12" width="20.140625" style="494" customWidth="1"/>
    <col min="13" max="13" width="18.7109375" style="494" customWidth="1"/>
    <col min="14" max="14" width="19.85546875" style="494" customWidth="1"/>
    <col min="15" max="15" width="17.5703125" style="494" customWidth="1"/>
    <col min="16" max="16" width="18.42578125" style="494" customWidth="1"/>
    <col min="17" max="17" width="21.5703125" style="494" customWidth="1"/>
    <col min="18" max="18" width="4" style="494" customWidth="1"/>
    <col min="19" max="19" width="19.85546875" customWidth="1"/>
    <col min="20" max="20" width="15.5703125" customWidth="1"/>
    <col min="21" max="21" width="16.85546875" customWidth="1"/>
    <col min="22" max="22" width="17.5703125"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652</v>
      </c>
      <c r="P1" s="433">
        <f>P11+P66+P72+P104</f>
        <v>47746882.870000005</v>
      </c>
      <c r="AO1"/>
      <c r="AP1"/>
      <c r="AQ1"/>
      <c r="AR1"/>
    </row>
    <row r="2" spans="1:44">
      <c r="B2" s="1787"/>
      <c r="D2" s="853" t="s">
        <v>194</v>
      </c>
      <c r="E2" s="853" t="s">
        <v>543</v>
      </c>
      <c r="F2" s="853" t="s">
        <v>544</v>
      </c>
      <c r="G2" s="853" t="s">
        <v>545</v>
      </c>
      <c r="H2" s="853" t="s">
        <v>742</v>
      </c>
      <c r="I2" s="853" t="s">
        <v>743</v>
      </c>
      <c r="J2" s="853" t="s">
        <v>744</v>
      </c>
      <c r="K2" s="853" t="s">
        <v>546</v>
      </c>
      <c r="L2" s="853" t="s">
        <v>547</v>
      </c>
      <c r="M2" s="853" t="s">
        <v>548</v>
      </c>
      <c r="N2" s="853" t="s">
        <v>549</v>
      </c>
      <c r="O2" s="853" t="s">
        <v>550</v>
      </c>
      <c r="P2" s="853" t="s">
        <v>194</v>
      </c>
      <c r="Q2" s="853" t="s">
        <v>475</v>
      </c>
      <c r="AO2"/>
      <c r="AP2"/>
      <c r="AQ2"/>
      <c r="AR2"/>
    </row>
    <row r="3" spans="1:44">
      <c r="A3" s="486" t="s">
        <v>197</v>
      </c>
      <c r="B3" s="486" t="s">
        <v>198</v>
      </c>
      <c r="C3" s="486" t="s">
        <v>199</v>
      </c>
      <c r="D3" s="501">
        <v>2015</v>
      </c>
      <c r="E3" s="500">
        <v>2016</v>
      </c>
      <c r="F3" s="500">
        <f>E3</f>
        <v>2016</v>
      </c>
      <c r="G3" s="500">
        <f>F3</f>
        <v>2016</v>
      </c>
      <c r="H3" s="500">
        <f t="shared" ref="H3:P3" si="0">G3</f>
        <v>2016</v>
      </c>
      <c r="I3" s="500">
        <f t="shared" si="0"/>
        <v>2016</v>
      </c>
      <c r="J3" s="500">
        <f t="shared" si="0"/>
        <v>2016</v>
      </c>
      <c r="K3" s="500">
        <f t="shared" si="0"/>
        <v>2016</v>
      </c>
      <c r="L3" s="500">
        <f t="shared" si="0"/>
        <v>2016</v>
      </c>
      <c r="M3" s="500">
        <f t="shared" si="0"/>
        <v>2016</v>
      </c>
      <c r="N3" s="500">
        <f t="shared" si="0"/>
        <v>2016</v>
      </c>
      <c r="O3" s="500">
        <f t="shared" si="0"/>
        <v>2016</v>
      </c>
      <c r="P3" s="500">
        <f t="shared" si="0"/>
        <v>2016</v>
      </c>
      <c r="Q3" s="854" t="s">
        <v>275</v>
      </c>
      <c r="R3" s="502"/>
      <c r="T3" s="913" t="s">
        <v>200</v>
      </c>
      <c r="U3" s="913" t="s">
        <v>201</v>
      </c>
      <c r="V3" s="913" t="s">
        <v>202</v>
      </c>
      <c r="W3" s="913" t="s">
        <v>126</v>
      </c>
      <c r="AO3"/>
      <c r="AP3"/>
      <c r="AQ3"/>
      <c r="AR3"/>
    </row>
    <row r="4" spans="1:44">
      <c r="B4" s="496" t="s">
        <v>272</v>
      </c>
      <c r="C4" s="495"/>
      <c r="D4" s="433"/>
      <c r="E4" s="433"/>
      <c r="F4" s="433"/>
      <c r="G4" s="433"/>
      <c r="H4" s="433"/>
      <c r="I4" s="433"/>
      <c r="J4" s="433"/>
      <c r="K4" s="433"/>
      <c r="L4" s="433"/>
      <c r="M4" s="433"/>
      <c r="N4" s="433"/>
      <c r="O4" s="433"/>
      <c r="P4" s="433"/>
      <c r="Q4" s="502"/>
      <c r="R4" s="502"/>
      <c r="AO4"/>
      <c r="AP4"/>
      <c r="AQ4"/>
      <c r="AR4"/>
    </row>
    <row r="5" spans="1:44">
      <c r="A5" s="505" t="s">
        <v>135</v>
      </c>
      <c r="B5" s="505" t="s">
        <v>1193</v>
      </c>
      <c r="C5" s="183" t="s">
        <v>205</v>
      </c>
      <c r="D5" s="1819">
        <v>917407.5</v>
      </c>
      <c r="E5" s="1819">
        <v>611605</v>
      </c>
      <c r="F5" s="1819">
        <v>305802.5</v>
      </c>
      <c r="G5" s="1819">
        <v>0</v>
      </c>
      <c r="H5" s="1819">
        <v>3221028.25</v>
      </c>
      <c r="I5" s="1819">
        <v>2928207.5</v>
      </c>
      <c r="J5" s="1819">
        <v>2635386.75</v>
      </c>
      <c r="K5" s="1819">
        <v>2342566</v>
      </c>
      <c r="L5" s="1819">
        <v>2049745.25</v>
      </c>
      <c r="M5" s="1819">
        <v>1756924.5</v>
      </c>
      <c r="N5" s="1819">
        <v>1464103.75</v>
      </c>
      <c r="O5" s="1819">
        <v>1171283</v>
      </c>
      <c r="P5" s="1819">
        <v>878462.25</v>
      </c>
      <c r="Q5" s="423">
        <f t="shared" ref="Q5:Q10" si="1">AVERAGE(D5:P5)</f>
        <v>1560194.0192307692</v>
      </c>
      <c r="R5" s="492"/>
      <c r="S5" s="183" t="s">
        <v>203</v>
      </c>
      <c r="V5" s="489">
        <f t="shared" ref="V5:V10" si="2">+Q5</f>
        <v>1560194.0192307692</v>
      </c>
      <c r="AO5"/>
      <c r="AP5"/>
      <c r="AQ5"/>
      <c r="AR5"/>
    </row>
    <row r="6" spans="1:44">
      <c r="A6" s="505" t="s">
        <v>135</v>
      </c>
      <c r="B6" s="505" t="s">
        <v>1194</v>
      </c>
      <c r="C6" s="183" t="s">
        <v>476</v>
      </c>
      <c r="D6" s="1819">
        <v>0</v>
      </c>
      <c r="E6" s="1819">
        <v>4740</v>
      </c>
      <c r="F6" s="1819">
        <v>246874.79</v>
      </c>
      <c r="G6" s="1819">
        <v>222187.31</v>
      </c>
      <c r="H6" s="1819">
        <v>197499.83</v>
      </c>
      <c r="I6" s="1819">
        <v>172812.35</v>
      </c>
      <c r="J6" s="1819">
        <v>148124.87</v>
      </c>
      <c r="K6" s="1819">
        <v>123437.39</v>
      </c>
      <c r="L6" s="1819">
        <v>98749.91</v>
      </c>
      <c r="M6" s="1819">
        <v>74062.429999999993</v>
      </c>
      <c r="N6" s="1819">
        <v>49374.95</v>
      </c>
      <c r="O6" s="1819">
        <v>24687.47</v>
      </c>
      <c r="P6" s="1819">
        <v>505199.74</v>
      </c>
      <c r="Q6" s="423">
        <f t="shared" si="1"/>
        <v>143673.15692307689</v>
      </c>
      <c r="R6" s="492"/>
      <c r="S6" s="183" t="s">
        <v>206</v>
      </c>
      <c r="V6" s="489">
        <f t="shared" si="2"/>
        <v>143673.15692307689</v>
      </c>
      <c r="AB6" s="857"/>
      <c r="AO6"/>
      <c r="AP6"/>
      <c r="AQ6"/>
      <c r="AR6"/>
    </row>
    <row r="7" spans="1:44">
      <c r="A7" s="505" t="s">
        <v>135</v>
      </c>
      <c r="B7" s="505" t="s">
        <v>1195</v>
      </c>
      <c r="C7" s="183" t="s">
        <v>951</v>
      </c>
      <c r="D7" s="1819">
        <v>0</v>
      </c>
      <c r="E7" s="1819"/>
      <c r="F7" s="1819"/>
      <c r="G7" s="1819">
        <v>2539059.12</v>
      </c>
      <c r="H7" s="1819">
        <v>2256941.44</v>
      </c>
      <c r="I7" s="1819">
        <v>1974823.76</v>
      </c>
      <c r="J7" s="1819">
        <v>1692706.08</v>
      </c>
      <c r="K7" s="1819">
        <v>1410588.4</v>
      </c>
      <c r="L7" s="1819">
        <v>1128470.72</v>
      </c>
      <c r="M7" s="1819">
        <v>904706.51</v>
      </c>
      <c r="N7" s="1819">
        <v>622588.82999999996</v>
      </c>
      <c r="O7" s="1819">
        <v>340471.15</v>
      </c>
      <c r="P7" s="1819">
        <v>0</v>
      </c>
      <c r="Q7" s="423">
        <f t="shared" si="1"/>
        <v>1170032.3645454547</v>
      </c>
      <c r="R7" s="492"/>
      <c r="S7" s="183" t="s">
        <v>206</v>
      </c>
      <c r="V7" s="489">
        <f t="shared" si="2"/>
        <v>1170032.3645454547</v>
      </c>
      <c r="AF7" s="852"/>
      <c r="AO7"/>
      <c r="AP7"/>
      <c r="AQ7"/>
      <c r="AR7"/>
    </row>
    <row r="8" spans="1:44">
      <c r="A8" s="505" t="s">
        <v>135</v>
      </c>
      <c r="B8" s="505" t="s">
        <v>1196</v>
      </c>
      <c r="C8" s="183" t="s">
        <v>264</v>
      </c>
      <c r="D8" s="1819">
        <v>0</v>
      </c>
      <c r="E8" s="1819">
        <v>207805.34</v>
      </c>
      <c r="F8" s="1819">
        <v>188913.94</v>
      </c>
      <c r="G8" s="1819">
        <v>170022.54</v>
      </c>
      <c r="H8" s="1819">
        <v>151131.14000000001</v>
      </c>
      <c r="I8" s="1819">
        <v>132239.74</v>
      </c>
      <c r="J8" s="1819">
        <v>113348.34</v>
      </c>
      <c r="K8" s="1819">
        <v>94456.94</v>
      </c>
      <c r="L8" s="1819">
        <v>75565.539999999994</v>
      </c>
      <c r="M8" s="1819">
        <v>56674.14</v>
      </c>
      <c r="N8" s="1819">
        <v>37782.74</v>
      </c>
      <c r="O8" s="1819">
        <v>18891.34</v>
      </c>
      <c r="P8" s="1819">
        <v>0</v>
      </c>
      <c r="Q8" s="423">
        <f t="shared" si="1"/>
        <v>95910.13384615384</v>
      </c>
      <c r="R8" s="492"/>
      <c r="S8" s="176" t="s">
        <v>255</v>
      </c>
      <c r="V8" s="489">
        <f t="shared" si="2"/>
        <v>95910.13384615384</v>
      </c>
      <c r="AB8" s="852"/>
      <c r="AC8" s="852"/>
      <c r="AD8" s="852"/>
      <c r="AE8" s="852"/>
      <c r="AF8" s="852"/>
      <c r="AG8" s="852"/>
      <c r="AH8" s="852"/>
      <c r="AI8" s="852"/>
      <c r="AJ8" s="852"/>
      <c r="AK8" s="852"/>
      <c r="AL8" s="852"/>
      <c r="AM8" s="852"/>
      <c r="AN8" s="852"/>
      <c r="AO8"/>
      <c r="AP8"/>
      <c r="AQ8"/>
      <c r="AR8"/>
    </row>
    <row r="9" spans="1:44">
      <c r="A9" s="505" t="s">
        <v>135</v>
      </c>
      <c r="B9" s="505" t="s">
        <v>1197</v>
      </c>
      <c r="C9" s="183" t="s">
        <v>1198</v>
      </c>
      <c r="D9" s="1819">
        <v>87999.39</v>
      </c>
      <c r="E9" s="1819">
        <v>58666.26</v>
      </c>
      <c r="F9" s="1819">
        <v>29333.13</v>
      </c>
      <c r="G9" s="1819">
        <v>220260</v>
      </c>
      <c r="H9" s="1819">
        <v>343830.24</v>
      </c>
      <c r="I9" s="1819">
        <v>312572.95</v>
      </c>
      <c r="J9" s="1819">
        <v>281315.65999999997</v>
      </c>
      <c r="K9" s="1819">
        <v>250058.37</v>
      </c>
      <c r="L9" s="1819">
        <v>218801.08</v>
      </c>
      <c r="M9" s="1819">
        <v>187543.79</v>
      </c>
      <c r="N9" s="1819">
        <v>156286.5</v>
      </c>
      <c r="O9" s="1819">
        <v>125029.21</v>
      </c>
      <c r="P9" s="1819">
        <v>93771.92</v>
      </c>
      <c r="Q9" s="423">
        <f t="shared" si="1"/>
        <v>181959.11538461538</v>
      </c>
      <c r="R9" s="492"/>
      <c r="S9" s="176" t="s">
        <v>255</v>
      </c>
      <c r="V9" s="489">
        <f t="shared" si="2"/>
        <v>181959.11538461538</v>
      </c>
      <c r="AB9" s="852"/>
      <c r="AC9" s="852"/>
      <c r="AD9" s="852"/>
      <c r="AE9" s="852"/>
      <c r="AF9" s="852"/>
      <c r="AG9" s="852"/>
      <c r="AI9" s="852"/>
      <c r="AJ9" s="852"/>
      <c r="AK9" s="852"/>
      <c r="AL9" s="852"/>
      <c r="AM9" s="852"/>
      <c r="AN9" s="852"/>
      <c r="AO9"/>
      <c r="AP9"/>
      <c r="AQ9"/>
      <c r="AR9"/>
    </row>
    <row r="10" spans="1:44">
      <c r="A10" s="505" t="s">
        <v>135</v>
      </c>
      <c r="B10" s="505" t="s">
        <v>1273</v>
      </c>
      <c r="C10" s="183" t="s">
        <v>1274</v>
      </c>
      <c r="D10" s="1765">
        <v>69993</v>
      </c>
      <c r="E10" s="1765">
        <v>56342</v>
      </c>
      <c r="F10" s="1765">
        <v>43176</v>
      </c>
      <c r="G10" s="1765">
        <v>29525</v>
      </c>
      <c r="H10" s="1765">
        <v>15923.95</v>
      </c>
      <c r="I10" s="1765">
        <v>0</v>
      </c>
      <c r="J10" s="1765">
        <v>0</v>
      </c>
      <c r="K10" s="1765">
        <v>0</v>
      </c>
      <c r="L10" s="1765">
        <v>163812</v>
      </c>
      <c r="M10" s="1765">
        <v>109208</v>
      </c>
      <c r="N10" s="1765">
        <v>95557</v>
      </c>
      <c r="O10" s="1765">
        <v>81906</v>
      </c>
      <c r="P10" s="1765">
        <v>68255</v>
      </c>
      <c r="Q10" s="423">
        <f t="shared" si="1"/>
        <v>56438.303846153845</v>
      </c>
      <c r="R10" s="492"/>
      <c r="S10" s="176" t="s">
        <v>206</v>
      </c>
      <c r="V10" s="489">
        <f t="shared" si="2"/>
        <v>56438.303846153845</v>
      </c>
      <c r="AB10" s="852"/>
      <c r="AC10" s="852"/>
      <c r="AD10" s="852"/>
      <c r="AE10" s="852"/>
      <c r="AF10" s="852"/>
      <c r="AG10" s="852"/>
      <c r="AI10" s="852"/>
      <c r="AJ10" s="852"/>
      <c r="AK10" s="852"/>
      <c r="AL10" s="852"/>
      <c r="AM10" s="852"/>
      <c r="AN10" s="852"/>
      <c r="AO10"/>
      <c r="AP10"/>
      <c r="AQ10"/>
      <c r="AR10"/>
    </row>
    <row r="11" spans="1:44">
      <c r="B11" s="497" t="s">
        <v>140</v>
      </c>
      <c r="C11" s="498"/>
      <c r="D11" s="503">
        <v>1075399.8900000001</v>
      </c>
      <c r="E11" s="503">
        <v>939158.6</v>
      </c>
      <c r="F11" s="503">
        <v>814100.36</v>
      </c>
      <c r="G11" s="503">
        <v>3181053.97</v>
      </c>
      <c r="H11" s="503">
        <v>6186354.8499999996</v>
      </c>
      <c r="I11" s="503">
        <v>5520656.3000000007</v>
      </c>
      <c r="J11" s="503">
        <v>4870881.7</v>
      </c>
      <c r="K11" s="503">
        <v>4221107.0999999996</v>
      </c>
      <c r="L11" s="503">
        <v>3735144.5</v>
      </c>
      <c r="M11" s="503">
        <v>3089119.37</v>
      </c>
      <c r="N11" s="503">
        <v>2425693.77</v>
      </c>
      <c r="O11" s="503">
        <v>1762268.1700000002</v>
      </c>
      <c r="P11" s="503">
        <v>1545688.91</v>
      </c>
      <c r="Q11" s="503">
        <f>SUM(Q5:Q10)</f>
        <v>3208207.0937762242</v>
      </c>
      <c r="R11" s="504"/>
      <c r="S11" s="499"/>
      <c r="T11" s="499"/>
      <c r="U11" s="499"/>
      <c r="V11" s="912">
        <f>SUM(V5:V10)</f>
        <v>3208207.0937762242</v>
      </c>
      <c r="AB11" s="852"/>
      <c r="AC11" s="852"/>
      <c r="AD11" s="852"/>
      <c r="AE11" s="852"/>
      <c r="AF11" s="852"/>
      <c r="AG11" s="852"/>
      <c r="AH11" s="852"/>
      <c r="AI11" s="852"/>
      <c r="AJ11" s="852"/>
      <c r="AK11" s="852"/>
      <c r="AL11" s="852"/>
      <c r="AN11" s="852"/>
      <c r="AO11"/>
      <c r="AP11"/>
      <c r="AQ11"/>
      <c r="AR11"/>
    </row>
    <row r="12" spans="1:44">
      <c r="B12" s="495"/>
      <c r="C12" s="495"/>
      <c r="D12" s="1867"/>
      <c r="E12" s="1867"/>
      <c r="F12" s="1867"/>
      <c r="G12" s="1867"/>
      <c r="H12" s="1867"/>
      <c r="I12" s="1867"/>
      <c r="J12" s="1867"/>
      <c r="K12" s="1867"/>
      <c r="L12" s="1867"/>
      <c r="M12" s="1867"/>
      <c r="N12" s="1867"/>
      <c r="O12" s="1867"/>
      <c r="P12" s="1868"/>
      <c r="Q12" s="502"/>
      <c r="R12" s="492"/>
      <c r="S12" s="183"/>
      <c r="V12" s="489"/>
      <c r="AB12" s="852"/>
      <c r="AC12" s="852"/>
      <c r="AD12" s="852"/>
      <c r="AE12" s="852"/>
      <c r="AF12" s="852"/>
      <c r="AG12" s="852"/>
      <c r="AH12" s="852"/>
      <c r="AI12" s="852"/>
      <c r="AJ12" s="852"/>
      <c r="AK12" s="852"/>
      <c r="AL12" s="852"/>
      <c r="AM12" s="852"/>
      <c r="AN12" s="852"/>
      <c r="AO12"/>
      <c r="AP12"/>
      <c r="AQ12"/>
      <c r="AR12"/>
    </row>
    <row r="13" spans="1:44">
      <c r="B13" s="495"/>
      <c r="C13" s="495"/>
      <c r="D13" s="1867"/>
      <c r="E13" s="1867"/>
      <c r="F13" s="1867"/>
      <c r="G13" s="1867"/>
      <c r="H13" s="1867"/>
      <c r="I13" s="1867"/>
      <c r="J13" s="1867"/>
      <c r="K13" s="1867"/>
      <c r="L13" s="1867"/>
      <c r="M13" s="1867"/>
      <c r="N13" s="1867"/>
      <c r="O13" s="1867"/>
      <c r="P13" s="1868"/>
      <c r="Q13" s="502"/>
      <c r="AB13" s="852"/>
      <c r="AC13" s="852"/>
      <c r="AD13" s="852"/>
      <c r="AF13" s="852"/>
      <c r="AG13" s="852"/>
      <c r="AH13" s="852"/>
      <c r="AI13" s="852"/>
      <c r="AJ13" s="852"/>
      <c r="AK13" s="852"/>
      <c r="AL13" s="852"/>
      <c r="AM13" s="852"/>
      <c r="AN13" s="852"/>
      <c r="AO13"/>
      <c r="AP13"/>
      <c r="AQ13"/>
      <c r="AR13"/>
    </row>
    <row r="14" spans="1:44">
      <c r="B14" s="496" t="s">
        <v>273</v>
      </c>
      <c r="C14" s="495"/>
      <c r="D14" s="1867"/>
      <c r="E14" s="1867"/>
      <c r="F14" s="1867"/>
      <c r="G14" s="1867"/>
      <c r="H14" s="1867"/>
      <c r="I14" s="1867"/>
      <c r="J14" s="1867"/>
      <c r="K14" s="1867"/>
      <c r="L14" s="1867"/>
      <c r="M14" s="1867"/>
      <c r="N14" s="1867"/>
      <c r="O14" s="1867"/>
      <c r="P14" s="1868"/>
      <c r="Q14" s="502"/>
      <c r="R14" s="502"/>
      <c r="AB14" s="852"/>
      <c r="AC14" s="852"/>
      <c r="AD14" s="852"/>
      <c r="AE14" s="852"/>
      <c r="AF14" s="852"/>
      <c r="AG14" s="852"/>
      <c r="AH14" s="852"/>
      <c r="AI14" s="852"/>
      <c r="AJ14" s="852"/>
      <c r="AK14" s="852"/>
      <c r="AL14" s="852"/>
      <c r="AN14" s="852"/>
      <c r="AO14"/>
      <c r="AP14"/>
      <c r="AQ14"/>
      <c r="AR14"/>
    </row>
    <row r="15" spans="1:44">
      <c r="A15" s="506" t="s">
        <v>138</v>
      </c>
      <c r="B15" s="505" t="s">
        <v>1199</v>
      </c>
      <c r="C15" s="183" t="s">
        <v>225</v>
      </c>
      <c r="D15" s="1819">
        <v>4070513.4</v>
      </c>
      <c r="E15" s="1819">
        <v>3700466.73</v>
      </c>
      <c r="F15" s="1819">
        <v>3330420.06</v>
      </c>
      <c r="G15" s="1819">
        <v>2873379.39</v>
      </c>
      <c r="H15" s="1819">
        <v>2590326.7200000002</v>
      </c>
      <c r="I15" s="1819">
        <v>2220280.0499999998</v>
      </c>
      <c r="J15" s="1819">
        <v>1850233.38</v>
      </c>
      <c r="K15" s="1819">
        <v>1480186.71</v>
      </c>
      <c r="L15" s="1819">
        <v>1110140.04</v>
      </c>
      <c r="M15" s="1819">
        <v>740093.37</v>
      </c>
      <c r="N15" s="1819">
        <v>370046.7</v>
      </c>
      <c r="O15" s="1819">
        <v>0</v>
      </c>
      <c r="P15" s="1819">
        <v>4155031.45</v>
      </c>
      <c r="Q15" s="675">
        <f>AVERAGE(D15:P15)</f>
        <v>2191624.4615384615</v>
      </c>
      <c r="R15" s="502"/>
      <c r="S15" t="s">
        <v>477</v>
      </c>
      <c r="W15" s="489">
        <f t="shared" ref="W15:W25" si="3">+Q15</f>
        <v>2191624.4615384615</v>
      </c>
      <c r="AB15" s="852"/>
      <c r="AC15" s="852"/>
      <c r="AD15" s="852"/>
      <c r="AE15" s="852"/>
      <c r="AF15" s="852"/>
      <c r="AG15" s="852"/>
      <c r="AH15" s="852"/>
      <c r="AI15" s="852"/>
      <c r="AJ15" s="852"/>
      <c r="AK15" s="852"/>
      <c r="AL15" s="852"/>
      <c r="AM15" s="852"/>
      <c r="AO15"/>
      <c r="AP15"/>
      <c r="AQ15"/>
      <c r="AR15"/>
    </row>
    <row r="16" spans="1:44">
      <c r="A16" s="506" t="s">
        <v>138</v>
      </c>
      <c r="B16" s="505" t="s">
        <v>1200</v>
      </c>
      <c r="C16" s="183" t="s">
        <v>204</v>
      </c>
      <c r="D16" s="1819">
        <v>0</v>
      </c>
      <c r="E16" s="1819">
        <v>374868.34</v>
      </c>
      <c r="F16" s="1819">
        <v>337381.51</v>
      </c>
      <c r="G16" s="1819">
        <v>299894.68</v>
      </c>
      <c r="H16" s="1819">
        <v>262407.84999999998</v>
      </c>
      <c r="I16" s="1819">
        <v>224921.02</v>
      </c>
      <c r="J16" s="1819">
        <v>187434.19</v>
      </c>
      <c r="K16" s="1819">
        <v>149947.35999999999</v>
      </c>
      <c r="L16" s="1819">
        <v>112460.53</v>
      </c>
      <c r="M16" s="1819">
        <v>74973.7</v>
      </c>
      <c r="N16" s="1819">
        <v>37486.870000000003</v>
      </c>
      <c r="O16" s="1819">
        <v>0</v>
      </c>
      <c r="P16" s="1819">
        <v>305482.43</v>
      </c>
      <c r="Q16" s="675">
        <f t="shared" ref="Q16:Q71" si="4">AVERAGE(D16:P16)</f>
        <v>182096.80615384615</v>
      </c>
      <c r="R16" s="488"/>
      <c r="S16" s="183" t="s">
        <v>203</v>
      </c>
      <c r="W16" s="489">
        <f t="shared" si="3"/>
        <v>182096.80615384615</v>
      </c>
      <c r="AB16" s="852"/>
      <c r="AC16" s="852"/>
      <c r="AD16" s="852"/>
      <c r="AE16" s="852"/>
      <c r="AF16" s="852"/>
      <c r="AG16" s="852"/>
      <c r="AH16" s="852"/>
      <c r="AI16" s="852"/>
      <c r="AJ16" s="852"/>
      <c r="AK16" s="852"/>
      <c r="AL16" s="852"/>
      <c r="AM16" s="852"/>
      <c r="AO16"/>
      <c r="AP16"/>
      <c r="AQ16"/>
      <c r="AR16"/>
    </row>
    <row r="17" spans="1:44">
      <c r="A17" s="506" t="s">
        <v>138</v>
      </c>
      <c r="B17" s="505" t="s">
        <v>1248</v>
      </c>
      <c r="C17" s="183" t="s">
        <v>949</v>
      </c>
      <c r="D17" s="1819">
        <v>0</v>
      </c>
      <c r="E17" s="1819">
        <v>0</v>
      </c>
      <c r="F17" s="1819">
        <v>20000</v>
      </c>
      <c r="G17" s="1819">
        <v>60000</v>
      </c>
      <c r="H17" s="1819">
        <v>40000</v>
      </c>
      <c r="I17" s="1819">
        <v>20000</v>
      </c>
      <c r="J17" s="1819">
        <v>0</v>
      </c>
      <c r="K17" s="1819">
        <v>-20000</v>
      </c>
      <c r="L17" s="1819">
        <v>-40000</v>
      </c>
      <c r="M17" s="1819">
        <v>60000</v>
      </c>
      <c r="N17" s="1819">
        <v>40000</v>
      </c>
      <c r="O17" s="1819">
        <v>20000</v>
      </c>
      <c r="P17" s="1819">
        <v>0</v>
      </c>
      <c r="Q17" s="675">
        <f t="shared" si="4"/>
        <v>15384.615384615385</v>
      </c>
      <c r="R17" s="488"/>
      <c r="S17" s="185" t="s">
        <v>479</v>
      </c>
      <c r="U17" s="491"/>
      <c r="V17" s="491"/>
      <c r="W17" s="489">
        <f t="shared" si="3"/>
        <v>15384.615384615385</v>
      </c>
      <c r="AB17" s="852"/>
      <c r="AC17" s="852"/>
      <c r="AD17" s="852"/>
      <c r="AE17" s="852"/>
      <c r="AF17" s="852"/>
      <c r="AG17" s="852"/>
      <c r="AH17" s="852"/>
      <c r="AI17" s="852"/>
      <c r="AJ17" s="852"/>
      <c r="AK17" s="852"/>
      <c r="AL17" s="852"/>
      <c r="AM17" s="852"/>
      <c r="AN17" s="852"/>
      <c r="AO17"/>
      <c r="AP17"/>
      <c r="AQ17"/>
      <c r="AR17"/>
    </row>
    <row r="18" spans="1:44">
      <c r="A18" s="506" t="s">
        <v>138</v>
      </c>
      <c r="B18" s="505" t="s">
        <v>1205</v>
      </c>
      <c r="C18" s="183" t="s">
        <v>950</v>
      </c>
      <c r="D18" s="1819">
        <v>2390050</v>
      </c>
      <c r="E18" s="1819">
        <v>0</v>
      </c>
      <c r="F18" s="1819">
        <v>0</v>
      </c>
      <c r="G18" s="1819">
        <v>0</v>
      </c>
      <c r="H18" s="1819">
        <v>0</v>
      </c>
      <c r="I18" s="1819">
        <v>0</v>
      </c>
      <c r="J18" s="1819">
        <v>0</v>
      </c>
      <c r="K18" s="1819">
        <v>0</v>
      </c>
      <c r="L18" s="1819">
        <v>0</v>
      </c>
      <c r="M18" s="1819">
        <v>0</v>
      </c>
      <c r="N18" s="1819">
        <v>0</v>
      </c>
      <c r="O18" s="1819">
        <v>0</v>
      </c>
      <c r="P18" s="1819">
        <v>0</v>
      </c>
      <c r="Q18" s="675">
        <f t="shared" si="4"/>
        <v>183850</v>
      </c>
      <c r="R18" s="488"/>
      <c r="S18" s="185" t="s">
        <v>480</v>
      </c>
      <c r="T18" s="491"/>
      <c r="U18" s="491"/>
      <c r="V18" s="491"/>
      <c r="W18" s="489">
        <f t="shared" si="3"/>
        <v>183850</v>
      </c>
      <c r="AB18" s="852"/>
      <c r="AC18" s="852"/>
      <c r="AD18" s="852"/>
      <c r="AE18" s="852"/>
      <c r="AF18" s="852"/>
      <c r="AG18" s="852"/>
      <c r="AH18" s="852"/>
      <c r="AI18" s="852"/>
      <c r="AJ18" s="852"/>
      <c r="AK18" s="852"/>
      <c r="AL18" s="852"/>
      <c r="AM18" s="852"/>
      <c r="AN18" s="852"/>
      <c r="AO18"/>
      <c r="AP18"/>
      <c r="AQ18"/>
      <c r="AR18"/>
    </row>
    <row r="19" spans="1:44">
      <c r="A19" s="506" t="s">
        <v>138</v>
      </c>
      <c r="B19" s="505" t="s">
        <v>1366</v>
      </c>
      <c r="C19" s="183" t="s">
        <v>950</v>
      </c>
      <c r="D19" s="1819">
        <v>0</v>
      </c>
      <c r="E19" s="1819">
        <v>964748.58</v>
      </c>
      <c r="F19" s="1819">
        <v>877044.16</v>
      </c>
      <c r="G19" s="1819">
        <v>789339.74</v>
      </c>
      <c r="H19" s="1819">
        <v>701635.32</v>
      </c>
      <c r="I19" s="1819">
        <v>613930.9</v>
      </c>
      <c r="J19" s="1819">
        <v>526226.48</v>
      </c>
      <c r="K19" s="1819">
        <v>438522.06</v>
      </c>
      <c r="L19" s="1819">
        <v>350817.64</v>
      </c>
      <c r="M19" s="1819">
        <v>263113.21999999997</v>
      </c>
      <c r="N19" s="1819">
        <v>175408.8</v>
      </c>
      <c r="O19" s="1819">
        <v>87704.38</v>
      </c>
      <c r="P19" s="1819">
        <v>0</v>
      </c>
      <c r="Q19" s="675">
        <f t="shared" si="4"/>
        <v>445268.55999999988</v>
      </c>
      <c r="R19" s="488"/>
      <c r="S19" s="185" t="s">
        <v>480</v>
      </c>
      <c r="V19" s="490"/>
      <c r="W19" s="489">
        <f t="shared" si="3"/>
        <v>445268.55999999988</v>
      </c>
      <c r="AB19" s="852"/>
      <c r="AC19" s="852"/>
      <c r="AD19" s="852"/>
      <c r="AE19" s="852"/>
      <c r="AF19" s="852"/>
      <c r="AG19" s="852"/>
      <c r="AH19" s="852"/>
      <c r="AI19" s="852"/>
      <c r="AJ19" s="852"/>
      <c r="AK19" s="852"/>
      <c r="AL19" s="852"/>
      <c r="AM19" s="852"/>
      <c r="AO19"/>
      <c r="AP19"/>
      <c r="AQ19"/>
      <c r="AR19"/>
    </row>
    <row r="20" spans="1:44">
      <c r="A20" s="506" t="s">
        <v>138</v>
      </c>
      <c r="B20" s="505" t="s">
        <v>1367</v>
      </c>
      <c r="C20" s="183" t="s">
        <v>1368</v>
      </c>
      <c r="D20" s="1819">
        <v>0</v>
      </c>
      <c r="E20" s="1819">
        <v>1226130.58</v>
      </c>
      <c r="F20" s="1819">
        <v>1114664.1599999999</v>
      </c>
      <c r="G20" s="1819">
        <v>1003197.74</v>
      </c>
      <c r="H20" s="1819">
        <v>891731.32</v>
      </c>
      <c r="I20" s="1819">
        <v>780264.9</v>
      </c>
      <c r="J20" s="1819">
        <v>668798.48</v>
      </c>
      <c r="K20" s="1819">
        <v>557332.06000000006</v>
      </c>
      <c r="L20" s="1819">
        <v>445865.64</v>
      </c>
      <c r="M20" s="1819">
        <v>334399.21999999997</v>
      </c>
      <c r="N20" s="1819">
        <v>222932.8</v>
      </c>
      <c r="O20" s="1819">
        <v>111466.38</v>
      </c>
      <c r="P20" s="1819">
        <v>0</v>
      </c>
      <c r="Q20" s="675">
        <f t="shared" si="4"/>
        <v>565906.4061538463</v>
      </c>
      <c r="R20" s="488"/>
      <c r="S20" s="185" t="s">
        <v>480</v>
      </c>
      <c r="V20" s="487"/>
      <c r="W20" s="489">
        <f t="shared" si="3"/>
        <v>565906.4061538463</v>
      </c>
      <c r="AB20" s="852"/>
      <c r="AC20" s="852"/>
      <c r="AE20" s="852"/>
      <c r="AF20" s="852"/>
      <c r="AG20" s="852"/>
      <c r="AH20" s="852"/>
      <c r="AI20" s="852"/>
      <c r="AJ20" s="852"/>
      <c r="AK20" s="852"/>
      <c r="AL20" s="852"/>
      <c r="AM20" s="852"/>
      <c r="AN20" s="852"/>
      <c r="AO20"/>
      <c r="AP20"/>
      <c r="AQ20"/>
      <c r="AR20"/>
    </row>
    <row r="21" spans="1:44">
      <c r="A21" s="506" t="s">
        <v>138</v>
      </c>
      <c r="B21" s="505" t="s">
        <v>1201</v>
      </c>
      <c r="C21" s="183" t="s">
        <v>1226</v>
      </c>
      <c r="D21" s="1819">
        <v>194988.7</v>
      </c>
      <c r="E21" s="1819">
        <v>146241.51999999999</v>
      </c>
      <c r="F21" s="1819">
        <v>97494.34</v>
      </c>
      <c r="G21" s="1819">
        <v>48747.16</v>
      </c>
      <c r="H21" s="1819">
        <v>0</v>
      </c>
      <c r="I21" s="1819">
        <v>529010.06999999995</v>
      </c>
      <c r="J21" s="1819">
        <v>480918.24</v>
      </c>
      <c r="K21" s="1819">
        <v>432826.41</v>
      </c>
      <c r="L21" s="1819">
        <v>384734.58</v>
      </c>
      <c r="M21" s="1819">
        <v>336642.75</v>
      </c>
      <c r="N21" s="1819">
        <v>288550.92</v>
      </c>
      <c r="O21" s="1819">
        <v>240459.09</v>
      </c>
      <c r="P21" s="1819">
        <v>192367.26</v>
      </c>
      <c r="Q21" s="675">
        <f t="shared" si="4"/>
        <v>259460.07999999993</v>
      </c>
      <c r="R21" s="488"/>
      <c r="S21" s="183" t="s">
        <v>477</v>
      </c>
      <c r="V21" s="487"/>
      <c r="W21" s="489">
        <f t="shared" si="3"/>
        <v>259460.07999999993</v>
      </c>
      <c r="AB21" s="852"/>
      <c r="AC21" s="852"/>
      <c r="AD21" s="852"/>
      <c r="AE21" s="852"/>
      <c r="AJ21" s="852"/>
      <c r="AK21" s="852"/>
      <c r="AL21" s="852"/>
      <c r="AM21" s="852"/>
      <c r="AN21" s="852"/>
      <c r="AO21"/>
      <c r="AP21"/>
      <c r="AQ21"/>
      <c r="AR21"/>
    </row>
    <row r="22" spans="1:44">
      <c r="A22" s="506" t="s">
        <v>138</v>
      </c>
      <c r="B22" s="505" t="s">
        <v>1211</v>
      </c>
      <c r="C22" s="183" t="s">
        <v>226</v>
      </c>
      <c r="D22" s="1819">
        <v>0</v>
      </c>
      <c r="E22" s="1819">
        <v>0</v>
      </c>
      <c r="F22" s="1819">
        <v>0</v>
      </c>
      <c r="G22" s="1819">
        <v>0</v>
      </c>
      <c r="H22" s="1819">
        <v>147087.51</v>
      </c>
      <c r="I22" s="1819">
        <v>127321.93</v>
      </c>
      <c r="J22" s="1819">
        <v>117439.14</v>
      </c>
      <c r="K22" s="1819">
        <v>107556.35</v>
      </c>
      <c r="L22" s="1819">
        <v>97673.56</v>
      </c>
      <c r="M22" s="1819">
        <v>87790.77</v>
      </c>
      <c r="N22" s="1819">
        <v>77907.98</v>
      </c>
      <c r="O22" s="1819">
        <v>58527.17</v>
      </c>
      <c r="P22" s="1819">
        <v>43895.37</v>
      </c>
      <c r="Q22" s="675">
        <f t="shared" si="4"/>
        <v>66553.829230769232</v>
      </c>
      <c r="R22" s="488"/>
      <c r="S22" s="183" t="s">
        <v>478</v>
      </c>
      <c r="T22" s="491"/>
      <c r="U22" s="491"/>
      <c r="V22" s="491"/>
      <c r="W22" s="489">
        <f t="shared" si="3"/>
        <v>66553.829230769232</v>
      </c>
      <c r="AB22" s="852"/>
      <c r="AC22" s="852"/>
      <c r="AE22" s="852"/>
      <c r="AJ22" s="852"/>
      <c r="AK22" s="852"/>
      <c r="AL22" s="852"/>
      <c r="AM22" s="852"/>
      <c r="AN22" s="852"/>
      <c r="AO22"/>
      <c r="AP22"/>
      <c r="AQ22"/>
      <c r="AR22"/>
    </row>
    <row r="23" spans="1:44">
      <c r="A23" s="506" t="s">
        <v>138</v>
      </c>
      <c r="B23" s="505" t="s">
        <v>1237</v>
      </c>
      <c r="C23" s="183" t="s">
        <v>227</v>
      </c>
      <c r="D23" s="1819">
        <v>412355.17</v>
      </c>
      <c r="E23" s="1819">
        <v>0</v>
      </c>
      <c r="F23" s="1819">
        <v>0</v>
      </c>
      <c r="G23" s="1819">
        <v>0</v>
      </c>
      <c r="H23" s="1819">
        <v>0</v>
      </c>
      <c r="I23" s="1819">
        <v>0</v>
      </c>
      <c r="J23" s="1819">
        <v>0</v>
      </c>
      <c r="K23" s="1819">
        <v>0</v>
      </c>
      <c r="L23" s="1819">
        <v>0</v>
      </c>
      <c r="M23" s="1819">
        <v>0</v>
      </c>
      <c r="N23" s="1819">
        <v>0</v>
      </c>
      <c r="O23" s="1819"/>
      <c r="P23" s="1819"/>
      <c r="Q23" s="675">
        <f t="shared" si="4"/>
        <v>37486.833636363634</v>
      </c>
      <c r="R23" s="488"/>
      <c r="S23" s="183" t="s">
        <v>480</v>
      </c>
      <c r="W23" s="489">
        <f t="shared" si="3"/>
        <v>37486.833636363634</v>
      </c>
      <c r="AB23" s="852"/>
      <c r="AC23" s="852"/>
      <c r="AD23" s="852"/>
      <c r="AE23" s="852"/>
      <c r="AJ23" s="852"/>
      <c r="AK23" s="852"/>
      <c r="AL23" s="852"/>
      <c r="AM23" s="852"/>
      <c r="AN23" s="852"/>
      <c r="AO23"/>
      <c r="AP23"/>
      <c r="AQ23"/>
      <c r="AR23"/>
    </row>
    <row r="24" spans="1:44">
      <c r="A24" s="506" t="s">
        <v>138</v>
      </c>
      <c r="B24" s="505" t="s">
        <v>1249</v>
      </c>
      <c r="C24" s="183" t="s">
        <v>1252</v>
      </c>
      <c r="D24" s="1819">
        <v>73982.97</v>
      </c>
      <c r="E24" s="1819">
        <v>0</v>
      </c>
      <c r="F24" s="1819">
        <v>0</v>
      </c>
      <c r="G24" s="1819">
        <v>0</v>
      </c>
      <c r="H24" s="1819">
        <v>0</v>
      </c>
      <c r="I24" s="1819">
        <v>0</v>
      </c>
      <c r="J24" s="1819">
        <v>0</v>
      </c>
      <c r="K24" s="1819">
        <v>0</v>
      </c>
      <c r="L24" s="1819">
        <v>0</v>
      </c>
      <c r="M24" s="1819">
        <v>0</v>
      </c>
      <c r="N24" s="1819">
        <v>0</v>
      </c>
      <c r="O24" s="1819">
        <v>0</v>
      </c>
      <c r="P24" s="1819">
        <v>0</v>
      </c>
      <c r="Q24" s="675">
        <f t="shared" si="4"/>
        <v>5690.997692307692</v>
      </c>
      <c r="R24" s="488"/>
      <c r="S24" s="183" t="s">
        <v>481</v>
      </c>
      <c r="W24" s="489">
        <f t="shared" si="3"/>
        <v>5690.997692307692</v>
      </c>
      <c r="AB24" s="852"/>
      <c r="AC24" s="852"/>
      <c r="AD24" s="852"/>
      <c r="AE24" s="852"/>
      <c r="AJ24" s="852"/>
      <c r="AK24" s="852"/>
      <c r="AL24" s="852"/>
      <c r="AM24" s="852"/>
      <c r="AN24" s="852"/>
      <c r="AO24"/>
      <c r="AP24"/>
      <c r="AQ24"/>
      <c r="AR24"/>
    </row>
    <row r="25" spans="1:44">
      <c r="A25" s="506" t="s">
        <v>138</v>
      </c>
      <c r="B25" s="505" t="s">
        <v>1212</v>
      </c>
      <c r="C25" s="183" t="s">
        <v>1229</v>
      </c>
      <c r="D25" s="1819">
        <v>39850.57</v>
      </c>
      <c r="E25" s="1819">
        <v>39850.57</v>
      </c>
      <c r="F25" s="1819">
        <v>39850.57</v>
      </c>
      <c r="G25" s="1819">
        <v>2722.61</v>
      </c>
      <c r="H25" s="1819">
        <v>2722.61</v>
      </c>
      <c r="I25" s="1819">
        <v>0</v>
      </c>
      <c r="J25" s="1819">
        <v>0</v>
      </c>
      <c r="K25" s="1819">
        <v>0</v>
      </c>
      <c r="L25" s="1819">
        <v>0</v>
      </c>
      <c r="M25" s="1819">
        <v>0</v>
      </c>
      <c r="N25" s="1819">
        <v>0</v>
      </c>
      <c r="O25" s="1819">
        <v>38427.449999999997</v>
      </c>
      <c r="P25" s="1819">
        <v>0</v>
      </c>
      <c r="Q25" s="675">
        <f t="shared" si="4"/>
        <v>12571.106153846154</v>
      </c>
      <c r="R25" s="488"/>
      <c r="S25" s="183" t="s">
        <v>206</v>
      </c>
      <c r="W25" s="489">
        <f t="shared" si="3"/>
        <v>12571.106153846154</v>
      </c>
      <c r="AB25" s="852"/>
      <c r="AC25" s="852"/>
      <c r="AD25" s="852"/>
      <c r="AE25" s="852"/>
      <c r="AJ25" s="852"/>
      <c r="AK25" s="852"/>
      <c r="AL25" s="852"/>
      <c r="AM25" s="852"/>
      <c r="AN25" s="852"/>
      <c r="AO25"/>
      <c r="AP25"/>
      <c r="AQ25"/>
      <c r="AR25"/>
    </row>
    <row r="26" spans="1:44">
      <c r="A26" s="506" t="s">
        <v>138</v>
      </c>
      <c r="B26" s="505" t="s">
        <v>1202</v>
      </c>
      <c r="C26" s="183" t="s">
        <v>254</v>
      </c>
      <c r="D26" s="1819">
        <v>1085</v>
      </c>
      <c r="E26" s="1819">
        <v>930</v>
      </c>
      <c r="F26" s="1819">
        <v>775</v>
      </c>
      <c r="G26" s="1819">
        <v>620</v>
      </c>
      <c r="H26" s="1819">
        <v>465</v>
      </c>
      <c r="I26" s="1819">
        <v>465</v>
      </c>
      <c r="J26" s="1819">
        <v>0</v>
      </c>
      <c r="K26" s="1819">
        <v>0</v>
      </c>
      <c r="L26" s="1819">
        <v>1860</v>
      </c>
      <c r="M26" s="1819">
        <v>1860</v>
      </c>
      <c r="N26" s="1819">
        <v>1860</v>
      </c>
      <c r="O26" s="1819">
        <v>1860</v>
      </c>
      <c r="P26" s="1819">
        <v>0</v>
      </c>
      <c r="Q26" s="675">
        <f t="shared" si="4"/>
        <v>906.15384615384619</v>
      </c>
      <c r="R26" s="488"/>
      <c r="S26" s="183" t="s">
        <v>477</v>
      </c>
      <c r="T26" s="491"/>
      <c r="W26" s="489">
        <f>+Q26</f>
        <v>906.15384615384619</v>
      </c>
      <c r="AB26" s="852"/>
      <c r="AC26" s="852"/>
      <c r="AD26" s="852"/>
      <c r="AE26" s="852"/>
      <c r="AJ26" s="852"/>
      <c r="AK26" s="852"/>
      <c r="AL26" s="852"/>
      <c r="AM26" s="852"/>
      <c r="AN26" s="852"/>
      <c r="AO26"/>
      <c r="AP26"/>
      <c r="AQ26"/>
      <c r="AR26"/>
    </row>
    <row r="27" spans="1:44">
      <c r="A27" s="506" t="s">
        <v>138</v>
      </c>
      <c r="B27" s="505" t="s">
        <v>1369</v>
      </c>
      <c r="C27" s="183" t="s">
        <v>1370</v>
      </c>
      <c r="D27" s="1819">
        <v>0</v>
      </c>
      <c r="E27" s="1819">
        <v>0</v>
      </c>
      <c r="F27" s="1819">
        <v>156671.37</v>
      </c>
      <c r="G27" s="1819">
        <v>117503.52</v>
      </c>
      <c r="H27" s="1819">
        <v>104447.57</v>
      </c>
      <c r="I27" s="1819">
        <v>91391.62</v>
      </c>
      <c r="J27" s="1819">
        <v>78335.67</v>
      </c>
      <c r="K27" s="1819">
        <v>65279.72</v>
      </c>
      <c r="L27" s="1819">
        <v>52223.77</v>
      </c>
      <c r="M27" s="1819">
        <v>39167.82</v>
      </c>
      <c r="N27" s="1819">
        <v>26111.87</v>
      </c>
      <c r="O27" s="1819">
        <v>13055.92</v>
      </c>
      <c r="P27" s="1819">
        <v>161766.98000000001</v>
      </c>
      <c r="Q27" s="675">
        <f t="shared" si="4"/>
        <v>69688.91</v>
      </c>
      <c r="R27" s="488"/>
      <c r="S27" s="183" t="s">
        <v>478</v>
      </c>
      <c r="T27" s="491"/>
      <c r="W27" s="489">
        <f t="shared" ref="W27:W65" si="5">+Q27</f>
        <v>69688.91</v>
      </c>
      <c r="AB27" s="852"/>
      <c r="AC27" s="852"/>
      <c r="AD27" s="852"/>
      <c r="AE27" s="852"/>
      <c r="AJ27" s="852"/>
      <c r="AK27" s="852"/>
      <c r="AL27" s="852"/>
      <c r="AM27" s="852"/>
      <c r="AN27" s="852"/>
      <c r="AO27"/>
      <c r="AP27"/>
      <c r="AQ27"/>
      <c r="AR27"/>
    </row>
    <row r="28" spans="1:44">
      <c r="A28" s="506" t="s">
        <v>138</v>
      </c>
      <c r="B28" s="505" t="s">
        <v>1203</v>
      </c>
      <c r="C28" s="183" t="s">
        <v>953</v>
      </c>
      <c r="D28" s="1819">
        <v>17989.759999999998</v>
      </c>
      <c r="E28" s="1819">
        <v>6500.01</v>
      </c>
      <c r="F28" s="1819">
        <v>0</v>
      </c>
      <c r="G28" s="1819">
        <v>0</v>
      </c>
      <c r="H28" s="1819">
        <v>0</v>
      </c>
      <c r="I28" s="1819">
        <v>0</v>
      </c>
      <c r="J28" s="1819">
        <v>4836.1000000000004</v>
      </c>
      <c r="K28" s="1819">
        <v>1573.6</v>
      </c>
      <c r="L28" s="1819">
        <v>12594.43</v>
      </c>
      <c r="M28" s="1819">
        <v>97313.23</v>
      </c>
      <c r="N28" s="1819">
        <v>48926.879999999997</v>
      </c>
      <c r="O28" s="1819">
        <v>146132.54999999999</v>
      </c>
      <c r="P28" s="1819">
        <v>75172.53</v>
      </c>
      <c r="Q28" s="675">
        <f t="shared" si="4"/>
        <v>31618.391538461536</v>
      </c>
      <c r="R28" s="488"/>
      <c r="S28" s="183" t="s">
        <v>478</v>
      </c>
      <c r="T28" s="491"/>
      <c r="W28" s="489">
        <f t="shared" si="5"/>
        <v>31618.391538461536</v>
      </c>
      <c r="AB28" s="852"/>
      <c r="AC28" s="852"/>
      <c r="AD28" s="852"/>
      <c r="AE28" s="852"/>
      <c r="AJ28" s="852"/>
      <c r="AK28" s="852"/>
      <c r="AL28" s="852"/>
      <c r="AM28" s="852"/>
      <c r="AN28" s="852"/>
      <c r="AO28"/>
      <c r="AP28"/>
      <c r="AQ28"/>
      <c r="AR28"/>
    </row>
    <row r="29" spans="1:44">
      <c r="A29" s="506" t="s">
        <v>138</v>
      </c>
      <c r="B29" s="505" t="s">
        <v>1207</v>
      </c>
      <c r="C29" s="183" t="s">
        <v>246</v>
      </c>
      <c r="D29" s="1819">
        <v>869829.1</v>
      </c>
      <c r="E29" s="1819">
        <v>759031.6</v>
      </c>
      <c r="F29" s="1819">
        <v>648234.1</v>
      </c>
      <c r="G29" s="1819">
        <v>477653.46</v>
      </c>
      <c r="H29" s="1819">
        <v>366855.96</v>
      </c>
      <c r="I29" s="1819">
        <v>256058.46</v>
      </c>
      <c r="J29" s="1819">
        <v>205044.04</v>
      </c>
      <c r="K29" s="1819">
        <v>102522</v>
      </c>
      <c r="L29" s="1819">
        <v>85556.92</v>
      </c>
      <c r="M29" s="1819">
        <v>1601235.18</v>
      </c>
      <c r="N29" s="1819">
        <v>1454112.77</v>
      </c>
      <c r="O29" s="1819">
        <v>1306990.3600000001</v>
      </c>
      <c r="P29" s="1819">
        <v>1159867.95</v>
      </c>
      <c r="Q29" s="675">
        <f t="shared" si="4"/>
        <v>714845.5307692308</v>
      </c>
      <c r="R29" s="488"/>
      <c r="S29" s="183" t="s">
        <v>478</v>
      </c>
      <c r="T29" s="491"/>
      <c r="W29" s="489">
        <f t="shared" si="5"/>
        <v>714845.5307692308</v>
      </c>
      <c r="AB29" s="852"/>
      <c r="AC29" s="852"/>
      <c r="AD29" s="852"/>
      <c r="AE29" s="852"/>
      <c r="AJ29" s="852"/>
      <c r="AK29" s="852"/>
      <c r="AL29" s="852"/>
      <c r="AM29" s="852"/>
      <c r="AN29" s="852"/>
      <c r="AO29"/>
      <c r="AP29"/>
      <c r="AQ29"/>
      <c r="AR29"/>
    </row>
    <row r="30" spans="1:44">
      <c r="A30" s="506" t="s">
        <v>138</v>
      </c>
      <c r="B30" s="505" t="s">
        <v>1204</v>
      </c>
      <c r="C30" s="183" t="s">
        <v>1227</v>
      </c>
      <c r="D30" s="1819">
        <v>0</v>
      </c>
      <c r="E30" s="1819">
        <v>446744.04</v>
      </c>
      <c r="F30" s="1819">
        <v>406130.95</v>
      </c>
      <c r="G30" s="1819">
        <v>365517.86</v>
      </c>
      <c r="H30" s="1819">
        <v>324904.77</v>
      </c>
      <c r="I30" s="1819">
        <v>284291.68</v>
      </c>
      <c r="J30" s="1819">
        <v>243678.59</v>
      </c>
      <c r="K30" s="1819">
        <v>203065.5</v>
      </c>
      <c r="L30" s="1819">
        <v>162452.41</v>
      </c>
      <c r="M30" s="1819">
        <v>121839.32</v>
      </c>
      <c r="N30" s="1819">
        <v>81226.23</v>
      </c>
      <c r="O30" s="1819">
        <v>40613.14</v>
      </c>
      <c r="P30" s="1819">
        <v>0</v>
      </c>
      <c r="Q30" s="675">
        <f t="shared" si="4"/>
        <v>206189.57615384617</v>
      </c>
      <c r="R30" s="488"/>
      <c r="S30" s="183" t="s">
        <v>478</v>
      </c>
      <c r="T30" s="491"/>
      <c r="W30" s="489">
        <f t="shared" si="5"/>
        <v>206189.57615384617</v>
      </c>
      <c r="AB30" s="852"/>
      <c r="AC30" s="852"/>
      <c r="AD30" s="852"/>
      <c r="AE30" s="852"/>
      <c r="AJ30" s="852"/>
      <c r="AK30" s="852"/>
      <c r="AL30" s="852"/>
      <c r="AM30" s="852"/>
      <c r="AN30" s="852"/>
      <c r="AO30"/>
      <c r="AP30"/>
      <c r="AQ30"/>
      <c r="AR30"/>
    </row>
    <row r="31" spans="1:44">
      <c r="A31" s="506" t="s">
        <v>138</v>
      </c>
      <c r="B31" s="505" t="s">
        <v>1213</v>
      </c>
      <c r="C31" s="183" t="s">
        <v>230</v>
      </c>
      <c r="D31" s="1819">
        <v>346091.66</v>
      </c>
      <c r="E31" s="1819">
        <v>317250.68</v>
      </c>
      <c r="F31" s="1819">
        <v>299442.27</v>
      </c>
      <c r="G31" s="1819">
        <v>270601.28999999998</v>
      </c>
      <c r="H31" s="1819">
        <v>241760.31</v>
      </c>
      <c r="I31" s="1819">
        <v>212919.33</v>
      </c>
      <c r="J31" s="1819">
        <v>184078.35</v>
      </c>
      <c r="K31" s="1819">
        <v>155237.37</v>
      </c>
      <c r="L31" s="1819">
        <v>126396.39</v>
      </c>
      <c r="M31" s="1819">
        <v>97555.41</v>
      </c>
      <c r="N31" s="1819">
        <v>68714.429999999993</v>
      </c>
      <c r="O31" s="1819">
        <v>39873.449999999997</v>
      </c>
      <c r="P31" s="1819">
        <v>356484</v>
      </c>
      <c r="Q31" s="675">
        <f t="shared" si="4"/>
        <v>208954.22615384622</v>
      </c>
      <c r="R31" s="488"/>
      <c r="S31" s="183" t="s">
        <v>478</v>
      </c>
      <c r="T31" s="491"/>
      <c r="W31" s="489">
        <f t="shared" si="5"/>
        <v>208954.22615384622</v>
      </c>
      <c r="AB31" s="852"/>
      <c r="AC31" s="852"/>
      <c r="AD31" s="852"/>
      <c r="AE31" s="852"/>
      <c r="AJ31" s="852"/>
      <c r="AK31" s="852"/>
      <c r="AL31" s="852"/>
      <c r="AM31" s="852"/>
      <c r="AN31" s="852"/>
      <c r="AO31"/>
      <c r="AP31"/>
      <c r="AQ31"/>
      <c r="AR31"/>
    </row>
    <row r="32" spans="1:44">
      <c r="A32" s="506" t="s">
        <v>138</v>
      </c>
      <c r="B32" s="505" t="s">
        <v>1214</v>
      </c>
      <c r="C32" s="183" t="s">
        <v>231</v>
      </c>
      <c r="D32" s="1819">
        <v>0</v>
      </c>
      <c r="E32" s="1819">
        <v>332100.36</v>
      </c>
      <c r="F32" s="1819">
        <v>276750.32</v>
      </c>
      <c r="G32" s="1819">
        <v>249075.3</v>
      </c>
      <c r="H32" s="1819">
        <v>221400.28</v>
      </c>
      <c r="I32" s="1819">
        <v>193725.26</v>
      </c>
      <c r="J32" s="1819">
        <v>166050.23999999999</v>
      </c>
      <c r="K32" s="1819">
        <v>138375.22</v>
      </c>
      <c r="L32" s="1819">
        <v>110700.2</v>
      </c>
      <c r="M32" s="1819">
        <v>83025.179999999993</v>
      </c>
      <c r="N32" s="1819">
        <v>55350.16</v>
      </c>
      <c r="O32" s="1819">
        <v>27675.14</v>
      </c>
      <c r="P32" s="1819">
        <v>0</v>
      </c>
      <c r="Q32" s="675">
        <f t="shared" si="4"/>
        <v>142632.89692307689</v>
      </c>
      <c r="R32" s="488"/>
      <c r="S32" s="183" t="s">
        <v>478</v>
      </c>
      <c r="T32" s="491"/>
      <c r="W32" s="489">
        <f t="shared" si="5"/>
        <v>142632.89692307689</v>
      </c>
      <c r="AB32" s="852"/>
      <c r="AC32" s="852"/>
      <c r="AD32" s="852"/>
      <c r="AE32" s="852"/>
      <c r="AJ32" s="852"/>
      <c r="AK32" s="852"/>
      <c r="AL32" s="852"/>
      <c r="AM32" s="852"/>
      <c r="AN32" s="852"/>
      <c r="AO32"/>
      <c r="AP32"/>
      <c r="AQ32"/>
      <c r="AR32"/>
    </row>
    <row r="33" spans="1:44">
      <c r="A33" s="506" t="s">
        <v>138</v>
      </c>
      <c r="B33" s="505" t="s">
        <v>1208</v>
      </c>
      <c r="C33" s="183" t="s">
        <v>257</v>
      </c>
      <c r="D33" s="1819">
        <v>150191.37</v>
      </c>
      <c r="E33" s="1819">
        <v>137675.43</v>
      </c>
      <c r="F33" s="1819">
        <v>125159.49</v>
      </c>
      <c r="G33" s="1819">
        <v>112643.55</v>
      </c>
      <c r="H33" s="1819">
        <v>100127.61</v>
      </c>
      <c r="I33" s="1819">
        <v>87611.67</v>
      </c>
      <c r="J33" s="1819">
        <v>75095.73</v>
      </c>
      <c r="K33" s="1819">
        <v>62579.79</v>
      </c>
      <c r="L33" s="1819">
        <v>50063.85</v>
      </c>
      <c r="M33" s="1819">
        <v>37547.910000000003</v>
      </c>
      <c r="N33" s="1819">
        <v>25031.97</v>
      </c>
      <c r="O33" s="1819">
        <v>195316.84</v>
      </c>
      <c r="P33" s="1819">
        <v>182800.81</v>
      </c>
      <c r="Q33" s="675">
        <f t="shared" si="4"/>
        <v>103218.92461538462</v>
      </c>
      <c r="R33" s="488"/>
      <c r="S33" s="183" t="s">
        <v>481</v>
      </c>
      <c r="T33" s="491"/>
      <c r="W33" s="489">
        <f t="shared" si="5"/>
        <v>103218.92461538462</v>
      </c>
      <c r="AB33" s="852"/>
      <c r="AC33" s="852"/>
      <c r="AD33" s="852"/>
      <c r="AE33" s="852"/>
      <c r="AJ33" s="852"/>
      <c r="AK33" s="852"/>
      <c r="AL33" s="852"/>
      <c r="AM33" s="852"/>
      <c r="AN33" s="852"/>
      <c r="AO33"/>
      <c r="AP33"/>
      <c r="AQ33"/>
      <c r="AR33"/>
    </row>
    <row r="34" spans="1:44">
      <c r="A34" s="506" t="s">
        <v>138</v>
      </c>
      <c r="B34" s="505" t="s">
        <v>1209</v>
      </c>
      <c r="C34" s="183" t="s">
        <v>233</v>
      </c>
      <c r="D34" s="1819">
        <v>0</v>
      </c>
      <c r="E34" s="1819">
        <v>970217.52</v>
      </c>
      <c r="F34" s="1819">
        <v>0</v>
      </c>
      <c r="G34" s="1819">
        <v>0</v>
      </c>
      <c r="H34" s="1819">
        <v>0</v>
      </c>
      <c r="I34" s="1819">
        <v>0</v>
      </c>
      <c r="J34" s="1819">
        <v>0</v>
      </c>
      <c r="K34" s="1819">
        <v>136065.06</v>
      </c>
      <c r="L34" s="1819">
        <v>123695.51</v>
      </c>
      <c r="M34" s="1819">
        <v>111325.96</v>
      </c>
      <c r="N34" s="1819">
        <v>98956.41</v>
      </c>
      <c r="O34" s="1819">
        <v>86586.86</v>
      </c>
      <c r="P34" s="1819">
        <v>74217.31</v>
      </c>
      <c r="Q34" s="675">
        <f>AVERAGE(D34:P34)</f>
        <v>123158.8176923077</v>
      </c>
      <c r="R34" s="488"/>
      <c r="S34" s="183" t="s">
        <v>245</v>
      </c>
      <c r="T34" s="491"/>
      <c r="W34" s="489">
        <f t="shared" si="5"/>
        <v>123158.8176923077</v>
      </c>
      <c r="AB34" s="852"/>
      <c r="AC34" s="852"/>
      <c r="AD34" s="852"/>
      <c r="AE34" s="852"/>
      <c r="AJ34" s="852"/>
      <c r="AK34" s="852"/>
      <c r="AL34" s="852"/>
      <c r="AM34" s="852"/>
      <c r="AN34" s="852"/>
      <c r="AO34"/>
      <c r="AP34"/>
      <c r="AQ34"/>
      <c r="AR34"/>
    </row>
    <row r="35" spans="1:44">
      <c r="A35" s="506" t="s">
        <v>138</v>
      </c>
      <c r="B35" s="505" t="s">
        <v>1210</v>
      </c>
      <c r="C35" s="183" t="s">
        <v>260</v>
      </c>
      <c r="D35" s="1819">
        <v>153300</v>
      </c>
      <c r="E35" s="1819">
        <v>146000</v>
      </c>
      <c r="F35" s="1819">
        <v>138700</v>
      </c>
      <c r="G35" s="1819">
        <v>131400</v>
      </c>
      <c r="H35" s="1819">
        <v>124100</v>
      </c>
      <c r="I35" s="1819">
        <v>116800</v>
      </c>
      <c r="J35" s="1819">
        <v>109500</v>
      </c>
      <c r="K35" s="1819">
        <v>102200</v>
      </c>
      <c r="L35" s="1819">
        <v>94900</v>
      </c>
      <c r="M35" s="1819">
        <v>87600</v>
      </c>
      <c r="N35" s="1819">
        <v>80300</v>
      </c>
      <c r="O35" s="1819">
        <v>73000</v>
      </c>
      <c r="P35" s="1819">
        <v>65700</v>
      </c>
      <c r="Q35" s="675">
        <f t="shared" si="4"/>
        <v>109500</v>
      </c>
      <c r="R35" s="488"/>
      <c r="S35" s="183" t="s">
        <v>478</v>
      </c>
      <c r="T35" s="491"/>
      <c r="W35" s="489">
        <f t="shared" si="5"/>
        <v>109500</v>
      </c>
      <c r="AB35" s="852"/>
      <c r="AC35" s="852"/>
      <c r="AD35" s="852"/>
      <c r="AE35" s="852"/>
      <c r="AJ35" s="852"/>
      <c r="AK35" s="852"/>
      <c r="AL35" s="852"/>
      <c r="AM35" s="852"/>
      <c r="AN35" s="852"/>
      <c r="AO35"/>
      <c r="AP35"/>
      <c r="AQ35"/>
      <c r="AR35"/>
    </row>
    <row r="36" spans="1:44">
      <c r="A36" s="506" t="s">
        <v>138</v>
      </c>
      <c r="B36" s="505" t="s">
        <v>1206</v>
      </c>
      <c r="C36" s="183" t="s">
        <v>1228</v>
      </c>
      <c r="D36" s="1819">
        <v>42157.5</v>
      </c>
      <c r="E36" s="1819">
        <v>15330</v>
      </c>
      <c r="F36" s="1819">
        <v>15330</v>
      </c>
      <c r="G36" s="1819">
        <v>15330</v>
      </c>
      <c r="H36" s="1819">
        <v>15330</v>
      </c>
      <c r="I36" s="1819">
        <v>15330</v>
      </c>
      <c r="J36" s="1819">
        <v>15330</v>
      </c>
      <c r="K36" s="1819">
        <v>15330</v>
      </c>
      <c r="L36" s="1819">
        <v>15330</v>
      </c>
      <c r="M36" s="1819">
        <v>15330</v>
      </c>
      <c r="N36" s="1819">
        <v>15330</v>
      </c>
      <c r="O36" s="1819">
        <v>15330</v>
      </c>
      <c r="P36" s="1819">
        <v>15330</v>
      </c>
      <c r="Q36" s="675">
        <f t="shared" si="4"/>
        <v>17393.653846153848</v>
      </c>
      <c r="R36" s="488"/>
      <c r="S36" s="183" t="s">
        <v>478</v>
      </c>
      <c r="T36" s="491"/>
      <c r="W36" s="489">
        <f t="shared" si="5"/>
        <v>17393.653846153848</v>
      </c>
      <c r="AB36" s="852"/>
      <c r="AC36" s="852"/>
      <c r="AD36" s="852"/>
      <c r="AE36" s="852"/>
      <c r="AJ36" s="852"/>
      <c r="AK36" s="852"/>
      <c r="AL36" s="852"/>
      <c r="AM36" s="852"/>
      <c r="AN36" s="852"/>
      <c r="AO36"/>
      <c r="AP36"/>
      <c r="AQ36"/>
      <c r="AR36"/>
    </row>
    <row r="37" spans="1:44">
      <c r="A37" s="506" t="s">
        <v>138</v>
      </c>
      <c r="B37" s="505" t="s">
        <v>1215</v>
      </c>
      <c r="C37" s="183" t="s">
        <v>234</v>
      </c>
      <c r="D37" s="1819">
        <v>0</v>
      </c>
      <c r="E37" s="1819">
        <v>347413.81</v>
      </c>
      <c r="F37" s="1819">
        <v>315830.74</v>
      </c>
      <c r="G37" s="1819">
        <v>284247.67</v>
      </c>
      <c r="H37" s="1819">
        <v>252664.6</v>
      </c>
      <c r="I37" s="1819">
        <v>143703.31</v>
      </c>
      <c r="J37" s="1819">
        <v>123174.27</v>
      </c>
      <c r="K37" s="1819">
        <v>102645.23</v>
      </c>
      <c r="L37" s="1819">
        <v>82116.19</v>
      </c>
      <c r="M37" s="1819">
        <v>61587.15</v>
      </c>
      <c r="N37" s="1819">
        <v>41058.11</v>
      </c>
      <c r="O37" s="1819">
        <v>20529.07</v>
      </c>
      <c r="P37" s="1819">
        <v>0</v>
      </c>
      <c r="Q37" s="675">
        <f t="shared" si="4"/>
        <v>136536.16538461539</v>
      </c>
      <c r="R37" s="488"/>
      <c r="S37" s="183" t="s">
        <v>478</v>
      </c>
      <c r="T37" s="491"/>
      <c r="W37" s="489">
        <f t="shared" si="5"/>
        <v>136536.16538461539</v>
      </c>
      <c r="AB37" s="852"/>
      <c r="AC37" s="852"/>
      <c r="AD37" s="852"/>
      <c r="AE37" s="852"/>
      <c r="AJ37" s="852"/>
      <c r="AK37" s="852"/>
      <c r="AL37" s="852"/>
      <c r="AM37" s="852"/>
      <c r="AN37" s="852"/>
      <c r="AO37"/>
      <c r="AP37"/>
      <c r="AQ37"/>
      <c r="AR37"/>
    </row>
    <row r="38" spans="1:44">
      <c r="A38" s="506" t="s">
        <v>138</v>
      </c>
      <c r="B38" s="505" t="s">
        <v>1219</v>
      </c>
      <c r="C38" s="183" t="s">
        <v>235</v>
      </c>
      <c r="D38" s="1819">
        <v>12622.09</v>
      </c>
      <c r="E38" s="1819">
        <v>119188.59</v>
      </c>
      <c r="F38" s="1819">
        <v>112877.53</v>
      </c>
      <c r="G38" s="1819">
        <v>112877.53</v>
      </c>
      <c r="H38" s="1819">
        <v>0</v>
      </c>
      <c r="I38" s="1819">
        <v>0</v>
      </c>
      <c r="J38" s="1819">
        <v>0</v>
      </c>
      <c r="K38" s="1819">
        <v>0</v>
      </c>
      <c r="L38" s="1819">
        <v>0</v>
      </c>
      <c r="M38" s="1819">
        <v>0</v>
      </c>
      <c r="N38" s="1819">
        <v>0</v>
      </c>
      <c r="O38" s="1819">
        <v>0</v>
      </c>
      <c r="P38" s="1819">
        <v>0</v>
      </c>
      <c r="Q38" s="675">
        <f t="shared" si="4"/>
        <v>27505.056923076922</v>
      </c>
      <c r="R38" s="488"/>
      <c r="S38" s="183" t="s">
        <v>478</v>
      </c>
      <c r="T38" s="491"/>
      <c r="W38" s="489">
        <f t="shared" si="5"/>
        <v>27505.056923076922</v>
      </c>
      <c r="AB38" s="852"/>
      <c r="AC38" s="852"/>
      <c r="AD38" s="852"/>
      <c r="AE38" s="852"/>
      <c r="AJ38" s="852"/>
      <c r="AK38" s="852"/>
      <c r="AL38" s="852"/>
      <c r="AM38" s="852"/>
      <c r="AN38" s="852"/>
      <c r="AO38"/>
      <c r="AP38"/>
      <c r="AQ38"/>
      <c r="AR38"/>
    </row>
    <row r="39" spans="1:44">
      <c r="A39" s="506" t="s">
        <v>138</v>
      </c>
      <c r="B39" s="505" t="s">
        <v>1216</v>
      </c>
      <c r="C39" s="183" t="s">
        <v>236</v>
      </c>
      <c r="D39" s="1819">
        <v>67236.98</v>
      </c>
      <c r="E39" s="1819">
        <v>50427.72</v>
      </c>
      <c r="F39" s="1819">
        <v>33618.46</v>
      </c>
      <c r="G39" s="1819">
        <v>16809.2</v>
      </c>
      <c r="H39" s="1819">
        <v>0</v>
      </c>
      <c r="I39" s="1819">
        <v>0</v>
      </c>
      <c r="J39" s="1819">
        <v>163483.96</v>
      </c>
      <c r="K39" s="1819">
        <v>147135.56</v>
      </c>
      <c r="L39" s="1819">
        <v>130787.16</v>
      </c>
      <c r="M39" s="1819">
        <v>114438.76</v>
      </c>
      <c r="N39" s="1819">
        <v>98090.36</v>
      </c>
      <c r="O39" s="1819">
        <v>81741.960000000006</v>
      </c>
      <c r="P39" s="1819">
        <v>65393.56</v>
      </c>
      <c r="Q39" s="675">
        <f t="shared" si="4"/>
        <v>74551.052307692298</v>
      </c>
      <c r="R39" s="488"/>
      <c r="S39" s="183" t="s">
        <v>478</v>
      </c>
      <c r="T39" s="491"/>
      <c r="W39" s="489">
        <f t="shared" si="5"/>
        <v>74551.052307692298</v>
      </c>
      <c r="AB39" s="852"/>
      <c r="AC39" s="852"/>
      <c r="AD39" s="852"/>
      <c r="AE39" s="852"/>
      <c r="AJ39" s="852"/>
      <c r="AK39" s="852"/>
      <c r="AL39" s="852"/>
      <c r="AM39" s="852"/>
      <c r="AN39" s="852"/>
      <c r="AO39"/>
      <c r="AP39"/>
      <c r="AQ39"/>
      <c r="AR39"/>
    </row>
    <row r="40" spans="1:44" s="2" customFormat="1">
      <c r="A40" s="506" t="s">
        <v>138</v>
      </c>
      <c r="B40" s="505" t="s">
        <v>1217</v>
      </c>
      <c r="C40" s="183" t="s">
        <v>237</v>
      </c>
      <c r="D40" s="1819">
        <v>330308.84000000003</v>
      </c>
      <c r="E40" s="1819">
        <v>264247.08</v>
      </c>
      <c r="F40" s="1819">
        <v>198185.32</v>
      </c>
      <c r="G40" s="1819">
        <v>132123.56</v>
      </c>
      <c r="H40" s="1819">
        <v>66061.8</v>
      </c>
      <c r="I40" s="1819">
        <v>843618.76</v>
      </c>
      <c r="J40" s="1819">
        <v>773317.2</v>
      </c>
      <c r="K40" s="1819">
        <v>703015.64</v>
      </c>
      <c r="L40" s="1819">
        <v>632714.07999999996</v>
      </c>
      <c r="M40" s="1819">
        <v>562412.52</v>
      </c>
      <c r="N40" s="1819">
        <v>492110.96</v>
      </c>
      <c r="O40" s="1819">
        <v>421809.4</v>
      </c>
      <c r="P40" s="1819">
        <v>351507.84</v>
      </c>
      <c r="Q40" s="675">
        <f t="shared" si="4"/>
        <v>443956.38461538468</v>
      </c>
      <c r="R40" s="492"/>
      <c r="S40" s="183" t="s">
        <v>478</v>
      </c>
      <c r="T40" s="508"/>
      <c r="W40" s="489">
        <f t="shared" si="5"/>
        <v>443956.38461538468</v>
      </c>
      <c r="AB40" s="852"/>
      <c r="AC40" s="852"/>
      <c r="AD40" s="852"/>
      <c r="AE40" s="852"/>
      <c r="AJ40" s="852"/>
      <c r="AK40" s="852"/>
      <c r="AL40" s="852"/>
      <c r="AM40" s="852"/>
      <c r="AN40" s="852"/>
    </row>
    <row r="41" spans="1:44" s="2" customFormat="1">
      <c r="A41" s="506" t="s">
        <v>138</v>
      </c>
      <c r="B41" s="505" t="s">
        <v>1371</v>
      </c>
      <c r="C41" s="183" t="s">
        <v>1230</v>
      </c>
      <c r="D41" s="1819">
        <v>66645.070000000007</v>
      </c>
      <c r="E41" s="1819">
        <v>57124.35</v>
      </c>
      <c r="F41" s="1819">
        <v>47603.63</v>
      </c>
      <c r="G41" s="1819">
        <v>38082.910000000003</v>
      </c>
      <c r="H41" s="1819">
        <v>28562.19</v>
      </c>
      <c r="I41" s="1819">
        <v>19041.47</v>
      </c>
      <c r="J41" s="1819">
        <v>9520.75</v>
      </c>
      <c r="K41" s="1819">
        <v>0</v>
      </c>
      <c r="L41" s="1819">
        <v>222424.07</v>
      </c>
      <c r="M41" s="1819">
        <v>210067.17</v>
      </c>
      <c r="N41" s="1819">
        <v>203888.72</v>
      </c>
      <c r="O41" s="1819">
        <v>197710.27000000002</v>
      </c>
      <c r="P41" s="1819">
        <v>191531.82</v>
      </c>
      <c r="Q41" s="675">
        <f t="shared" si="4"/>
        <v>99400.186153846167</v>
      </c>
      <c r="R41" s="492"/>
      <c r="S41" s="183" t="s">
        <v>478</v>
      </c>
      <c r="T41" s="508"/>
      <c r="W41" s="489">
        <f t="shared" si="5"/>
        <v>99400.186153846167</v>
      </c>
      <c r="AB41" s="852"/>
      <c r="AC41" s="852"/>
      <c r="AD41" s="852"/>
      <c r="AE41" s="852"/>
      <c r="AJ41" s="852"/>
      <c r="AK41" s="852"/>
      <c r="AL41" s="852"/>
      <c r="AM41" s="852"/>
      <c r="AN41" s="852"/>
    </row>
    <row r="42" spans="1:44" s="2" customFormat="1">
      <c r="A42" s="506" t="s">
        <v>138</v>
      </c>
      <c r="B42" s="505" t="s">
        <v>1218</v>
      </c>
      <c r="C42" s="183" t="s">
        <v>238</v>
      </c>
      <c r="D42" s="1819">
        <v>60943.32</v>
      </c>
      <c r="E42" s="1819">
        <v>54171.839999999997</v>
      </c>
      <c r="F42" s="1819">
        <v>47400.36</v>
      </c>
      <c r="G42" s="1819">
        <v>40628.879999999997</v>
      </c>
      <c r="H42" s="1819">
        <v>33857.4</v>
      </c>
      <c r="I42" s="1819">
        <v>27085.919999999998</v>
      </c>
      <c r="J42" s="1819">
        <v>20314.439999999999</v>
      </c>
      <c r="K42" s="1819">
        <v>13542.96</v>
      </c>
      <c r="L42" s="1819">
        <v>89488.88</v>
      </c>
      <c r="M42" s="1819">
        <v>82717.399999999994</v>
      </c>
      <c r="N42" s="1819">
        <v>75824.28</v>
      </c>
      <c r="O42" s="1819">
        <v>68931.16</v>
      </c>
      <c r="P42" s="1819">
        <v>62038.04</v>
      </c>
      <c r="Q42" s="675">
        <f t="shared" si="4"/>
        <v>52072.683076923087</v>
      </c>
      <c r="R42" s="492"/>
      <c r="S42" s="183" t="s">
        <v>245</v>
      </c>
      <c r="T42" s="508"/>
      <c r="W42" s="489">
        <f t="shared" si="5"/>
        <v>52072.683076923087</v>
      </c>
      <c r="AB42" s="852"/>
      <c r="AC42" s="852"/>
      <c r="AD42" s="852"/>
      <c r="AE42" s="852"/>
      <c r="AJ42" s="852"/>
      <c r="AK42" s="852"/>
      <c r="AL42" s="852"/>
      <c r="AM42" s="852"/>
      <c r="AN42" s="852"/>
    </row>
    <row r="43" spans="1:44" s="2" customFormat="1">
      <c r="A43" s="506" t="s">
        <v>138</v>
      </c>
      <c r="B43" s="505" t="s">
        <v>1372</v>
      </c>
      <c r="C43" s="183" t="s">
        <v>1373</v>
      </c>
      <c r="D43" s="1819">
        <v>99653</v>
      </c>
      <c r="E43" s="1819">
        <v>2283109.48</v>
      </c>
      <c r="F43" s="1819">
        <v>3164171.11</v>
      </c>
      <c r="G43" s="1819">
        <v>3075015.22</v>
      </c>
      <c r="H43" s="1819">
        <v>2985859.33</v>
      </c>
      <c r="I43" s="1819">
        <v>2896703.4400000004</v>
      </c>
      <c r="J43" s="1819">
        <v>2807547.5500000003</v>
      </c>
      <c r="K43" s="1819">
        <v>2718391.66</v>
      </c>
      <c r="L43" s="1819">
        <v>2629235.7700000005</v>
      </c>
      <c r="M43" s="1819">
        <v>2540079.8800000004</v>
      </c>
      <c r="N43" s="1819">
        <v>2450923.9900000002</v>
      </c>
      <c r="O43" s="1819">
        <v>2361768.1</v>
      </c>
      <c r="P43" s="1819">
        <v>2272612.21</v>
      </c>
      <c r="Q43" s="675">
        <f t="shared" si="4"/>
        <v>2483466.98</v>
      </c>
      <c r="R43" s="492"/>
      <c r="S43" s="183" t="s">
        <v>245</v>
      </c>
      <c r="T43" s="508"/>
      <c r="W43" s="489">
        <f t="shared" si="5"/>
        <v>2483466.98</v>
      </c>
      <c r="AB43" s="852"/>
      <c r="AC43" s="852"/>
      <c r="AD43" s="852"/>
      <c r="AE43" s="852"/>
      <c r="AJ43" s="852"/>
      <c r="AK43" s="852"/>
      <c r="AL43" s="852"/>
      <c r="AM43" s="852"/>
      <c r="AN43" s="852"/>
    </row>
    <row r="44" spans="1:44">
      <c r="A44" s="506" t="s">
        <v>138</v>
      </c>
      <c r="B44" s="505" t="s">
        <v>1220</v>
      </c>
      <c r="C44" s="183" t="s">
        <v>242</v>
      </c>
      <c r="D44" s="1819">
        <v>165144.53</v>
      </c>
      <c r="E44" s="1819">
        <v>123858.41</v>
      </c>
      <c r="F44" s="1819">
        <v>82572.289999999994</v>
      </c>
      <c r="G44" s="1819">
        <v>41286.17</v>
      </c>
      <c r="H44" s="1819">
        <v>0</v>
      </c>
      <c r="I44" s="1819">
        <v>0</v>
      </c>
      <c r="J44" s="1819">
        <v>452425.7</v>
      </c>
      <c r="K44" s="1819">
        <v>452425.7</v>
      </c>
      <c r="L44" s="1819">
        <v>402156.18</v>
      </c>
      <c r="M44" s="1819">
        <v>351886.66</v>
      </c>
      <c r="N44" s="1819">
        <v>301617.14</v>
      </c>
      <c r="O44" s="1819">
        <v>251347.62</v>
      </c>
      <c r="P44" s="1819">
        <v>201078.1</v>
      </c>
      <c r="Q44" s="675">
        <f t="shared" si="4"/>
        <v>217369.11538461538</v>
      </c>
      <c r="R44" s="488"/>
      <c r="S44" s="183" t="s">
        <v>478</v>
      </c>
      <c r="T44" s="491"/>
      <c r="W44" s="489">
        <f t="shared" si="5"/>
        <v>217369.11538461538</v>
      </c>
      <c r="AB44" s="852"/>
      <c r="AC44" s="852"/>
      <c r="AD44" s="852"/>
      <c r="AE44" s="852"/>
      <c r="AJ44" s="852"/>
      <c r="AK44" s="852"/>
      <c r="AL44" s="852"/>
      <c r="AM44" s="852"/>
      <c r="AN44" s="852"/>
      <c r="AO44"/>
      <c r="AP44"/>
      <c r="AQ44"/>
      <c r="AR44"/>
    </row>
    <row r="45" spans="1:44">
      <c r="A45" s="506" t="s">
        <v>138</v>
      </c>
      <c r="B45" s="505" t="s">
        <v>1221</v>
      </c>
      <c r="C45" s="183" t="s">
        <v>247</v>
      </c>
      <c r="D45" s="1819">
        <v>0</v>
      </c>
      <c r="E45" s="1819">
        <v>639297.13</v>
      </c>
      <c r="F45" s="1819">
        <v>581179.26</v>
      </c>
      <c r="G45" s="1819">
        <v>523061.39</v>
      </c>
      <c r="H45" s="1819">
        <v>464943.52</v>
      </c>
      <c r="I45" s="1819">
        <v>406825.65</v>
      </c>
      <c r="J45" s="1819">
        <v>348707.78</v>
      </c>
      <c r="K45" s="1819">
        <v>290589.90999999997</v>
      </c>
      <c r="L45" s="1819">
        <v>232472.04</v>
      </c>
      <c r="M45" s="1819">
        <v>174354.17</v>
      </c>
      <c r="N45" s="1819">
        <v>116236.3</v>
      </c>
      <c r="O45" s="1819">
        <v>58118.43</v>
      </c>
      <c r="P45" s="1819">
        <v>0</v>
      </c>
      <c r="Q45" s="675">
        <f t="shared" si="4"/>
        <v>295060.42923076928</v>
      </c>
      <c r="R45" s="488"/>
      <c r="S45" s="183" t="s">
        <v>478</v>
      </c>
      <c r="T45" s="491"/>
      <c r="W45" s="489">
        <f t="shared" si="5"/>
        <v>295060.42923076928</v>
      </c>
      <c r="AB45" s="852"/>
      <c r="AC45" s="852"/>
      <c r="AD45" s="852"/>
      <c r="AE45" s="852"/>
      <c r="AJ45" s="852"/>
      <c r="AK45" s="852"/>
      <c r="AL45" s="852"/>
      <c r="AM45" s="852"/>
      <c r="AN45" s="852"/>
      <c r="AO45"/>
      <c r="AP45"/>
      <c r="AQ45"/>
      <c r="AR45"/>
    </row>
    <row r="46" spans="1:44">
      <c r="A46" s="506" t="s">
        <v>138</v>
      </c>
      <c r="B46" s="505" t="s">
        <v>1222</v>
      </c>
      <c r="C46" s="183" t="s">
        <v>248</v>
      </c>
      <c r="D46" s="1819">
        <v>21351.17</v>
      </c>
      <c r="E46" s="1819">
        <v>20101.169999999998</v>
      </c>
      <c r="F46" s="1819">
        <v>17851.169999999998</v>
      </c>
      <c r="G46" s="1819">
        <v>16851.169999999998</v>
      </c>
      <c r="H46" s="1819">
        <v>16351.17</v>
      </c>
      <c r="I46" s="1819">
        <v>15101.17</v>
      </c>
      <c r="J46" s="1819">
        <v>13351.17</v>
      </c>
      <c r="K46" s="1819">
        <v>12851.17</v>
      </c>
      <c r="L46" s="1819">
        <v>11351.17</v>
      </c>
      <c r="M46" s="1819">
        <v>10101.17</v>
      </c>
      <c r="N46" s="1819">
        <v>8601.17</v>
      </c>
      <c r="O46" s="1819">
        <v>6851.17</v>
      </c>
      <c r="P46" s="1819">
        <v>6101.17</v>
      </c>
      <c r="Q46" s="675">
        <f t="shared" si="4"/>
        <v>13601.170000000004</v>
      </c>
      <c r="R46" s="488"/>
      <c r="S46" s="183" t="s">
        <v>245</v>
      </c>
      <c r="T46" s="491"/>
      <c r="W46" s="489">
        <f t="shared" si="5"/>
        <v>13601.170000000004</v>
      </c>
      <c r="AB46" s="852"/>
      <c r="AC46" s="852"/>
      <c r="AD46" s="852"/>
      <c r="AE46" s="852"/>
      <c r="AJ46" s="852"/>
      <c r="AK46" s="852"/>
      <c r="AL46" s="852"/>
      <c r="AM46" s="852"/>
      <c r="AN46" s="852"/>
      <c r="AO46"/>
      <c r="AP46"/>
      <c r="AQ46"/>
      <c r="AR46"/>
    </row>
    <row r="47" spans="1:44">
      <c r="A47" s="506" t="s">
        <v>138</v>
      </c>
      <c r="B47" s="505" t="s">
        <v>1225</v>
      </c>
      <c r="C47" s="183" t="s">
        <v>1236</v>
      </c>
      <c r="D47" s="1819">
        <v>84763.89</v>
      </c>
      <c r="E47" s="1819">
        <v>70636.570000000007</v>
      </c>
      <c r="F47" s="1819">
        <v>56509.25</v>
      </c>
      <c r="G47" s="1819">
        <v>42381.93</v>
      </c>
      <c r="H47" s="1819">
        <v>28254.61</v>
      </c>
      <c r="I47" s="1819">
        <v>14127.29</v>
      </c>
      <c r="J47" s="1819">
        <v>0</v>
      </c>
      <c r="K47" s="1819">
        <v>0</v>
      </c>
      <c r="L47" s="1819">
        <v>0</v>
      </c>
      <c r="M47" s="1819">
        <v>169072.71</v>
      </c>
      <c r="N47" s="1819">
        <v>150286.85</v>
      </c>
      <c r="O47" s="1819">
        <v>131500.99</v>
      </c>
      <c r="P47" s="1819">
        <v>112715.13</v>
      </c>
      <c r="Q47" s="675">
        <f t="shared" si="4"/>
        <v>66173.016923076924</v>
      </c>
      <c r="R47" s="488"/>
      <c r="S47" s="183" t="s">
        <v>245</v>
      </c>
      <c r="T47" s="491"/>
      <c r="W47" s="489">
        <f t="shared" si="5"/>
        <v>66173.016923076924</v>
      </c>
      <c r="AB47" s="852"/>
      <c r="AC47" s="852"/>
      <c r="AD47" s="852"/>
      <c r="AE47" s="852"/>
      <c r="AJ47" s="852"/>
      <c r="AK47" s="852"/>
      <c r="AL47" s="852"/>
      <c r="AM47" s="852"/>
      <c r="AN47" s="852"/>
      <c r="AO47"/>
      <c r="AP47"/>
      <c r="AQ47"/>
      <c r="AR47"/>
    </row>
    <row r="48" spans="1:44">
      <c r="A48" s="506" t="s">
        <v>138</v>
      </c>
      <c r="B48" s="505" t="s">
        <v>1224</v>
      </c>
      <c r="C48" s="183" t="s">
        <v>1235</v>
      </c>
      <c r="D48" s="1819">
        <v>11983.67</v>
      </c>
      <c r="E48" s="1819">
        <v>11983.67</v>
      </c>
      <c r="F48" s="1819">
        <v>5991.83</v>
      </c>
      <c r="G48" s="1819">
        <v>5991.83</v>
      </c>
      <c r="H48" s="1819">
        <v>0</v>
      </c>
      <c r="I48" s="1819">
        <v>0</v>
      </c>
      <c r="J48" s="1819">
        <v>41618.17</v>
      </c>
      <c r="K48" s="1819">
        <v>31213.62</v>
      </c>
      <c r="L48" s="1819">
        <v>31213.62</v>
      </c>
      <c r="M48" s="1819">
        <v>31213.62</v>
      </c>
      <c r="N48" s="1819">
        <v>31213.62</v>
      </c>
      <c r="O48" s="1819">
        <v>31213.62</v>
      </c>
      <c r="P48" s="1819">
        <v>20809.07</v>
      </c>
      <c r="Q48" s="675">
        <f t="shared" si="4"/>
        <v>19572.795384615383</v>
      </c>
      <c r="R48" s="488"/>
      <c r="S48" s="183" t="s">
        <v>478</v>
      </c>
      <c r="T48" s="491"/>
      <c r="W48" s="489">
        <f t="shared" si="5"/>
        <v>19572.795384615383</v>
      </c>
      <c r="AB48" s="852"/>
      <c r="AC48" s="852"/>
      <c r="AD48" s="852"/>
      <c r="AE48" s="852"/>
      <c r="AJ48" s="852"/>
      <c r="AK48" s="852"/>
      <c r="AL48" s="852"/>
      <c r="AM48" s="852"/>
      <c r="AN48" s="852"/>
    </row>
    <row r="49" spans="1:44">
      <c r="A49" s="506" t="s">
        <v>138</v>
      </c>
      <c r="B49" s="505" t="s">
        <v>1223</v>
      </c>
      <c r="C49" s="183" t="s">
        <v>1231</v>
      </c>
      <c r="D49" s="1819">
        <v>89714.85</v>
      </c>
      <c r="E49" s="1819">
        <v>81558.960000000006</v>
      </c>
      <c r="F49" s="1819">
        <v>73403.070000000007</v>
      </c>
      <c r="G49" s="1819">
        <v>65247.18</v>
      </c>
      <c r="H49" s="1819">
        <v>57091.29</v>
      </c>
      <c r="I49" s="1819">
        <v>48935.4</v>
      </c>
      <c r="J49" s="1819">
        <v>40779.51</v>
      </c>
      <c r="K49" s="1819">
        <v>32623.62</v>
      </c>
      <c r="L49" s="1819">
        <v>24467.73</v>
      </c>
      <c r="M49" s="1819">
        <v>16311.84</v>
      </c>
      <c r="N49" s="1819">
        <v>135475.98000000001</v>
      </c>
      <c r="O49" s="1819">
        <v>127320.03</v>
      </c>
      <c r="P49" s="1819">
        <v>106100.03</v>
      </c>
      <c r="Q49" s="675">
        <f t="shared" si="4"/>
        <v>69156.11461538462</v>
      </c>
      <c r="R49" s="488"/>
      <c r="S49" s="183" t="s">
        <v>478</v>
      </c>
      <c r="T49" s="491"/>
      <c r="W49" s="489">
        <f t="shared" si="5"/>
        <v>69156.11461538462</v>
      </c>
      <c r="AB49" s="852"/>
      <c r="AC49" s="852"/>
      <c r="AD49" s="852"/>
      <c r="AE49" s="852"/>
      <c r="AJ49" s="852"/>
      <c r="AK49" s="852"/>
      <c r="AL49" s="852"/>
      <c r="AM49" s="852"/>
      <c r="AN49" s="852"/>
    </row>
    <row r="50" spans="1:44">
      <c r="A50" s="506" t="s">
        <v>138</v>
      </c>
      <c r="B50" s="505" t="s">
        <v>1374</v>
      </c>
      <c r="C50" s="183" t="s">
        <v>1233</v>
      </c>
      <c r="D50" s="1819">
        <v>60000</v>
      </c>
      <c r="E50" s="1819">
        <v>60000</v>
      </c>
      <c r="F50" s="1819">
        <v>60000</v>
      </c>
      <c r="G50" s="1819">
        <v>60000</v>
      </c>
      <c r="H50" s="1819">
        <v>60000</v>
      </c>
      <c r="I50" s="1819">
        <v>60000</v>
      </c>
      <c r="J50" s="1819">
        <v>60000</v>
      </c>
      <c r="K50" s="1819">
        <v>60000</v>
      </c>
      <c r="L50" s="1819">
        <v>60000</v>
      </c>
      <c r="M50" s="1819">
        <v>60000</v>
      </c>
      <c r="N50" s="1819">
        <v>60000</v>
      </c>
      <c r="O50" s="1819">
        <v>60000</v>
      </c>
      <c r="P50" s="1819">
        <v>60000</v>
      </c>
      <c r="Q50" s="675">
        <f t="shared" si="4"/>
        <v>60000</v>
      </c>
      <c r="R50" s="488"/>
      <c r="S50" s="183" t="s">
        <v>478</v>
      </c>
      <c r="T50" s="491"/>
      <c r="W50" s="489">
        <f t="shared" si="5"/>
        <v>60000</v>
      </c>
      <c r="AB50" s="852"/>
      <c r="AC50" s="852"/>
      <c r="AD50" s="852"/>
      <c r="AE50" s="852"/>
      <c r="AJ50" s="852"/>
      <c r="AK50" s="852"/>
      <c r="AL50" s="852"/>
      <c r="AM50" s="852"/>
      <c r="AN50" s="852"/>
    </row>
    <row r="51" spans="1:44">
      <c r="A51" s="506" t="s">
        <v>138</v>
      </c>
      <c r="B51" s="505" t="s">
        <v>1275</v>
      </c>
      <c r="C51" s="183" t="s">
        <v>1276</v>
      </c>
      <c r="D51" s="1819">
        <v>0</v>
      </c>
      <c r="E51" s="1819">
        <v>158366.66</v>
      </c>
      <c r="F51" s="1819">
        <v>143969.69</v>
      </c>
      <c r="G51" s="1819">
        <v>129572.72</v>
      </c>
      <c r="H51" s="1819">
        <v>115175.75</v>
      </c>
      <c r="I51" s="1819">
        <v>100778.78</v>
      </c>
      <c r="J51" s="1819">
        <v>86381.81</v>
      </c>
      <c r="K51" s="1819">
        <v>71984.84</v>
      </c>
      <c r="L51" s="1819">
        <v>57587.87</v>
      </c>
      <c r="M51" s="1819">
        <v>43190.9</v>
      </c>
      <c r="N51" s="1819">
        <v>28793.93</v>
      </c>
      <c r="O51" s="1819">
        <v>14396.96</v>
      </c>
      <c r="P51" s="1819">
        <v>172763.63</v>
      </c>
      <c r="Q51" s="675">
        <f t="shared" si="4"/>
        <v>86381.810769230768</v>
      </c>
      <c r="R51" s="488"/>
      <c r="S51" s="183" t="s">
        <v>478</v>
      </c>
      <c r="T51" s="491"/>
      <c r="W51" s="489">
        <f t="shared" si="5"/>
        <v>86381.810769230768</v>
      </c>
      <c r="AB51" s="852"/>
      <c r="AC51" s="852"/>
      <c r="AD51" s="852"/>
      <c r="AE51" s="852"/>
      <c r="AJ51" s="852"/>
      <c r="AK51" s="852"/>
      <c r="AL51" s="852"/>
      <c r="AM51" s="852"/>
      <c r="AN51" s="852"/>
    </row>
    <row r="52" spans="1:44">
      <c r="A52" s="506" t="s">
        <v>138</v>
      </c>
      <c r="B52" s="505" t="s">
        <v>1375</v>
      </c>
      <c r="C52" s="183" t="s">
        <v>1232</v>
      </c>
      <c r="D52" s="1819">
        <v>0</v>
      </c>
      <c r="E52" s="1819">
        <v>25550</v>
      </c>
      <c r="F52" s="1819">
        <v>24272.5</v>
      </c>
      <c r="G52" s="1819">
        <v>22995</v>
      </c>
      <c r="H52" s="1819">
        <v>21717.5</v>
      </c>
      <c r="I52" s="1819">
        <v>20440</v>
      </c>
      <c r="J52" s="1819">
        <v>19162.5</v>
      </c>
      <c r="K52" s="1819">
        <v>17885</v>
      </c>
      <c r="L52" s="1819">
        <v>16607.5</v>
      </c>
      <c r="M52" s="1819">
        <v>15330</v>
      </c>
      <c r="N52" s="1819">
        <v>14052.5</v>
      </c>
      <c r="O52" s="1819">
        <v>12775</v>
      </c>
      <c r="P52" s="1819">
        <v>11497.5</v>
      </c>
      <c r="Q52" s="675">
        <f t="shared" si="4"/>
        <v>17098.846153846152</v>
      </c>
      <c r="R52" s="488"/>
      <c r="S52" s="183" t="s">
        <v>478</v>
      </c>
      <c r="T52" s="491"/>
      <c r="W52" s="489">
        <f t="shared" si="5"/>
        <v>17098.846153846152</v>
      </c>
      <c r="AB52" s="852"/>
      <c r="AC52" s="852"/>
      <c r="AD52" s="852"/>
      <c r="AE52" s="852"/>
      <c r="AJ52" s="852"/>
      <c r="AK52" s="852"/>
      <c r="AL52" s="852"/>
      <c r="AM52" s="852"/>
      <c r="AN52" s="852"/>
    </row>
    <row r="53" spans="1:44">
      <c r="A53" s="506" t="s">
        <v>138</v>
      </c>
      <c r="B53" s="505" t="s">
        <v>1376</v>
      </c>
      <c r="C53" t="s">
        <v>1234</v>
      </c>
      <c r="D53" s="433">
        <v>95000</v>
      </c>
      <c r="E53" s="433">
        <v>90000</v>
      </c>
      <c r="F53" s="433">
        <v>85000</v>
      </c>
      <c r="G53" s="433">
        <v>80000</v>
      </c>
      <c r="H53" s="433">
        <v>75000</v>
      </c>
      <c r="I53" s="433">
        <v>70000</v>
      </c>
      <c r="J53" s="433">
        <v>65000</v>
      </c>
      <c r="K53" s="433">
        <v>60000</v>
      </c>
      <c r="L53" s="433">
        <v>55000</v>
      </c>
      <c r="M53" s="433">
        <v>50000</v>
      </c>
      <c r="N53" s="433">
        <v>45000</v>
      </c>
      <c r="O53" s="433">
        <v>40000</v>
      </c>
      <c r="P53" s="433">
        <v>35000</v>
      </c>
      <c r="Q53" s="675">
        <f t="shared" si="4"/>
        <v>65000</v>
      </c>
      <c r="S53" s="183" t="s">
        <v>478</v>
      </c>
      <c r="W53" s="489">
        <f t="shared" si="5"/>
        <v>65000</v>
      </c>
      <c r="AB53" s="852"/>
      <c r="AC53" s="852"/>
      <c r="AF53" s="852"/>
      <c r="AG53" s="852"/>
      <c r="AI53" s="852"/>
      <c r="AJ53" s="852"/>
      <c r="AK53" s="852"/>
      <c r="AL53" s="852"/>
      <c r="AM53" s="852"/>
      <c r="AN53" s="852"/>
    </row>
    <row r="54" spans="1:44">
      <c r="A54" s="506" t="s">
        <v>138</v>
      </c>
      <c r="B54" s="505" t="s">
        <v>1277</v>
      </c>
      <c r="C54" s="176" t="s">
        <v>1278</v>
      </c>
      <c r="D54" s="1819">
        <v>0</v>
      </c>
      <c r="E54" s="1819">
        <v>92567.83</v>
      </c>
      <c r="F54" s="1819">
        <v>84152.57</v>
      </c>
      <c r="G54" s="1819">
        <v>75737.31</v>
      </c>
      <c r="H54" s="1819">
        <v>67322.05</v>
      </c>
      <c r="I54" s="1819">
        <v>58906.79</v>
      </c>
      <c r="J54" s="1819">
        <v>50491.53</v>
      </c>
      <c r="K54" s="1819">
        <v>42076.27</v>
      </c>
      <c r="L54" s="1819">
        <v>33661.01</v>
      </c>
      <c r="M54" s="1819">
        <v>25245.75</v>
      </c>
      <c r="N54" s="1819">
        <v>16830.490000000002</v>
      </c>
      <c r="O54" s="1819">
        <v>8415.23</v>
      </c>
      <c r="P54" s="1819">
        <v>0</v>
      </c>
      <c r="Q54" s="675">
        <f t="shared" si="4"/>
        <v>42723.602307692301</v>
      </c>
      <c r="R54" s="488"/>
      <c r="S54" s="183" t="s">
        <v>478</v>
      </c>
      <c r="T54" s="2"/>
      <c r="U54" s="493"/>
      <c r="W54" s="489">
        <f t="shared" si="5"/>
        <v>42723.602307692301</v>
      </c>
      <c r="AB54" s="852"/>
      <c r="AC54" s="852"/>
      <c r="AD54" s="852"/>
      <c r="AE54" s="852"/>
      <c r="AF54" s="852"/>
      <c r="AG54" s="852"/>
      <c r="AH54" s="852"/>
      <c r="AI54" s="852"/>
      <c r="AJ54" s="852"/>
      <c r="AK54" s="852"/>
      <c r="AL54" s="852"/>
      <c r="AM54" s="852"/>
    </row>
    <row r="55" spans="1:44">
      <c r="A55" s="506" t="s">
        <v>138</v>
      </c>
      <c r="B55" s="505" t="s">
        <v>1377</v>
      </c>
      <c r="C55" s="176" t="s">
        <v>1378</v>
      </c>
      <c r="D55" s="433">
        <v>361440.42</v>
      </c>
      <c r="E55" s="433">
        <v>14631.6</v>
      </c>
      <c r="F55" s="433">
        <v>0</v>
      </c>
      <c r="G55" s="433">
        <v>0</v>
      </c>
      <c r="H55" s="433">
        <v>570860</v>
      </c>
      <c r="I55" s="433">
        <v>558450</v>
      </c>
      <c r="J55" s="433">
        <v>546040</v>
      </c>
      <c r="K55" s="433">
        <v>533630</v>
      </c>
      <c r="L55" s="433">
        <v>521220</v>
      </c>
      <c r="M55" s="433">
        <v>508810</v>
      </c>
      <c r="N55" s="433">
        <v>496400</v>
      </c>
      <c r="O55" s="433">
        <v>483990</v>
      </c>
      <c r="P55" s="433">
        <v>471580</v>
      </c>
      <c r="Q55" s="675">
        <f t="shared" si="4"/>
        <v>389773.23230769229</v>
      </c>
      <c r="R55" s="492"/>
      <c r="S55" s="183" t="s">
        <v>245</v>
      </c>
      <c r="T55" s="176"/>
      <c r="U55" s="493"/>
      <c r="W55" s="489">
        <f t="shared" si="5"/>
        <v>389773.23230769229</v>
      </c>
      <c r="AB55" s="852"/>
      <c r="AC55" s="852"/>
      <c r="AD55" s="852"/>
      <c r="AE55" s="852"/>
      <c r="AF55" s="852"/>
      <c r="AG55" s="852"/>
      <c r="AH55" s="852"/>
      <c r="AI55" s="852"/>
      <c r="AJ55" s="852"/>
      <c r="AK55" s="852"/>
      <c r="AL55" s="852"/>
      <c r="AM55" s="852"/>
      <c r="AN55" s="852"/>
    </row>
    <row r="56" spans="1:44">
      <c r="A56" s="506" t="s">
        <v>138</v>
      </c>
      <c r="B56" s="505" t="s">
        <v>1379</v>
      </c>
      <c r="C56" t="s">
        <v>1380</v>
      </c>
      <c r="D56" s="433">
        <v>0</v>
      </c>
      <c r="E56" s="433">
        <v>0</v>
      </c>
      <c r="F56" s="433">
        <v>0</v>
      </c>
      <c r="G56" s="433">
        <v>495563.19</v>
      </c>
      <c r="H56" s="433">
        <v>481404.24</v>
      </c>
      <c r="I56" s="433">
        <v>467245.29</v>
      </c>
      <c r="J56" s="433">
        <v>453086.34</v>
      </c>
      <c r="K56" s="433">
        <v>438927.39</v>
      </c>
      <c r="L56" s="433">
        <v>424768.44</v>
      </c>
      <c r="M56" s="433">
        <v>410609.49</v>
      </c>
      <c r="N56" s="433">
        <v>396450.54000000004</v>
      </c>
      <c r="O56" s="433">
        <v>382291.58999999997</v>
      </c>
      <c r="P56" s="433">
        <v>368132.64</v>
      </c>
      <c r="Q56" s="675">
        <f t="shared" si="4"/>
        <v>332190.7038461538</v>
      </c>
      <c r="S56" s="183" t="s">
        <v>245</v>
      </c>
      <c r="W56" s="489">
        <f t="shared" si="5"/>
        <v>332190.7038461538</v>
      </c>
      <c r="AC56" s="852"/>
      <c r="AE56" s="852"/>
      <c r="AF56" s="852"/>
      <c r="AG56" s="852"/>
      <c r="AI56" s="852"/>
      <c r="AJ56" s="852"/>
      <c r="AM56" s="852"/>
      <c r="AN56" s="852"/>
    </row>
    <row r="57" spans="1:44">
      <c r="A57" s="506" t="s">
        <v>138</v>
      </c>
      <c r="B57" s="505" t="s">
        <v>1279</v>
      </c>
      <c r="C57" s="176" t="s">
        <v>1280</v>
      </c>
      <c r="D57" s="1819">
        <v>58685.18</v>
      </c>
      <c r="E57" s="1819">
        <v>50301.59</v>
      </c>
      <c r="F57" s="1819">
        <v>41918</v>
      </c>
      <c r="G57" s="1819">
        <v>33534.410000000003</v>
      </c>
      <c r="H57" s="1819">
        <v>25150.82</v>
      </c>
      <c r="I57" s="1819">
        <v>16767.23</v>
      </c>
      <c r="J57" s="1819">
        <v>8383.64</v>
      </c>
      <c r="K57" s="1819">
        <v>0</v>
      </c>
      <c r="L57" s="1819">
        <v>92219.54</v>
      </c>
      <c r="M57" s="1819">
        <v>83835.95</v>
      </c>
      <c r="N57" s="1819">
        <v>75452.36</v>
      </c>
      <c r="O57" s="1819">
        <v>67068.77</v>
      </c>
      <c r="P57" s="1819">
        <v>58685.18</v>
      </c>
      <c r="Q57" s="675">
        <f t="shared" si="4"/>
        <v>47077.128461538465</v>
      </c>
      <c r="R57" s="488"/>
      <c r="S57" s="183" t="s">
        <v>478</v>
      </c>
      <c r="T57" s="489"/>
      <c r="W57" s="489">
        <f t="shared" si="5"/>
        <v>47077.128461538465</v>
      </c>
      <c r="AB57" s="852"/>
      <c r="AC57" s="852"/>
      <c r="AD57" s="852"/>
      <c r="AE57" s="852"/>
      <c r="AF57" s="852"/>
      <c r="AG57" s="852"/>
      <c r="AH57" s="852"/>
      <c r="AI57" s="852"/>
      <c r="AJ57" s="852"/>
      <c r="AK57" s="852"/>
      <c r="AL57" s="852"/>
      <c r="AM57" s="852"/>
      <c r="AN57" s="852"/>
    </row>
    <row r="58" spans="1:44">
      <c r="A58" s="506" t="s">
        <v>138</v>
      </c>
      <c r="B58" s="505" t="s">
        <v>1381</v>
      </c>
      <c r="C58" s="176" t="s">
        <v>1322</v>
      </c>
      <c r="D58" s="1819">
        <v>61905.08</v>
      </c>
      <c r="E58" s="1819">
        <v>57778.080000000002</v>
      </c>
      <c r="F58" s="1819">
        <v>53651.08</v>
      </c>
      <c r="G58" s="1819">
        <v>49524</v>
      </c>
      <c r="H58" s="1819">
        <v>45397</v>
      </c>
      <c r="I58" s="1819">
        <v>41270</v>
      </c>
      <c r="J58" s="1819">
        <v>37143</v>
      </c>
      <c r="K58" s="1819">
        <v>33016</v>
      </c>
      <c r="L58" s="1819">
        <v>28889</v>
      </c>
      <c r="M58" s="1819">
        <v>24762</v>
      </c>
      <c r="N58" s="1819">
        <v>20635</v>
      </c>
      <c r="O58" s="1819">
        <v>16508</v>
      </c>
      <c r="P58" s="1819">
        <v>12381</v>
      </c>
      <c r="Q58" s="675">
        <f t="shared" si="4"/>
        <v>37143.018461538464</v>
      </c>
      <c r="R58" s="488"/>
      <c r="S58" s="183" t="s">
        <v>478</v>
      </c>
      <c r="T58" s="489"/>
      <c r="U58" s="176"/>
      <c r="V58" s="176"/>
      <c r="W58" s="489">
        <f t="shared" si="5"/>
        <v>37143.018461538464</v>
      </c>
      <c r="AB58" s="852"/>
      <c r="AC58" s="852"/>
      <c r="AE58" s="852"/>
      <c r="AF58" s="852"/>
      <c r="AG58" s="852"/>
      <c r="AH58" s="852"/>
      <c r="AI58" s="852"/>
      <c r="AJ58" s="852"/>
      <c r="AK58" s="852"/>
      <c r="AL58" s="852"/>
      <c r="AM58" s="852"/>
      <c r="AN58" s="852"/>
      <c r="AO58" s="508"/>
    </row>
    <row r="59" spans="1:44" s="176" customFormat="1">
      <c r="A59" s="506" t="s">
        <v>138</v>
      </c>
      <c r="B59" s="505" t="s">
        <v>1326</v>
      </c>
      <c r="C59" s="176" t="s">
        <v>1323</v>
      </c>
      <c r="D59" s="1819">
        <v>0</v>
      </c>
      <c r="E59" s="1819">
        <v>0</v>
      </c>
      <c r="F59" s="1819">
        <v>0</v>
      </c>
      <c r="G59" s="1819">
        <v>0</v>
      </c>
      <c r="H59" s="1819">
        <v>0</v>
      </c>
      <c r="I59" s="1819">
        <v>0</v>
      </c>
      <c r="J59" s="1819">
        <v>0</v>
      </c>
      <c r="K59" s="1819">
        <v>0</v>
      </c>
      <c r="L59" s="1819">
        <v>0</v>
      </c>
      <c r="M59" s="1819">
        <v>0</v>
      </c>
      <c r="N59" s="1819">
        <v>0</v>
      </c>
      <c r="O59" s="1819">
        <v>0</v>
      </c>
      <c r="P59" s="1819">
        <v>105361.78</v>
      </c>
      <c r="Q59" s="675">
        <f t="shared" si="4"/>
        <v>8104.752307692308</v>
      </c>
      <c r="R59" s="488"/>
      <c r="S59" s="183" t="s">
        <v>478</v>
      </c>
      <c r="T59" s="489"/>
      <c r="U59" s="2"/>
      <c r="V59" s="2"/>
      <c r="W59" s="489">
        <f t="shared" si="5"/>
        <v>8104.752307692308</v>
      </c>
      <c r="Y59" s="2"/>
      <c r="Z59" s="2"/>
      <c r="AA59" s="2"/>
      <c r="AB59" s="852"/>
      <c r="AC59" s="852"/>
      <c r="AD59" s="852"/>
      <c r="AE59" s="852"/>
      <c r="AF59" s="852"/>
      <c r="AG59" s="852"/>
      <c r="AH59" s="852"/>
      <c r="AI59" s="852"/>
      <c r="AJ59" s="852"/>
      <c r="AK59" s="852"/>
      <c r="AL59" s="852"/>
      <c r="AM59" s="852"/>
      <c r="AN59" s="852"/>
      <c r="AO59" s="2"/>
    </row>
    <row r="60" spans="1:44">
      <c r="A60" s="506" t="s">
        <v>138</v>
      </c>
      <c r="B60" s="505" t="s">
        <v>1328</v>
      </c>
      <c r="C60" s="176" t="s">
        <v>1324</v>
      </c>
      <c r="D60" s="1819">
        <v>193946.4</v>
      </c>
      <c r="E60" s="1819">
        <v>161622</v>
      </c>
      <c r="F60" s="1819">
        <v>129297.60000000001</v>
      </c>
      <c r="G60" s="1819">
        <v>96973.2</v>
      </c>
      <c r="H60" s="1819">
        <v>64648.800000000003</v>
      </c>
      <c r="I60" s="1819">
        <v>32324.400000000001</v>
      </c>
      <c r="J60" s="1819">
        <v>507138.3</v>
      </c>
      <c r="K60" s="1819">
        <v>464876.77</v>
      </c>
      <c r="L60" s="1819">
        <v>422615.24</v>
      </c>
      <c r="M60" s="1819">
        <v>380353.71</v>
      </c>
      <c r="N60" s="1819">
        <v>338092.18</v>
      </c>
      <c r="O60" s="1819">
        <v>295830.65000000002</v>
      </c>
      <c r="P60" s="1819">
        <v>253569.12</v>
      </c>
      <c r="Q60" s="675">
        <f t="shared" si="4"/>
        <v>257022.1823076923</v>
      </c>
      <c r="R60" s="488"/>
      <c r="S60" s="183" t="s">
        <v>478</v>
      </c>
      <c r="T60" s="489"/>
      <c r="U60" s="2"/>
      <c r="V60" s="2"/>
      <c r="W60" s="489">
        <f t="shared" si="5"/>
        <v>257022.1823076923</v>
      </c>
      <c r="AB60" s="852"/>
      <c r="AC60" s="852"/>
      <c r="AD60" s="852"/>
      <c r="AE60" s="852"/>
      <c r="AF60" s="852"/>
      <c r="AG60" s="852"/>
      <c r="AH60" s="852"/>
      <c r="AI60" s="852"/>
      <c r="AJ60" s="852"/>
      <c r="AK60" s="852"/>
      <c r="AL60" s="852"/>
      <c r="AM60" s="852"/>
      <c r="AN60" s="852"/>
    </row>
    <row r="61" spans="1:44">
      <c r="A61" s="506" t="s">
        <v>138</v>
      </c>
      <c r="B61" s="505" t="s">
        <v>1327</v>
      </c>
      <c r="C61" s="176" t="s">
        <v>1325</v>
      </c>
      <c r="D61" s="1819">
        <v>151411.09</v>
      </c>
      <c r="E61" s="1819">
        <v>132484.70000000001</v>
      </c>
      <c r="F61" s="1819">
        <v>113558.31</v>
      </c>
      <c r="G61" s="1819">
        <v>94631.92</v>
      </c>
      <c r="H61" s="1819">
        <v>75705.53</v>
      </c>
      <c r="I61" s="1819">
        <v>56779.14</v>
      </c>
      <c r="J61" s="1819">
        <v>37852.75</v>
      </c>
      <c r="K61" s="1819">
        <v>18926.36</v>
      </c>
      <c r="L61" s="1819">
        <v>0</v>
      </c>
      <c r="M61" s="1819">
        <v>214026.07</v>
      </c>
      <c r="N61" s="1819">
        <v>194569.15</v>
      </c>
      <c r="O61" s="1819">
        <v>175112.23</v>
      </c>
      <c r="P61" s="1819">
        <v>155655.31</v>
      </c>
      <c r="Q61" s="675">
        <f t="shared" si="4"/>
        <v>109285.58153846154</v>
      </c>
      <c r="R61" s="492"/>
      <c r="S61" s="183" t="s">
        <v>478</v>
      </c>
      <c r="T61" s="489"/>
      <c r="U61" s="2"/>
      <c r="V61" s="2"/>
      <c r="W61" s="489">
        <f t="shared" si="5"/>
        <v>109285.58153846154</v>
      </c>
      <c r="AB61" s="852"/>
      <c r="AC61" s="852"/>
      <c r="AD61" s="852"/>
      <c r="AE61" s="852"/>
      <c r="AF61" s="852"/>
      <c r="AG61" s="852"/>
      <c r="AH61" s="852"/>
      <c r="AI61" s="852"/>
      <c r="AJ61" s="852"/>
      <c r="AK61" s="852"/>
      <c r="AL61" s="852"/>
      <c r="AM61" s="852"/>
      <c r="AN61" s="852"/>
    </row>
    <row r="62" spans="1:44">
      <c r="A62" s="506" t="s">
        <v>138</v>
      </c>
      <c r="B62" s="505" t="s">
        <v>1382</v>
      </c>
      <c r="C62" s="176" t="s">
        <v>1383</v>
      </c>
      <c r="D62" s="1819">
        <v>0</v>
      </c>
      <c r="E62" s="1819">
        <v>0</v>
      </c>
      <c r="F62" s="1819">
        <v>0</v>
      </c>
      <c r="G62" s="1819">
        <v>0</v>
      </c>
      <c r="H62" s="1819">
        <v>0</v>
      </c>
      <c r="I62" s="1819">
        <v>0</v>
      </c>
      <c r="J62" s="1819">
        <v>0</v>
      </c>
      <c r="K62" s="1819">
        <v>0</v>
      </c>
      <c r="L62" s="1819">
        <v>0</v>
      </c>
      <c r="M62" s="1819">
        <v>0</v>
      </c>
      <c r="N62" s="1819">
        <v>70384.679999999993</v>
      </c>
      <c r="O62" s="1819">
        <v>60329.72</v>
      </c>
      <c r="P62" s="1819">
        <v>70380.84</v>
      </c>
      <c r="Q62" s="675">
        <f t="shared" si="4"/>
        <v>15468.864615384615</v>
      </c>
      <c r="R62" s="492"/>
      <c r="S62" s="183" t="s">
        <v>478</v>
      </c>
      <c r="T62" s="489"/>
      <c r="U62" s="2"/>
      <c r="V62" s="2"/>
      <c r="W62" s="489">
        <f t="shared" si="5"/>
        <v>15468.864615384615</v>
      </c>
      <c r="AB62" s="852"/>
      <c r="AC62" s="852"/>
      <c r="AD62" s="852"/>
      <c r="AE62" s="852"/>
      <c r="AF62" s="852"/>
      <c r="AG62" s="852"/>
      <c r="AH62" s="852"/>
      <c r="AI62" s="852"/>
      <c r="AJ62" s="852"/>
      <c r="AK62" s="852"/>
      <c r="AL62" s="852"/>
      <c r="AM62" s="852"/>
      <c r="AN62" s="852"/>
    </row>
    <row r="63" spans="1:44" s="491" customFormat="1">
      <c r="A63" s="506" t="s">
        <v>138</v>
      </c>
      <c r="B63" s="505" t="s">
        <v>1384</v>
      </c>
      <c r="C63" s="176" t="s">
        <v>1385</v>
      </c>
      <c r="D63" s="1819">
        <v>0</v>
      </c>
      <c r="E63" s="1819">
        <v>0</v>
      </c>
      <c r="F63" s="1819">
        <v>0</v>
      </c>
      <c r="G63" s="1819">
        <v>0</v>
      </c>
      <c r="H63" s="1819">
        <v>0</v>
      </c>
      <c r="I63" s="1819">
        <v>0</v>
      </c>
      <c r="J63" s="1819">
        <v>0</v>
      </c>
      <c r="K63" s="1819">
        <v>0</v>
      </c>
      <c r="L63" s="1819">
        <v>0</v>
      </c>
      <c r="M63" s="1819">
        <v>0</v>
      </c>
      <c r="N63" s="1819">
        <v>62134.36</v>
      </c>
      <c r="O63" s="1819">
        <v>62134.36</v>
      </c>
      <c r="P63" s="1819">
        <v>41422.9</v>
      </c>
      <c r="Q63" s="675">
        <f t="shared" si="4"/>
        <v>12745.50923076923</v>
      </c>
      <c r="R63" s="488"/>
      <c r="S63" s="183" t="s">
        <v>478</v>
      </c>
      <c r="T63" s="489"/>
      <c r="U63" s="2"/>
      <c r="V63" s="2"/>
      <c r="W63" s="489">
        <f t="shared" si="5"/>
        <v>12745.50923076923</v>
      </c>
      <c r="Y63" s="2"/>
      <c r="Z63" s="2"/>
      <c r="AA63" s="2"/>
      <c r="AB63" s="852"/>
      <c r="AC63" s="852"/>
      <c r="AD63" s="852"/>
      <c r="AE63" s="2"/>
      <c r="AF63" s="852"/>
      <c r="AG63" s="852"/>
      <c r="AH63" s="852"/>
      <c r="AI63" s="852"/>
      <c r="AJ63" s="852"/>
      <c r="AK63" s="852"/>
      <c r="AL63" s="852"/>
      <c r="AM63" s="2"/>
      <c r="AN63" s="852"/>
      <c r="AO63" s="2"/>
      <c r="AP63" s="508"/>
      <c r="AQ63" s="508"/>
      <c r="AR63" s="508"/>
    </row>
    <row r="64" spans="1:44">
      <c r="A64" s="506" t="s">
        <v>138</v>
      </c>
      <c r="B64" s="505" t="s">
        <v>1386</v>
      </c>
      <c r="C64" s="176" t="s">
        <v>1387</v>
      </c>
      <c r="D64" s="1819">
        <v>0</v>
      </c>
      <c r="E64" s="1819">
        <v>57093.3</v>
      </c>
      <c r="F64" s="1819">
        <v>51903</v>
      </c>
      <c r="G64" s="1819">
        <v>46712.7</v>
      </c>
      <c r="H64" s="1819">
        <v>41522.400000000001</v>
      </c>
      <c r="I64" s="1819">
        <v>36332.1</v>
      </c>
      <c r="J64" s="1819">
        <v>31141.8</v>
      </c>
      <c r="K64" s="1819">
        <v>25951.5</v>
      </c>
      <c r="L64" s="1819">
        <v>20761.2</v>
      </c>
      <c r="M64" s="1819">
        <v>15570.9</v>
      </c>
      <c r="N64" s="1819">
        <v>10380.6</v>
      </c>
      <c r="O64" s="1819">
        <v>5190.3</v>
      </c>
      <c r="P64" s="1819">
        <v>0</v>
      </c>
      <c r="Q64" s="675">
        <f t="shared" si="4"/>
        <v>26350.753846153846</v>
      </c>
      <c r="R64" s="492"/>
      <c r="S64" s="176" t="s">
        <v>480</v>
      </c>
      <c r="T64" s="489"/>
      <c r="U64" s="2"/>
      <c r="V64" s="2"/>
      <c r="W64" s="489">
        <f t="shared" si="5"/>
        <v>26350.753846153846</v>
      </c>
      <c r="AB64" s="852"/>
      <c r="AC64" s="852"/>
      <c r="AD64" s="852"/>
      <c r="AF64" s="852"/>
      <c r="AG64" s="852"/>
      <c r="AH64" s="852"/>
      <c r="AI64" s="852"/>
      <c r="AJ64" s="852"/>
      <c r="AK64" s="852"/>
      <c r="AL64" s="852"/>
      <c r="AM64" s="852"/>
      <c r="AN64" s="852"/>
      <c r="AO64" s="176"/>
    </row>
    <row r="65" spans="1:44">
      <c r="A65" s="506" t="s">
        <v>138</v>
      </c>
      <c r="B65" s="505" t="s">
        <v>1388</v>
      </c>
      <c r="C65" s="176" t="s">
        <v>1389</v>
      </c>
      <c r="D65" s="1819">
        <v>0</v>
      </c>
      <c r="E65" s="1819">
        <v>0</v>
      </c>
      <c r="F65" s="1819">
        <v>156810.20000000001</v>
      </c>
      <c r="G65" s="1819">
        <v>153401.28</v>
      </c>
      <c r="H65" s="1819">
        <v>149992.35999999999</v>
      </c>
      <c r="I65" s="1819">
        <v>146583.44</v>
      </c>
      <c r="J65" s="1819">
        <v>143174.52000000002</v>
      </c>
      <c r="K65" s="1819">
        <v>139765.59999999998</v>
      </c>
      <c r="L65" s="1819">
        <v>136356.68</v>
      </c>
      <c r="M65" s="1819">
        <v>132947.76</v>
      </c>
      <c r="N65" s="1819">
        <v>129538.84</v>
      </c>
      <c r="O65" s="1819">
        <v>126129.92</v>
      </c>
      <c r="P65" s="1819">
        <v>122721</v>
      </c>
      <c r="Q65" s="675">
        <f t="shared" si="4"/>
        <v>118263.20000000001</v>
      </c>
      <c r="R65" s="492"/>
      <c r="S65" s="176" t="s">
        <v>481</v>
      </c>
      <c r="T65" s="489"/>
      <c r="U65" s="176"/>
      <c r="V65" s="176"/>
      <c r="W65" s="489">
        <f t="shared" si="5"/>
        <v>118263.20000000001</v>
      </c>
      <c r="AB65" s="852"/>
      <c r="AC65" s="852"/>
      <c r="AD65" s="852"/>
      <c r="AE65" s="852"/>
      <c r="AF65" s="852"/>
      <c r="AG65" s="852"/>
      <c r="AH65" s="852"/>
      <c r="AI65" s="852"/>
      <c r="AJ65" s="852"/>
      <c r="AK65" s="852"/>
      <c r="AL65" s="852"/>
      <c r="AM65" s="852"/>
      <c r="AN65" s="852"/>
    </row>
    <row r="66" spans="1:44">
      <c r="A66" s="507"/>
      <c r="B66" s="497" t="s">
        <v>141</v>
      </c>
      <c r="C66" s="497"/>
      <c r="D66" s="503">
        <f>SUM(D15:D65)</f>
        <v>10755140.779999999</v>
      </c>
      <c r="E66" s="503">
        <f t="shared" ref="E66:Q66" si="6">SUM(E15:E65)</f>
        <v>14607600.500000002</v>
      </c>
      <c r="F66" s="503">
        <f t="shared" si="6"/>
        <v>13565775.27</v>
      </c>
      <c r="G66" s="503">
        <f t="shared" si="6"/>
        <v>12550876.67</v>
      </c>
      <c r="H66" s="503">
        <f t="shared" si="6"/>
        <v>11862845.190000001</v>
      </c>
      <c r="I66" s="503">
        <f t="shared" si="6"/>
        <v>11855341.469999997</v>
      </c>
      <c r="J66" s="503">
        <f t="shared" si="6"/>
        <v>11752235.32</v>
      </c>
      <c r="K66" s="503">
        <f t="shared" si="6"/>
        <v>10540074.009999998</v>
      </c>
      <c r="L66" s="503">
        <f t="shared" si="6"/>
        <v>9655578.8399999999</v>
      </c>
      <c r="M66" s="503">
        <f t="shared" si="6"/>
        <v>10479738.620000003</v>
      </c>
      <c r="N66" s="503">
        <f t="shared" si="6"/>
        <v>9232296.8999999985</v>
      </c>
      <c r="O66" s="503">
        <f t="shared" si="6"/>
        <v>8072033.2800000003</v>
      </c>
      <c r="P66" s="503">
        <f>SUM(P15:P65)</f>
        <v>12117153.959999999</v>
      </c>
      <c r="Q66" s="503">
        <f t="shared" si="6"/>
        <v>11317051.113636365</v>
      </c>
      <c r="R66" s="492"/>
      <c r="S66" s="176"/>
      <c r="T66" s="489"/>
      <c r="U66" s="2"/>
      <c r="V66" s="2"/>
      <c r="W66" s="503">
        <f t="shared" ref="W66" si="7">SUM(W15:W65)</f>
        <v>11317051.113636365</v>
      </c>
      <c r="AC66" s="852"/>
      <c r="AD66" s="852"/>
      <c r="AI66" s="852"/>
      <c r="AJ66" s="852"/>
      <c r="AM66" s="852"/>
      <c r="AN66" s="852"/>
    </row>
    <row r="67" spans="1:44">
      <c r="A67" s="507"/>
      <c r="B67" s="1864"/>
      <c r="C67" s="176"/>
      <c r="D67" s="1765"/>
      <c r="E67" s="1765"/>
      <c r="F67" s="1765"/>
      <c r="G67" s="1765"/>
      <c r="H67" s="1765"/>
      <c r="I67" s="1765"/>
      <c r="J67" s="1765"/>
      <c r="K67" s="1765"/>
      <c r="L67" s="1765"/>
      <c r="M67" s="1765"/>
      <c r="N67" s="1765"/>
      <c r="O67" s="1765"/>
      <c r="P67" s="1765"/>
      <c r="Q67" s="675"/>
      <c r="R67" s="492"/>
      <c r="S67" s="176"/>
      <c r="T67" s="489"/>
      <c r="U67" s="2"/>
      <c r="V67" s="2"/>
      <c r="W67" s="2"/>
      <c r="AC67" s="852"/>
      <c r="AD67" s="852"/>
      <c r="AI67" s="852"/>
      <c r="AJ67" s="852"/>
      <c r="AM67" s="852"/>
      <c r="AN67" s="852"/>
    </row>
    <row r="68" spans="1:44">
      <c r="A68" s="507"/>
      <c r="B68" s="1864"/>
      <c r="C68" s="176"/>
      <c r="D68" s="1765"/>
      <c r="E68" s="1765"/>
      <c r="F68" s="1765"/>
      <c r="G68" s="1765"/>
      <c r="H68" s="1765"/>
      <c r="I68" s="1765"/>
      <c r="J68" s="1765"/>
      <c r="K68" s="1765"/>
      <c r="L68" s="1765"/>
      <c r="M68" s="1765"/>
      <c r="N68" s="1765"/>
      <c r="O68" s="1765"/>
      <c r="P68" s="1765"/>
      <c r="Q68" s="675"/>
      <c r="R68" s="492"/>
      <c r="S68" s="176"/>
      <c r="T68" s="489"/>
      <c r="U68" s="2"/>
      <c r="V68" s="2"/>
      <c r="W68" s="2"/>
      <c r="AC68" s="852"/>
      <c r="AD68" s="852"/>
      <c r="AI68" s="852"/>
      <c r="AJ68" s="852"/>
      <c r="AM68" s="852"/>
      <c r="AN68" s="852"/>
    </row>
    <row r="69" spans="1:44">
      <c r="A69" s="507"/>
      <c r="B69" s="1864"/>
      <c r="C69" s="176"/>
      <c r="D69" s="1765"/>
      <c r="E69" s="1765"/>
      <c r="F69" s="1765"/>
      <c r="G69" s="1765"/>
      <c r="H69" s="1765"/>
      <c r="I69" s="1765"/>
      <c r="J69" s="1765"/>
      <c r="K69" s="1765"/>
      <c r="L69" s="1765"/>
      <c r="M69" s="1765"/>
      <c r="N69" s="1765"/>
      <c r="O69" s="1765"/>
      <c r="P69" s="1765"/>
      <c r="Q69" s="675"/>
      <c r="R69" s="492"/>
      <c r="S69" s="176"/>
      <c r="T69" s="489"/>
      <c r="U69" s="2"/>
      <c r="V69" s="2"/>
      <c r="W69" s="2"/>
      <c r="AC69" s="852"/>
      <c r="AD69" s="852"/>
      <c r="AI69" s="852"/>
      <c r="AJ69" s="852"/>
      <c r="AM69" s="852"/>
      <c r="AN69" s="852"/>
    </row>
    <row r="70" spans="1:44">
      <c r="B70" s="496" t="s">
        <v>278</v>
      </c>
      <c r="C70" s="176"/>
      <c r="D70" s="1765"/>
      <c r="E70" s="1765"/>
      <c r="F70" s="1765"/>
      <c r="G70" s="1765"/>
      <c r="H70" s="1765"/>
      <c r="I70" s="1765"/>
      <c r="J70" s="1765"/>
      <c r="K70" s="1765"/>
      <c r="L70" s="1765"/>
      <c r="M70" s="1765"/>
      <c r="N70" s="1765"/>
      <c r="O70" s="1765"/>
      <c r="P70" s="1765"/>
      <c r="Q70" s="675"/>
      <c r="R70" s="492"/>
      <c r="S70" s="176"/>
      <c r="T70" s="489"/>
      <c r="U70" s="2"/>
      <c r="V70" s="2"/>
      <c r="W70" s="2"/>
      <c r="AC70" s="852"/>
      <c r="AD70" s="852"/>
      <c r="AI70" s="852"/>
      <c r="AJ70" s="852"/>
      <c r="AM70" s="852"/>
      <c r="AN70" s="852"/>
    </row>
    <row r="71" spans="1:44" s="176" customFormat="1">
      <c r="B71" s="1815">
        <v>16504101</v>
      </c>
      <c r="C71" s="176" t="s">
        <v>239</v>
      </c>
      <c r="D71" s="1819">
        <v>119000.11</v>
      </c>
      <c r="E71" s="1819">
        <v>118186.51</v>
      </c>
      <c r="F71" s="1819">
        <v>117372.91</v>
      </c>
      <c r="G71" s="1819">
        <v>116559.31</v>
      </c>
      <c r="H71" s="1819">
        <v>115745.71</v>
      </c>
      <c r="I71" s="1819">
        <v>114932.11</v>
      </c>
      <c r="J71" s="1819">
        <v>114118.51</v>
      </c>
      <c r="K71" s="1819">
        <v>113304.91</v>
      </c>
      <c r="L71" s="1819">
        <v>112491.31</v>
      </c>
      <c r="M71" s="1819">
        <v>111677.71</v>
      </c>
      <c r="N71" s="1819">
        <v>110864.11</v>
      </c>
      <c r="O71" s="1819">
        <v>110050.51</v>
      </c>
      <c r="P71" s="1819">
        <v>109236.91</v>
      </c>
      <c r="Q71" s="675">
        <f t="shared" si="4"/>
        <v>114118.51000000001</v>
      </c>
      <c r="R71" s="492"/>
      <c r="T71" s="489"/>
      <c r="U71" s="125">
        <f>Q71</f>
        <v>114118.51000000001</v>
      </c>
      <c r="V71" s="2"/>
      <c r="W71" s="2"/>
      <c r="Y71" s="2"/>
      <c r="Z71" s="2"/>
      <c r="AA71" s="2"/>
      <c r="AB71" s="852"/>
      <c r="AC71" s="852"/>
      <c r="AD71" s="852"/>
      <c r="AE71" s="2"/>
      <c r="AF71" s="852"/>
      <c r="AG71" s="852"/>
      <c r="AH71" s="852"/>
      <c r="AI71" s="852"/>
      <c r="AJ71" s="852"/>
      <c r="AM71" s="2"/>
      <c r="AN71" s="852"/>
      <c r="AO71" s="508"/>
    </row>
    <row r="72" spans="1:44" s="176" customFormat="1">
      <c r="A72" s="507"/>
      <c r="B72" s="497" t="s">
        <v>274</v>
      </c>
      <c r="C72" s="497"/>
      <c r="D72" s="503">
        <f>SUM(D71)</f>
        <v>119000.11</v>
      </c>
      <c r="E72" s="503">
        <f t="shared" ref="E72:Q72" si="8">SUM(E71)</f>
        <v>118186.51</v>
      </c>
      <c r="F72" s="503">
        <f t="shared" si="8"/>
        <v>117372.91</v>
      </c>
      <c r="G72" s="503">
        <f t="shared" si="8"/>
        <v>116559.31</v>
      </c>
      <c r="H72" s="503">
        <f t="shared" si="8"/>
        <v>115745.71</v>
      </c>
      <c r="I72" s="503">
        <f t="shared" si="8"/>
        <v>114932.11</v>
      </c>
      <c r="J72" s="503">
        <f t="shared" si="8"/>
        <v>114118.51</v>
      </c>
      <c r="K72" s="503">
        <f t="shared" si="8"/>
        <v>113304.91</v>
      </c>
      <c r="L72" s="503">
        <f t="shared" si="8"/>
        <v>112491.31</v>
      </c>
      <c r="M72" s="503">
        <f t="shared" si="8"/>
        <v>111677.71</v>
      </c>
      <c r="N72" s="503">
        <f t="shared" si="8"/>
        <v>110864.11</v>
      </c>
      <c r="O72" s="503">
        <f t="shared" si="8"/>
        <v>110050.51</v>
      </c>
      <c r="P72" s="503">
        <f>SUM(P71)</f>
        <v>109236.91</v>
      </c>
      <c r="Q72" s="503">
        <f t="shared" si="8"/>
        <v>114118.51000000001</v>
      </c>
      <c r="R72" s="492"/>
      <c r="T72" s="489"/>
      <c r="U72" s="503">
        <f>Q72</f>
        <v>114118.51000000001</v>
      </c>
      <c r="V72" s="2"/>
      <c r="W72" s="2"/>
      <c r="Y72" s="2"/>
      <c r="Z72" s="2"/>
      <c r="AA72" s="2"/>
      <c r="AB72" s="852"/>
      <c r="AC72" s="852"/>
      <c r="AD72" s="852"/>
      <c r="AE72" s="2"/>
      <c r="AF72" s="852"/>
      <c r="AG72" s="852"/>
      <c r="AH72" s="852"/>
      <c r="AI72" s="852"/>
      <c r="AJ72" s="852"/>
      <c r="AM72" s="2"/>
      <c r="AN72" s="852"/>
      <c r="AO72" s="508"/>
    </row>
    <row r="73" spans="1:44" s="176" customFormat="1">
      <c r="A73" s="507"/>
      <c r="B73" s="1815"/>
      <c r="D73" s="1765"/>
      <c r="E73" s="1765"/>
      <c r="F73" s="1765"/>
      <c r="G73" s="1765"/>
      <c r="H73" s="1765"/>
      <c r="I73" s="1765"/>
      <c r="J73" s="1765"/>
      <c r="K73" s="1765"/>
      <c r="L73" s="1765"/>
      <c r="M73" s="1765"/>
      <c r="N73" s="1765"/>
      <c r="O73" s="1765"/>
      <c r="P73" s="1765"/>
      <c r="Q73" s="675"/>
      <c r="R73" s="492"/>
      <c r="T73" s="1870"/>
      <c r="U73" s="2"/>
      <c r="V73" s="2"/>
      <c r="W73" s="2"/>
      <c r="Y73" s="2"/>
      <c r="Z73" s="2"/>
      <c r="AA73" s="2"/>
      <c r="AB73" s="852"/>
      <c r="AC73" s="852"/>
      <c r="AD73" s="852"/>
      <c r="AE73" s="2"/>
      <c r="AF73" s="852"/>
      <c r="AG73" s="852"/>
      <c r="AH73" s="852"/>
      <c r="AI73" s="852"/>
      <c r="AJ73" s="852"/>
      <c r="AM73" s="2"/>
      <c r="AN73" s="852"/>
      <c r="AO73" s="508"/>
    </row>
    <row r="74" spans="1:44" s="176" customFormat="1">
      <c r="A74" s="507"/>
      <c r="B74" s="1850"/>
      <c r="D74" s="1765"/>
      <c r="E74" s="1765"/>
      <c r="F74" s="1765"/>
      <c r="G74" s="1765"/>
      <c r="H74" s="1765"/>
      <c r="I74" s="1765"/>
      <c r="J74" s="1765"/>
      <c r="K74" s="1765"/>
      <c r="L74" s="1765"/>
      <c r="M74" s="1765"/>
      <c r="N74" s="1765"/>
      <c r="O74" s="1765"/>
      <c r="P74" s="1765"/>
      <c r="Q74" s="675"/>
      <c r="R74" s="492"/>
      <c r="T74" s="1870"/>
      <c r="U74" s="2"/>
      <c r="V74" s="2"/>
      <c r="W74" s="2"/>
      <c r="Y74" s="2"/>
      <c r="Z74" s="2"/>
      <c r="AA74" s="2"/>
      <c r="AB74" s="852"/>
      <c r="AC74" s="852"/>
      <c r="AD74" s="852"/>
      <c r="AE74" s="2"/>
      <c r="AF74" s="852"/>
      <c r="AG74" s="852"/>
      <c r="AH74" s="852"/>
      <c r="AI74" s="852"/>
      <c r="AJ74" s="852"/>
      <c r="AM74" s="2"/>
      <c r="AN74" s="852"/>
      <c r="AO74" s="508"/>
    </row>
    <row r="75" spans="1:44" s="176" customFormat="1">
      <c r="A75" s="507"/>
      <c r="B75" s="496" t="s">
        <v>276</v>
      </c>
      <c r="D75" s="1765"/>
      <c r="E75" s="1765"/>
      <c r="F75" s="1765"/>
      <c r="G75" s="1765"/>
      <c r="H75" s="1765"/>
      <c r="I75" s="1765"/>
      <c r="J75" s="1765"/>
      <c r="K75" s="1765"/>
      <c r="L75" s="1765"/>
      <c r="M75" s="1765"/>
      <c r="N75" s="1765"/>
      <c r="O75" s="1765"/>
      <c r="P75" s="1765"/>
      <c r="Q75" s="675"/>
      <c r="R75" s="492"/>
      <c r="T75" s="1870"/>
      <c r="U75" s="2"/>
      <c r="V75" s="2"/>
      <c r="W75" s="2"/>
      <c r="Y75" s="2"/>
      <c r="Z75" s="2"/>
      <c r="AA75" s="2"/>
      <c r="AB75" s="852"/>
      <c r="AC75" s="852"/>
      <c r="AD75" s="852"/>
      <c r="AE75" s="2"/>
      <c r="AF75" s="852"/>
      <c r="AG75" s="852"/>
      <c r="AH75" s="852"/>
      <c r="AI75" s="852"/>
      <c r="AJ75" s="852"/>
      <c r="AM75" s="2"/>
      <c r="AN75" s="852"/>
      <c r="AO75" s="508"/>
    </row>
    <row r="76" spans="1:44">
      <c r="A76" s="506" t="s">
        <v>332</v>
      </c>
      <c r="B76" s="1869" t="s">
        <v>1238</v>
      </c>
      <c r="C76" s="176" t="s">
        <v>256</v>
      </c>
      <c r="D76" s="433">
        <v>0</v>
      </c>
      <c r="E76" s="433">
        <v>0</v>
      </c>
      <c r="F76" s="433">
        <v>0</v>
      </c>
      <c r="G76" s="433">
        <v>0</v>
      </c>
      <c r="H76" s="433">
        <v>0</v>
      </c>
      <c r="I76" s="433">
        <v>0</v>
      </c>
      <c r="J76" s="433">
        <v>0</v>
      </c>
      <c r="K76" s="433">
        <v>0</v>
      </c>
      <c r="L76" s="1819">
        <v>81120.5</v>
      </c>
      <c r="M76" s="1819">
        <v>0</v>
      </c>
      <c r="N76" s="1819">
        <v>0</v>
      </c>
      <c r="O76" s="1819">
        <v>119044.75</v>
      </c>
      <c r="P76" s="1819">
        <v>348969.2</v>
      </c>
      <c r="Q76" s="675">
        <f>AVERAGE(D76:P76)</f>
        <v>42241.111538461533</v>
      </c>
      <c r="R76" s="492"/>
      <c r="S76" s="176"/>
      <c r="T76" s="1870">
        <f>Q76</f>
        <v>42241.111538461533</v>
      </c>
      <c r="U76" s="2"/>
      <c r="V76" s="2"/>
      <c r="W76" s="2"/>
      <c r="AO76" s="176"/>
      <c r="AP76"/>
      <c r="AQ76"/>
      <c r="AR76"/>
    </row>
    <row r="77" spans="1:44" s="176" customFormat="1">
      <c r="A77" s="506" t="s">
        <v>332</v>
      </c>
      <c r="B77" s="1869" t="s">
        <v>1396</v>
      </c>
      <c r="C77" s="176" t="s">
        <v>240</v>
      </c>
      <c r="D77" s="433">
        <v>0</v>
      </c>
      <c r="E77" s="433">
        <v>17548295.469999999</v>
      </c>
      <c r="F77" s="433">
        <v>17548295.469999999</v>
      </c>
      <c r="G77" s="433">
        <v>17648271.690000001</v>
      </c>
      <c r="H77" s="433">
        <v>18023674.600000001</v>
      </c>
      <c r="I77" s="433">
        <v>18023674.600000001</v>
      </c>
      <c r="J77" s="433">
        <v>0</v>
      </c>
      <c r="K77" s="433">
        <v>0</v>
      </c>
      <c r="L77" s="433">
        <v>48794.25</v>
      </c>
      <c r="M77" s="433">
        <v>48794.25</v>
      </c>
      <c r="N77" s="433">
        <v>48794.25</v>
      </c>
      <c r="O77" s="433">
        <v>497007.46</v>
      </c>
      <c r="P77" s="433">
        <v>497007.46</v>
      </c>
      <c r="Q77" s="675">
        <f t="shared" ref="Q77:Q101" si="9">AVERAGE(D77:P77)</f>
        <v>6917893.0384615362</v>
      </c>
      <c r="R77" s="1864"/>
      <c r="S77" s="1864"/>
      <c r="T77" s="1870">
        <f t="shared" ref="T77:T101" si="10">Q77</f>
        <v>6917893.0384615362</v>
      </c>
      <c r="Y77" s="2"/>
      <c r="Z77" s="2"/>
      <c r="AA77" s="2"/>
      <c r="AC77" s="2"/>
      <c r="AD77" s="2"/>
      <c r="AE77" s="2"/>
      <c r="AF77" s="2"/>
      <c r="AG77" s="2"/>
      <c r="AH77" s="2"/>
      <c r="AI77" s="2"/>
      <c r="AJ77" s="2"/>
      <c r="AK77" s="2"/>
      <c r="AL77" s="2"/>
      <c r="AM77" s="2"/>
      <c r="AN77" s="2"/>
      <c r="AO77" s="2"/>
    </row>
    <row r="78" spans="1:44">
      <c r="A78" s="506" t="s">
        <v>332</v>
      </c>
      <c r="B78" s="1869" t="s">
        <v>1397</v>
      </c>
      <c r="C78" s="176" t="s">
        <v>241</v>
      </c>
      <c r="D78" s="433">
        <v>0</v>
      </c>
      <c r="E78" s="433">
        <v>1487363.59</v>
      </c>
      <c r="F78" s="433">
        <v>1487363.59</v>
      </c>
      <c r="G78" s="433">
        <v>1542240.76</v>
      </c>
      <c r="H78" s="433">
        <v>1748299.98</v>
      </c>
      <c r="I78" s="433">
        <v>1748299.98</v>
      </c>
      <c r="J78" s="433">
        <v>0</v>
      </c>
      <c r="K78" s="433">
        <v>0</v>
      </c>
      <c r="L78" s="433">
        <v>26783.63</v>
      </c>
      <c r="M78" s="433">
        <v>26783.63</v>
      </c>
      <c r="N78" s="433">
        <v>26783.63</v>
      </c>
      <c r="O78" s="433">
        <v>271514.19</v>
      </c>
      <c r="P78" s="433">
        <v>271514.19</v>
      </c>
      <c r="Q78" s="675">
        <f t="shared" si="9"/>
        <v>664380.55153846159</v>
      </c>
      <c r="R78" s="1864"/>
      <c r="S78" s="1864"/>
      <c r="T78" s="1870">
        <f t="shared" si="10"/>
        <v>664380.55153846159</v>
      </c>
      <c r="U78" s="2"/>
      <c r="V78" s="2"/>
      <c r="W78" s="2"/>
      <c r="AB78" s="852"/>
      <c r="AC78" s="852"/>
      <c r="AD78" s="852"/>
      <c r="AE78" s="852"/>
      <c r="AF78" s="852"/>
      <c r="AG78" s="852"/>
      <c r="AH78" s="852"/>
      <c r="AI78" s="852"/>
      <c r="AJ78" s="852"/>
      <c r="AK78" s="852"/>
      <c r="AL78" s="852"/>
      <c r="AM78" s="852"/>
      <c r="AN78" s="852"/>
      <c r="AO78" s="176"/>
      <c r="AP78"/>
      <c r="AQ78"/>
      <c r="AR78"/>
    </row>
    <row r="79" spans="1:44" ht="15" customHeight="1">
      <c r="A79" s="506" t="s">
        <v>332</v>
      </c>
      <c r="B79" s="1869" t="s">
        <v>1239</v>
      </c>
      <c r="C79" s="176" t="s">
        <v>258</v>
      </c>
      <c r="D79" s="433">
        <v>0</v>
      </c>
      <c r="E79" s="433">
        <v>655347</v>
      </c>
      <c r="F79" s="433">
        <v>595770</v>
      </c>
      <c r="G79" s="433">
        <v>536193</v>
      </c>
      <c r="H79" s="433">
        <v>476616</v>
      </c>
      <c r="I79" s="433">
        <v>417039</v>
      </c>
      <c r="J79" s="433">
        <v>357462</v>
      </c>
      <c r="K79" s="433">
        <v>297885</v>
      </c>
      <c r="L79" s="433">
        <v>238308</v>
      </c>
      <c r="M79" s="433">
        <v>178731</v>
      </c>
      <c r="N79" s="433">
        <v>119154</v>
      </c>
      <c r="O79" s="433">
        <v>59577</v>
      </c>
      <c r="P79" s="433">
        <v>0</v>
      </c>
      <c r="Q79" s="675">
        <f t="shared" si="9"/>
        <v>302467.84615384613</v>
      </c>
      <c r="R79" s="1864"/>
      <c r="S79" s="1864"/>
      <c r="T79" s="1870">
        <f t="shared" si="10"/>
        <v>302467.84615384613</v>
      </c>
      <c r="AB79" s="852"/>
      <c r="AC79" s="852"/>
      <c r="AD79" s="852"/>
      <c r="AE79" s="852"/>
      <c r="AF79" s="852"/>
      <c r="AG79" s="852"/>
      <c r="AH79" s="852"/>
      <c r="AI79" s="852"/>
      <c r="AJ79" s="852"/>
      <c r="AL79" s="852"/>
      <c r="AM79" s="852"/>
      <c r="AN79" s="852"/>
      <c r="AO79" s="176"/>
      <c r="AP79"/>
      <c r="AQ79"/>
      <c r="AR79"/>
    </row>
    <row r="80" spans="1:44" s="176" customFormat="1">
      <c r="A80" s="506" t="s">
        <v>332</v>
      </c>
      <c r="B80" s="1869" t="s">
        <v>1240</v>
      </c>
      <c r="C80" s="176" t="s">
        <v>259</v>
      </c>
      <c r="D80" s="433">
        <v>0</v>
      </c>
      <c r="E80" s="433">
        <v>412371.66</v>
      </c>
      <c r="F80" s="433">
        <v>374883.32</v>
      </c>
      <c r="G80" s="433">
        <v>337394.98</v>
      </c>
      <c r="H80" s="433">
        <v>299906.64</v>
      </c>
      <c r="I80" s="433">
        <v>262418.3</v>
      </c>
      <c r="J80" s="433">
        <v>224929.96</v>
      </c>
      <c r="K80" s="433">
        <v>187441.62</v>
      </c>
      <c r="L80" s="433">
        <v>149953.28</v>
      </c>
      <c r="M80" s="433">
        <v>112464.94</v>
      </c>
      <c r="N80" s="433">
        <v>74976.600000000006</v>
      </c>
      <c r="O80" s="433">
        <v>37488.26</v>
      </c>
      <c r="P80" s="433">
        <v>0</v>
      </c>
      <c r="Q80" s="675">
        <f t="shared" si="9"/>
        <v>190325.35076923075</v>
      </c>
      <c r="R80" s="1864"/>
      <c r="S80" s="1864"/>
      <c r="T80" s="1870">
        <f t="shared" si="10"/>
        <v>190325.35076923075</v>
      </c>
      <c r="U80"/>
      <c r="V80"/>
      <c r="W80"/>
      <c r="X80"/>
      <c r="Y80" s="2"/>
      <c r="Z80" s="2"/>
      <c r="AA80" s="2"/>
      <c r="AB80" s="2"/>
      <c r="AC80" s="852"/>
      <c r="AD80" s="852"/>
      <c r="AE80" s="852"/>
      <c r="AF80" s="852"/>
      <c r="AG80" s="852"/>
      <c r="AH80" s="852"/>
      <c r="AI80" s="2"/>
      <c r="AJ80" s="852"/>
      <c r="AK80" s="852"/>
      <c r="AL80" s="852"/>
      <c r="AM80" s="852"/>
      <c r="AN80" s="852"/>
      <c r="AO80" s="2"/>
    </row>
    <row r="81" spans="1:44">
      <c r="A81" s="506" t="s">
        <v>332</v>
      </c>
      <c r="B81" s="1869" t="s">
        <v>1241</v>
      </c>
      <c r="C81" t="s">
        <v>952</v>
      </c>
      <c r="D81" s="433">
        <v>0</v>
      </c>
      <c r="E81" s="433">
        <v>80034.17</v>
      </c>
      <c r="F81" s="433">
        <v>72758.34</v>
      </c>
      <c r="G81" s="433">
        <v>65482.51</v>
      </c>
      <c r="H81" s="433">
        <v>58206.68</v>
      </c>
      <c r="I81" s="433">
        <v>50930.85</v>
      </c>
      <c r="J81" s="433">
        <v>43655.02</v>
      </c>
      <c r="K81" s="433">
        <v>36379.19</v>
      </c>
      <c r="L81" s="433">
        <v>29103.360000000001</v>
      </c>
      <c r="M81" s="433">
        <v>21827.53</v>
      </c>
      <c r="N81" s="433">
        <v>14551.7</v>
      </c>
      <c r="O81" s="433">
        <v>7275.87</v>
      </c>
      <c r="P81" s="433">
        <v>0</v>
      </c>
      <c r="Q81" s="675">
        <f t="shared" si="9"/>
        <v>36938.86307692308</v>
      </c>
      <c r="T81" s="1870">
        <f t="shared" si="10"/>
        <v>36938.86307692308</v>
      </c>
      <c r="AB81" s="852"/>
      <c r="AC81" s="852"/>
      <c r="AD81" s="852"/>
      <c r="AE81" s="852"/>
      <c r="AF81" s="852"/>
      <c r="AG81" s="852"/>
      <c r="AH81" s="852"/>
      <c r="AI81" s="852"/>
      <c r="AJ81" s="852"/>
      <c r="AK81" s="852"/>
      <c r="AL81" s="852"/>
      <c r="AM81" s="852"/>
      <c r="AN81" s="852"/>
      <c r="AP81"/>
      <c r="AQ81"/>
      <c r="AR81"/>
    </row>
    <row r="82" spans="1:44">
      <c r="A82" s="506" t="s">
        <v>332</v>
      </c>
      <c r="B82" s="1869" t="s">
        <v>1242</v>
      </c>
      <c r="C82" t="s">
        <v>232</v>
      </c>
      <c r="D82" s="433">
        <v>14863.9</v>
      </c>
      <c r="E82" s="433">
        <v>7431.95</v>
      </c>
      <c r="F82" s="433">
        <v>0</v>
      </c>
      <c r="G82" s="433">
        <v>0</v>
      </c>
      <c r="H82" s="433">
        <v>74319.47</v>
      </c>
      <c r="I82" s="433">
        <v>66887.520000000004</v>
      </c>
      <c r="J82" s="433">
        <v>59455.57</v>
      </c>
      <c r="K82" s="433">
        <v>52023.62</v>
      </c>
      <c r="L82" s="433">
        <v>44591.67</v>
      </c>
      <c r="M82" s="433">
        <v>37159.72</v>
      </c>
      <c r="N82" s="433">
        <v>29727.77</v>
      </c>
      <c r="O82" s="433">
        <v>22295.82</v>
      </c>
      <c r="P82" s="433">
        <v>14863.87</v>
      </c>
      <c r="Q82" s="675">
        <f t="shared" si="9"/>
        <v>32586.221538461545</v>
      </c>
      <c r="T82" s="1870">
        <f t="shared" si="10"/>
        <v>32586.221538461545</v>
      </c>
      <c r="AM82" s="852"/>
      <c r="AN82" s="852"/>
      <c r="AP82"/>
      <c r="AQ82"/>
      <c r="AR82"/>
    </row>
    <row r="83" spans="1:44">
      <c r="A83" s="506" t="s">
        <v>332</v>
      </c>
      <c r="B83" s="1869" t="s">
        <v>1398</v>
      </c>
      <c r="C83" t="s">
        <v>261</v>
      </c>
      <c r="D83" s="433">
        <v>0</v>
      </c>
      <c r="E83" s="433">
        <v>1123937.6499999999</v>
      </c>
      <c r="F83" s="433">
        <v>1152940.5</v>
      </c>
      <c r="G83" s="433">
        <v>1164987.0900000001</v>
      </c>
      <c r="H83" s="433">
        <v>1164987.0900000001</v>
      </c>
      <c r="I83" s="433">
        <v>1164997.93</v>
      </c>
      <c r="J83" s="433">
        <v>1165008.77</v>
      </c>
      <c r="K83" s="433">
        <v>1196314.71</v>
      </c>
      <c r="L83" s="433">
        <v>1221285.3899999999</v>
      </c>
      <c r="M83" s="433">
        <v>1261603.25</v>
      </c>
      <c r="N83" s="433">
        <v>1298046.48</v>
      </c>
      <c r="O83" s="433">
        <v>1298084.4099999999</v>
      </c>
      <c r="P83" s="433">
        <v>1298084.4099999999</v>
      </c>
      <c r="Q83" s="675">
        <f t="shared" si="9"/>
        <v>1116175.2061538461</v>
      </c>
      <c r="T83" s="1870">
        <f t="shared" si="10"/>
        <v>1116175.2061538461</v>
      </c>
      <c r="AB83" s="852"/>
      <c r="AC83" s="852"/>
      <c r="AD83" s="852"/>
      <c r="AE83" s="852"/>
      <c r="AF83" s="852"/>
      <c r="AG83" s="852"/>
      <c r="AH83" s="852"/>
      <c r="AI83" s="852"/>
      <c r="AJ83" s="852"/>
      <c r="AK83" s="852"/>
      <c r="AL83" s="852"/>
      <c r="AM83" s="852"/>
      <c r="AN83" s="852"/>
      <c r="AP83"/>
      <c r="AQ83"/>
      <c r="AR83"/>
    </row>
    <row r="84" spans="1:44">
      <c r="A84" s="506" t="s">
        <v>332</v>
      </c>
      <c r="B84" s="1869" t="s">
        <v>1399</v>
      </c>
      <c r="C84" t="s">
        <v>262</v>
      </c>
      <c r="D84" s="433">
        <v>0</v>
      </c>
      <c r="E84" s="433">
        <v>2431566.6800000002</v>
      </c>
      <c r="F84" s="433">
        <v>2494312.4700000002</v>
      </c>
      <c r="G84" s="433">
        <v>2520374.48</v>
      </c>
      <c r="H84" s="433">
        <v>2520374.48</v>
      </c>
      <c r="I84" s="433">
        <v>2520397.92</v>
      </c>
      <c r="J84" s="433">
        <v>2520421.36</v>
      </c>
      <c r="K84" s="433">
        <v>2588149.77</v>
      </c>
      <c r="L84" s="433">
        <v>2642172.21</v>
      </c>
      <c r="M84" s="433">
        <v>2729397.3</v>
      </c>
      <c r="N84" s="433">
        <v>2808239.8699999996</v>
      </c>
      <c r="O84" s="433">
        <v>2808321.94</v>
      </c>
      <c r="P84" s="433">
        <v>2808321.94</v>
      </c>
      <c r="Q84" s="675">
        <f t="shared" si="9"/>
        <v>2414773.1092307698</v>
      </c>
      <c r="T84" s="1870">
        <f t="shared" si="10"/>
        <v>2414773.1092307698</v>
      </c>
    </row>
    <row r="85" spans="1:44">
      <c r="A85" s="506" t="s">
        <v>332</v>
      </c>
      <c r="B85" s="1869" t="s">
        <v>1400</v>
      </c>
      <c r="C85" t="s">
        <v>263</v>
      </c>
      <c r="D85" s="433">
        <v>5729750.9000000004</v>
      </c>
      <c r="E85" s="433">
        <v>2254189.7599999998</v>
      </c>
      <c r="F85" s="433">
        <v>2282355.91</v>
      </c>
      <c r="G85" s="433">
        <v>2294054.96</v>
      </c>
      <c r="H85" s="433">
        <v>2294054.96</v>
      </c>
      <c r="I85" s="433">
        <v>2294065.4900000002</v>
      </c>
      <c r="J85" s="433">
        <v>2294076.02</v>
      </c>
      <c r="K85" s="433">
        <v>2324478.83</v>
      </c>
      <c r="L85" s="433">
        <v>2348729.12</v>
      </c>
      <c r="M85" s="433">
        <v>2387883.85</v>
      </c>
      <c r="N85" s="433">
        <v>2423275.73</v>
      </c>
      <c r="O85" s="433">
        <v>2423312.5700000003</v>
      </c>
      <c r="P85" s="433">
        <v>2423312.5699999998</v>
      </c>
      <c r="Q85" s="675">
        <f t="shared" si="9"/>
        <v>2597964.6669230778</v>
      </c>
      <c r="T85" s="1870">
        <f t="shared" si="10"/>
        <v>2597964.6669230778</v>
      </c>
      <c r="AO85" s="176"/>
      <c r="AP85"/>
      <c r="AQ85"/>
      <c r="AR85"/>
    </row>
    <row r="86" spans="1:44">
      <c r="A86" s="506" t="s">
        <v>332</v>
      </c>
      <c r="B86" s="1869" t="s">
        <v>1401</v>
      </c>
      <c r="C86" t="s">
        <v>269</v>
      </c>
      <c r="D86" s="433">
        <v>0</v>
      </c>
      <c r="E86" s="433">
        <v>78391.89</v>
      </c>
      <c r="F86" s="433">
        <v>78391.89</v>
      </c>
      <c r="G86" s="433">
        <v>79988.320000000007</v>
      </c>
      <c r="H86" s="433">
        <v>85982.52</v>
      </c>
      <c r="I86" s="433">
        <v>85982.52</v>
      </c>
      <c r="J86" s="433">
        <v>0</v>
      </c>
      <c r="K86" s="433">
        <v>0</v>
      </c>
      <c r="L86" s="433">
        <v>780.45</v>
      </c>
      <c r="M86" s="433">
        <v>780.45</v>
      </c>
      <c r="N86" s="433">
        <v>780.45</v>
      </c>
      <c r="O86" s="433">
        <v>7865.4</v>
      </c>
      <c r="P86" s="433">
        <v>7865.4</v>
      </c>
      <c r="Q86" s="675">
        <f t="shared" si="9"/>
        <v>32831.483846153853</v>
      </c>
      <c r="T86" s="1870">
        <f t="shared" si="10"/>
        <v>32831.483846153853</v>
      </c>
    </row>
    <row r="87" spans="1:44">
      <c r="A87" s="506" t="s">
        <v>332</v>
      </c>
      <c r="B87" s="1869" t="s">
        <v>1402</v>
      </c>
      <c r="C87" t="s">
        <v>270</v>
      </c>
      <c r="D87" s="433">
        <v>0</v>
      </c>
      <c r="E87" s="433">
        <v>707595.04</v>
      </c>
      <c r="F87" s="433">
        <v>707595.04</v>
      </c>
      <c r="G87" s="433">
        <v>807693.68</v>
      </c>
      <c r="H87" s="433">
        <v>1113461.23</v>
      </c>
      <c r="I87" s="433">
        <v>1113461.23</v>
      </c>
      <c r="J87" s="433">
        <v>1113461.23</v>
      </c>
      <c r="K87" s="433">
        <v>1113461.23</v>
      </c>
      <c r="L87" s="433">
        <v>1113461.23</v>
      </c>
      <c r="M87" s="433">
        <v>1355478.73</v>
      </c>
      <c r="N87" s="433">
        <v>1788257.78</v>
      </c>
      <c r="O87" s="433">
        <v>1788257.78</v>
      </c>
      <c r="P87" s="433">
        <v>1788257.78</v>
      </c>
      <c r="Q87" s="675">
        <f t="shared" si="9"/>
        <v>1116187.8446153847</v>
      </c>
      <c r="T87" s="1870">
        <f t="shared" si="10"/>
        <v>1116187.8446153847</v>
      </c>
      <c r="AA87" s="176"/>
      <c r="AB87" s="176"/>
      <c r="AC87" s="176"/>
      <c r="AD87" s="176"/>
      <c r="AE87" s="176"/>
      <c r="AF87" s="176"/>
      <c r="AG87" s="176"/>
      <c r="AH87" s="176"/>
      <c r="AI87" s="176"/>
      <c r="AJ87" s="176"/>
      <c r="AK87" s="176"/>
      <c r="AL87" s="176"/>
      <c r="AM87" s="176"/>
      <c r="AN87" s="176"/>
      <c r="AP87"/>
      <c r="AQ87"/>
      <c r="AR87"/>
    </row>
    <row r="88" spans="1:44">
      <c r="A88" s="506" t="s">
        <v>332</v>
      </c>
      <c r="B88" s="1869" t="s">
        <v>1403</v>
      </c>
      <c r="C88" t="s">
        <v>271</v>
      </c>
      <c r="D88" s="433">
        <v>1500959.2000000002</v>
      </c>
      <c r="E88" s="433">
        <v>793364.16</v>
      </c>
      <c r="F88" s="433">
        <v>793364.16</v>
      </c>
      <c r="G88" s="433">
        <v>849906.9</v>
      </c>
      <c r="H88" s="433">
        <v>1022625.9</v>
      </c>
      <c r="I88" s="433">
        <v>1022625.9</v>
      </c>
      <c r="J88" s="433">
        <v>1022625.9</v>
      </c>
      <c r="K88" s="433">
        <v>1022625.9</v>
      </c>
      <c r="L88" s="433">
        <v>1022625.9</v>
      </c>
      <c r="M88" s="433">
        <v>1159334.3899999999</v>
      </c>
      <c r="N88" s="433">
        <v>1403798.4000000001</v>
      </c>
      <c r="O88" s="433">
        <v>1403798.4000000001</v>
      </c>
      <c r="P88" s="433">
        <v>19547798.399999999</v>
      </c>
      <c r="Q88" s="675">
        <f t="shared" si="9"/>
        <v>2505034.8853846155</v>
      </c>
      <c r="T88" s="1870">
        <f t="shared" si="10"/>
        <v>2505034.8853846155</v>
      </c>
    </row>
    <row r="89" spans="1:44">
      <c r="A89" s="506" t="s">
        <v>332</v>
      </c>
      <c r="B89" s="1869" t="s">
        <v>1243</v>
      </c>
      <c r="C89" t="s">
        <v>243</v>
      </c>
      <c r="D89" s="433">
        <v>185550.72</v>
      </c>
      <c r="E89" s="433">
        <v>0</v>
      </c>
      <c r="F89" s="433">
        <v>0</v>
      </c>
      <c r="G89" s="433">
        <v>0</v>
      </c>
      <c r="H89" s="433">
        <v>0</v>
      </c>
      <c r="I89" s="433">
        <v>0</v>
      </c>
      <c r="J89" s="433">
        <v>0</v>
      </c>
      <c r="K89" s="433">
        <v>0</v>
      </c>
      <c r="L89" s="433">
        <v>0</v>
      </c>
      <c r="M89" s="433">
        <v>0</v>
      </c>
      <c r="N89" s="433">
        <v>0</v>
      </c>
      <c r="O89" s="433">
        <v>0</v>
      </c>
      <c r="P89" s="433">
        <v>0</v>
      </c>
      <c r="Q89" s="675">
        <f t="shared" si="9"/>
        <v>14273.132307692307</v>
      </c>
      <c r="T89" s="1870">
        <f t="shared" si="10"/>
        <v>14273.132307692307</v>
      </c>
    </row>
    <row r="90" spans="1:44">
      <c r="A90" s="506" t="s">
        <v>332</v>
      </c>
      <c r="B90" s="1869" t="s">
        <v>1404</v>
      </c>
      <c r="C90" t="s">
        <v>244</v>
      </c>
      <c r="D90" s="433">
        <v>230374</v>
      </c>
      <c r="E90" s="433">
        <v>229116.5</v>
      </c>
      <c r="F90" s="433">
        <v>227859</v>
      </c>
      <c r="G90" s="433">
        <v>226601.5</v>
      </c>
      <c r="H90" s="433">
        <v>225344</v>
      </c>
      <c r="I90" s="433">
        <v>224086.5</v>
      </c>
      <c r="J90" s="433">
        <v>222829</v>
      </c>
      <c r="K90" s="433">
        <v>221571.5</v>
      </c>
      <c r="L90" s="433">
        <v>220314</v>
      </c>
      <c r="M90" s="433">
        <v>219056.5</v>
      </c>
      <c r="N90" s="433">
        <v>217799</v>
      </c>
      <c r="O90" s="433">
        <v>216541.5</v>
      </c>
      <c r="P90" s="433">
        <v>215284</v>
      </c>
      <c r="Q90" s="675">
        <f t="shared" si="9"/>
        <v>222829</v>
      </c>
      <c r="T90" s="1870">
        <f t="shared" si="10"/>
        <v>222829</v>
      </c>
    </row>
    <row r="91" spans="1:44">
      <c r="A91" s="506" t="s">
        <v>332</v>
      </c>
      <c r="B91" s="1869" t="s">
        <v>1244</v>
      </c>
      <c r="C91" t="s">
        <v>249</v>
      </c>
      <c r="D91" s="433">
        <v>37070</v>
      </c>
      <c r="E91" s="433">
        <v>37070</v>
      </c>
      <c r="F91" s="433">
        <v>37070</v>
      </c>
      <c r="G91" s="433">
        <v>43070</v>
      </c>
      <c r="H91" s="433">
        <v>44730</v>
      </c>
      <c r="I91" s="433">
        <v>37070</v>
      </c>
      <c r="J91" s="433">
        <v>37870</v>
      </c>
      <c r="K91" s="433">
        <v>37870</v>
      </c>
      <c r="L91" s="433">
        <v>1099</v>
      </c>
      <c r="M91" s="433">
        <v>1999</v>
      </c>
      <c r="N91" s="433">
        <v>119</v>
      </c>
      <c r="O91" s="433">
        <v>119</v>
      </c>
      <c r="P91" s="433">
        <v>0</v>
      </c>
      <c r="Q91" s="675">
        <f t="shared" si="9"/>
        <v>24242.76923076923</v>
      </c>
      <c r="T91" s="1870">
        <f t="shared" si="10"/>
        <v>24242.76923076923</v>
      </c>
    </row>
    <row r="92" spans="1:44">
      <c r="A92" s="506" t="s">
        <v>332</v>
      </c>
      <c r="B92" s="1869" t="s">
        <v>1245</v>
      </c>
      <c r="C92" t="s">
        <v>268</v>
      </c>
      <c r="D92" s="433">
        <v>830590.95</v>
      </c>
      <c r="E92" s="433">
        <v>239099.29</v>
      </c>
      <c r="F92" s="433">
        <v>239099.29</v>
      </c>
      <c r="G92" s="433">
        <v>239099.29</v>
      </c>
      <c r="H92" s="433">
        <v>59045.46</v>
      </c>
      <c r="I92" s="433">
        <v>90981.47</v>
      </c>
      <c r="J92" s="433">
        <v>106695.88</v>
      </c>
      <c r="K92" s="433">
        <v>106695.88</v>
      </c>
      <c r="L92" s="433">
        <v>123570.92</v>
      </c>
      <c r="M92" s="433">
        <v>146987.49</v>
      </c>
      <c r="N92" s="433">
        <v>293965.34000000003</v>
      </c>
      <c r="O92" s="433">
        <v>422176.47</v>
      </c>
      <c r="P92" s="433">
        <v>1217187.3999999999</v>
      </c>
      <c r="Q92" s="675">
        <f t="shared" si="9"/>
        <v>316553.47153846151</v>
      </c>
      <c r="T92" s="1870">
        <f t="shared" si="10"/>
        <v>316553.47153846151</v>
      </c>
    </row>
    <row r="93" spans="1:44">
      <c r="A93" s="506" t="s">
        <v>332</v>
      </c>
      <c r="B93" s="1869" t="s">
        <v>1246</v>
      </c>
      <c r="C93" t="s">
        <v>228</v>
      </c>
      <c r="D93" s="433">
        <v>0</v>
      </c>
      <c r="E93" s="433">
        <v>0</v>
      </c>
      <c r="F93" s="433">
        <v>0</v>
      </c>
      <c r="G93" s="433">
        <v>0</v>
      </c>
      <c r="H93" s="433">
        <v>0</v>
      </c>
      <c r="I93" s="433">
        <v>0</v>
      </c>
      <c r="J93" s="433">
        <v>109815.56</v>
      </c>
      <c r="K93" s="433">
        <v>109815.56</v>
      </c>
      <c r="L93" s="433">
        <v>109815.56</v>
      </c>
      <c r="M93" s="433">
        <v>0</v>
      </c>
      <c r="N93" s="433">
        <v>0</v>
      </c>
      <c r="O93" s="433">
        <v>0</v>
      </c>
      <c r="P93" s="433">
        <v>0</v>
      </c>
      <c r="Q93" s="675">
        <f t="shared" si="9"/>
        <v>25342.052307692305</v>
      </c>
      <c r="T93" s="1870">
        <f t="shared" si="10"/>
        <v>25342.052307692305</v>
      </c>
    </row>
    <row r="94" spans="1:44">
      <c r="A94" s="506" t="s">
        <v>332</v>
      </c>
      <c r="B94" s="1869" t="s">
        <v>1247</v>
      </c>
      <c r="C94" t="s">
        <v>229</v>
      </c>
      <c r="D94" s="433">
        <v>0</v>
      </c>
      <c r="E94" s="433">
        <v>0</v>
      </c>
      <c r="F94" s="433">
        <v>0</v>
      </c>
      <c r="G94" s="433">
        <v>0</v>
      </c>
      <c r="H94" s="433">
        <v>0</v>
      </c>
      <c r="I94" s="433">
        <v>0</v>
      </c>
      <c r="J94" s="433">
        <v>109815.57</v>
      </c>
      <c r="K94" s="433">
        <v>109815.57</v>
      </c>
      <c r="L94" s="433">
        <v>109815.57</v>
      </c>
      <c r="M94" s="433">
        <v>0</v>
      </c>
      <c r="N94" s="433">
        <v>0</v>
      </c>
      <c r="O94" s="433">
        <v>0</v>
      </c>
      <c r="P94" s="433">
        <v>0</v>
      </c>
      <c r="Q94" s="675">
        <f t="shared" si="9"/>
        <v>25342.054615384615</v>
      </c>
      <c r="T94" s="1870">
        <f t="shared" si="10"/>
        <v>25342.054615384615</v>
      </c>
    </row>
    <row r="95" spans="1:44">
      <c r="A95" s="506" t="s">
        <v>332</v>
      </c>
      <c r="B95" s="1869" t="s">
        <v>1405</v>
      </c>
      <c r="C95" t="s">
        <v>1251</v>
      </c>
      <c r="D95" s="433">
        <v>3891223.75</v>
      </c>
      <c r="E95" s="433">
        <v>3593817.5</v>
      </c>
      <c r="F95" s="433">
        <v>3570411.25</v>
      </c>
      <c r="G95" s="433">
        <v>3490130</v>
      </c>
      <c r="H95" s="433">
        <v>3358917.5</v>
      </c>
      <c r="I95" s="433">
        <v>3223598.75</v>
      </c>
      <c r="J95" s="433">
        <v>3092386.25</v>
      </c>
      <c r="K95" s="433">
        <v>2957067.5</v>
      </c>
      <c r="L95" s="433">
        <v>2851198.75</v>
      </c>
      <c r="M95" s="433">
        <v>2719986.25</v>
      </c>
      <c r="N95" s="433">
        <v>3409367.5</v>
      </c>
      <c r="O95" s="433">
        <v>3445717.5</v>
      </c>
      <c r="P95" s="433">
        <v>3200312.5</v>
      </c>
      <c r="Q95" s="675">
        <f t="shared" si="9"/>
        <v>3292625.769230769</v>
      </c>
      <c r="T95" s="1870">
        <f t="shared" si="10"/>
        <v>3292625.769230769</v>
      </c>
    </row>
    <row r="96" spans="1:44">
      <c r="A96" s="506" t="s">
        <v>332</v>
      </c>
      <c r="B96" s="1869" t="s">
        <v>1250</v>
      </c>
      <c r="C96" t="s">
        <v>1253</v>
      </c>
      <c r="D96" s="433">
        <v>101948.49</v>
      </c>
      <c r="E96" s="433">
        <v>89204.92</v>
      </c>
      <c r="F96" s="433">
        <v>76461.350000000006</v>
      </c>
      <c r="G96" s="433">
        <v>63717.78</v>
      </c>
      <c r="H96" s="433">
        <v>50974.21</v>
      </c>
      <c r="I96" s="433">
        <v>38230.639999999999</v>
      </c>
      <c r="J96" s="433">
        <v>25487.07</v>
      </c>
      <c r="K96" s="433">
        <v>12743.5</v>
      </c>
      <c r="L96" s="433">
        <v>0</v>
      </c>
      <c r="M96" s="433">
        <v>0</v>
      </c>
      <c r="N96" s="433">
        <v>139779.49</v>
      </c>
      <c r="O96" s="433">
        <v>125801.54</v>
      </c>
      <c r="P96" s="433">
        <v>111823.59</v>
      </c>
      <c r="Q96" s="675">
        <f t="shared" si="9"/>
        <v>64320.967692307699</v>
      </c>
      <c r="T96" s="1870">
        <f t="shared" si="10"/>
        <v>64320.967692307699</v>
      </c>
    </row>
    <row r="97" spans="1:20">
      <c r="A97" s="506" t="s">
        <v>332</v>
      </c>
      <c r="B97" s="1869" t="s">
        <v>1331</v>
      </c>
      <c r="C97" t="s">
        <v>1329</v>
      </c>
      <c r="D97" s="433">
        <v>89274</v>
      </c>
      <c r="E97" s="433">
        <v>54130</v>
      </c>
      <c r="F97" s="433">
        <v>54130</v>
      </c>
      <c r="G97" s="433">
        <v>54130</v>
      </c>
      <c r="H97" s="433">
        <v>54130</v>
      </c>
      <c r="I97" s="433">
        <v>54130</v>
      </c>
      <c r="J97" s="433">
        <v>54130</v>
      </c>
      <c r="K97" s="433">
        <v>1924</v>
      </c>
      <c r="L97" s="433">
        <v>1925</v>
      </c>
      <c r="M97" s="433">
        <v>1925</v>
      </c>
      <c r="N97" s="433">
        <v>1925</v>
      </c>
      <c r="O97" s="433">
        <v>1925</v>
      </c>
      <c r="P97" s="433">
        <v>1925</v>
      </c>
      <c r="Q97" s="675">
        <f t="shared" si="9"/>
        <v>32738.692307692309</v>
      </c>
      <c r="T97" s="1870">
        <f t="shared" si="10"/>
        <v>32738.692307692309</v>
      </c>
    </row>
    <row r="98" spans="1:20">
      <c r="A98" s="506" t="s">
        <v>332</v>
      </c>
      <c r="B98" s="1869" t="s">
        <v>1332</v>
      </c>
      <c r="C98" t="s">
        <v>1330</v>
      </c>
      <c r="D98" s="433">
        <v>1914050.9500000002</v>
      </c>
      <c r="E98" s="433">
        <v>1487363.59</v>
      </c>
      <c r="F98" s="433">
        <v>1487363.59</v>
      </c>
      <c r="G98" s="433">
        <v>1542240.76</v>
      </c>
      <c r="H98" s="433">
        <v>1748299.98</v>
      </c>
      <c r="I98" s="433">
        <v>1748299.98</v>
      </c>
      <c r="J98" s="433">
        <v>0</v>
      </c>
      <c r="K98" s="433">
        <v>0</v>
      </c>
      <c r="L98" s="433">
        <v>26783.63</v>
      </c>
      <c r="M98" s="433">
        <v>0</v>
      </c>
      <c r="N98" s="433">
        <v>0</v>
      </c>
      <c r="O98" s="433">
        <v>244730.56</v>
      </c>
      <c r="P98" s="433">
        <v>0</v>
      </c>
      <c r="Q98" s="675">
        <f t="shared" si="9"/>
        <v>784548.69538461545</v>
      </c>
      <c r="T98" s="1870">
        <f t="shared" si="10"/>
        <v>784548.69538461545</v>
      </c>
    </row>
    <row r="99" spans="1:20">
      <c r="A99" s="506" t="s">
        <v>332</v>
      </c>
      <c r="B99" s="1869" t="s">
        <v>1390</v>
      </c>
      <c r="C99" t="s">
        <v>1391</v>
      </c>
      <c r="D99" s="433">
        <v>0</v>
      </c>
      <c r="E99" s="433">
        <v>35144</v>
      </c>
      <c r="F99" s="433">
        <v>35144</v>
      </c>
      <c r="G99" s="433">
        <v>35144</v>
      </c>
      <c r="H99" s="433">
        <v>35144</v>
      </c>
      <c r="I99" s="433">
        <v>35144</v>
      </c>
      <c r="J99" s="433">
        <v>35144</v>
      </c>
      <c r="K99" s="433">
        <v>1250</v>
      </c>
      <c r="L99" s="433">
        <v>1251</v>
      </c>
      <c r="M99" s="433">
        <v>1251</v>
      </c>
      <c r="N99" s="433">
        <v>1251</v>
      </c>
      <c r="O99" s="433">
        <v>1251</v>
      </c>
      <c r="P99" s="433">
        <v>1251</v>
      </c>
      <c r="Q99" s="675">
        <f t="shared" si="9"/>
        <v>16797.615384615383</v>
      </c>
      <c r="T99" s="1870">
        <f t="shared" si="10"/>
        <v>16797.615384615383</v>
      </c>
    </row>
    <row r="100" spans="1:20">
      <c r="A100" s="506" t="s">
        <v>332</v>
      </c>
      <c r="B100" s="1869" t="s">
        <v>1392</v>
      </c>
      <c r="C100" t="s">
        <v>1393</v>
      </c>
      <c r="D100" s="433">
        <v>0</v>
      </c>
      <c r="E100" s="433">
        <v>482649.55</v>
      </c>
      <c r="F100" s="433">
        <v>530321.75</v>
      </c>
      <c r="G100" s="433">
        <v>816223.16</v>
      </c>
      <c r="H100" s="433">
        <v>559143.41</v>
      </c>
      <c r="I100" s="433">
        <v>345954.58</v>
      </c>
      <c r="J100" s="433">
        <v>291088.71999999997</v>
      </c>
      <c r="K100" s="433">
        <v>163817.44</v>
      </c>
      <c r="L100" s="433">
        <v>77187.55</v>
      </c>
      <c r="M100" s="433">
        <v>130033.5</v>
      </c>
      <c r="N100" s="433">
        <v>300648.81</v>
      </c>
      <c r="O100" s="433">
        <v>239479.59</v>
      </c>
      <c r="P100" s="433">
        <v>188018.38</v>
      </c>
      <c r="Q100" s="675">
        <f t="shared" si="9"/>
        <v>317274.34153846151</v>
      </c>
      <c r="T100" s="1870">
        <f t="shared" si="10"/>
        <v>317274.34153846151</v>
      </c>
    </row>
    <row r="101" spans="1:20">
      <c r="A101" s="506" t="s">
        <v>332</v>
      </c>
      <c r="B101" s="1869" t="s">
        <v>1394</v>
      </c>
      <c r="C101" t="s">
        <v>1395</v>
      </c>
      <c r="D101" s="433"/>
      <c r="E101" s="433"/>
      <c r="F101" s="433"/>
      <c r="G101" s="433"/>
      <c r="H101" s="433"/>
      <c r="I101" s="433"/>
      <c r="J101" s="433"/>
      <c r="K101" s="433">
        <v>33006</v>
      </c>
      <c r="L101" s="433">
        <v>33006</v>
      </c>
      <c r="M101" s="433">
        <v>33006</v>
      </c>
      <c r="N101" s="433">
        <v>33006</v>
      </c>
      <c r="O101" s="433">
        <v>33006</v>
      </c>
      <c r="P101" s="433">
        <v>33006</v>
      </c>
      <c r="Q101" s="675">
        <f t="shared" si="9"/>
        <v>33006</v>
      </c>
      <c r="T101" s="1870">
        <f t="shared" si="10"/>
        <v>33006</v>
      </c>
    </row>
    <row r="102" spans="1:20">
      <c r="B102" s="505"/>
      <c r="D102" s="433"/>
      <c r="E102" s="433"/>
      <c r="F102" s="433"/>
      <c r="G102" s="433"/>
      <c r="H102" s="433"/>
      <c r="I102" s="433"/>
      <c r="J102" s="433"/>
      <c r="K102" s="433"/>
      <c r="L102" s="433"/>
      <c r="M102" s="433"/>
      <c r="N102" s="433"/>
      <c r="O102" s="433"/>
      <c r="P102" s="433"/>
    </row>
    <row r="104" spans="1:20">
      <c r="B104" s="497" t="s">
        <v>277</v>
      </c>
      <c r="C104" s="497"/>
      <c r="D104" s="503">
        <f>SUM(D76:D103)</f>
        <v>14525656.859999999</v>
      </c>
      <c r="E104" s="503">
        <f t="shared" ref="E104:Q104" si="11">SUM(E76:E103)</f>
        <v>33827484.369999997</v>
      </c>
      <c r="F104" s="503">
        <f t="shared" si="11"/>
        <v>33845890.920000002</v>
      </c>
      <c r="G104" s="503">
        <f t="shared" si="11"/>
        <v>34356944.860000007</v>
      </c>
      <c r="H104" s="503">
        <f t="shared" si="11"/>
        <v>35018238.109999999</v>
      </c>
      <c r="I104" s="503">
        <f t="shared" si="11"/>
        <v>34568277.159999996</v>
      </c>
      <c r="J104" s="503">
        <f t="shared" si="11"/>
        <v>12886357.880000003</v>
      </c>
      <c r="K104" s="503">
        <f t="shared" si="11"/>
        <v>12574336.820000002</v>
      </c>
      <c r="L104" s="503">
        <f t="shared" si="11"/>
        <v>12523675.970000003</v>
      </c>
      <c r="M104" s="503">
        <f t="shared" si="11"/>
        <v>12574483.779999999</v>
      </c>
      <c r="N104" s="503">
        <f t="shared" si="11"/>
        <v>14434247.800000001</v>
      </c>
      <c r="O104" s="503">
        <f t="shared" si="11"/>
        <v>15474592.01</v>
      </c>
      <c r="P104" s="503">
        <f>SUM(P76:P103)</f>
        <v>33974803.090000004</v>
      </c>
      <c r="Q104" s="503">
        <f t="shared" si="11"/>
        <v>23139694.740769234</v>
      </c>
      <c r="T104" s="503">
        <f t="shared" ref="T104" si="12">SUM(T76:T103)</f>
        <v>23139694.740769234</v>
      </c>
    </row>
  </sheetData>
  <phoneticPr fontId="50" type="noConversion"/>
  <pageMargins left="0.17" right="0.17" top="0.17" bottom="0.16" header="0.3" footer="0.3"/>
  <pageSetup paperSize="5" scale="38" fitToHeight="2" orientation="landscape" r:id="rId1"/>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8"/>
  <sheetViews>
    <sheetView zoomScale="75" zoomScaleNormal="75" workbookViewId="0">
      <pane ySplit="2" topLeftCell="A3" activePane="bottomLeft" state="frozen"/>
      <selection activeCell="C309" sqref="C309"/>
      <selection pane="bottomLeft" activeCell="B14" sqref="B14"/>
    </sheetView>
  </sheetViews>
  <sheetFormatPr defaultRowHeight="12.75"/>
  <cols>
    <col min="1" max="1" width="9.140625" style="639"/>
    <col min="2" max="2" width="70.42578125" style="97" bestFit="1" customWidth="1"/>
    <col min="3" max="3" width="20.7109375" style="640" customWidth="1"/>
    <col min="4" max="4" width="20.7109375" style="641" customWidth="1"/>
    <col min="5" max="5" width="20.42578125" style="641" customWidth="1"/>
    <col min="6" max="16384" width="9.140625" style="97"/>
  </cols>
  <sheetData>
    <row r="1" spans="1:5" ht="26.25" customHeight="1">
      <c r="A1" s="47" t="s">
        <v>654</v>
      </c>
      <c r="B1" s="47"/>
      <c r="C1" s="653"/>
      <c r="D1" s="654"/>
      <c r="E1" s="654"/>
    </row>
    <row r="2" spans="1:5" ht="38.25">
      <c r="A2" s="495" t="s">
        <v>150</v>
      </c>
      <c r="B2" s="495" t="s">
        <v>151</v>
      </c>
      <c r="C2" s="637" t="s">
        <v>1339</v>
      </c>
      <c r="D2" s="638" t="s">
        <v>1340</v>
      </c>
      <c r="E2" s="638" t="s">
        <v>1341</v>
      </c>
    </row>
    <row r="3" spans="1:5">
      <c r="A3" s="639">
        <v>1</v>
      </c>
      <c r="B3" s="1862" t="s">
        <v>1437</v>
      </c>
      <c r="C3" s="1721">
        <f>'WKSHT5 - Plant in Service 13mo '!N150</f>
        <v>3623.76</v>
      </c>
      <c r="D3" s="1721">
        <f>'WKSHT5 - Plant in Service 13mo '!N304</f>
        <v>3050.59</v>
      </c>
      <c r="E3" s="1888">
        <f>C3-D3</f>
        <v>573.17000000000007</v>
      </c>
    </row>
    <row r="4" spans="1:5">
      <c r="A4" s="639">
        <f t="shared" ref="A4:A78" si="0">+A3+1</f>
        <v>2</v>
      </c>
      <c r="B4" s="1862" t="s">
        <v>1438</v>
      </c>
      <c r="C4" s="1721">
        <f>'WKSHT5 - Plant in Service 13mo '!N151</f>
        <v>4746424.87</v>
      </c>
      <c r="D4" s="1721">
        <f>'WKSHT5 - Plant in Service 13mo '!N305</f>
        <v>3834998.99</v>
      </c>
      <c r="E4" s="1888">
        <f t="shared" ref="E4:E7" si="1">C4-D4</f>
        <v>911425.87999999989</v>
      </c>
    </row>
    <row r="5" spans="1:5">
      <c r="A5" s="639">
        <f t="shared" si="0"/>
        <v>3</v>
      </c>
      <c r="B5" s="1862" t="s">
        <v>1439</v>
      </c>
      <c r="C5" s="1721">
        <f>'WKSHT5 - Plant in Service 13mo '!N152</f>
        <v>88844.28</v>
      </c>
      <c r="D5" s="1721">
        <f>'WKSHT5 - Plant in Service 13mo '!N306</f>
        <v>80221.31</v>
      </c>
      <c r="E5" s="1888">
        <f t="shared" si="1"/>
        <v>8622.9700000000012</v>
      </c>
    </row>
    <row r="6" spans="1:5">
      <c r="A6" s="639">
        <f t="shared" si="0"/>
        <v>4</v>
      </c>
      <c r="B6" s="185" t="s">
        <v>1440</v>
      </c>
      <c r="C6" s="1895">
        <f>'WKSHT5 - Plant in Service 13mo '!N153</f>
        <v>137698.34</v>
      </c>
      <c r="D6" s="1895">
        <f>'WKSHT5 - Plant in Service 13mo '!N307</f>
        <v>110294.49</v>
      </c>
      <c r="E6" s="1896">
        <f t="shared" si="1"/>
        <v>27403.849999999991</v>
      </c>
    </row>
    <row r="7" spans="1:5">
      <c r="A7" s="639">
        <f t="shared" si="0"/>
        <v>5</v>
      </c>
      <c r="B7" s="185" t="s">
        <v>1441</v>
      </c>
      <c r="C7" s="1895">
        <f>'WKSHT5 - Plant in Service 13mo '!N154</f>
        <v>522947.41000000003</v>
      </c>
      <c r="D7" s="1895">
        <f>'WKSHT5 - Plant in Service 13mo '!N308</f>
        <v>358417.80000000005</v>
      </c>
      <c r="E7" s="1896">
        <f t="shared" si="1"/>
        <v>164529.60999999999</v>
      </c>
    </row>
    <row r="8" spans="1:5">
      <c r="A8" s="639">
        <f t="shared" si="0"/>
        <v>6</v>
      </c>
      <c r="B8" s="185"/>
      <c r="C8" s="1895"/>
      <c r="D8" s="1895"/>
      <c r="E8" s="1896"/>
    </row>
    <row r="9" spans="1:5">
      <c r="A9" s="639">
        <f t="shared" si="0"/>
        <v>7</v>
      </c>
      <c r="B9" s="642" t="s">
        <v>152</v>
      </c>
      <c r="C9" s="1889">
        <f>SUM(C3:C7)</f>
        <v>5499538.6600000001</v>
      </c>
      <c r="D9" s="1889">
        <f>SUM(D3:D7)</f>
        <v>4386983.1800000006</v>
      </c>
      <c r="E9" s="1889">
        <f>SUM(E3:E7)</f>
        <v>1112555.48</v>
      </c>
    </row>
    <row r="10" spans="1:5">
      <c r="A10" s="639">
        <f t="shared" si="0"/>
        <v>8</v>
      </c>
      <c r="C10" s="1890"/>
      <c r="D10" s="1891"/>
      <c r="E10" s="1891"/>
    </row>
    <row r="11" spans="1:5">
      <c r="A11" s="639">
        <f t="shared" si="0"/>
        <v>9</v>
      </c>
      <c r="B11" s="97" t="s">
        <v>1156</v>
      </c>
      <c r="C11" s="1721">
        <f>'WKSHT5 - Plant in Service 13mo '!N74</f>
        <v>1908.09</v>
      </c>
      <c r="D11" s="1721"/>
      <c r="E11" s="1888">
        <f>C11-D11</f>
        <v>1908.09</v>
      </c>
    </row>
    <row r="12" spans="1:5">
      <c r="A12" s="639">
        <f t="shared" si="0"/>
        <v>10</v>
      </c>
      <c r="B12" s="97" t="s">
        <v>1157</v>
      </c>
      <c r="C12" s="1721">
        <f>'WKSHT5 - Plant in Service 13mo '!N75</f>
        <v>28500</v>
      </c>
      <c r="D12" s="1721">
        <f>'WKSHT5 - Plant in Service 13mo '!N228</f>
        <v>7599.06</v>
      </c>
      <c r="E12" s="1888">
        <f t="shared" ref="E12:E75" si="2">C12-D12</f>
        <v>20900.939999999999</v>
      </c>
    </row>
    <row r="13" spans="1:5">
      <c r="A13" s="639">
        <f t="shared" si="0"/>
        <v>11</v>
      </c>
      <c r="B13" s="97" t="s">
        <v>1158</v>
      </c>
      <c r="C13" s="1721">
        <f>'WKSHT5 - Plant in Service 13mo '!N76</f>
        <v>132335</v>
      </c>
      <c r="D13" s="1721">
        <f>'WKSHT5 - Plant in Service 13mo '!N229</f>
        <v>28136.81</v>
      </c>
      <c r="E13" s="1888">
        <f t="shared" si="2"/>
        <v>104198.19</v>
      </c>
    </row>
    <row r="14" spans="1:5">
      <c r="A14" s="639">
        <f t="shared" si="0"/>
        <v>12</v>
      </c>
      <c r="B14" s="97" t="s">
        <v>1159</v>
      </c>
      <c r="C14" s="1721">
        <f>'WKSHT5 - Plant in Service 13mo '!N77</f>
        <v>964.77</v>
      </c>
      <c r="D14" s="1721">
        <f>'WKSHT5 - Plant in Service 13mo '!N230</f>
        <v>810.2</v>
      </c>
      <c r="E14" s="1888">
        <f t="shared" si="2"/>
        <v>154.56999999999994</v>
      </c>
    </row>
    <row r="15" spans="1:5">
      <c r="A15" s="639">
        <f t="shared" si="0"/>
        <v>13</v>
      </c>
      <c r="B15" s="97" t="s">
        <v>1160</v>
      </c>
      <c r="C15" s="1721">
        <f>'WKSHT5 - Plant in Service 13mo '!N78</f>
        <v>6965</v>
      </c>
      <c r="D15" s="1721">
        <f>'WKSHT5 - Plant in Service 13mo '!N231</f>
        <v>806.16</v>
      </c>
      <c r="E15" s="1888">
        <f t="shared" si="2"/>
        <v>6158.84</v>
      </c>
    </row>
    <row r="16" spans="1:5">
      <c r="A16" s="639">
        <f t="shared" si="0"/>
        <v>14</v>
      </c>
      <c r="B16" s="97" t="s">
        <v>1345</v>
      </c>
      <c r="C16" s="1721">
        <f>'WKSHT5 - Plant in Service 13mo '!N79</f>
        <v>40014.639999999999</v>
      </c>
      <c r="D16" s="1721">
        <f>'WKSHT5 - Plant in Service 13mo '!N232</f>
        <v>26428.46</v>
      </c>
      <c r="E16" s="1888">
        <f t="shared" si="2"/>
        <v>13586.18</v>
      </c>
    </row>
    <row r="17" spans="1:5">
      <c r="A17" s="639">
        <f t="shared" si="0"/>
        <v>15</v>
      </c>
      <c r="B17" s="97" t="s">
        <v>1266</v>
      </c>
      <c r="C17" s="1721">
        <f>'WKSHT5 - Plant in Service 13mo '!N80</f>
        <v>1684036.41</v>
      </c>
      <c r="D17" s="1721">
        <f>'WKSHT5 - Plant in Service 13mo '!N233</f>
        <v>199448.77000000002</v>
      </c>
      <c r="E17" s="1888">
        <f t="shared" si="2"/>
        <v>1484587.64</v>
      </c>
    </row>
    <row r="18" spans="1:5">
      <c r="A18" s="639">
        <f t="shared" si="0"/>
        <v>16</v>
      </c>
      <c r="B18" s="97" t="s">
        <v>1161</v>
      </c>
      <c r="C18" s="1721">
        <f>'WKSHT5 - Plant in Service 13mo '!N81</f>
        <v>153083</v>
      </c>
      <c r="D18" s="1721">
        <f>'WKSHT5 - Plant in Service 13mo '!N234</f>
        <v>30092.53</v>
      </c>
      <c r="E18" s="1888">
        <f t="shared" si="2"/>
        <v>122990.47</v>
      </c>
    </row>
    <row r="19" spans="1:5">
      <c r="A19" s="639">
        <f t="shared" si="0"/>
        <v>17</v>
      </c>
      <c r="B19" s="97" t="s">
        <v>1162</v>
      </c>
      <c r="C19" s="1721">
        <f>'WKSHT5 - Plant in Service 13mo '!N82</f>
        <v>79169.490000000005</v>
      </c>
      <c r="D19" s="1721">
        <f>'WKSHT5 - Plant in Service 13mo '!N235</f>
        <v>61629.21</v>
      </c>
      <c r="E19" s="1888">
        <f t="shared" si="2"/>
        <v>17540.280000000006</v>
      </c>
    </row>
    <row r="20" spans="1:5">
      <c r="A20" s="639">
        <f t="shared" si="0"/>
        <v>18</v>
      </c>
      <c r="B20" s="97" t="s">
        <v>1163</v>
      </c>
      <c r="C20" s="1721">
        <f>'WKSHT5 - Plant in Service 13mo '!N83</f>
        <v>405246.36</v>
      </c>
      <c r="D20" s="1721">
        <f>'WKSHT5 - Plant in Service 13mo '!N236</f>
        <v>195968.15</v>
      </c>
      <c r="E20" s="1888">
        <f t="shared" si="2"/>
        <v>209278.21</v>
      </c>
    </row>
    <row r="21" spans="1:5">
      <c r="A21" s="639">
        <f t="shared" si="0"/>
        <v>19</v>
      </c>
      <c r="B21" s="97" t="s">
        <v>1164</v>
      </c>
      <c r="C21" s="1721">
        <f>'WKSHT5 - Plant in Service 13mo '!N84</f>
        <v>144100.1</v>
      </c>
      <c r="D21" s="1721">
        <f>'WKSHT5 - Plant in Service 13mo '!N237</f>
        <v>79492.91</v>
      </c>
      <c r="E21" s="1888">
        <f t="shared" si="2"/>
        <v>64607.19</v>
      </c>
    </row>
    <row r="22" spans="1:5">
      <c r="A22" s="639">
        <f t="shared" si="0"/>
        <v>20</v>
      </c>
      <c r="B22" s="97" t="s">
        <v>1165</v>
      </c>
      <c r="C22" s="1721">
        <f>'WKSHT5 - Plant in Service 13mo '!N85</f>
        <v>134338.09</v>
      </c>
      <c r="D22" s="1721">
        <f>'WKSHT5 - Plant in Service 13mo '!N238</f>
        <v>73520.67</v>
      </c>
      <c r="E22" s="1888">
        <f t="shared" si="2"/>
        <v>60817.42</v>
      </c>
    </row>
    <row r="23" spans="1:5">
      <c r="A23" s="639">
        <f t="shared" si="0"/>
        <v>21</v>
      </c>
      <c r="B23" s="97" t="s">
        <v>1166</v>
      </c>
      <c r="C23" s="1721">
        <f>'WKSHT5 - Plant in Service 13mo '!N86</f>
        <v>112020.55</v>
      </c>
      <c r="D23" s="1721">
        <f>'WKSHT5 - Plant in Service 13mo '!N239</f>
        <v>71994.55</v>
      </c>
      <c r="E23" s="1888">
        <f t="shared" si="2"/>
        <v>40026</v>
      </c>
    </row>
    <row r="24" spans="1:5">
      <c r="A24" s="639">
        <f t="shared" si="0"/>
        <v>22</v>
      </c>
      <c r="B24" s="97" t="s">
        <v>1167</v>
      </c>
      <c r="C24" s="1721">
        <f>'WKSHT5 - Plant in Service 13mo '!N87</f>
        <v>5413075.4800000004</v>
      </c>
      <c r="D24" s="1721">
        <f>'WKSHT5 - Plant in Service 13mo '!N240</f>
        <v>4543597.07</v>
      </c>
      <c r="E24" s="1888">
        <f t="shared" si="2"/>
        <v>869478.41000000015</v>
      </c>
    </row>
    <row r="25" spans="1:5">
      <c r="A25" s="639">
        <f t="shared" si="0"/>
        <v>23</v>
      </c>
      <c r="B25" s="97" t="s">
        <v>1186</v>
      </c>
      <c r="C25" s="1721">
        <f>'WKSHT5 - Plant in Service 13mo '!N88</f>
        <v>5618561.7699999996</v>
      </c>
      <c r="D25" s="1721">
        <f>'WKSHT5 - Plant in Service 13mo '!N241</f>
        <v>3601312.08</v>
      </c>
      <c r="E25" s="1888">
        <f t="shared" si="2"/>
        <v>2017249.6899999995</v>
      </c>
    </row>
    <row r="26" spans="1:5">
      <c r="A26" s="639">
        <f t="shared" si="0"/>
        <v>24</v>
      </c>
      <c r="B26" s="97" t="s">
        <v>1168</v>
      </c>
      <c r="C26" s="1721">
        <f>'WKSHT5 - Plant in Service 13mo '!N89</f>
        <v>5035074.58</v>
      </c>
      <c r="D26" s="1721">
        <f>'WKSHT5 - Plant in Service 13mo '!N242</f>
        <v>1310416.8</v>
      </c>
      <c r="E26" s="1888">
        <f t="shared" si="2"/>
        <v>3724657.7800000003</v>
      </c>
    </row>
    <row r="27" spans="1:5">
      <c r="A27" s="639">
        <f t="shared" si="0"/>
        <v>25</v>
      </c>
      <c r="B27" s="97" t="s">
        <v>1169</v>
      </c>
      <c r="C27" s="1721">
        <f>'WKSHT5 - Plant in Service 13mo '!N90</f>
        <v>3188705.85</v>
      </c>
      <c r="D27" s="1721">
        <f>'WKSHT5 - Plant in Service 13mo '!N243</f>
        <v>382851.72000000003</v>
      </c>
      <c r="E27" s="1888">
        <f t="shared" si="2"/>
        <v>2805854.13</v>
      </c>
    </row>
    <row r="28" spans="1:5">
      <c r="A28" s="639">
        <f t="shared" si="0"/>
        <v>26</v>
      </c>
      <c r="B28" s="97" t="s">
        <v>1170</v>
      </c>
      <c r="C28" s="1721">
        <f>'WKSHT5 - Plant in Service 13mo '!N91</f>
        <v>3734053.99</v>
      </c>
      <c r="D28" s="1721">
        <f>'WKSHT5 - Plant in Service 13mo '!N244</f>
        <v>1314880.3700000001</v>
      </c>
      <c r="E28" s="1888">
        <f t="shared" si="2"/>
        <v>2419173.62</v>
      </c>
    </row>
    <row r="29" spans="1:5">
      <c r="A29" s="639">
        <f t="shared" si="0"/>
        <v>27</v>
      </c>
      <c r="B29" s="97" t="s">
        <v>1171</v>
      </c>
      <c r="C29" s="1721">
        <f>'WKSHT5 - Plant in Service 13mo '!N92</f>
        <v>1732090.29</v>
      </c>
      <c r="D29" s="1721">
        <f>'WKSHT5 - Plant in Service 13mo '!N245</f>
        <v>523182.59</v>
      </c>
      <c r="E29" s="1888">
        <f t="shared" si="2"/>
        <v>1208907.7</v>
      </c>
    </row>
    <row r="30" spans="1:5">
      <c r="A30" s="639">
        <f t="shared" si="0"/>
        <v>28</v>
      </c>
      <c r="B30" s="97" t="s">
        <v>1172</v>
      </c>
      <c r="C30" s="1721">
        <f>'WKSHT5 - Plant in Service 13mo '!N93</f>
        <v>411060</v>
      </c>
      <c r="D30" s="1721">
        <f>'WKSHT5 - Plant in Service 13mo '!N246</f>
        <v>73444.47</v>
      </c>
      <c r="E30" s="1888">
        <f t="shared" si="2"/>
        <v>337615.53</v>
      </c>
    </row>
    <row r="31" spans="1:5">
      <c r="A31" s="639">
        <f t="shared" si="0"/>
        <v>29</v>
      </c>
      <c r="B31" s="97" t="s">
        <v>1173</v>
      </c>
      <c r="C31" s="1721">
        <f>'WKSHT5 - Plant in Service 13mo '!N94</f>
        <v>8795959.3599999994</v>
      </c>
      <c r="D31" s="1721">
        <f>'WKSHT5 - Plant in Service 13mo '!N247</f>
        <v>1639595.51</v>
      </c>
      <c r="E31" s="1888">
        <f t="shared" si="2"/>
        <v>7156363.8499999996</v>
      </c>
    </row>
    <row r="32" spans="1:5">
      <c r="A32" s="639">
        <f t="shared" si="0"/>
        <v>30</v>
      </c>
      <c r="B32" s="97" t="s">
        <v>1174</v>
      </c>
      <c r="C32" s="1721">
        <f>'WKSHT5 - Plant in Service 13mo '!N95</f>
        <v>9149505.9600000009</v>
      </c>
      <c r="D32" s="1721">
        <f>'WKSHT5 - Plant in Service 13mo '!N248</f>
        <v>2208203.66</v>
      </c>
      <c r="E32" s="1888">
        <f t="shared" si="2"/>
        <v>6941302.3000000007</v>
      </c>
    </row>
    <row r="33" spans="1:5">
      <c r="A33" s="639">
        <f t="shared" si="0"/>
        <v>31</v>
      </c>
      <c r="B33" s="97" t="s">
        <v>1346</v>
      </c>
      <c r="C33" s="1721">
        <f>'WKSHT5 - Plant in Service 13mo '!N96</f>
        <v>422.97</v>
      </c>
      <c r="D33" s="1721">
        <f>'WKSHT5 - Plant in Service 13mo '!N249</f>
        <v>24.03</v>
      </c>
      <c r="E33" s="1888">
        <f t="shared" si="2"/>
        <v>398.94000000000005</v>
      </c>
    </row>
    <row r="34" spans="1:5">
      <c r="A34" s="639">
        <f t="shared" si="0"/>
        <v>32</v>
      </c>
      <c r="B34" s="97" t="s">
        <v>1175</v>
      </c>
      <c r="C34" s="1721">
        <f>'WKSHT5 - Plant in Service 13mo '!N97</f>
        <v>2700204.91</v>
      </c>
      <c r="D34" s="1721">
        <f>'WKSHT5 - Plant in Service 13mo '!N250</f>
        <v>481593.04000000004</v>
      </c>
      <c r="E34" s="1888">
        <f t="shared" si="2"/>
        <v>2218611.87</v>
      </c>
    </row>
    <row r="35" spans="1:5">
      <c r="A35" s="639">
        <f t="shared" si="0"/>
        <v>33</v>
      </c>
      <c r="B35" s="97" t="s">
        <v>1267</v>
      </c>
      <c r="C35" s="1721">
        <f>'WKSHT5 - Plant in Service 13mo '!N98</f>
        <v>23954394.870000001</v>
      </c>
      <c r="D35" s="1721">
        <f>'WKSHT5 - Plant in Service 13mo '!N251</f>
        <v>6149746.2599999998</v>
      </c>
      <c r="E35" s="1888">
        <f t="shared" si="2"/>
        <v>17804648.609999999</v>
      </c>
    </row>
    <row r="36" spans="1:5">
      <c r="A36" s="639">
        <f t="shared" si="0"/>
        <v>34</v>
      </c>
      <c r="B36" s="97" t="s">
        <v>1176</v>
      </c>
      <c r="C36" s="1721">
        <f>'WKSHT5 - Plant in Service 13mo '!N99</f>
        <v>1782984.84</v>
      </c>
      <c r="D36" s="1721">
        <f>'WKSHT5 - Plant in Service 13mo '!N252</f>
        <v>341718.83</v>
      </c>
      <c r="E36" s="1888">
        <f t="shared" si="2"/>
        <v>1441266.01</v>
      </c>
    </row>
    <row r="37" spans="1:5">
      <c r="A37" s="639">
        <f t="shared" si="0"/>
        <v>35</v>
      </c>
      <c r="B37" s="97" t="s">
        <v>1177</v>
      </c>
      <c r="C37" s="1721">
        <f>'WKSHT5 - Plant in Service 13mo '!N100</f>
        <v>30559.5</v>
      </c>
      <c r="D37" s="1721">
        <f>'WKSHT5 - Plant in Service 13mo '!N253</f>
        <v>7436.13</v>
      </c>
      <c r="E37" s="1888">
        <f t="shared" si="2"/>
        <v>23123.37</v>
      </c>
    </row>
    <row r="38" spans="1:5">
      <c r="A38" s="639">
        <f t="shared" si="0"/>
        <v>36</v>
      </c>
      <c r="B38" s="97" t="s">
        <v>1178</v>
      </c>
      <c r="C38" s="1721">
        <f>'WKSHT5 - Plant in Service 13mo '!N101</f>
        <v>179763.98</v>
      </c>
      <c r="D38" s="1721">
        <f>'WKSHT5 - Plant in Service 13mo '!N254</f>
        <v>25306.47</v>
      </c>
      <c r="E38" s="1888">
        <f t="shared" si="2"/>
        <v>154457.51</v>
      </c>
    </row>
    <row r="39" spans="1:5">
      <c r="A39" s="639">
        <f t="shared" si="0"/>
        <v>37</v>
      </c>
      <c r="B39" s="97" t="s">
        <v>1179</v>
      </c>
      <c r="C39" s="1721">
        <f>'WKSHT5 - Plant in Service 13mo '!N102</f>
        <v>126549.4</v>
      </c>
      <c r="D39" s="1721">
        <f>'WKSHT5 - Plant in Service 13mo '!N255</f>
        <v>27091.43</v>
      </c>
      <c r="E39" s="1888">
        <f t="shared" si="2"/>
        <v>99457.97</v>
      </c>
    </row>
    <row r="40" spans="1:5">
      <c r="A40" s="639">
        <f t="shared" si="0"/>
        <v>38</v>
      </c>
      <c r="B40" s="97" t="s">
        <v>1187</v>
      </c>
      <c r="C40" s="1721">
        <f>'WKSHT5 - Plant in Service 13mo '!N103</f>
        <v>4058986.08</v>
      </c>
      <c r="D40" s="1721">
        <f>'WKSHT5 - Plant in Service 13mo '!N256</f>
        <v>428942.61</v>
      </c>
      <c r="E40" s="1888">
        <f t="shared" si="2"/>
        <v>3630043.47</v>
      </c>
    </row>
    <row r="41" spans="1:5">
      <c r="A41" s="639">
        <f t="shared" si="0"/>
        <v>39</v>
      </c>
      <c r="B41" s="97" t="s">
        <v>1188</v>
      </c>
      <c r="C41" s="1721">
        <f>'WKSHT5 - Plant in Service 13mo '!N104</f>
        <v>4729802.59</v>
      </c>
      <c r="D41" s="1721">
        <f>'WKSHT5 - Plant in Service 13mo '!N257</f>
        <v>364198.28</v>
      </c>
      <c r="E41" s="1888">
        <f t="shared" si="2"/>
        <v>4365604.3099999996</v>
      </c>
    </row>
    <row r="42" spans="1:5">
      <c r="A42" s="639">
        <f t="shared" si="0"/>
        <v>40</v>
      </c>
      <c r="B42" s="97" t="s">
        <v>1180</v>
      </c>
      <c r="C42" s="1721">
        <f>'WKSHT5 - Plant in Service 13mo '!N105</f>
        <v>208636.99</v>
      </c>
      <c r="D42" s="1721">
        <f>'WKSHT5 - Plant in Service 13mo '!N258</f>
        <v>130617.51000000001</v>
      </c>
      <c r="E42" s="1888">
        <f t="shared" si="2"/>
        <v>78019.479999999981</v>
      </c>
    </row>
    <row r="43" spans="1:5">
      <c r="A43" s="639">
        <f t="shared" si="0"/>
        <v>41</v>
      </c>
      <c r="B43" s="97" t="s">
        <v>1181</v>
      </c>
      <c r="C43" s="1721">
        <f>'WKSHT5 - Plant in Service 13mo '!N106</f>
        <v>247149.15</v>
      </c>
      <c r="D43" s="1721">
        <f>'WKSHT5 - Plant in Service 13mo '!N259</f>
        <v>135774.46</v>
      </c>
      <c r="E43" s="1888">
        <f t="shared" si="2"/>
        <v>111374.69</v>
      </c>
    </row>
    <row r="44" spans="1:5">
      <c r="A44" s="639">
        <f t="shared" si="0"/>
        <v>42</v>
      </c>
      <c r="B44" s="104" t="s">
        <v>1182</v>
      </c>
      <c r="C44" s="1721">
        <f>'WKSHT5 - Plant in Service 13mo '!N107</f>
        <v>25891.1</v>
      </c>
      <c r="D44" s="1721">
        <f>'WKSHT5 - Plant in Service 13mo '!N260</f>
        <v>10583</v>
      </c>
      <c r="E44" s="1888">
        <f t="shared" si="2"/>
        <v>15308.099999999999</v>
      </c>
    </row>
    <row r="45" spans="1:5">
      <c r="A45" s="639">
        <f t="shared" si="0"/>
        <v>43</v>
      </c>
      <c r="B45" s="97" t="s">
        <v>1268</v>
      </c>
      <c r="C45" s="1721">
        <f>'WKSHT5 - Plant in Service 13mo '!N108</f>
        <v>2835144.1</v>
      </c>
      <c r="D45" s="1721">
        <f>'WKSHT5 - Plant in Service 13mo '!N261</f>
        <v>213409.65</v>
      </c>
      <c r="E45" s="1888">
        <f t="shared" si="2"/>
        <v>2621734.4500000002</v>
      </c>
    </row>
    <row r="46" spans="1:5">
      <c r="A46" s="639">
        <f t="shared" si="0"/>
        <v>44</v>
      </c>
      <c r="B46" s="97" t="s">
        <v>1183</v>
      </c>
      <c r="C46" s="1721">
        <f>'WKSHT5 - Plant in Service 13mo '!N109</f>
        <v>3525000</v>
      </c>
      <c r="D46" s="1721">
        <f>'WKSHT5 - Plant in Service 13mo '!N262</f>
        <v>3163736.54</v>
      </c>
      <c r="E46" s="1888">
        <f t="shared" si="2"/>
        <v>361263.45999999996</v>
      </c>
    </row>
    <row r="47" spans="1:5">
      <c r="A47" s="639">
        <f t="shared" si="0"/>
        <v>45</v>
      </c>
      <c r="B47" s="97" t="s">
        <v>1184</v>
      </c>
      <c r="C47" s="1721">
        <f>'WKSHT5 - Plant in Service 13mo '!N110</f>
        <v>136831.13</v>
      </c>
      <c r="D47" s="1721">
        <f>'[6]WKSHT5 - Plant in Service 13mo '!N264</f>
        <v>64039.32</v>
      </c>
      <c r="E47" s="1888">
        <f t="shared" si="2"/>
        <v>72791.81</v>
      </c>
    </row>
    <row r="48" spans="1:5">
      <c r="A48" s="639">
        <f t="shared" si="0"/>
        <v>46</v>
      </c>
      <c r="B48" s="97" t="s">
        <v>1185</v>
      </c>
      <c r="C48" s="1721">
        <f>'WKSHT5 - Plant in Service 13mo '!N111</f>
        <v>13112.67</v>
      </c>
      <c r="D48" s="1721">
        <f>'[6]WKSHT5 - Plant in Service 13mo '!N265</f>
        <v>6918.56</v>
      </c>
      <c r="E48" s="1888">
        <f t="shared" si="2"/>
        <v>6194.11</v>
      </c>
    </row>
    <row r="49" spans="1:5">
      <c r="A49" s="639">
        <f t="shared" si="0"/>
        <v>47</v>
      </c>
      <c r="B49" s="97" t="s">
        <v>0</v>
      </c>
      <c r="C49" s="1721">
        <f>'WKSHT5 - Plant in Service 13mo '!N112</f>
        <v>2705503.41</v>
      </c>
      <c r="D49" s="1721">
        <f>'[6]WKSHT5 - Plant in Service 13mo '!N266</f>
        <v>494682.5</v>
      </c>
      <c r="E49" s="1888">
        <f t="shared" si="2"/>
        <v>2210820.91</v>
      </c>
    </row>
    <row r="50" spans="1:5">
      <c r="A50" s="639">
        <f t="shared" si="0"/>
        <v>48</v>
      </c>
      <c r="B50" s="97" t="s">
        <v>1</v>
      </c>
      <c r="C50" s="1721">
        <f>'WKSHT5 - Plant in Service 13mo '!N113</f>
        <v>2885148.42</v>
      </c>
      <c r="D50" s="1721">
        <f>'[6]WKSHT5 - Plant in Service 13mo '!N267</f>
        <v>380740.94</v>
      </c>
      <c r="E50" s="1888">
        <f t="shared" si="2"/>
        <v>2504407.48</v>
      </c>
    </row>
    <row r="51" spans="1:5">
      <c r="A51" s="639">
        <f t="shared" si="0"/>
        <v>49</v>
      </c>
      <c r="B51" s="97" t="s">
        <v>2</v>
      </c>
      <c r="C51" s="1721">
        <f>'WKSHT5 - Plant in Service 13mo '!N114</f>
        <v>2128002.84</v>
      </c>
      <c r="D51" s="1721">
        <f>'[6]WKSHT5 - Plant in Service 13mo '!N268</f>
        <v>1485814.06</v>
      </c>
      <c r="E51" s="1888">
        <f t="shared" si="2"/>
        <v>642188.7799999998</v>
      </c>
    </row>
    <row r="52" spans="1:5">
      <c r="A52" s="639">
        <f t="shared" si="0"/>
        <v>50</v>
      </c>
      <c r="B52" s="97" t="s">
        <v>3</v>
      </c>
      <c r="C52" s="1721">
        <f>'WKSHT5 - Plant in Service 13mo '!N115</f>
        <v>10814697.15</v>
      </c>
      <c r="D52" s="1721">
        <f>'[6]WKSHT5 - Plant in Service 13mo '!N269</f>
        <v>2399629.37</v>
      </c>
      <c r="E52" s="1888">
        <f t="shared" si="2"/>
        <v>8415067.7800000012</v>
      </c>
    </row>
    <row r="53" spans="1:5">
      <c r="A53" s="639">
        <f t="shared" si="0"/>
        <v>51</v>
      </c>
      <c r="B53" s="97" t="s">
        <v>1431</v>
      </c>
      <c r="C53" s="1721">
        <f>'WKSHT5 - Plant in Service 13mo '!N116</f>
        <v>9687864.2899999991</v>
      </c>
      <c r="D53" s="1721">
        <f>'[6]WKSHT5 - Plant in Service 13mo '!N270</f>
        <v>2024044.42</v>
      </c>
      <c r="E53" s="1888">
        <f t="shared" si="2"/>
        <v>7663819.8699999992</v>
      </c>
    </row>
    <row r="54" spans="1:5">
      <c r="A54" s="639">
        <f t="shared" si="0"/>
        <v>52</v>
      </c>
      <c r="B54" s="97" t="s">
        <v>4</v>
      </c>
      <c r="C54" s="1721">
        <f>'WKSHT5 - Plant in Service 13mo '!N117</f>
        <v>8292075.0599999996</v>
      </c>
      <c r="D54" s="1721">
        <f>'[6]WKSHT5 - Plant in Service 13mo '!N271</f>
        <v>1077239.27</v>
      </c>
      <c r="E54" s="1888">
        <f t="shared" si="2"/>
        <v>7214835.7899999991</v>
      </c>
    </row>
    <row r="55" spans="1:5">
      <c r="A55" s="639">
        <f t="shared" si="0"/>
        <v>53</v>
      </c>
      <c r="B55" s="97" t="s">
        <v>5</v>
      </c>
      <c r="C55" s="1721">
        <f>'WKSHT5 - Plant in Service 13mo '!N118</f>
        <v>151580.69</v>
      </c>
      <c r="D55" s="1721">
        <f>'[6]WKSHT5 - Plant in Service 13mo '!N272</f>
        <v>33126.58</v>
      </c>
      <c r="E55" s="1888">
        <f t="shared" si="2"/>
        <v>118454.11</v>
      </c>
    </row>
    <row r="56" spans="1:5">
      <c r="A56" s="639">
        <f t="shared" si="0"/>
        <v>54</v>
      </c>
      <c r="B56" s="97" t="s">
        <v>6</v>
      </c>
      <c r="C56" s="1721">
        <f>'WKSHT5 - Plant in Service 13mo '!N119</f>
        <v>158947.37</v>
      </c>
      <c r="D56" s="1721">
        <f>'[6]WKSHT5 - Plant in Service 13mo '!N273</f>
        <v>32727.05</v>
      </c>
      <c r="E56" s="1888">
        <f t="shared" si="2"/>
        <v>126220.31999999999</v>
      </c>
    </row>
    <row r="57" spans="1:5">
      <c r="A57" s="639">
        <f t="shared" si="0"/>
        <v>55</v>
      </c>
      <c r="B57" s="97" t="s">
        <v>1189</v>
      </c>
      <c r="C57" s="1721">
        <f>'WKSHT5 - Plant in Service 13mo '!N120</f>
        <v>44555</v>
      </c>
      <c r="D57" s="1721">
        <f>'[6]WKSHT5 - Plant in Service 13mo '!N274</f>
        <v>30668.240000000002</v>
      </c>
      <c r="E57" s="1888">
        <f t="shared" si="2"/>
        <v>13886.759999999998</v>
      </c>
    </row>
    <row r="58" spans="1:5">
      <c r="A58" s="639">
        <f t="shared" si="0"/>
        <v>56</v>
      </c>
      <c r="B58" s="97" t="s">
        <v>7</v>
      </c>
      <c r="C58" s="1721">
        <f>'WKSHT5 - Plant in Service 13mo '!N121</f>
        <v>1544998.62</v>
      </c>
      <c r="D58" s="1721">
        <f>'[6]WKSHT5 - Plant in Service 13mo '!N275</f>
        <v>449920.87</v>
      </c>
      <c r="E58" s="1888">
        <f t="shared" si="2"/>
        <v>1095077.75</v>
      </c>
    </row>
    <row r="59" spans="1:5">
      <c r="A59" s="639">
        <f t="shared" si="0"/>
        <v>57</v>
      </c>
      <c r="B59" s="97" t="s">
        <v>8</v>
      </c>
      <c r="C59" s="1721">
        <f>'WKSHT5 - Plant in Service 13mo '!N122</f>
        <v>11360.29</v>
      </c>
      <c r="D59" s="1721">
        <f>'[6]WKSHT5 - Plant in Service 13mo '!N276</f>
        <v>10902</v>
      </c>
      <c r="E59" s="1888">
        <f t="shared" si="2"/>
        <v>458.29000000000087</v>
      </c>
    </row>
    <row r="60" spans="1:5">
      <c r="A60" s="639">
        <f t="shared" si="0"/>
        <v>58</v>
      </c>
      <c r="B60" s="97" t="s">
        <v>9</v>
      </c>
      <c r="C60" s="1721">
        <f>'WKSHT5 - Plant in Service 13mo '!N123</f>
        <v>935092.03</v>
      </c>
      <c r="D60" s="1721">
        <f>'[6]WKSHT5 - Plant in Service 13mo '!N277</f>
        <v>183040.09</v>
      </c>
      <c r="E60" s="1888">
        <f t="shared" si="2"/>
        <v>752051.94000000006</v>
      </c>
    </row>
    <row r="61" spans="1:5">
      <c r="A61" s="639">
        <f t="shared" si="0"/>
        <v>59</v>
      </c>
      <c r="B61" s="97" t="s">
        <v>10</v>
      </c>
      <c r="C61" s="1721">
        <f>'WKSHT5 - Plant in Service 13mo '!N124</f>
        <v>19271.73</v>
      </c>
      <c r="D61" s="1721">
        <f>'[6]WKSHT5 - Plant in Service 13mo '!N278</f>
        <v>8792.4600000000009</v>
      </c>
      <c r="E61" s="1888">
        <f t="shared" si="2"/>
        <v>10479.269999999999</v>
      </c>
    </row>
    <row r="62" spans="1:5">
      <c r="A62" s="639">
        <f t="shared" si="0"/>
        <v>60</v>
      </c>
      <c r="B62" s="97" t="s">
        <v>11</v>
      </c>
      <c r="C62" s="1721">
        <f>'WKSHT5 - Plant in Service 13mo '!N125</f>
        <v>235.61</v>
      </c>
      <c r="D62" s="1721">
        <f>'[6]WKSHT5 - Plant in Service 13mo '!N279</f>
        <v>203.61</v>
      </c>
      <c r="E62" s="1888">
        <f t="shared" si="2"/>
        <v>32</v>
      </c>
    </row>
    <row r="63" spans="1:5">
      <c r="A63" s="639">
        <f t="shared" si="0"/>
        <v>61</v>
      </c>
      <c r="B63" s="97" t="s">
        <v>12</v>
      </c>
      <c r="C63" s="1721">
        <f>'WKSHT5 - Plant in Service 13mo '!N126</f>
        <v>236934.54</v>
      </c>
      <c r="D63" s="1721">
        <f>'[6]WKSHT5 - Plant in Service 13mo '!N280</f>
        <v>74638.759999999995</v>
      </c>
      <c r="E63" s="1888">
        <f t="shared" si="2"/>
        <v>162295.78000000003</v>
      </c>
    </row>
    <row r="64" spans="1:5">
      <c r="A64" s="639">
        <f t="shared" si="0"/>
        <v>62</v>
      </c>
      <c r="B64" s="97" t="s">
        <v>13</v>
      </c>
      <c r="C64" s="1721">
        <f>'WKSHT5 - Plant in Service 13mo '!N127</f>
        <v>62500</v>
      </c>
      <c r="D64" s="1721">
        <f>'[6]WKSHT5 - Plant in Service 13mo '!N281</f>
        <v>60382.090000000004</v>
      </c>
      <c r="E64" s="1888">
        <f t="shared" si="2"/>
        <v>2117.9099999999962</v>
      </c>
    </row>
    <row r="65" spans="1:5">
      <c r="A65" s="639">
        <f t="shared" si="0"/>
        <v>63</v>
      </c>
      <c r="B65" s="104" t="s">
        <v>1347</v>
      </c>
      <c r="C65" s="1721">
        <f>'WKSHT5 - Plant in Service 13mo '!N128</f>
        <v>89222.27</v>
      </c>
      <c r="D65" s="1721">
        <f>'[6]WKSHT5 - Plant in Service 13mo '!N282</f>
        <v>28054.38</v>
      </c>
      <c r="E65" s="1888">
        <f t="shared" si="2"/>
        <v>61167.89</v>
      </c>
    </row>
    <row r="66" spans="1:5">
      <c r="A66" s="639">
        <f t="shared" si="0"/>
        <v>64</v>
      </c>
      <c r="B66" s="97" t="s">
        <v>14</v>
      </c>
      <c r="C66" s="1721">
        <f>'WKSHT5 - Plant in Service 13mo '!N129</f>
        <v>151699.76999999999</v>
      </c>
      <c r="D66" s="1721">
        <f>'[6]WKSHT5 - Plant in Service 13mo '!N283</f>
        <v>122827.88</v>
      </c>
      <c r="E66" s="1888">
        <f t="shared" si="2"/>
        <v>28871.889999999985</v>
      </c>
    </row>
    <row r="67" spans="1:5">
      <c r="A67" s="639">
        <f t="shared" si="0"/>
        <v>65</v>
      </c>
      <c r="B67" s="104" t="s">
        <v>15</v>
      </c>
      <c r="C67" s="1721">
        <f>'WKSHT5 - Plant in Service 13mo '!N130</f>
        <v>1155954.05</v>
      </c>
      <c r="D67" s="1721">
        <f>'[6]WKSHT5 - Plant in Service 13mo '!N284</f>
        <v>307233.91999999998</v>
      </c>
      <c r="E67" s="1888">
        <f t="shared" si="2"/>
        <v>848720.13000000012</v>
      </c>
    </row>
    <row r="68" spans="1:5">
      <c r="A68" s="639">
        <f t="shared" si="0"/>
        <v>66</v>
      </c>
      <c r="B68" s="104" t="s">
        <v>1269</v>
      </c>
      <c r="C68" s="1721">
        <f>'WKSHT5 - Plant in Service 13mo '!N131</f>
        <v>4534313.82</v>
      </c>
      <c r="D68" s="1721">
        <f>'[6]WKSHT5 - Plant in Service 13mo '!N285</f>
        <v>822371.83000000007</v>
      </c>
      <c r="E68" s="1888">
        <f t="shared" si="2"/>
        <v>3711941.99</v>
      </c>
    </row>
    <row r="69" spans="1:5">
      <c r="A69" s="639">
        <f t="shared" si="0"/>
        <v>67</v>
      </c>
      <c r="B69" s="97" t="s">
        <v>1433</v>
      </c>
      <c r="C69" s="1721">
        <f>'WKSHT5 - Plant in Service 13mo '!N132</f>
        <v>62493.63</v>
      </c>
      <c r="D69" s="1721">
        <f>'[6]WKSHT5 - Plant in Service 13mo '!N293</f>
        <v>51466.22</v>
      </c>
      <c r="E69" s="1888">
        <f t="shared" si="2"/>
        <v>11027.409999999996</v>
      </c>
    </row>
    <row r="70" spans="1:5">
      <c r="A70" s="639">
        <f t="shared" si="0"/>
        <v>68</v>
      </c>
      <c r="B70" s="97" t="s">
        <v>16</v>
      </c>
      <c r="C70" s="1721">
        <f>'WKSHT5 - Plant in Service 13mo '!N133</f>
        <v>1664798.76</v>
      </c>
      <c r="D70" s="1721">
        <f>'[6]WKSHT5 - Plant in Service 13mo '!N286</f>
        <v>549230.94000000006</v>
      </c>
      <c r="E70" s="1888">
        <f t="shared" si="2"/>
        <v>1115567.8199999998</v>
      </c>
    </row>
    <row r="71" spans="1:5">
      <c r="A71" s="639">
        <f t="shared" si="0"/>
        <v>69</v>
      </c>
      <c r="B71" s="97" t="s">
        <v>17</v>
      </c>
      <c r="C71" s="1721">
        <f>'WKSHT5 - Plant in Service 13mo '!N134</f>
        <v>251566.45</v>
      </c>
      <c r="D71" s="1721">
        <f>'[6]WKSHT5 - Plant in Service 13mo '!N287</f>
        <v>56289.23</v>
      </c>
      <c r="E71" s="1888">
        <f t="shared" si="2"/>
        <v>195277.22</v>
      </c>
    </row>
    <row r="72" spans="1:5">
      <c r="A72" s="639">
        <f t="shared" si="0"/>
        <v>70</v>
      </c>
      <c r="B72" s="97" t="s">
        <v>18</v>
      </c>
      <c r="C72" s="1721">
        <f>'WKSHT5 - Plant in Service 13mo '!N135</f>
        <v>9387.01</v>
      </c>
      <c r="D72" s="1721">
        <f>'[6]WKSHT5 - Plant in Service 13mo '!N288</f>
        <v>5017.96</v>
      </c>
      <c r="E72" s="1888">
        <f t="shared" si="2"/>
        <v>4369.05</v>
      </c>
    </row>
    <row r="73" spans="1:5">
      <c r="A73" s="639">
        <f t="shared" si="0"/>
        <v>71</v>
      </c>
      <c r="B73" s="97" t="s">
        <v>19</v>
      </c>
      <c r="C73" s="1721">
        <f>'WKSHT5 - Plant in Service 13mo '!N136</f>
        <v>164163.29</v>
      </c>
      <c r="D73" s="1721">
        <f>'[6]WKSHT5 - Plant in Service 13mo '!N289</f>
        <v>10748.37</v>
      </c>
      <c r="E73" s="1888">
        <f t="shared" si="2"/>
        <v>153414.92000000001</v>
      </c>
    </row>
    <row r="74" spans="1:5">
      <c r="A74" s="639">
        <f t="shared" si="0"/>
        <v>72</v>
      </c>
      <c r="B74" s="97" t="s">
        <v>20</v>
      </c>
      <c r="C74" s="1721">
        <f>'WKSHT5 - Plant in Service 13mo '!N137</f>
        <v>103400.51</v>
      </c>
      <c r="D74" s="1721">
        <f>'[6]WKSHT5 - Plant in Service 13mo '!N290</f>
        <v>59543.57</v>
      </c>
      <c r="E74" s="1888">
        <f t="shared" si="2"/>
        <v>43856.939999999995</v>
      </c>
    </row>
    <row r="75" spans="1:5">
      <c r="A75" s="639">
        <f t="shared" si="0"/>
        <v>73</v>
      </c>
      <c r="B75" s="97" t="s">
        <v>21</v>
      </c>
      <c r="C75" s="1721">
        <f>'WKSHT5 - Plant in Service 13mo '!N138</f>
        <v>62500</v>
      </c>
      <c r="D75" s="1721">
        <f>'[6]WKSHT5 - Plant in Service 13mo '!N291</f>
        <v>57674.520000000004</v>
      </c>
      <c r="E75" s="1888">
        <f t="shared" si="2"/>
        <v>4825.4799999999959</v>
      </c>
    </row>
    <row r="76" spans="1:5">
      <c r="A76" s="639">
        <f t="shared" si="0"/>
        <v>74</v>
      </c>
      <c r="B76" s="104" t="s">
        <v>1348</v>
      </c>
      <c r="C76" s="1721">
        <f>'WKSHT5 - Plant in Service 13mo '!N139</f>
        <v>27678.73</v>
      </c>
      <c r="D76" s="1721">
        <f>'[6]WKSHT5 - Plant in Service 13mo '!N292</f>
        <v>8985.25</v>
      </c>
      <c r="E76" s="1888">
        <f t="shared" ref="E76:E84" si="3">C76-D76</f>
        <v>18693.48</v>
      </c>
    </row>
    <row r="77" spans="1:5">
      <c r="A77" s="639">
        <f t="shared" si="0"/>
        <v>75</v>
      </c>
      <c r="B77" s="104" t="s">
        <v>23</v>
      </c>
      <c r="C77" s="1721">
        <f>'WKSHT5 - Plant in Service 13mo '!N140</f>
        <v>377726.5</v>
      </c>
      <c r="D77" s="1721">
        <f>'[6]WKSHT5 - Plant in Service 13mo '!N294</f>
        <v>82786.95</v>
      </c>
      <c r="E77" s="1888">
        <f t="shared" si="3"/>
        <v>294939.55</v>
      </c>
    </row>
    <row r="78" spans="1:5">
      <c r="A78" s="639">
        <f t="shared" si="0"/>
        <v>76</v>
      </c>
      <c r="B78" s="104" t="s">
        <v>1270</v>
      </c>
      <c r="C78" s="1721">
        <f>'WKSHT5 - Plant in Service 13mo '!N141</f>
        <v>3022875.39</v>
      </c>
      <c r="D78" s="1895">
        <f>'[6]WKSHT5 - Plant in Service 13mo '!N295</f>
        <v>423327.33</v>
      </c>
      <c r="E78" s="1888">
        <f t="shared" si="3"/>
        <v>2599548.06</v>
      </c>
    </row>
    <row r="79" spans="1:5">
      <c r="A79" s="639">
        <f t="shared" ref="A79:A89" si="4">+A78+1</f>
        <v>77</v>
      </c>
      <c r="B79" s="104" t="s">
        <v>24</v>
      </c>
      <c r="C79" s="1721">
        <f>'WKSHT5 - Plant in Service 13mo '!N142</f>
        <v>3475100.76</v>
      </c>
      <c r="D79" s="1895">
        <f>'[6]WKSHT5 - Plant in Service 13mo '!N296</f>
        <v>117368.94</v>
      </c>
      <c r="E79" s="1888">
        <f t="shared" si="3"/>
        <v>3357731.82</v>
      </c>
    </row>
    <row r="80" spans="1:5">
      <c r="A80" s="639">
        <f t="shared" si="4"/>
        <v>78</v>
      </c>
      <c r="B80" s="104" t="s">
        <v>1271</v>
      </c>
      <c r="C80" s="1721">
        <f>'WKSHT5 - Plant in Service 13mo '!N143</f>
        <v>22545729.120000001</v>
      </c>
      <c r="D80" s="1895">
        <f>'[6]WKSHT5 - Plant in Service 13mo '!N298</f>
        <v>4991139.8100000005</v>
      </c>
      <c r="E80" s="1888">
        <f t="shared" si="3"/>
        <v>17554589.310000002</v>
      </c>
    </row>
    <row r="81" spans="1:5">
      <c r="A81" s="639">
        <f t="shared" si="4"/>
        <v>79</v>
      </c>
      <c r="B81" s="104" t="s">
        <v>1350</v>
      </c>
      <c r="C81" s="1721">
        <f>'WKSHT5 - Plant in Service 13mo '!N144</f>
        <v>3836675.65</v>
      </c>
      <c r="D81" s="1895">
        <f>'[6]WKSHT5 - Plant in Service 13mo '!N297</f>
        <v>1051310.69</v>
      </c>
      <c r="E81" s="1888">
        <f t="shared" si="3"/>
        <v>2785364.96</v>
      </c>
    </row>
    <row r="82" spans="1:5">
      <c r="A82" s="639">
        <f t="shared" si="4"/>
        <v>80</v>
      </c>
      <c r="B82" s="104" t="s">
        <v>1351</v>
      </c>
      <c r="C82" s="1721">
        <f>'WKSHT5 - Plant in Service 13mo '!N145</f>
        <v>1590284.9700000002</v>
      </c>
      <c r="D82" s="1895">
        <f>'[6]WKSHT5 - Plant in Service 13mo '!N299</f>
        <v>1449953.48</v>
      </c>
      <c r="E82" s="1888">
        <f t="shared" si="3"/>
        <v>140331.49000000022</v>
      </c>
    </row>
    <row r="83" spans="1:5">
      <c r="A83" s="639">
        <f t="shared" si="4"/>
        <v>81</v>
      </c>
      <c r="B83" s="104" t="s">
        <v>1352</v>
      </c>
      <c r="C83" s="1721">
        <f>'WKSHT5 - Plant in Service 13mo '!N146</f>
        <v>3086350.53</v>
      </c>
      <c r="D83" s="1721">
        <f>'[6]WKSHT5 - Plant in Service 13mo '!N300</f>
        <v>1011156.23</v>
      </c>
      <c r="E83" s="1888">
        <f t="shared" si="3"/>
        <v>2075194.2999999998</v>
      </c>
    </row>
    <row r="84" spans="1:5">
      <c r="A84" s="639">
        <f t="shared" si="4"/>
        <v>82</v>
      </c>
      <c r="B84" s="104" t="s">
        <v>25</v>
      </c>
      <c r="C84" s="1721">
        <f>'WKSHT5 - Plant in Service 13mo '!N147</f>
        <v>8020.92</v>
      </c>
      <c r="D84" s="1721">
        <f>'[6]WKSHT5 - Plant in Service 13mo '!N301</f>
        <v>3375.4900000000002</v>
      </c>
      <c r="E84" s="1888">
        <f t="shared" si="3"/>
        <v>4645.43</v>
      </c>
    </row>
    <row r="85" spans="1:5">
      <c r="A85" s="639">
        <f t="shared" si="4"/>
        <v>83</v>
      </c>
      <c r="B85" s="184"/>
      <c r="C85" s="1721"/>
      <c r="D85" s="1721"/>
      <c r="E85" s="1888"/>
    </row>
    <row r="86" spans="1:5">
      <c r="A86" s="639">
        <f t="shared" si="4"/>
        <v>84</v>
      </c>
      <c r="B86" s="184"/>
      <c r="C86" s="1721"/>
      <c r="D86" s="1721"/>
      <c r="E86" s="1888"/>
    </row>
    <row r="87" spans="1:5">
      <c r="A87" s="639">
        <f t="shared" si="4"/>
        <v>85</v>
      </c>
      <c r="B87" s="184"/>
      <c r="C87" s="1721"/>
      <c r="D87" s="1721"/>
      <c r="E87" s="1888"/>
    </row>
    <row r="88" spans="1:5">
      <c r="A88" s="639">
        <f t="shared" si="4"/>
        <v>86</v>
      </c>
      <c r="B88" s="184"/>
      <c r="C88" s="1887">
        <f>SUM(C11:C87)</f>
        <v>176454912.23999995</v>
      </c>
      <c r="D88" s="1887">
        <f>SUM(D11:D87)</f>
        <v>47880963.170000002</v>
      </c>
      <c r="E88" s="1887">
        <f>SUM(E11:E87)</f>
        <v>128573949.06999998</v>
      </c>
    </row>
    <row r="89" spans="1:5">
      <c r="A89" s="639">
        <f t="shared" si="4"/>
        <v>87</v>
      </c>
      <c r="B89" s="184"/>
      <c r="C89" s="1887"/>
      <c r="D89" s="1887"/>
      <c r="E89" s="1887"/>
    </row>
    <row r="90" spans="1:5">
      <c r="B90" s="184"/>
      <c r="C90" s="1887">
        <f>+C88+C9</f>
        <v>181954450.89999995</v>
      </c>
      <c r="D90" s="1887">
        <f>+D88+D9</f>
        <v>52267946.350000001</v>
      </c>
      <c r="E90" s="1887">
        <f>+E88+E9</f>
        <v>129686504.54999998</v>
      </c>
    </row>
    <row r="91" spans="1:5">
      <c r="B91" s="184"/>
    </row>
    <row r="92" spans="1:5">
      <c r="B92" s="184"/>
    </row>
    <row r="93" spans="1:5">
      <c r="B93" s="184"/>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sheetData>
  <phoneticPr fontId="74" type="noConversion"/>
  <pageMargins left="0.75" right="0.75" top="0.17" bottom="0.16" header="0.5" footer="0.21"/>
  <pageSetup scale="64"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topLeftCell="A22" zoomScaleNormal="100" workbookViewId="0">
      <selection activeCell="P32" sqref="P32"/>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655</v>
      </c>
    </row>
    <row r="4" spans="1:26">
      <c r="A4" s="788" t="s">
        <v>103</v>
      </c>
      <c r="U4" s="812"/>
      <c r="V4" s="97"/>
      <c r="W4" s="97"/>
      <c r="X4" s="97"/>
      <c r="Y4" s="97"/>
      <c r="Z4" s="97"/>
    </row>
    <row r="5" spans="1:26">
      <c r="A5" s="788" t="s">
        <v>1143</v>
      </c>
      <c r="E5" s="2"/>
      <c r="F5" s="2"/>
      <c r="G5" s="2"/>
      <c r="H5" s="789"/>
      <c r="I5" s="2"/>
      <c r="N5" s="2"/>
      <c r="O5" s="2"/>
      <c r="P5" s="2"/>
      <c r="Q5" s="789"/>
      <c r="R5" s="2"/>
      <c r="U5" s="97"/>
      <c r="V5" s="97"/>
      <c r="W5" s="97"/>
      <c r="X5" s="97"/>
      <c r="Y5" s="97"/>
      <c r="Z5" s="97"/>
    </row>
    <row r="6" spans="1:26">
      <c r="A6" s="788" t="s">
        <v>67</v>
      </c>
      <c r="E6" s="2"/>
      <c r="F6" s="2"/>
      <c r="G6" s="2"/>
      <c r="H6" s="2"/>
      <c r="I6" s="2"/>
      <c r="N6" s="2"/>
      <c r="O6" s="2"/>
      <c r="P6" s="2"/>
      <c r="Q6" s="2"/>
      <c r="R6" s="2"/>
      <c r="U6" s="97"/>
      <c r="V6" s="97"/>
      <c r="W6" s="97"/>
      <c r="X6" s="97"/>
      <c r="Y6" s="97"/>
      <c r="Z6" s="97"/>
    </row>
    <row r="7" spans="1:26" ht="63.75">
      <c r="A7" s="790" t="s">
        <v>150</v>
      </c>
      <c r="B7" s="129" t="s">
        <v>1147</v>
      </c>
      <c r="C7" s="791" t="s">
        <v>1146</v>
      </c>
      <c r="D7" s="791" t="s">
        <v>1148</v>
      </c>
      <c r="E7" s="791" t="s">
        <v>1149</v>
      </c>
      <c r="F7" s="791" t="s">
        <v>1150</v>
      </c>
      <c r="G7" s="791" t="s">
        <v>1151</v>
      </c>
      <c r="H7" s="791" t="s">
        <v>1152</v>
      </c>
      <c r="I7" s="792" t="s">
        <v>1153</v>
      </c>
      <c r="J7" s="792" t="s">
        <v>1154</v>
      </c>
      <c r="K7" s="792" t="s">
        <v>57</v>
      </c>
      <c r="L7" s="809"/>
      <c r="M7" s="809"/>
      <c r="N7" s="809"/>
      <c r="O7" s="809"/>
    </row>
    <row r="8" spans="1:26">
      <c r="A8" s="129"/>
      <c r="B8" s="129"/>
      <c r="C8" s="129"/>
      <c r="D8" s="129"/>
      <c r="E8" s="129"/>
      <c r="F8" s="129"/>
      <c r="G8" s="129"/>
      <c r="H8" s="129"/>
      <c r="I8" s="793"/>
      <c r="J8" s="805"/>
      <c r="K8" s="805"/>
      <c r="L8" s="97"/>
      <c r="M8" s="97"/>
      <c r="N8" s="97"/>
      <c r="O8" s="97"/>
    </row>
    <row r="9" spans="1:26">
      <c r="A9" s="129">
        <v>1</v>
      </c>
      <c r="B9" s="129" t="s">
        <v>543</v>
      </c>
      <c r="C9" s="794">
        <v>5500</v>
      </c>
      <c r="D9" s="1761">
        <v>3</v>
      </c>
      <c r="E9" s="1849">
        <v>1800</v>
      </c>
      <c r="F9" s="1761">
        <v>3889</v>
      </c>
      <c r="G9" s="1761">
        <v>323</v>
      </c>
      <c r="H9" s="1761">
        <v>1247</v>
      </c>
      <c r="I9" s="1761">
        <v>41</v>
      </c>
      <c r="J9" s="1761">
        <v>3219</v>
      </c>
      <c r="K9" s="1759"/>
      <c r="L9" s="97"/>
      <c r="M9" s="97"/>
      <c r="N9" s="97"/>
      <c r="O9" s="97"/>
    </row>
    <row r="10" spans="1:26">
      <c r="A10" s="129">
        <v>2</v>
      </c>
      <c r="B10" s="129" t="s">
        <v>544</v>
      </c>
      <c r="C10" s="794">
        <v>5089</v>
      </c>
      <c r="D10" s="1749">
        <v>2</v>
      </c>
      <c r="E10" s="1740">
        <v>800</v>
      </c>
      <c r="F10" s="1761">
        <v>3467</v>
      </c>
      <c r="G10" s="1761">
        <v>346</v>
      </c>
      <c r="H10" s="1761">
        <v>1247</v>
      </c>
      <c r="I10" s="1761">
        <v>29</v>
      </c>
      <c r="J10" s="1761">
        <v>234</v>
      </c>
      <c r="K10" s="1759"/>
      <c r="L10" s="97"/>
      <c r="M10" s="97"/>
      <c r="N10" s="97"/>
      <c r="O10" s="97"/>
    </row>
    <row r="11" spans="1:26">
      <c r="A11" s="129">
        <v>3</v>
      </c>
      <c r="B11" s="129" t="s">
        <v>545</v>
      </c>
      <c r="C11" s="794">
        <v>5034</v>
      </c>
      <c r="D11" s="1749">
        <v>17</v>
      </c>
      <c r="E11" s="1740">
        <v>800</v>
      </c>
      <c r="F11" s="1761">
        <v>3422</v>
      </c>
      <c r="G11" s="1761">
        <v>342</v>
      </c>
      <c r="H11" s="1761">
        <v>1247</v>
      </c>
      <c r="I11" s="1761">
        <v>23</v>
      </c>
      <c r="J11" s="1761">
        <v>233</v>
      </c>
      <c r="K11" s="1759"/>
      <c r="L11" s="97"/>
      <c r="M11" s="97"/>
      <c r="N11" s="97"/>
      <c r="O11" s="97"/>
    </row>
    <row r="12" spans="1:26">
      <c r="A12" s="795">
        <v>4</v>
      </c>
      <c r="B12" s="668" t="s">
        <v>64</v>
      </c>
      <c r="C12" s="803">
        <f>SUM(C9:C11)</f>
        <v>15623</v>
      </c>
      <c r="D12" s="797"/>
      <c r="E12" s="797"/>
      <c r="F12" s="803">
        <f>SUM(F9:F11)</f>
        <v>10778</v>
      </c>
      <c r="G12" s="803">
        <f>SUM(G9:G11)</f>
        <v>1011</v>
      </c>
      <c r="H12" s="803">
        <f>SUM(H9:H11)</f>
        <v>3741</v>
      </c>
      <c r="I12" s="803">
        <f>SUM(I9:I11)</f>
        <v>93</v>
      </c>
      <c r="J12" s="803">
        <f>SUM(J9:J11)</f>
        <v>3686</v>
      </c>
      <c r="K12" s="796">
        <v>0</v>
      </c>
      <c r="L12" s="1142"/>
      <c r="M12" s="1142"/>
      <c r="N12" s="1142"/>
      <c r="O12" s="1142"/>
    </row>
    <row r="13" spans="1:26">
      <c r="A13" s="129">
        <v>5</v>
      </c>
      <c r="B13" s="668" t="s">
        <v>742</v>
      </c>
      <c r="C13" s="794">
        <v>4354</v>
      </c>
      <c r="D13" s="1725">
        <v>14</v>
      </c>
      <c r="E13" s="1726">
        <v>800</v>
      </c>
      <c r="F13" s="1727">
        <v>2746</v>
      </c>
      <c r="G13" s="1727">
        <v>331</v>
      </c>
      <c r="H13" s="1725">
        <v>1247</v>
      </c>
      <c r="I13" s="1725">
        <v>30</v>
      </c>
      <c r="J13" s="1727">
        <v>283</v>
      </c>
      <c r="K13" s="1727"/>
      <c r="L13" s="97"/>
      <c r="M13" s="97"/>
      <c r="N13" s="97"/>
      <c r="O13" s="97"/>
    </row>
    <row r="14" spans="1:26">
      <c r="A14" s="129">
        <v>6</v>
      </c>
      <c r="B14" s="668" t="s">
        <v>743</v>
      </c>
      <c r="C14" s="794">
        <v>4245</v>
      </c>
      <c r="D14" s="1725">
        <v>2</v>
      </c>
      <c r="E14" s="1726">
        <v>180</v>
      </c>
      <c r="F14" s="1727">
        <v>2654</v>
      </c>
      <c r="G14" s="1727">
        <v>315</v>
      </c>
      <c r="H14" s="1725">
        <v>1247</v>
      </c>
      <c r="I14" s="1725">
        <v>29</v>
      </c>
      <c r="J14" s="1727">
        <v>258</v>
      </c>
      <c r="K14" s="1727"/>
      <c r="L14" s="97"/>
      <c r="M14" s="97"/>
      <c r="N14" s="97"/>
      <c r="O14" s="97"/>
    </row>
    <row r="15" spans="1:26">
      <c r="A15" s="129">
        <v>7</v>
      </c>
      <c r="B15" s="668" t="s">
        <v>744</v>
      </c>
      <c r="C15" s="794">
        <v>4690</v>
      </c>
      <c r="D15" s="1725">
        <v>60</v>
      </c>
      <c r="E15" s="1726">
        <v>1800</v>
      </c>
      <c r="F15" s="1727">
        <v>2992</v>
      </c>
      <c r="G15" s="1727">
        <v>315</v>
      </c>
      <c r="H15" s="1725">
        <v>1054</v>
      </c>
      <c r="I15" s="1725">
        <v>329</v>
      </c>
      <c r="J15" s="1727">
        <v>236</v>
      </c>
      <c r="K15" s="1727"/>
      <c r="L15" s="97"/>
      <c r="M15" s="97"/>
      <c r="N15" s="97"/>
      <c r="O15" s="97"/>
    </row>
    <row r="16" spans="1:26">
      <c r="A16" s="795">
        <v>8</v>
      </c>
      <c r="B16" s="668" t="s">
        <v>64</v>
      </c>
      <c r="C16" s="803">
        <f>SUM(C13:C15)</f>
        <v>13289</v>
      </c>
      <c r="D16" s="797"/>
      <c r="E16" s="797"/>
      <c r="F16" s="803">
        <f t="shared" ref="F16:K16" si="0">SUM(F13:F15)</f>
        <v>8392</v>
      </c>
      <c r="G16" s="803">
        <f t="shared" si="0"/>
        <v>961</v>
      </c>
      <c r="H16" s="803">
        <f t="shared" si="0"/>
        <v>3548</v>
      </c>
      <c r="I16" s="803">
        <f t="shared" si="0"/>
        <v>388</v>
      </c>
      <c r="J16" s="803">
        <f t="shared" si="0"/>
        <v>777</v>
      </c>
      <c r="K16" s="796">
        <f t="shared" si="0"/>
        <v>0</v>
      </c>
      <c r="L16" s="1142"/>
      <c r="M16" s="1142"/>
      <c r="N16" s="1142"/>
      <c r="O16" s="1142"/>
    </row>
    <row r="17" spans="1:15">
      <c r="A17" s="129">
        <v>9</v>
      </c>
      <c r="B17" s="668" t="s">
        <v>546</v>
      </c>
      <c r="C17" s="794">
        <v>4701</v>
      </c>
      <c r="D17" s="1728">
        <v>28</v>
      </c>
      <c r="E17" s="1729">
        <v>1800</v>
      </c>
      <c r="F17" s="1730">
        <v>3007</v>
      </c>
      <c r="G17" s="1730">
        <v>311</v>
      </c>
      <c r="H17" s="1728">
        <v>1054</v>
      </c>
      <c r="I17" s="1728">
        <v>329</v>
      </c>
      <c r="J17" s="1730">
        <v>338</v>
      </c>
      <c r="K17" s="1730"/>
      <c r="L17" s="97"/>
      <c r="M17" s="97"/>
      <c r="N17" s="97"/>
      <c r="O17" s="97"/>
    </row>
    <row r="18" spans="1:15">
      <c r="A18" s="129">
        <v>10</v>
      </c>
      <c r="B18" s="668" t="s">
        <v>547</v>
      </c>
      <c r="C18" s="794">
        <v>4814</v>
      </c>
      <c r="D18" s="1728">
        <v>19</v>
      </c>
      <c r="E18" s="1729">
        <v>1700</v>
      </c>
      <c r="F18" s="1730">
        <v>3115</v>
      </c>
      <c r="G18" s="1730">
        <v>314</v>
      </c>
      <c r="H18" s="1728">
        <v>1054</v>
      </c>
      <c r="I18" s="1728">
        <v>331</v>
      </c>
      <c r="J18" s="1730">
        <v>235</v>
      </c>
      <c r="K18" s="1730"/>
      <c r="L18" s="97"/>
      <c r="M18" s="97"/>
      <c r="N18" s="97"/>
      <c r="O18" s="97"/>
    </row>
    <row r="19" spans="1:15">
      <c r="A19" s="129">
        <v>11</v>
      </c>
      <c r="B19" s="668" t="s">
        <v>548</v>
      </c>
      <c r="C19" s="794">
        <v>4245</v>
      </c>
      <c r="D19" s="1728">
        <v>26</v>
      </c>
      <c r="E19" s="1729">
        <v>1800</v>
      </c>
      <c r="F19" s="1730">
        <v>2559</v>
      </c>
      <c r="G19" s="1730">
        <v>305</v>
      </c>
      <c r="H19" s="1728">
        <v>1054</v>
      </c>
      <c r="I19" s="1728">
        <v>327</v>
      </c>
      <c r="J19" s="1730">
        <v>365</v>
      </c>
      <c r="K19" s="1730"/>
      <c r="L19" s="97"/>
      <c r="M19" s="97"/>
      <c r="N19" s="97"/>
      <c r="O19" s="97"/>
    </row>
    <row r="20" spans="1:15">
      <c r="A20" s="795">
        <v>12</v>
      </c>
      <c r="B20" s="668" t="s">
        <v>64</v>
      </c>
      <c r="C20" s="803">
        <f>SUM(C17:C19)</f>
        <v>13760</v>
      </c>
      <c r="D20" s="797"/>
      <c r="E20" s="797"/>
      <c r="F20" s="803">
        <f t="shared" ref="F20:K20" si="1">SUM(F17:F19)</f>
        <v>8681</v>
      </c>
      <c r="G20" s="803">
        <f t="shared" si="1"/>
        <v>930</v>
      </c>
      <c r="H20" s="803">
        <f t="shared" si="1"/>
        <v>3162</v>
      </c>
      <c r="I20" s="803">
        <f t="shared" si="1"/>
        <v>987</v>
      </c>
      <c r="J20" s="803">
        <f t="shared" si="1"/>
        <v>938</v>
      </c>
      <c r="K20" s="796">
        <f t="shared" si="1"/>
        <v>0</v>
      </c>
      <c r="L20" s="1142"/>
      <c r="M20" s="1142"/>
      <c r="N20" s="1142"/>
      <c r="O20" s="1142"/>
    </row>
    <row r="21" spans="1:15">
      <c r="A21" s="129">
        <v>13</v>
      </c>
      <c r="B21" s="668" t="s">
        <v>549</v>
      </c>
      <c r="C21" s="794">
        <v>4319</v>
      </c>
      <c r="D21" s="1732">
        <v>12</v>
      </c>
      <c r="E21" s="1733">
        <v>800</v>
      </c>
      <c r="F21" s="1734">
        <v>2910</v>
      </c>
      <c r="G21" s="1734">
        <v>327</v>
      </c>
      <c r="H21" s="1732">
        <v>1054</v>
      </c>
      <c r="I21" s="1732">
        <v>28</v>
      </c>
      <c r="J21" s="1734">
        <v>234</v>
      </c>
      <c r="K21" s="1734"/>
      <c r="L21" s="97"/>
      <c r="M21" s="97"/>
      <c r="N21" s="97"/>
      <c r="O21" s="97"/>
    </row>
    <row r="22" spans="1:15">
      <c r="A22" s="129">
        <v>14</v>
      </c>
      <c r="B22" s="668" t="s">
        <v>550</v>
      </c>
      <c r="C22" s="794">
        <v>4933</v>
      </c>
      <c r="D22" s="1731">
        <v>21</v>
      </c>
      <c r="E22" s="1735">
        <v>1800</v>
      </c>
      <c r="F22" s="1736">
        <v>3533</v>
      </c>
      <c r="G22" s="1736">
        <v>316</v>
      </c>
      <c r="H22" s="1731">
        <v>1054</v>
      </c>
      <c r="I22" s="1731">
        <v>30</v>
      </c>
      <c r="J22" s="1734">
        <v>234</v>
      </c>
      <c r="K22" s="1736"/>
      <c r="L22" s="97"/>
      <c r="M22" s="97"/>
      <c r="N22" s="97"/>
      <c r="O22" s="97"/>
    </row>
    <row r="23" spans="1:15">
      <c r="A23" s="129">
        <v>15</v>
      </c>
      <c r="B23" s="668" t="s">
        <v>194</v>
      </c>
      <c r="C23" s="794">
        <v>5642</v>
      </c>
      <c r="D23" s="1731">
        <v>8</v>
      </c>
      <c r="E23" s="1735">
        <v>1800</v>
      </c>
      <c r="F23" s="1736">
        <v>4085</v>
      </c>
      <c r="G23" s="1736">
        <v>368</v>
      </c>
      <c r="H23" s="1731">
        <v>1150</v>
      </c>
      <c r="I23" s="1731">
        <v>39</v>
      </c>
      <c r="J23" s="1734">
        <v>3332</v>
      </c>
      <c r="K23" s="1736"/>
      <c r="L23" s="97"/>
      <c r="M23" s="97"/>
      <c r="N23" s="97"/>
      <c r="O23" s="97"/>
    </row>
    <row r="24" spans="1:15">
      <c r="A24" s="795">
        <v>16</v>
      </c>
      <c r="B24" s="668" t="s">
        <v>64</v>
      </c>
      <c r="C24" s="803">
        <f>SUM(C21:C23)</f>
        <v>14894</v>
      </c>
      <c r="D24" s="798"/>
      <c r="E24" s="797"/>
      <c r="F24" s="803">
        <f t="shared" ref="F24:K24" si="2">SUM(F21:F23)</f>
        <v>10528</v>
      </c>
      <c r="G24" s="803">
        <f t="shared" si="2"/>
        <v>1011</v>
      </c>
      <c r="H24" s="803">
        <f t="shared" si="2"/>
        <v>3258</v>
      </c>
      <c r="I24" s="803">
        <f t="shared" si="2"/>
        <v>97</v>
      </c>
      <c r="J24" s="803">
        <f t="shared" si="2"/>
        <v>3800</v>
      </c>
      <c r="K24" s="1371">
        <f t="shared" si="2"/>
        <v>0</v>
      </c>
      <c r="L24" s="1142"/>
      <c r="M24" s="1142"/>
      <c r="N24" s="1142"/>
      <c r="O24" s="1142"/>
    </row>
    <row r="25" spans="1:15" ht="15">
      <c r="A25" s="799">
        <v>17</v>
      </c>
      <c r="B25" s="799" t="s">
        <v>65</v>
      </c>
      <c r="C25" s="800">
        <f>C24+C20+C16+C12</f>
        <v>57566</v>
      </c>
      <c r="D25" s="801"/>
      <c r="E25" s="802"/>
      <c r="F25" s="800">
        <f t="shared" ref="F25:K25" si="3">F24+F20+F16+F12</f>
        <v>38379</v>
      </c>
      <c r="G25" s="800">
        <f t="shared" si="3"/>
        <v>3913</v>
      </c>
      <c r="H25" s="800">
        <f t="shared" si="3"/>
        <v>13709</v>
      </c>
      <c r="I25" s="800">
        <f t="shared" si="3"/>
        <v>1565</v>
      </c>
      <c r="J25" s="800">
        <f t="shared" si="3"/>
        <v>9201</v>
      </c>
      <c r="K25" s="800">
        <f t="shared" si="3"/>
        <v>0</v>
      </c>
      <c r="L25" s="1143"/>
      <c r="M25" s="1143"/>
      <c r="N25" s="1143"/>
      <c r="O25" s="1143"/>
    </row>
    <row r="26" spans="1:15">
      <c r="A26" s="129"/>
      <c r="B26" s="129" t="s">
        <v>499</v>
      </c>
      <c r="C26" s="803">
        <f>(C25*1000)/12</f>
        <v>4797166.666666667</v>
      </c>
      <c r="D26" s="129"/>
      <c r="E26" s="129"/>
      <c r="F26" s="129"/>
      <c r="G26" s="129"/>
      <c r="H26" s="129"/>
      <c r="I26" s="804"/>
      <c r="J26" s="806"/>
      <c r="K26" s="806"/>
      <c r="L26" s="97"/>
      <c r="M26" s="97"/>
      <c r="N26" s="97"/>
      <c r="O26" s="97"/>
    </row>
    <row r="27" spans="1:15">
      <c r="J27" s="2"/>
      <c r="L27" s="97"/>
      <c r="M27" s="97"/>
      <c r="N27" s="97"/>
      <c r="O27" s="97"/>
    </row>
    <row r="28" spans="1:15">
      <c r="A28" s="868" t="s">
        <v>1052</v>
      </c>
      <c r="C28" s="1144">
        <f>C25</f>
        <v>57566</v>
      </c>
      <c r="J28" s="2"/>
      <c r="L28" s="97"/>
      <c r="M28" s="97"/>
      <c r="N28" s="97"/>
      <c r="O28" s="97"/>
    </row>
    <row r="29" spans="1:15" ht="24" customHeight="1">
      <c r="A29" s="868" t="s">
        <v>1051</v>
      </c>
      <c r="C29" s="1144">
        <f>G25+H25+I25</f>
        <v>19187</v>
      </c>
      <c r="D29" s="1960" t="s">
        <v>105</v>
      </c>
      <c r="E29" s="1960"/>
      <c r="F29" s="1960"/>
      <c r="G29" s="1960"/>
      <c r="H29" s="1960"/>
      <c r="I29" s="1960"/>
      <c r="J29" s="1960"/>
      <c r="K29" s="1960"/>
      <c r="L29" s="97"/>
      <c r="M29" s="97"/>
      <c r="N29" s="97"/>
      <c r="O29" s="97"/>
    </row>
    <row r="30" spans="1:15">
      <c r="A30" s="788"/>
      <c r="J30" s="2"/>
      <c r="L30" s="97"/>
      <c r="M30" s="97"/>
      <c r="N30" s="97"/>
      <c r="O30" s="97"/>
    </row>
    <row r="31" spans="1:15">
      <c r="A31" s="788" t="s">
        <v>66</v>
      </c>
      <c r="F31" s="92"/>
      <c r="J31" s="2"/>
      <c r="L31" s="97"/>
      <c r="M31" s="97"/>
      <c r="N31" s="97"/>
      <c r="O31" s="97"/>
    </row>
    <row r="32" spans="1:15" ht="51">
      <c r="A32" s="790" t="s">
        <v>150</v>
      </c>
      <c r="B32" s="129" t="s">
        <v>738</v>
      </c>
      <c r="C32" s="791" t="s">
        <v>58</v>
      </c>
      <c r="D32" s="791" t="s">
        <v>59</v>
      </c>
      <c r="E32" s="791" t="s">
        <v>60</v>
      </c>
      <c r="F32" s="791" t="s">
        <v>321</v>
      </c>
      <c r="G32" s="791" t="s">
        <v>61</v>
      </c>
      <c r="H32" s="791" t="s">
        <v>62</v>
      </c>
      <c r="I32" s="792" t="s">
        <v>1144</v>
      </c>
      <c r="J32" s="792" t="s">
        <v>63</v>
      </c>
      <c r="K32" s="792" t="s">
        <v>1145</v>
      </c>
      <c r="L32" s="97"/>
      <c r="M32" s="97"/>
      <c r="N32" s="97"/>
      <c r="O32" s="97"/>
    </row>
    <row r="33" spans="1:15">
      <c r="A33" s="129"/>
      <c r="B33" s="129"/>
      <c r="C33" s="129"/>
      <c r="D33" s="129"/>
      <c r="E33" s="129"/>
      <c r="F33" s="129"/>
      <c r="G33" s="129"/>
      <c r="H33" s="129"/>
      <c r="I33" s="793"/>
      <c r="J33" s="805"/>
      <c r="K33" s="793"/>
      <c r="L33" s="97"/>
      <c r="M33" s="97"/>
      <c r="N33" s="97"/>
      <c r="O33" s="97"/>
    </row>
    <row r="34" spans="1:15">
      <c r="A34" s="129">
        <v>1</v>
      </c>
      <c r="B34" s="129" t="s">
        <v>543</v>
      </c>
      <c r="C34" s="794">
        <v>700</v>
      </c>
      <c r="D34" s="1739"/>
      <c r="E34" s="1740"/>
      <c r="F34" s="1737"/>
      <c r="G34" s="1737"/>
      <c r="H34" s="1739">
        <v>400</v>
      </c>
      <c r="I34" s="1739">
        <v>300</v>
      </c>
      <c r="J34" s="1738"/>
      <c r="K34" s="1739"/>
      <c r="L34" s="97"/>
      <c r="M34" s="97"/>
      <c r="N34" s="97"/>
      <c r="O34" s="97"/>
    </row>
    <row r="35" spans="1:15">
      <c r="A35" s="129">
        <v>2</v>
      </c>
      <c r="B35" s="129" t="s">
        <v>544</v>
      </c>
      <c r="C35" s="794">
        <v>700</v>
      </c>
      <c r="D35" s="1739"/>
      <c r="E35" s="1740"/>
      <c r="F35" s="1737"/>
      <c r="G35" s="1737"/>
      <c r="H35" s="1749">
        <v>400</v>
      </c>
      <c r="I35" s="1739">
        <v>300</v>
      </c>
      <c r="J35" s="1738"/>
      <c r="K35" s="1739"/>
      <c r="L35" s="97"/>
      <c r="M35" s="97"/>
      <c r="N35" s="97"/>
      <c r="O35" s="97"/>
    </row>
    <row r="36" spans="1:15">
      <c r="A36" s="129">
        <v>3</v>
      </c>
      <c r="B36" s="129" t="s">
        <v>545</v>
      </c>
      <c r="C36" s="794">
        <v>400</v>
      </c>
      <c r="D36" s="1739"/>
      <c r="E36" s="1740"/>
      <c r="F36" s="1737"/>
      <c r="G36" s="1737"/>
      <c r="H36" s="1749">
        <v>400</v>
      </c>
      <c r="I36" s="1739"/>
      <c r="J36" s="1738"/>
      <c r="K36" s="1739"/>
      <c r="L36" s="97"/>
      <c r="M36" s="97"/>
      <c r="N36" s="97"/>
      <c r="O36" s="97"/>
    </row>
    <row r="37" spans="1:15">
      <c r="A37" s="795">
        <v>4</v>
      </c>
      <c r="B37" s="795" t="s">
        <v>64</v>
      </c>
      <c r="C37" s="803">
        <f>SUM(C34:C36)</f>
        <v>1800</v>
      </c>
      <c r="D37" s="797"/>
      <c r="E37" s="797"/>
      <c r="F37" s="803">
        <f t="shared" ref="F37:K37" si="4">SUM(F34:F36)</f>
        <v>0</v>
      </c>
      <c r="G37" s="803">
        <f t="shared" si="4"/>
        <v>0</v>
      </c>
      <c r="H37" s="803">
        <f t="shared" si="4"/>
        <v>1200</v>
      </c>
      <c r="I37" s="803">
        <f t="shared" si="4"/>
        <v>600</v>
      </c>
      <c r="J37" s="803">
        <f t="shared" si="4"/>
        <v>0</v>
      </c>
      <c r="K37" s="803">
        <f t="shared" si="4"/>
        <v>0</v>
      </c>
      <c r="L37" s="1142"/>
      <c r="M37" s="1142"/>
      <c r="N37" s="1142"/>
      <c r="O37" s="1142"/>
    </row>
    <row r="38" spans="1:15">
      <c r="A38" s="129">
        <v>5</v>
      </c>
      <c r="B38" s="129" t="s">
        <v>742</v>
      </c>
      <c r="C38" s="794">
        <v>400</v>
      </c>
      <c r="D38" s="1743"/>
      <c r="E38" s="1742"/>
      <c r="F38" s="1741"/>
      <c r="G38" s="1741"/>
      <c r="H38" s="1749">
        <v>400</v>
      </c>
      <c r="I38" s="1741"/>
      <c r="J38" s="1741"/>
      <c r="K38" s="1741"/>
      <c r="L38" s="97"/>
      <c r="M38" s="97"/>
      <c r="N38" s="97"/>
      <c r="O38" s="97"/>
    </row>
    <row r="39" spans="1:15">
      <c r="A39" s="129">
        <v>6</v>
      </c>
      <c r="B39" s="129" t="s">
        <v>743</v>
      </c>
      <c r="C39" s="794">
        <v>400</v>
      </c>
      <c r="D39" s="1743"/>
      <c r="E39" s="1742"/>
      <c r="F39" s="1741"/>
      <c r="G39" s="1741"/>
      <c r="H39" s="1749">
        <v>400</v>
      </c>
      <c r="I39" s="1741"/>
      <c r="J39" s="1741"/>
      <c r="K39" s="1741"/>
      <c r="L39" s="97"/>
      <c r="M39" s="97"/>
      <c r="N39" s="97"/>
      <c r="O39" s="97"/>
    </row>
    <row r="40" spans="1:15">
      <c r="A40" s="129">
        <v>7</v>
      </c>
      <c r="B40" s="129" t="s">
        <v>744</v>
      </c>
      <c r="C40" s="794">
        <v>700</v>
      </c>
      <c r="D40" s="1743"/>
      <c r="E40" s="1742"/>
      <c r="F40" s="1741"/>
      <c r="G40" s="1741"/>
      <c r="H40" s="1749">
        <v>400</v>
      </c>
      <c r="I40" s="1741">
        <v>300</v>
      </c>
      <c r="J40" s="1741"/>
      <c r="K40" s="1741"/>
      <c r="L40" s="97"/>
      <c r="M40" s="97"/>
      <c r="N40" s="97"/>
      <c r="O40" s="97"/>
    </row>
    <row r="41" spans="1:15">
      <c r="A41" s="795">
        <v>8</v>
      </c>
      <c r="B41" s="795" t="s">
        <v>64</v>
      </c>
      <c r="C41" s="803">
        <f>SUM(C38:C40)</f>
        <v>1500</v>
      </c>
      <c r="D41" s="797"/>
      <c r="E41" s="797"/>
      <c r="F41" s="803">
        <f t="shared" ref="F41:K41" si="5">SUM(F38:F40)</f>
        <v>0</v>
      </c>
      <c r="G41" s="803">
        <f t="shared" si="5"/>
        <v>0</v>
      </c>
      <c r="H41" s="803">
        <f t="shared" si="5"/>
        <v>1200</v>
      </c>
      <c r="I41" s="803">
        <f t="shared" si="5"/>
        <v>300</v>
      </c>
      <c r="J41" s="803">
        <f t="shared" si="5"/>
        <v>0</v>
      </c>
      <c r="K41" s="803">
        <f t="shared" si="5"/>
        <v>0</v>
      </c>
      <c r="L41" s="1142"/>
      <c r="M41" s="1142"/>
      <c r="N41" s="1142"/>
      <c r="O41" s="1142"/>
    </row>
    <row r="42" spans="1:15">
      <c r="A42" s="129">
        <v>9</v>
      </c>
      <c r="B42" s="129" t="s">
        <v>546</v>
      </c>
      <c r="C42" s="794">
        <v>700</v>
      </c>
      <c r="D42" s="1746"/>
      <c r="E42" s="1745"/>
      <c r="F42" s="1744"/>
      <c r="G42" s="1744"/>
      <c r="H42" s="1749">
        <v>400</v>
      </c>
      <c r="I42" s="1744">
        <v>300</v>
      </c>
      <c r="J42" s="1744"/>
      <c r="K42" s="1744"/>
      <c r="L42" s="97"/>
      <c r="M42" s="97"/>
      <c r="N42" s="97"/>
      <c r="O42" s="97"/>
    </row>
    <row r="43" spans="1:15">
      <c r="A43" s="129">
        <v>10</v>
      </c>
      <c r="B43" s="129" t="s">
        <v>547</v>
      </c>
      <c r="C43" s="794">
        <v>700</v>
      </c>
      <c r="D43" s="1746"/>
      <c r="E43" s="1745"/>
      <c r="F43" s="1747"/>
      <c r="G43" s="1747"/>
      <c r="H43" s="1749">
        <v>400</v>
      </c>
      <c r="I43" s="1744">
        <v>300</v>
      </c>
      <c r="J43" s="1744">
        <v>75</v>
      </c>
      <c r="K43" s="1744"/>
      <c r="L43" s="97"/>
      <c r="M43" s="97"/>
      <c r="N43" s="97"/>
      <c r="O43" s="97"/>
    </row>
    <row r="44" spans="1:15">
      <c r="A44" s="129">
        <v>11</v>
      </c>
      <c r="B44" s="129" t="s">
        <v>548</v>
      </c>
      <c r="C44" s="794">
        <v>700</v>
      </c>
      <c r="D44" s="1746"/>
      <c r="E44" s="1745"/>
      <c r="F44" s="1747"/>
      <c r="G44" s="1747"/>
      <c r="H44" s="1749">
        <v>400</v>
      </c>
      <c r="I44" s="1744">
        <v>300</v>
      </c>
      <c r="J44" s="1744"/>
      <c r="K44" s="1744"/>
      <c r="L44" s="97"/>
      <c r="M44" s="97"/>
      <c r="N44" s="97"/>
      <c r="O44" s="97"/>
    </row>
    <row r="45" spans="1:15">
      <c r="A45" s="795">
        <v>12</v>
      </c>
      <c r="B45" s="795" t="s">
        <v>64</v>
      </c>
      <c r="C45" s="803">
        <f>SUM(C42:C44)</f>
        <v>2100</v>
      </c>
      <c r="D45" s="797"/>
      <c r="E45" s="797"/>
      <c r="F45" s="803">
        <f t="shared" ref="F45:K45" si="6">SUM(F42:F44)</f>
        <v>0</v>
      </c>
      <c r="G45" s="803">
        <f t="shared" si="6"/>
        <v>0</v>
      </c>
      <c r="H45" s="803">
        <f t="shared" si="6"/>
        <v>1200</v>
      </c>
      <c r="I45" s="803">
        <f t="shared" si="6"/>
        <v>900</v>
      </c>
      <c r="J45" s="803">
        <f t="shared" si="6"/>
        <v>75</v>
      </c>
      <c r="K45" s="803">
        <f t="shared" si="6"/>
        <v>0</v>
      </c>
      <c r="L45" s="1142"/>
      <c r="M45" s="1142"/>
      <c r="N45" s="1142"/>
      <c r="O45" s="1142"/>
    </row>
    <row r="46" spans="1:15">
      <c r="A46" s="129">
        <v>13</v>
      </c>
      <c r="B46" s="129" t="s">
        <v>549</v>
      </c>
      <c r="C46" s="794">
        <v>400</v>
      </c>
      <c r="D46" s="1749"/>
      <c r="E46" s="1748"/>
      <c r="F46" s="1747"/>
      <c r="G46" s="1747"/>
      <c r="H46" s="1749">
        <v>400</v>
      </c>
      <c r="I46" s="1747"/>
      <c r="J46" s="1747"/>
      <c r="K46" s="1747"/>
      <c r="L46" s="97"/>
      <c r="M46" s="97"/>
      <c r="N46" s="97"/>
      <c r="O46" s="97"/>
    </row>
    <row r="47" spans="1:15">
      <c r="A47" s="129">
        <v>14</v>
      </c>
      <c r="B47" s="129" t="s">
        <v>550</v>
      </c>
      <c r="C47" s="794">
        <v>700</v>
      </c>
      <c r="D47" s="1749"/>
      <c r="E47" s="1748"/>
      <c r="F47" s="1747"/>
      <c r="G47" s="1747"/>
      <c r="H47" s="1749">
        <v>400</v>
      </c>
      <c r="I47" s="1747">
        <v>300</v>
      </c>
      <c r="J47" s="1747"/>
      <c r="K47" s="1747"/>
      <c r="L47" s="97"/>
      <c r="M47" s="97"/>
      <c r="N47" s="97"/>
      <c r="O47" s="97"/>
    </row>
    <row r="48" spans="1:15">
      <c r="A48" s="129">
        <v>15</v>
      </c>
      <c r="B48" s="129" t="s">
        <v>194</v>
      </c>
      <c r="C48" s="794">
        <v>700</v>
      </c>
      <c r="D48" s="1749"/>
      <c r="E48" s="1748"/>
      <c r="F48" s="1747"/>
      <c r="G48" s="1747"/>
      <c r="H48" s="1749">
        <v>400</v>
      </c>
      <c r="I48" s="1747">
        <v>300</v>
      </c>
      <c r="J48" s="1747"/>
      <c r="K48" s="1747"/>
      <c r="L48" s="97"/>
      <c r="M48" s="97"/>
      <c r="N48" s="97"/>
      <c r="O48" s="97"/>
    </row>
    <row r="49" spans="1:15">
      <c r="A49" s="795">
        <v>16</v>
      </c>
      <c r="B49" s="795" t="s">
        <v>64</v>
      </c>
      <c r="C49" s="803">
        <f>SUM(C46:C48)</f>
        <v>1800</v>
      </c>
      <c r="D49" s="798"/>
      <c r="E49" s="797"/>
      <c r="F49" s="803">
        <f t="shared" ref="F49:K49" si="7">SUM(F46:F48)</f>
        <v>0</v>
      </c>
      <c r="G49" s="803">
        <f t="shared" si="7"/>
        <v>0</v>
      </c>
      <c r="H49" s="803">
        <f t="shared" si="7"/>
        <v>1200</v>
      </c>
      <c r="I49" s="803">
        <f t="shared" si="7"/>
        <v>600</v>
      </c>
      <c r="J49" s="803">
        <f t="shared" si="7"/>
        <v>0</v>
      </c>
      <c r="K49" s="803">
        <f t="shared" si="7"/>
        <v>0</v>
      </c>
      <c r="L49" s="1142"/>
      <c r="M49" s="1142"/>
      <c r="N49" s="1142"/>
      <c r="O49" s="1142"/>
    </row>
    <row r="50" spans="1:15" ht="15">
      <c r="A50" s="799">
        <v>17</v>
      </c>
      <c r="B50" s="799" t="s">
        <v>65</v>
      </c>
      <c r="C50" s="800">
        <f>C49+C45+C41+C37</f>
        <v>7200</v>
      </c>
      <c r="D50" s="801"/>
      <c r="E50" s="802"/>
      <c r="F50" s="800">
        <f t="shared" ref="F50:K50" si="8">F49+F45+F41+F37</f>
        <v>0</v>
      </c>
      <c r="G50" s="800">
        <f t="shared" si="8"/>
        <v>0</v>
      </c>
      <c r="H50" s="800">
        <f t="shared" si="8"/>
        <v>4800</v>
      </c>
      <c r="I50" s="800">
        <f t="shared" si="8"/>
        <v>2400</v>
      </c>
      <c r="J50" s="800">
        <f t="shared" si="8"/>
        <v>75</v>
      </c>
      <c r="K50" s="800">
        <f t="shared" si="8"/>
        <v>0</v>
      </c>
      <c r="L50" s="1143"/>
      <c r="M50" s="1143"/>
      <c r="N50" s="1143"/>
      <c r="O50" s="1143"/>
    </row>
    <row r="51" spans="1:15">
      <c r="A51" s="129"/>
      <c r="B51" s="129" t="s">
        <v>499</v>
      </c>
      <c r="C51" s="803">
        <f>(C50*1000)/12</f>
        <v>600000</v>
      </c>
      <c r="D51" s="129"/>
      <c r="E51" s="129"/>
      <c r="F51" s="129"/>
      <c r="G51" s="129"/>
      <c r="H51" s="129"/>
      <c r="I51" s="804"/>
      <c r="J51" s="806"/>
      <c r="K51" s="804"/>
      <c r="L51" s="97"/>
      <c r="M51" s="97"/>
      <c r="N51" s="97"/>
      <c r="O51" s="97"/>
    </row>
    <row r="52" spans="1:15">
      <c r="B52" s="807"/>
      <c r="C52" s="451"/>
      <c r="J52" s="2"/>
      <c r="L52" s="97"/>
      <c r="M52" s="97"/>
      <c r="N52" s="97"/>
      <c r="O52" s="97"/>
    </row>
    <row r="53" spans="1:15">
      <c r="A53" s="788"/>
      <c r="J53" s="2"/>
      <c r="L53" s="97"/>
      <c r="M53" s="97"/>
      <c r="N53" s="97"/>
      <c r="O53" s="97"/>
    </row>
    <row r="54" spans="1:15">
      <c r="A54" s="788" t="s">
        <v>104</v>
      </c>
      <c r="E54" s="808"/>
      <c r="L54" s="97"/>
      <c r="M54" s="97"/>
      <c r="N54" s="97"/>
      <c r="O54" s="97"/>
    </row>
    <row r="55" spans="1:15" ht="51">
      <c r="A55" s="790" t="s">
        <v>150</v>
      </c>
      <c r="B55" s="129" t="s">
        <v>738</v>
      </c>
      <c r="C55" s="791" t="s">
        <v>58</v>
      </c>
      <c r="D55" s="791" t="s">
        <v>59</v>
      </c>
      <c r="E55" s="791" t="s">
        <v>60</v>
      </c>
      <c r="F55" s="791" t="s">
        <v>321</v>
      </c>
      <c r="G55" s="791" t="s">
        <v>61</v>
      </c>
      <c r="H55" s="791" t="s">
        <v>62</v>
      </c>
      <c r="I55" s="792" t="s">
        <v>1144</v>
      </c>
      <c r="J55" s="792" t="s">
        <v>63</v>
      </c>
      <c r="K55" s="792" t="s">
        <v>1145</v>
      </c>
      <c r="L55" s="97"/>
      <c r="M55" s="97"/>
      <c r="N55" s="97"/>
      <c r="O55" s="97"/>
    </row>
    <row r="56" spans="1:15">
      <c r="A56" s="129"/>
      <c r="B56" s="129"/>
      <c r="C56" s="129"/>
      <c r="D56" s="129"/>
      <c r="E56" s="129"/>
      <c r="F56" s="129"/>
      <c r="G56" s="129"/>
      <c r="H56" s="129"/>
      <c r="I56" s="793"/>
      <c r="J56" s="793"/>
      <c r="K56" s="793"/>
      <c r="L56" s="97"/>
      <c r="M56" s="97"/>
      <c r="N56" s="97"/>
      <c r="O56" s="97"/>
    </row>
    <row r="57" spans="1:15">
      <c r="A57" s="129">
        <v>1</v>
      </c>
      <c r="B57" s="129" t="s">
        <v>543</v>
      </c>
      <c r="C57" s="794">
        <v>663</v>
      </c>
      <c r="D57" s="1752"/>
      <c r="E57" s="1751"/>
      <c r="F57" s="1750"/>
      <c r="G57" s="1750"/>
      <c r="H57" s="1750">
        <v>663</v>
      </c>
      <c r="I57" s="1750"/>
      <c r="J57" s="1750"/>
      <c r="K57" s="1750"/>
      <c r="L57" s="97"/>
      <c r="M57" s="97"/>
      <c r="N57" s="97"/>
      <c r="O57" s="97"/>
    </row>
    <row r="58" spans="1:15">
      <c r="A58" s="129">
        <v>2</v>
      </c>
      <c r="B58" s="129" t="s">
        <v>544</v>
      </c>
      <c r="C58" s="794">
        <v>663</v>
      </c>
      <c r="D58" s="1752"/>
      <c r="E58" s="1751"/>
      <c r="F58" s="1750"/>
      <c r="G58" s="1750"/>
      <c r="H58" s="1759">
        <v>663</v>
      </c>
      <c r="I58" s="1750"/>
      <c r="J58" s="1750"/>
      <c r="K58" s="1750"/>
      <c r="L58" s="97"/>
      <c r="M58" s="97"/>
      <c r="N58" s="97"/>
      <c r="O58" s="97"/>
    </row>
    <row r="59" spans="1:15">
      <c r="A59" s="129">
        <v>3</v>
      </c>
      <c r="B59" s="129" t="s">
        <v>545</v>
      </c>
      <c r="C59" s="794">
        <v>663</v>
      </c>
      <c r="D59" s="1752"/>
      <c r="E59" s="1751"/>
      <c r="F59" s="1750"/>
      <c r="G59" s="1750"/>
      <c r="H59" s="1759">
        <v>663</v>
      </c>
      <c r="I59" s="1750"/>
      <c r="J59" s="1750"/>
      <c r="K59" s="1750"/>
      <c r="L59" s="97"/>
      <c r="M59" s="97"/>
      <c r="N59" s="97"/>
      <c r="O59" s="97"/>
    </row>
    <row r="60" spans="1:15">
      <c r="A60" s="795">
        <v>4</v>
      </c>
      <c r="B60" s="795" t="s">
        <v>64</v>
      </c>
      <c r="C60" s="803">
        <f>SUM(C57:C59)</f>
        <v>1989</v>
      </c>
      <c r="D60" s="797"/>
      <c r="E60" s="797"/>
      <c r="F60" s="803">
        <v>0</v>
      </c>
      <c r="G60" s="803">
        <v>0</v>
      </c>
      <c r="H60" s="803">
        <f>SUM(H57:H59)</f>
        <v>1989</v>
      </c>
      <c r="I60" s="803">
        <v>0</v>
      </c>
      <c r="J60" s="803">
        <v>0</v>
      </c>
      <c r="K60" s="803">
        <v>0</v>
      </c>
      <c r="L60" s="1142"/>
      <c r="M60" s="1142"/>
      <c r="N60" s="1142"/>
      <c r="O60" s="1142"/>
    </row>
    <row r="61" spans="1:15">
      <c r="A61" s="129">
        <v>5</v>
      </c>
      <c r="B61" s="129" t="s">
        <v>742</v>
      </c>
      <c r="C61" s="794">
        <v>663</v>
      </c>
      <c r="D61" s="1755"/>
      <c r="E61" s="1754"/>
      <c r="F61" s="1753"/>
      <c r="G61" s="1753"/>
      <c r="H61" s="1759">
        <v>663</v>
      </c>
      <c r="I61" s="1753"/>
      <c r="J61" s="1753"/>
      <c r="K61" s="1753"/>
      <c r="L61" s="97"/>
      <c r="M61" s="97"/>
      <c r="N61" s="97"/>
      <c r="O61" s="97"/>
    </row>
    <row r="62" spans="1:15">
      <c r="A62" s="129">
        <v>6</v>
      </c>
      <c r="B62" s="129" t="s">
        <v>743</v>
      </c>
      <c r="C62" s="794">
        <v>663</v>
      </c>
      <c r="D62" s="1755"/>
      <c r="E62" s="1754"/>
      <c r="F62" s="1753"/>
      <c r="G62" s="1753"/>
      <c r="H62" s="1759">
        <v>663</v>
      </c>
      <c r="I62" s="1753"/>
      <c r="J62" s="1753"/>
      <c r="K62" s="1753"/>
      <c r="L62" s="97"/>
      <c r="M62" s="97"/>
      <c r="N62" s="97"/>
      <c r="O62" s="97"/>
    </row>
    <row r="63" spans="1:15">
      <c r="A63" s="129">
        <v>7</v>
      </c>
      <c r="B63" s="129" t="s">
        <v>744</v>
      </c>
      <c r="C63" s="794">
        <v>663</v>
      </c>
      <c r="D63" s="1755"/>
      <c r="E63" s="1754"/>
      <c r="F63" s="1753"/>
      <c r="G63" s="1753"/>
      <c r="H63" s="1759">
        <v>663</v>
      </c>
      <c r="I63" s="1753"/>
      <c r="J63" s="1753"/>
      <c r="K63" s="1753"/>
      <c r="L63" s="97"/>
      <c r="M63" s="97"/>
      <c r="N63" s="97"/>
      <c r="O63" s="97"/>
    </row>
    <row r="64" spans="1:15">
      <c r="A64" s="795">
        <v>8</v>
      </c>
      <c r="B64" s="795" t="s">
        <v>64</v>
      </c>
      <c r="C64" s="803">
        <f>SUM(C61:C63)</f>
        <v>1989</v>
      </c>
      <c r="D64" s="797"/>
      <c r="E64" s="797"/>
      <c r="F64" s="803">
        <v>0</v>
      </c>
      <c r="G64" s="803">
        <v>0</v>
      </c>
      <c r="H64" s="803">
        <f>SUM(H61:H63)</f>
        <v>1989</v>
      </c>
      <c r="I64" s="803">
        <v>0</v>
      </c>
      <c r="J64" s="803">
        <v>0</v>
      </c>
      <c r="K64" s="803">
        <v>0</v>
      </c>
      <c r="L64" s="1142"/>
      <c r="M64" s="1142"/>
      <c r="N64" s="1142"/>
      <c r="O64" s="1142"/>
    </row>
    <row r="65" spans="1:15">
      <c r="A65" s="129">
        <v>9</v>
      </c>
      <c r="B65" s="129" t="s">
        <v>546</v>
      </c>
      <c r="C65" s="794">
        <v>663</v>
      </c>
      <c r="D65" s="1758"/>
      <c r="E65" s="1757"/>
      <c r="F65" s="1756"/>
      <c r="G65" s="1756"/>
      <c r="H65" s="1759">
        <v>663</v>
      </c>
      <c r="I65" s="1756"/>
      <c r="J65" s="1756"/>
      <c r="K65" s="1756"/>
      <c r="L65" s="97"/>
      <c r="M65" s="97"/>
      <c r="N65" s="97"/>
      <c r="O65" s="97"/>
    </row>
    <row r="66" spans="1:15">
      <c r="A66" s="129">
        <v>10</v>
      </c>
      <c r="B66" s="129" t="s">
        <v>547</v>
      </c>
      <c r="C66" s="794">
        <v>663</v>
      </c>
      <c r="D66" s="1758"/>
      <c r="E66" s="1757"/>
      <c r="F66" s="1756"/>
      <c r="G66" s="1756"/>
      <c r="H66" s="1759">
        <v>663</v>
      </c>
      <c r="I66" s="1756"/>
      <c r="J66" s="1756"/>
      <c r="K66" s="1756"/>
      <c r="L66" s="97"/>
      <c r="M66" s="97"/>
      <c r="N66" s="97"/>
      <c r="O66" s="97"/>
    </row>
    <row r="67" spans="1:15">
      <c r="A67" s="129">
        <v>11</v>
      </c>
      <c r="B67" s="129" t="s">
        <v>548</v>
      </c>
      <c r="C67" s="794">
        <v>663</v>
      </c>
      <c r="D67" s="1758"/>
      <c r="E67" s="1757"/>
      <c r="F67" s="1756"/>
      <c r="G67" s="1756"/>
      <c r="H67" s="1759">
        <v>663</v>
      </c>
      <c r="I67" s="1756"/>
      <c r="J67" s="1756"/>
      <c r="K67" s="1756"/>
      <c r="L67" s="97"/>
      <c r="M67" s="97"/>
      <c r="N67" s="97"/>
      <c r="O67" s="97"/>
    </row>
    <row r="68" spans="1:15">
      <c r="A68" s="795">
        <v>12</v>
      </c>
      <c r="B68" s="795" t="s">
        <v>64</v>
      </c>
      <c r="C68" s="803">
        <f>SUM(C65:C67)</f>
        <v>1989</v>
      </c>
      <c r="D68" s="797"/>
      <c r="E68" s="797"/>
      <c r="F68" s="803">
        <v>0</v>
      </c>
      <c r="G68" s="803">
        <v>0</v>
      </c>
      <c r="H68" s="803">
        <f>SUM(H65:H67)</f>
        <v>1989</v>
      </c>
      <c r="I68" s="803">
        <v>0</v>
      </c>
      <c r="J68" s="803">
        <v>0</v>
      </c>
      <c r="K68" s="803">
        <v>0</v>
      </c>
      <c r="L68" s="1142"/>
      <c r="M68" s="1142"/>
      <c r="N68" s="1142"/>
      <c r="O68" s="1142"/>
    </row>
    <row r="69" spans="1:15">
      <c r="A69" s="129">
        <v>13</v>
      </c>
      <c r="B69" s="129" t="s">
        <v>549</v>
      </c>
      <c r="C69" s="794">
        <v>663</v>
      </c>
      <c r="D69" s="1761"/>
      <c r="E69" s="1760"/>
      <c r="F69" s="1759"/>
      <c r="G69" s="1759"/>
      <c r="H69" s="1759">
        <v>663</v>
      </c>
      <c r="I69" s="1759"/>
      <c r="J69" s="1759"/>
      <c r="K69" s="1759"/>
      <c r="L69" s="97"/>
      <c r="M69" s="97"/>
      <c r="N69" s="97"/>
      <c r="O69" s="97"/>
    </row>
    <row r="70" spans="1:15">
      <c r="A70" s="129">
        <v>14</v>
      </c>
      <c r="B70" s="129" t="s">
        <v>550</v>
      </c>
      <c r="C70" s="794">
        <v>663</v>
      </c>
      <c r="D70" s="1761"/>
      <c r="E70" s="1760"/>
      <c r="F70" s="1759"/>
      <c r="G70" s="1759"/>
      <c r="H70" s="1759">
        <v>663</v>
      </c>
      <c r="I70" s="1759"/>
      <c r="J70" s="1759"/>
      <c r="K70" s="1759"/>
      <c r="L70" s="97"/>
      <c r="M70" s="97"/>
      <c r="N70" s="97"/>
      <c r="O70" s="97"/>
    </row>
    <row r="71" spans="1:15">
      <c r="A71" s="129">
        <v>15</v>
      </c>
      <c r="B71" s="129" t="s">
        <v>194</v>
      </c>
      <c r="C71" s="794">
        <v>663</v>
      </c>
      <c r="D71" s="1761"/>
      <c r="E71" s="1760"/>
      <c r="F71" s="1759"/>
      <c r="G71" s="1759"/>
      <c r="H71" s="1759">
        <v>663</v>
      </c>
      <c r="I71" s="1759"/>
      <c r="J71" s="1759"/>
      <c r="K71" s="1759"/>
      <c r="L71" s="97"/>
      <c r="M71" s="97"/>
      <c r="N71" s="97"/>
      <c r="O71" s="97"/>
    </row>
    <row r="72" spans="1:15">
      <c r="A72" s="795">
        <v>16</v>
      </c>
      <c r="B72" s="795" t="s">
        <v>64</v>
      </c>
      <c r="C72" s="803">
        <f>SUM(C69:C71)</f>
        <v>1989</v>
      </c>
      <c r="D72" s="798"/>
      <c r="E72" s="797"/>
      <c r="F72" s="803">
        <v>0</v>
      </c>
      <c r="G72" s="803">
        <v>0</v>
      </c>
      <c r="H72" s="803">
        <f>SUM(H69:H71)</f>
        <v>1989</v>
      </c>
      <c r="I72" s="803">
        <v>0</v>
      </c>
      <c r="J72" s="803">
        <v>0</v>
      </c>
      <c r="K72" s="803">
        <v>0</v>
      </c>
      <c r="L72" s="1142"/>
      <c r="M72" s="1142"/>
      <c r="N72" s="1142"/>
      <c r="O72" s="1142"/>
    </row>
    <row r="73" spans="1:15" ht="15">
      <c r="A73" s="799">
        <v>17</v>
      </c>
      <c r="B73" s="799" t="s">
        <v>65</v>
      </c>
      <c r="C73" s="800">
        <f>C72+C68+C64+C60</f>
        <v>7956</v>
      </c>
      <c r="D73" s="801"/>
      <c r="E73" s="802"/>
      <c r="F73" s="800">
        <v>0</v>
      </c>
      <c r="G73" s="800">
        <v>0</v>
      </c>
      <c r="H73" s="800">
        <f>H72+H68+H64+H60</f>
        <v>7956</v>
      </c>
      <c r="I73" s="800">
        <f>I60+I64+I68+I72</f>
        <v>0</v>
      </c>
      <c r="J73" s="800">
        <f>J60+J64+J68+J72</f>
        <v>0</v>
      </c>
      <c r="K73" s="800">
        <v>0</v>
      </c>
      <c r="L73" s="1143"/>
      <c r="M73" s="1143"/>
      <c r="N73" s="1143"/>
      <c r="O73" s="1143"/>
    </row>
    <row r="74" spans="1:15">
      <c r="A74" s="129"/>
      <c r="B74" s="129" t="s">
        <v>499</v>
      </c>
      <c r="C74" s="803">
        <f>(C73*1000)/12</f>
        <v>663000</v>
      </c>
      <c r="D74" s="129"/>
      <c r="E74" s="129"/>
      <c r="F74" s="129"/>
      <c r="G74" s="129"/>
      <c r="H74" s="129"/>
      <c r="I74" s="804"/>
      <c r="J74" s="804"/>
      <c r="K74" s="804"/>
      <c r="L74" s="97"/>
      <c r="M74" s="97"/>
      <c r="N74" s="97"/>
      <c r="O74" s="97"/>
    </row>
    <row r="75" spans="1:15">
      <c r="C75" s="92"/>
    </row>
    <row r="76" spans="1:15">
      <c r="B76" s="104"/>
      <c r="C76" s="810"/>
      <c r="D76" s="97"/>
      <c r="L76" s="451"/>
    </row>
    <row r="77" spans="1:15" ht="14.25">
      <c r="B77" s="811"/>
      <c r="C77" s="811"/>
      <c r="D77" s="97"/>
    </row>
    <row r="78" spans="1:15" ht="14.25">
      <c r="B78" s="811"/>
      <c r="C78" s="811"/>
      <c r="D78" s="97"/>
    </row>
    <row r="79" spans="1:15">
      <c r="B79" s="97"/>
      <c r="C79" s="97"/>
      <c r="D79" s="97"/>
    </row>
    <row r="80" spans="1:15" ht="14.25">
      <c r="B80" s="811"/>
      <c r="C80" s="811"/>
      <c r="D80" s="97"/>
    </row>
    <row r="81" spans="2:4">
      <c r="B81" s="97"/>
      <c r="C81" s="97"/>
      <c r="D81" s="97"/>
    </row>
    <row r="82" spans="2:4">
      <c r="B82" s="97"/>
      <c r="C82" s="97"/>
      <c r="D82" s="97"/>
    </row>
    <row r="83" spans="2:4">
      <c r="B83" s="97"/>
      <c r="C83" s="97"/>
      <c r="D83" s="97"/>
    </row>
  </sheetData>
  <mergeCells count="1">
    <mergeCell ref="D29:K29"/>
  </mergeCells>
  <phoneticPr fontId="74" type="noConversion"/>
  <pageMargins left="0.17" right="0.17" top="0.17" bottom="0.17" header="0.17" footer="0.17"/>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9"/>
  <sheetViews>
    <sheetView topLeftCell="A4" zoomScale="75" zoomScaleNormal="75" zoomScaleSheetLayoutView="75" workbookViewId="0">
      <pane xSplit="1" ySplit="2" topLeftCell="N261" activePane="bottomRight" state="frozen"/>
      <selection activeCell="A4" sqref="A4"/>
      <selection pane="topRight" activeCell="B4" sqref="B4"/>
      <selection pane="bottomLeft" activeCell="A6" sqref="A6"/>
      <selection pane="bottomRight" activeCell="R289" sqref="R289"/>
    </sheetView>
  </sheetViews>
  <sheetFormatPr defaultRowHeight="12.75"/>
  <cols>
    <col min="1" max="1" width="39.28515625" customWidth="1"/>
    <col min="2" max="2" width="18" bestFit="1" customWidth="1"/>
    <col min="3" max="3" width="18.5703125" bestFit="1" customWidth="1"/>
    <col min="4" max="4" width="18.28515625" bestFit="1" customWidth="1"/>
    <col min="5" max="5" width="18.5703125" bestFit="1" customWidth="1"/>
    <col min="6" max="7" width="18.28515625" bestFit="1" customWidth="1"/>
    <col min="8" max="10" width="18.5703125" bestFit="1" customWidth="1"/>
    <col min="11" max="11" width="18.28515625" bestFit="1" customWidth="1"/>
    <col min="12" max="12" width="18" bestFit="1" customWidth="1"/>
    <col min="13" max="13" width="18.5703125" bestFit="1" customWidth="1"/>
    <col min="14" max="14" width="17.85546875" customWidth="1"/>
    <col min="15" max="15" width="19.140625" bestFit="1" customWidth="1"/>
    <col min="16" max="17" width="1.5703125" customWidth="1"/>
    <col min="18" max="18" width="69.5703125" customWidth="1"/>
  </cols>
  <sheetData>
    <row r="1" spans="1:16" ht="15.75">
      <c r="A1" s="1" t="s">
        <v>656</v>
      </c>
    </row>
    <row r="3" spans="1:16">
      <c r="B3" s="831"/>
      <c r="C3" s="831"/>
      <c r="D3" s="831"/>
      <c r="E3" s="831"/>
      <c r="F3" s="831"/>
      <c r="G3" s="831"/>
      <c r="H3" s="831"/>
      <c r="I3" s="831"/>
      <c r="J3" s="831"/>
      <c r="K3" s="831"/>
      <c r="L3" s="831"/>
      <c r="M3" s="831"/>
      <c r="N3" s="831"/>
    </row>
    <row r="4" spans="1:16">
      <c r="A4" s="832" t="s">
        <v>1359</v>
      </c>
      <c r="N4" s="451"/>
    </row>
    <row r="5" spans="1:16" ht="15">
      <c r="A5" s="788"/>
      <c r="B5" s="1463">
        <v>42339</v>
      </c>
      <c r="C5" s="1463">
        <v>42370</v>
      </c>
      <c r="D5" s="1463">
        <v>42401</v>
      </c>
      <c r="E5" s="1463">
        <v>42430</v>
      </c>
      <c r="F5" s="1463">
        <v>42461</v>
      </c>
      <c r="G5" s="1463">
        <v>42491</v>
      </c>
      <c r="H5" s="1463">
        <v>42522</v>
      </c>
      <c r="I5" s="1463">
        <v>42552</v>
      </c>
      <c r="J5" s="1463">
        <v>42583</v>
      </c>
      <c r="K5" s="1463">
        <v>42614</v>
      </c>
      <c r="L5" s="1463">
        <v>42644</v>
      </c>
      <c r="M5" s="1463">
        <v>42675</v>
      </c>
      <c r="N5" s="1463">
        <v>42705</v>
      </c>
      <c r="O5" s="1464" t="s">
        <v>81</v>
      </c>
    </row>
    <row r="6" spans="1:16">
      <c r="A6" s="97" t="s">
        <v>554</v>
      </c>
      <c r="B6" s="1881">
        <v>1399546.5</v>
      </c>
      <c r="C6" s="1881">
        <v>1399546.5</v>
      </c>
      <c r="D6" s="1881">
        <v>1399546.5</v>
      </c>
      <c r="E6" s="1881">
        <v>1399546.5</v>
      </c>
      <c r="F6" s="1881">
        <v>1399546.5</v>
      </c>
      <c r="G6" s="1881">
        <v>1399546.5</v>
      </c>
      <c r="H6" s="1881">
        <v>1399546.5</v>
      </c>
      <c r="I6" s="1881">
        <v>1399546.5</v>
      </c>
      <c r="J6" s="1881">
        <v>1399546.5</v>
      </c>
      <c r="K6" s="1881">
        <v>1399546.5</v>
      </c>
      <c r="L6" s="1881">
        <v>1399546.5</v>
      </c>
      <c r="M6" s="1881">
        <v>1399546.5</v>
      </c>
      <c r="N6" s="1881">
        <v>1399546.5</v>
      </c>
      <c r="O6" s="1810">
        <f>AVERAGE(B6:N6)</f>
        <v>1399546.5</v>
      </c>
      <c r="P6" s="97"/>
    </row>
    <row r="7" spans="1:16">
      <c r="A7" s="97" t="s">
        <v>1424</v>
      </c>
      <c r="B7" s="1881">
        <v>30604.26</v>
      </c>
      <c r="C7" s="1881">
        <v>30604.26</v>
      </c>
      <c r="D7" s="1881">
        <v>30604.26</v>
      </c>
      <c r="E7" s="1881">
        <v>30604.26</v>
      </c>
      <c r="F7" s="1881">
        <v>30604.26</v>
      </c>
      <c r="G7" s="1881">
        <v>30604.26</v>
      </c>
      <c r="H7" s="1881">
        <v>30604.26</v>
      </c>
      <c r="I7" s="1881">
        <v>30604.26</v>
      </c>
      <c r="J7" s="1881">
        <v>30604.26</v>
      </c>
      <c r="K7" s="1881">
        <v>30604.26</v>
      </c>
      <c r="L7" s="1881">
        <v>30604.26</v>
      </c>
      <c r="M7" s="1881">
        <v>30604.26</v>
      </c>
      <c r="N7" s="1881">
        <v>30604.26</v>
      </c>
      <c r="O7" s="1810">
        <f t="shared" ref="O7:O47" si="0">AVERAGE(B7:N7)</f>
        <v>30604.260000000006</v>
      </c>
      <c r="P7" s="643"/>
    </row>
    <row r="8" spans="1:16">
      <c r="A8" s="97" t="s">
        <v>1425</v>
      </c>
      <c r="B8" s="1881">
        <v>52087.35</v>
      </c>
      <c r="C8" s="1881">
        <v>52087.35</v>
      </c>
      <c r="D8" s="1881">
        <v>52087.35</v>
      </c>
      <c r="E8" s="1881">
        <v>52087.35</v>
      </c>
      <c r="F8" s="1881">
        <v>52087.35</v>
      </c>
      <c r="G8" s="1881">
        <v>52087.35</v>
      </c>
      <c r="H8" s="1881">
        <v>52087.35</v>
      </c>
      <c r="I8" s="1881">
        <v>52087.35</v>
      </c>
      <c r="J8" s="1881">
        <v>52087.35</v>
      </c>
      <c r="K8" s="1881">
        <v>52087.35</v>
      </c>
      <c r="L8" s="1881">
        <v>52087.35</v>
      </c>
      <c r="M8" s="1881">
        <v>52087.35</v>
      </c>
      <c r="N8" s="1881">
        <v>52087.35</v>
      </c>
      <c r="O8" s="1810">
        <f t="shared" si="0"/>
        <v>52087.349999999984</v>
      </c>
      <c r="P8" s="97"/>
    </row>
    <row r="9" spans="1:16">
      <c r="A9" s="97" t="s">
        <v>555</v>
      </c>
      <c r="B9" s="1881">
        <v>11292596.550000001</v>
      </c>
      <c r="C9" s="1881">
        <v>11284444.189999999</v>
      </c>
      <c r="D9" s="1881">
        <v>11284444.189999999</v>
      </c>
      <c r="E9" s="1881">
        <v>11284761.380000001</v>
      </c>
      <c r="F9" s="1881">
        <v>11284761.380000001</v>
      </c>
      <c r="G9" s="1881">
        <v>11284761.380000001</v>
      </c>
      <c r="H9" s="1881">
        <v>11284761.380000001</v>
      </c>
      <c r="I9" s="1881">
        <v>11284444.189999999</v>
      </c>
      <c r="J9" s="1881">
        <v>11284444.189999999</v>
      </c>
      <c r="K9" s="1881">
        <v>11284444.189999999</v>
      </c>
      <c r="L9" s="1881">
        <v>11284444.189999999</v>
      </c>
      <c r="M9" s="1881">
        <v>11284444.189999999</v>
      </c>
      <c r="N9" s="1881">
        <v>11284444.189999999</v>
      </c>
      <c r="O9" s="1810">
        <f t="shared" si="0"/>
        <v>11285168.891538462</v>
      </c>
      <c r="P9" s="97"/>
    </row>
    <row r="10" spans="1:16">
      <c r="A10" s="97" t="s">
        <v>493</v>
      </c>
      <c r="B10" s="1881">
        <v>2459788.06</v>
      </c>
      <c r="C10" s="1881">
        <v>2459788.06</v>
      </c>
      <c r="D10" s="1881">
        <v>2472590.56</v>
      </c>
      <c r="E10" s="1881">
        <v>2478317.94</v>
      </c>
      <c r="F10" s="1881">
        <v>2478317.94</v>
      </c>
      <c r="G10" s="1881">
        <v>2478317.94</v>
      </c>
      <c r="H10" s="1881">
        <v>2478317.94</v>
      </c>
      <c r="I10" s="1881">
        <v>2478317.94</v>
      </c>
      <c r="J10" s="1881">
        <v>2478317.94</v>
      </c>
      <c r="K10" s="1881">
        <v>2478317.94</v>
      </c>
      <c r="L10" s="1881">
        <v>2478317.94</v>
      </c>
      <c r="M10" s="1881">
        <v>2478317.94</v>
      </c>
      <c r="N10" s="1881">
        <v>2478317.94</v>
      </c>
      <c r="O10" s="1810">
        <f t="shared" si="0"/>
        <v>2475026.6215384621</v>
      </c>
      <c r="P10" s="97"/>
    </row>
    <row r="11" spans="1:16">
      <c r="A11" s="97" t="s">
        <v>558</v>
      </c>
      <c r="B11" s="1881">
        <v>20311643.43</v>
      </c>
      <c r="C11" s="1881">
        <v>20311643.43</v>
      </c>
      <c r="D11" s="1881">
        <v>20311643.43</v>
      </c>
      <c r="E11" s="1881">
        <v>20311643.43</v>
      </c>
      <c r="F11" s="1881">
        <v>20311643.43</v>
      </c>
      <c r="G11" s="1881">
        <v>20311643.43</v>
      </c>
      <c r="H11" s="1881">
        <v>20311643.43</v>
      </c>
      <c r="I11" s="1881">
        <v>20311643.43</v>
      </c>
      <c r="J11" s="1881">
        <v>20311643.43</v>
      </c>
      <c r="K11" s="1881">
        <v>20311643.43</v>
      </c>
      <c r="L11" s="1881">
        <v>20311643.43</v>
      </c>
      <c r="M11" s="1881">
        <v>20311643.43</v>
      </c>
      <c r="N11" s="1881">
        <v>20311643.43</v>
      </c>
      <c r="O11" s="1810">
        <f t="shared" si="0"/>
        <v>20311643.430000003</v>
      </c>
      <c r="P11" s="97"/>
    </row>
    <row r="12" spans="1:16">
      <c r="A12" s="97" t="s">
        <v>1313</v>
      </c>
      <c r="B12" s="1881">
        <v>69899.69</v>
      </c>
      <c r="C12" s="1881">
        <v>69899.69</v>
      </c>
      <c r="D12" s="1881">
        <v>69899.69</v>
      </c>
      <c r="E12" s="1881">
        <v>69899.69</v>
      </c>
      <c r="F12" s="1881">
        <v>69899.69</v>
      </c>
      <c r="G12" s="1881">
        <v>69899.69</v>
      </c>
      <c r="H12" s="1881">
        <v>69899.69</v>
      </c>
      <c r="I12" s="1881">
        <v>69899.69</v>
      </c>
      <c r="J12" s="1881">
        <v>69899.69</v>
      </c>
      <c r="K12" s="1881">
        <v>69899.69</v>
      </c>
      <c r="L12" s="1881">
        <v>69899.69</v>
      </c>
      <c r="M12" s="1881">
        <v>69899.69</v>
      </c>
      <c r="N12" s="1881">
        <v>69899.69</v>
      </c>
      <c r="O12" s="1810">
        <f t="shared" si="0"/>
        <v>69899.689999999973</v>
      </c>
      <c r="P12" s="97"/>
    </row>
    <row r="13" spans="1:16">
      <c r="A13" s="97" t="s">
        <v>1314</v>
      </c>
      <c r="B13" s="1881">
        <v>56576.72</v>
      </c>
      <c r="C13" s="1881">
        <v>56576.72</v>
      </c>
      <c r="D13" s="1881">
        <v>56576.72</v>
      </c>
      <c r="E13" s="1881">
        <v>56576.72</v>
      </c>
      <c r="F13" s="1881">
        <v>56576.72</v>
      </c>
      <c r="G13" s="1881">
        <v>56576.72</v>
      </c>
      <c r="H13" s="1881">
        <v>56576.72</v>
      </c>
      <c r="I13" s="1881">
        <v>56576.72</v>
      </c>
      <c r="J13" s="1881">
        <v>56576.72</v>
      </c>
      <c r="K13" s="1881">
        <v>56576.72</v>
      </c>
      <c r="L13" s="1881">
        <v>56576.72</v>
      </c>
      <c r="M13" s="1881">
        <v>56576.72</v>
      </c>
      <c r="N13" s="1881">
        <v>56576.72</v>
      </c>
      <c r="O13" s="1810">
        <f t="shared" si="0"/>
        <v>56576.719999999979</v>
      </c>
      <c r="P13" s="97"/>
    </row>
    <row r="14" spans="1:16">
      <c r="A14" s="97" t="s">
        <v>559</v>
      </c>
      <c r="B14" s="1881">
        <v>11055759.609999999</v>
      </c>
      <c r="C14" s="1881">
        <v>11055759.609999999</v>
      </c>
      <c r="D14" s="1881">
        <v>11102330.640000001</v>
      </c>
      <c r="E14" s="1881">
        <v>11102366.640000001</v>
      </c>
      <c r="F14" s="1881">
        <v>11102366.640000001</v>
      </c>
      <c r="G14" s="1881">
        <v>11102366.640000001</v>
      </c>
      <c r="H14" s="1881">
        <v>11102366.640000001</v>
      </c>
      <c r="I14" s="1881">
        <v>11102366.640000001</v>
      </c>
      <c r="J14" s="1881">
        <v>11102366.640000001</v>
      </c>
      <c r="K14" s="1881">
        <v>11102366.640000001</v>
      </c>
      <c r="L14" s="1881">
        <v>11102366.640000001</v>
      </c>
      <c r="M14" s="1881">
        <v>11102366.640000001</v>
      </c>
      <c r="N14" s="1881">
        <v>11102366.640000001</v>
      </c>
      <c r="O14" s="1810">
        <f t="shared" si="0"/>
        <v>11095193.558461538</v>
      </c>
      <c r="P14" s="97"/>
    </row>
    <row r="15" spans="1:16">
      <c r="A15" s="97" t="s">
        <v>562</v>
      </c>
      <c r="B15" s="1881">
        <v>2053762.69</v>
      </c>
      <c r="C15" s="1881">
        <v>2053762.69</v>
      </c>
      <c r="D15" s="1881">
        <v>2053762.69</v>
      </c>
      <c r="E15" s="1881">
        <v>2053762.69</v>
      </c>
      <c r="F15" s="1881">
        <v>2053762.69</v>
      </c>
      <c r="G15" s="1881">
        <v>2053762.69</v>
      </c>
      <c r="H15" s="1881">
        <v>2053762.69</v>
      </c>
      <c r="I15" s="1881">
        <v>2053762.69</v>
      </c>
      <c r="J15" s="1881">
        <v>2053762.69</v>
      </c>
      <c r="K15" s="1881">
        <v>2053762.69</v>
      </c>
      <c r="L15" s="1881">
        <v>2053762.69</v>
      </c>
      <c r="M15" s="1881">
        <v>2053762.69</v>
      </c>
      <c r="N15" s="1881">
        <v>2053762.69</v>
      </c>
      <c r="O15" s="1810">
        <f t="shared" si="0"/>
        <v>2053762.6900000002</v>
      </c>
      <c r="P15" s="97"/>
    </row>
    <row r="16" spans="1:16">
      <c r="A16" s="97" t="s">
        <v>494</v>
      </c>
      <c r="B16" s="1881">
        <v>597976.77</v>
      </c>
      <c r="C16" s="1881">
        <v>597976.77</v>
      </c>
      <c r="D16" s="1881">
        <v>597976.77</v>
      </c>
      <c r="E16" s="1881">
        <v>597976.77</v>
      </c>
      <c r="F16" s="1881">
        <v>597976.77</v>
      </c>
      <c r="G16" s="1881">
        <v>1654927.33</v>
      </c>
      <c r="H16" s="1881">
        <v>1751116</v>
      </c>
      <c r="I16" s="1881">
        <v>1751285.64</v>
      </c>
      <c r="J16" s="1881">
        <v>1751285.64</v>
      </c>
      <c r="K16" s="1881">
        <v>1759633.82</v>
      </c>
      <c r="L16" s="1881">
        <v>1759633.82</v>
      </c>
      <c r="M16" s="1881">
        <v>1759633.82</v>
      </c>
      <c r="N16" s="1881">
        <v>1761249.59</v>
      </c>
      <c r="O16" s="1810">
        <f t="shared" si="0"/>
        <v>1302973.0392307693</v>
      </c>
      <c r="P16" s="97"/>
    </row>
    <row r="17" spans="1:16">
      <c r="A17" s="97" t="s">
        <v>563</v>
      </c>
      <c r="B17" s="1881">
        <v>2270219.17</v>
      </c>
      <c r="C17" s="1881">
        <v>2270219.17</v>
      </c>
      <c r="D17" s="1881">
        <v>2270219.17</v>
      </c>
      <c r="E17" s="1881">
        <v>2270219.17</v>
      </c>
      <c r="F17" s="1881">
        <v>2270219.17</v>
      </c>
      <c r="G17" s="1881">
        <v>2270219.17</v>
      </c>
      <c r="H17" s="1881">
        <v>2270219.17</v>
      </c>
      <c r="I17" s="1881">
        <v>2270219.17</v>
      </c>
      <c r="J17" s="1881">
        <v>2270219.17</v>
      </c>
      <c r="K17" s="1881">
        <v>2270219.17</v>
      </c>
      <c r="L17" s="1881">
        <v>2270219.17</v>
      </c>
      <c r="M17" s="1881">
        <v>2270219.17</v>
      </c>
      <c r="N17" s="1881">
        <v>2270219.17</v>
      </c>
      <c r="O17" s="1810">
        <f t="shared" si="0"/>
        <v>2270219.1700000009</v>
      </c>
      <c r="P17" s="97"/>
    </row>
    <row r="18" spans="1:16">
      <c r="A18" s="97" t="s">
        <v>1315</v>
      </c>
      <c r="B18" s="1881">
        <v>3427089.39</v>
      </c>
      <c r="C18" s="1881">
        <v>3427089.39</v>
      </c>
      <c r="D18" s="1881">
        <v>3427089.39</v>
      </c>
      <c r="E18" s="1881">
        <v>3427089.39</v>
      </c>
      <c r="F18" s="1881">
        <v>3427089.39</v>
      </c>
      <c r="G18" s="1881">
        <v>3427089.39</v>
      </c>
      <c r="H18" s="1881">
        <v>3427089.39</v>
      </c>
      <c r="I18" s="1881">
        <v>3427089.39</v>
      </c>
      <c r="J18" s="1881">
        <v>3427089.39</v>
      </c>
      <c r="K18" s="1881">
        <v>3427089.39</v>
      </c>
      <c r="L18" s="1881">
        <v>3427089.39</v>
      </c>
      <c r="M18" s="1881">
        <v>3427089.39</v>
      </c>
      <c r="N18" s="1881">
        <v>3427089.39</v>
      </c>
      <c r="O18" s="1810">
        <f t="shared" si="0"/>
        <v>3427089.39</v>
      </c>
      <c r="P18" s="97"/>
    </row>
    <row r="19" spans="1:16">
      <c r="A19" s="97" t="s">
        <v>565</v>
      </c>
      <c r="B19" s="1881">
        <v>4292697.96</v>
      </c>
      <c r="C19" s="1881">
        <v>4292697.96</v>
      </c>
      <c r="D19" s="1881">
        <v>4292697.96</v>
      </c>
      <c r="E19" s="1881">
        <v>4292697.96</v>
      </c>
      <c r="F19" s="1881">
        <v>4292697.96</v>
      </c>
      <c r="G19" s="1881">
        <v>4292697.96</v>
      </c>
      <c r="H19" s="1881">
        <v>4292697.96</v>
      </c>
      <c r="I19" s="1881">
        <v>4292697.96</v>
      </c>
      <c r="J19" s="1881">
        <v>4292697.96</v>
      </c>
      <c r="K19" s="1881">
        <v>4292697.96</v>
      </c>
      <c r="L19" s="1881">
        <v>4292697.96</v>
      </c>
      <c r="M19" s="1881">
        <v>4292697.96</v>
      </c>
      <c r="N19" s="1881">
        <v>4292697.96</v>
      </c>
      <c r="O19" s="1810">
        <f t="shared" si="0"/>
        <v>4292697.96</v>
      </c>
      <c r="P19" s="97"/>
    </row>
    <row r="20" spans="1:16">
      <c r="A20" s="97" t="s">
        <v>566</v>
      </c>
      <c r="B20" s="1881">
        <v>180297981.88999999</v>
      </c>
      <c r="C20" s="1881">
        <v>184918471.09</v>
      </c>
      <c r="D20" s="1881">
        <v>185285907.15000001</v>
      </c>
      <c r="E20" s="1881">
        <v>188832364.47999999</v>
      </c>
      <c r="F20" s="1881">
        <v>191928094.41999999</v>
      </c>
      <c r="G20" s="1881">
        <v>190813432.75</v>
      </c>
      <c r="H20" s="1881">
        <v>193954117.77000001</v>
      </c>
      <c r="I20" s="1881">
        <v>194293200.78</v>
      </c>
      <c r="J20" s="1881">
        <v>195268115.90000001</v>
      </c>
      <c r="K20" s="1881">
        <v>200066713.15000001</v>
      </c>
      <c r="L20" s="1881">
        <v>210493374.50999999</v>
      </c>
      <c r="M20" s="1881">
        <v>210598729.47</v>
      </c>
      <c r="N20" s="1881">
        <v>210528762.91999999</v>
      </c>
      <c r="O20" s="1810">
        <f t="shared" si="0"/>
        <v>195175328.17538464</v>
      </c>
      <c r="P20" s="97"/>
    </row>
    <row r="21" spans="1:16">
      <c r="A21" s="97" t="s">
        <v>1260</v>
      </c>
      <c r="B21" s="1881">
        <v>572452.28</v>
      </c>
      <c r="C21" s="1881">
        <v>573151.75</v>
      </c>
      <c r="D21" s="1881">
        <v>573151.75</v>
      </c>
      <c r="E21" s="1881">
        <v>573151.75</v>
      </c>
      <c r="F21" s="1881">
        <v>573151.75</v>
      </c>
      <c r="G21" s="1881">
        <v>573151.75</v>
      </c>
      <c r="H21" s="1881">
        <v>573151.75</v>
      </c>
      <c r="I21" s="1881">
        <v>573151.75</v>
      </c>
      <c r="J21" s="1881">
        <v>573151.75</v>
      </c>
      <c r="K21" s="1881">
        <v>573151.75</v>
      </c>
      <c r="L21" s="1881">
        <v>573151.75</v>
      </c>
      <c r="M21" s="1881">
        <v>573151.75</v>
      </c>
      <c r="N21" s="1881">
        <v>573151.75</v>
      </c>
      <c r="O21" s="1810">
        <f t="shared" si="0"/>
        <v>573097.94461538468</v>
      </c>
      <c r="P21" s="97"/>
    </row>
    <row r="22" spans="1:16">
      <c r="A22" s="97" t="s">
        <v>567</v>
      </c>
      <c r="B22" s="1881">
        <v>4275337.16</v>
      </c>
      <c r="C22" s="1881">
        <v>4275337.16</v>
      </c>
      <c r="D22" s="1881">
        <v>4275337.16</v>
      </c>
      <c r="E22" s="1881">
        <v>4275337.16</v>
      </c>
      <c r="F22" s="1881">
        <v>4275337.16</v>
      </c>
      <c r="G22" s="1881">
        <v>4275337.16</v>
      </c>
      <c r="H22" s="1881">
        <v>4275337.16</v>
      </c>
      <c r="I22" s="1881">
        <v>4275337.16</v>
      </c>
      <c r="J22" s="1881">
        <v>4275337.16</v>
      </c>
      <c r="K22" s="1881">
        <v>4275337.16</v>
      </c>
      <c r="L22" s="1881">
        <v>4275337.16</v>
      </c>
      <c r="M22" s="1881">
        <v>4275337.16</v>
      </c>
      <c r="N22" s="1881">
        <v>4275337.16</v>
      </c>
      <c r="O22" s="1810">
        <f t="shared" si="0"/>
        <v>4275337.1599999983</v>
      </c>
      <c r="P22" s="97"/>
    </row>
    <row r="23" spans="1:16">
      <c r="A23" s="97" t="s">
        <v>568</v>
      </c>
      <c r="B23" s="1881">
        <v>195130103.88999999</v>
      </c>
      <c r="C23" s="1881">
        <v>195110527.31999999</v>
      </c>
      <c r="D23" s="1881">
        <v>195036004.88</v>
      </c>
      <c r="E23" s="1881">
        <v>194987163.63</v>
      </c>
      <c r="F23" s="1881">
        <v>194939077.03999999</v>
      </c>
      <c r="G23" s="1881">
        <v>194736454.91999999</v>
      </c>
      <c r="H23" s="1881">
        <v>194736454.91999999</v>
      </c>
      <c r="I23" s="1881">
        <v>194564502.28999999</v>
      </c>
      <c r="J23" s="1881">
        <v>194564502.28999999</v>
      </c>
      <c r="K23" s="1881">
        <v>194496094.44</v>
      </c>
      <c r="L23" s="1881">
        <v>194478704.16</v>
      </c>
      <c r="M23" s="1881">
        <v>194382642.38</v>
      </c>
      <c r="N23" s="1881">
        <v>194382642.38</v>
      </c>
      <c r="O23" s="1810">
        <f t="shared" si="0"/>
        <v>194734221.11846155</v>
      </c>
      <c r="P23" s="97"/>
    </row>
    <row r="24" spans="1:16">
      <c r="A24" s="97" t="s">
        <v>569</v>
      </c>
      <c r="B24" s="1881">
        <v>26962979.739999998</v>
      </c>
      <c r="C24" s="1881">
        <v>26962979.739999998</v>
      </c>
      <c r="D24" s="1881">
        <v>26962979.739999998</v>
      </c>
      <c r="E24" s="1881">
        <v>26962979.739999998</v>
      </c>
      <c r="F24" s="1881">
        <v>26962979.739999998</v>
      </c>
      <c r="G24" s="1881">
        <v>26962979.739999998</v>
      </c>
      <c r="H24" s="1881">
        <v>26962979.739999998</v>
      </c>
      <c r="I24" s="1881">
        <v>26962979.739999998</v>
      </c>
      <c r="J24" s="1881">
        <v>26962979.739999998</v>
      </c>
      <c r="K24" s="1881">
        <v>26962979.739999998</v>
      </c>
      <c r="L24" s="1881">
        <v>26962979.739999998</v>
      </c>
      <c r="M24" s="1881">
        <v>26962979.739999998</v>
      </c>
      <c r="N24" s="1881">
        <v>26962979.739999998</v>
      </c>
      <c r="O24" s="1810">
        <f t="shared" si="0"/>
        <v>26962979.740000006</v>
      </c>
      <c r="P24" s="97"/>
    </row>
    <row r="25" spans="1:16">
      <c r="A25" s="97" t="s">
        <v>573</v>
      </c>
      <c r="B25" s="1881">
        <v>5744097.4199999999</v>
      </c>
      <c r="C25" s="1881">
        <v>5744097.4199999999</v>
      </c>
      <c r="D25" s="1881">
        <v>5744097.4199999999</v>
      </c>
      <c r="E25" s="1881">
        <v>5744097.4199999999</v>
      </c>
      <c r="F25" s="1881">
        <v>5744097.4199999999</v>
      </c>
      <c r="G25" s="1881">
        <v>5744097.4199999999</v>
      </c>
      <c r="H25" s="1881">
        <v>5744097.4199999999</v>
      </c>
      <c r="I25" s="1881">
        <v>5744097.4199999999</v>
      </c>
      <c r="J25" s="1881">
        <v>5744097.4199999999</v>
      </c>
      <c r="K25" s="1881">
        <v>5744097.4199999999</v>
      </c>
      <c r="L25" s="1881">
        <v>5744097.4199999999</v>
      </c>
      <c r="M25" s="1881">
        <v>5744097.4199999999</v>
      </c>
      <c r="N25" s="1881">
        <v>5744097.4199999999</v>
      </c>
      <c r="O25" s="1810">
        <f t="shared" si="0"/>
        <v>5744097.4200000009</v>
      </c>
      <c r="P25" s="97"/>
    </row>
    <row r="26" spans="1:16">
      <c r="A26" s="97" t="s">
        <v>574</v>
      </c>
      <c r="B26" s="1881">
        <v>1507252.65</v>
      </c>
      <c r="C26" s="1881">
        <v>1507252.65</v>
      </c>
      <c r="D26" s="1881">
        <v>1507252.65</v>
      </c>
      <c r="E26" s="1881">
        <v>1507252.65</v>
      </c>
      <c r="F26" s="1881">
        <v>1507252.65</v>
      </c>
      <c r="G26" s="1881">
        <v>1507252.65</v>
      </c>
      <c r="H26" s="1881">
        <v>1507252.65</v>
      </c>
      <c r="I26" s="1881">
        <v>1507252.65</v>
      </c>
      <c r="J26" s="1881">
        <v>1507252.65</v>
      </c>
      <c r="K26" s="1881">
        <v>1507252.65</v>
      </c>
      <c r="L26" s="1881">
        <v>1507252.65</v>
      </c>
      <c r="M26" s="1881">
        <v>1507252.65</v>
      </c>
      <c r="N26" s="1881">
        <v>1507252.65</v>
      </c>
      <c r="O26" s="1810">
        <f t="shared" si="0"/>
        <v>1507252.65</v>
      </c>
      <c r="P26" s="97"/>
    </row>
    <row r="27" spans="1:16">
      <c r="A27" s="97" t="s">
        <v>575</v>
      </c>
      <c r="B27" s="1881">
        <v>74777641.189999998</v>
      </c>
      <c r="C27" s="1881">
        <v>75020870.780000001</v>
      </c>
      <c r="D27" s="1881">
        <v>74771939.310000002</v>
      </c>
      <c r="E27" s="1881">
        <v>74790893.200000003</v>
      </c>
      <c r="F27" s="1881">
        <v>74790893.200000003</v>
      </c>
      <c r="G27" s="1881">
        <v>74882382.969999999</v>
      </c>
      <c r="H27" s="1881">
        <v>74882284.680000007</v>
      </c>
      <c r="I27" s="1881">
        <v>74937210.030000001</v>
      </c>
      <c r="J27" s="1881">
        <v>74858814.280000001</v>
      </c>
      <c r="K27" s="1881">
        <v>75080392.75</v>
      </c>
      <c r="L27" s="1881">
        <v>75286340.310000002</v>
      </c>
      <c r="M27" s="1881">
        <v>75385491.099999994</v>
      </c>
      <c r="N27" s="1881">
        <v>75521674.400000006</v>
      </c>
      <c r="O27" s="1810">
        <f t="shared" si="0"/>
        <v>74998986.784615383</v>
      </c>
      <c r="P27" s="97"/>
    </row>
    <row r="28" spans="1:16">
      <c r="A28" s="97" t="s">
        <v>577</v>
      </c>
      <c r="B28" s="1881">
        <v>3516564.77</v>
      </c>
      <c r="C28" s="1881">
        <v>3516564.77</v>
      </c>
      <c r="D28" s="1881">
        <v>3516564.77</v>
      </c>
      <c r="E28" s="1881">
        <v>3516564.77</v>
      </c>
      <c r="F28" s="1881">
        <v>3516564.77</v>
      </c>
      <c r="G28" s="1881">
        <v>3516564.77</v>
      </c>
      <c r="H28" s="1881">
        <v>3516564.77</v>
      </c>
      <c r="I28" s="1881">
        <v>3516564.77</v>
      </c>
      <c r="J28" s="1881">
        <v>3516564.77</v>
      </c>
      <c r="K28" s="1881">
        <v>3516564.77</v>
      </c>
      <c r="L28" s="1881">
        <v>3516564.77</v>
      </c>
      <c r="M28" s="1881">
        <v>3516564.77</v>
      </c>
      <c r="N28" s="1881">
        <v>3516564.77</v>
      </c>
      <c r="O28" s="1810">
        <f t="shared" si="0"/>
        <v>3516564.7700000009</v>
      </c>
      <c r="P28" s="97"/>
    </row>
    <row r="29" spans="1:16">
      <c r="A29" s="97" t="s">
        <v>1316</v>
      </c>
      <c r="B29" s="1881">
        <v>820688.35</v>
      </c>
      <c r="C29" s="1881">
        <v>820688.35</v>
      </c>
      <c r="D29" s="1881">
        <v>820688.35</v>
      </c>
      <c r="E29" s="1881">
        <v>820688.35</v>
      </c>
      <c r="F29" s="1881">
        <v>820688.35</v>
      </c>
      <c r="G29" s="1881">
        <v>820688.35</v>
      </c>
      <c r="H29" s="1881">
        <v>820688.35</v>
      </c>
      <c r="I29" s="1881">
        <v>820688.35</v>
      </c>
      <c r="J29" s="1881">
        <v>820688.35</v>
      </c>
      <c r="K29" s="1881">
        <v>820688.35</v>
      </c>
      <c r="L29" s="1881">
        <v>820688.35</v>
      </c>
      <c r="M29" s="1881">
        <v>820688.35</v>
      </c>
      <c r="N29" s="1881">
        <v>936581.27</v>
      </c>
      <c r="O29" s="1810">
        <f t="shared" si="0"/>
        <v>829603.18999999971</v>
      </c>
      <c r="P29" s="97"/>
    </row>
    <row r="30" spans="1:16">
      <c r="A30" s="97" t="s">
        <v>578</v>
      </c>
      <c r="B30" s="1881">
        <v>5509001.6799999997</v>
      </c>
      <c r="C30" s="1881">
        <v>5509001.6799999997</v>
      </c>
      <c r="D30" s="1881">
        <v>5509001.6799999997</v>
      </c>
      <c r="E30" s="1881">
        <v>5509001.6799999997</v>
      </c>
      <c r="F30" s="1881">
        <v>5509001.6799999997</v>
      </c>
      <c r="G30" s="1881">
        <v>5509001.6799999997</v>
      </c>
      <c r="H30" s="1881">
        <v>5509001.6799999997</v>
      </c>
      <c r="I30" s="1881">
        <v>5509001.6799999997</v>
      </c>
      <c r="J30" s="1881">
        <v>5509001.6799999997</v>
      </c>
      <c r="K30" s="1881">
        <v>5509001.6799999997</v>
      </c>
      <c r="L30" s="1881">
        <v>5509001.6799999997</v>
      </c>
      <c r="M30" s="1881">
        <v>5509001.6799999997</v>
      </c>
      <c r="N30" s="1881">
        <v>5509001.6799999997</v>
      </c>
      <c r="O30" s="1810">
        <f t="shared" si="0"/>
        <v>5509001.6800000006</v>
      </c>
      <c r="P30" s="97"/>
    </row>
    <row r="31" spans="1:16">
      <c r="A31" s="97" t="s">
        <v>1426</v>
      </c>
      <c r="B31" s="1881">
        <v>66059103.450000003</v>
      </c>
      <c r="C31" s="1881">
        <v>66441695.079999998</v>
      </c>
      <c r="D31" s="1881">
        <v>66647687.969999999</v>
      </c>
      <c r="E31" s="1881">
        <v>67347989.159999996</v>
      </c>
      <c r="F31" s="1881">
        <v>68536839.939999998</v>
      </c>
      <c r="G31" s="1881">
        <v>69303144.170000002</v>
      </c>
      <c r="H31" s="1881">
        <v>70793382.359999999</v>
      </c>
      <c r="I31" s="1881">
        <v>71206647.230000004</v>
      </c>
      <c r="J31" s="1881">
        <v>77285010.299999997</v>
      </c>
      <c r="K31" s="1881">
        <v>78708415.219999999</v>
      </c>
      <c r="L31" s="1881">
        <v>80286957.629999995</v>
      </c>
      <c r="M31" s="1881">
        <v>82302655.230000004</v>
      </c>
      <c r="N31" s="1881">
        <v>85576443.25</v>
      </c>
      <c r="O31" s="1810">
        <f t="shared" si="0"/>
        <v>73115074.691538468</v>
      </c>
      <c r="P31" s="97"/>
    </row>
    <row r="32" spans="1:16">
      <c r="A32" s="97" t="s">
        <v>1427</v>
      </c>
      <c r="B32" s="1881">
        <v>163617706.02000001</v>
      </c>
      <c r="C32" s="1881">
        <v>163614949.05000001</v>
      </c>
      <c r="D32" s="1881">
        <v>163523241.43000001</v>
      </c>
      <c r="E32" s="1881">
        <v>163397395.02000001</v>
      </c>
      <c r="F32" s="1881">
        <v>163228310.66999999</v>
      </c>
      <c r="G32" s="1881">
        <v>163201425.88</v>
      </c>
      <c r="H32" s="1881">
        <v>163162231.00999999</v>
      </c>
      <c r="I32" s="1881">
        <v>163147808.03</v>
      </c>
      <c r="J32" s="1881">
        <v>163179975.43000001</v>
      </c>
      <c r="K32" s="1881">
        <v>163141935.06999999</v>
      </c>
      <c r="L32" s="1881">
        <v>163138676.91999999</v>
      </c>
      <c r="M32" s="1881">
        <v>163085475.75</v>
      </c>
      <c r="N32" s="1881">
        <v>163058583.09999999</v>
      </c>
      <c r="O32" s="1810">
        <f t="shared" si="0"/>
        <v>163269054.8753846</v>
      </c>
      <c r="P32" s="97"/>
    </row>
    <row r="33" spans="1:16">
      <c r="A33" s="97" t="s">
        <v>1317</v>
      </c>
      <c r="B33" s="1881">
        <v>7383337.4699999997</v>
      </c>
      <c r="C33" s="1881">
        <v>7383337.4699999997</v>
      </c>
      <c r="D33" s="1881">
        <v>7383337.4699999997</v>
      </c>
      <c r="E33" s="1881">
        <v>7383337.4699999997</v>
      </c>
      <c r="F33" s="1881">
        <v>7383337.4699999997</v>
      </c>
      <c r="G33" s="1881">
        <v>7383337.4699999997</v>
      </c>
      <c r="H33" s="1881">
        <v>7383337.4699999997</v>
      </c>
      <c r="I33" s="1881">
        <v>7383337.4699999997</v>
      </c>
      <c r="J33" s="1881">
        <v>7382461.5899999999</v>
      </c>
      <c r="K33" s="1881">
        <v>7382461.5899999999</v>
      </c>
      <c r="L33" s="1881">
        <v>7382461.5899999999</v>
      </c>
      <c r="M33" s="1881">
        <v>7382461.5899999999</v>
      </c>
      <c r="N33" s="1881">
        <v>7382461.5899999999</v>
      </c>
      <c r="O33" s="1810">
        <f t="shared" si="0"/>
        <v>7383000.5930769239</v>
      </c>
      <c r="P33" s="97"/>
    </row>
    <row r="34" spans="1:16">
      <c r="A34" s="97" t="s">
        <v>1318</v>
      </c>
      <c r="B34" s="1881">
        <v>214026.97</v>
      </c>
      <c r="C34" s="1881">
        <v>214026.97</v>
      </c>
      <c r="D34" s="1881">
        <v>214026.97</v>
      </c>
      <c r="E34" s="1881">
        <v>214026.97</v>
      </c>
      <c r="F34" s="1881">
        <v>214026.97</v>
      </c>
      <c r="G34" s="1881">
        <v>214026.97</v>
      </c>
      <c r="H34" s="1881">
        <v>214026.97</v>
      </c>
      <c r="I34" s="1881">
        <v>214026.97</v>
      </c>
      <c r="J34" s="1881">
        <v>214026.97</v>
      </c>
      <c r="K34" s="1881">
        <v>214026.97</v>
      </c>
      <c r="L34" s="1881">
        <v>214026.97</v>
      </c>
      <c r="M34" s="1881">
        <v>214026.97</v>
      </c>
      <c r="N34" s="1881">
        <v>214026.97</v>
      </c>
      <c r="O34" s="1810">
        <f t="shared" si="0"/>
        <v>214026.97000000006</v>
      </c>
      <c r="P34" s="97"/>
    </row>
    <row r="35" spans="1:16">
      <c r="A35" s="97" t="s">
        <v>582</v>
      </c>
      <c r="B35" s="1881">
        <v>12700859.529999999</v>
      </c>
      <c r="C35" s="1881">
        <v>12700859.529999999</v>
      </c>
      <c r="D35" s="1881">
        <v>12700859.529999999</v>
      </c>
      <c r="E35" s="1881">
        <v>12700859.529999999</v>
      </c>
      <c r="F35" s="1881">
        <v>12700859.529999999</v>
      </c>
      <c r="G35" s="1881">
        <v>12700859.529999999</v>
      </c>
      <c r="H35" s="1881">
        <v>12700859.529999999</v>
      </c>
      <c r="I35" s="1881">
        <v>12700859.529999999</v>
      </c>
      <c r="J35" s="1881">
        <v>12700859.529999999</v>
      </c>
      <c r="K35" s="1881">
        <v>12700859.529999999</v>
      </c>
      <c r="L35" s="1881">
        <v>12700859.529999999</v>
      </c>
      <c r="M35" s="1881">
        <v>12700859.529999999</v>
      </c>
      <c r="N35" s="1881">
        <v>12700859.529999999</v>
      </c>
      <c r="O35" s="1810">
        <f t="shared" si="0"/>
        <v>12700859.529999999</v>
      </c>
      <c r="P35" s="97"/>
    </row>
    <row r="36" spans="1:16">
      <c r="A36" s="97" t="s">
        <v>1319</v>
      </c>
      <c r="B36" s="1881">
        <v>285559.90000000002</v>
      </c>
      <c r="C36" s="1881">
        <v>285559.90000000002</v>
      </c>
      <c r="D36" s="1881">
        <v>285559.90000000002</v>
      </c>
      <c r="E36" s="1881">
        <v>285559.90000000002</v>
      </c>
      <c r="F36" s="1881">
        <v>285559.90000000002</v>
      </c>
      <c r="G36" s="1881">
        <v>285559.90000000002</v>
      </c>
      <c r="H36" s="1881">
        <v>285559.90000000002</v>
      </c>
      <c r="I36" s="1881">
        <v>285559.90000000002</v>
      </c>
      <c r="J36" s="1881">
        <v>285559.90000000002</v>
      </c>
      <c r="K36" s="1881">
        <v>285559.90000000002</v>
      </c>
      <c r="L36" s="1881">
        <v>285559.90000000002</v>
      </c>
      <c r="M36" s="1881">
        <v>285559.90000000002</v>
      </c>
      <c r="N36" s="1881">
        <v>285559.90000000002</v>
      </c>
      <c r="O36" s="1810">
        <f t="shared" si="0"/>
        <v>285559.89999999997</v>
      </c>
      <c r="P36" s="97"/>
    </row>
    <row r="37" spans="1:16">
      <c r="A37" s="97" t="s">
        <v>583</v>
      </c>
      <c r="B37" s="1881">
        <v>5400291.8200000003</v>
      </c>
      <c r="C37" s="1881">
        <v>5400291.8200000003</v>
      </c>
      <c r="D37" s="1881">
        <v>5400291.8200000003</v>
      </c>
      <c r="E37" s="1881">
        <v>5400291.8200000003</v>
      </c>
      <c r="F37" s="1881">
        <v>5400291.8200000003</v>
      </c>
      <c r="G37" s="1881">
        <v>5400291.8200000003</v>
      </c>
      <c r="H37" s="1881">
        <v>5400291.8200000003</v>
      </c>
      <c r="I37" s="1881">
        <v>5400291.8200000003</v>
      </c>
      <c r="J37" s="1881">
        <v>5400291.8200000003</v>
      </c>
      <c r="K37" s="1881">
        <v>5400291.8200000003</v>
      </c>
      <c r="L37" s="1881">
        <v>5400291.8200000003</v>
      </c>
      <c r="M37" s="1881">
        <v>5400291.8200000003</v>
      </c>
      <c r="N37" s="1881">
        <v>5400291.8200000003</v>
      </c>
      <c r="O37" s="1810">
        <f t="shared" si="0"/>
        <v>5400291.8199999994</v>
      </c>
      <c r="P37" s="97"/>
    </row>
    <row r="38" spans="1:16">
      <c r="A38" s="97" t="s">
        <v>584</v>
      </c>
      <c r="B38" s="1881">
        <v>52833539.149999999</v>
      </c>
      <c r="C38" s="1881">
        <v>52833539.149999999</v>
      </c>
      <c r="D38" s="1881">
        <v>52833539.149999999</v>
      </c>
      <c r="E38" s="1881">
        <v>52833539.149999999</v>
      </c>
      <c r="F38" s="1881">
        <v>52833539.149999999</v>
      </c>
      <c r="G38" s="1881">
        <v>52833539.149999999</v>
      </c>
      <c r="H38" s="1881">
        <v>52833539.149999999</v>
      </c>
      <c r="I38" s="1881">
        <v>52833539.149999999</v>
      </c>
      <c r="J38" s="1881">
        <v>52833539.149999999</v>
      </c>
      <c r="K38" s="1881">
        <v>52833539.149999999</v>
      </c>
      <c r="L38" s="1881">
        <v>52833539.149999999</v>
      </c>
      <c r="M38" s="1881">
        <v>52833539.149999999</v>
      </c>
      <c r="N38" s="1881">
        <v>52833539.149999999</v>
      </c>
      <c r="O38" s="1810">
        <f t="shared" si="0"/>
        <v>52833539.149999984</v>
      </c>
      <c r="P38" s="97"/>
    </row>
    <row r="39" spans="1:16">
      <c r="A39" s="97" t="s">
        <v>495</v>
      </c>
      <c r="B39" s="1881">
        <v>18855195.890000001</v>
      </c>
      <c r="C39" s="1881">
        <v>18965705.16</v>
      </c>
      <c r="D39" s="1881">
        <v>18783936.260000002</v>
      </c>
      <c r="E39" s="1881">
        <v>18954329.379999999</v>
      </c>
      <c r="F39" s="1881">
        <v>18978581.440000001</v>
      </c>
      <c r="G39" s="1881">
        <v>18979846.109999999</v>
      </c>
      <c r="H39" s="1881">
        <v>19049650.66</v>
      </c>
      <c r="I39" s="1881">
        <v>19612918.170000002</v>
      </c>
      <c r="J39" s="1881">
        <v>19333427.309999999</v>
      </c>
      <c r="K39" s="1881">
        <v>25127105.969999999</v>
      </c>
      <c r="L39" s="1881">
        <v>23884106.609999999</v>
      </c>
      <c r="M39" s="1881">
        <v>22669236.609999999</v>
      </c>
      <c r="N39" s="1881">
        <v>23719490.719999999</v>
      </c>
      <c r="O39" s="1810">
        <f t="shared" si="0"/>
        <v>20531810.02230769</v>
      </c>
      <c r="P39" s="97"/>
    </row>
    <row r="40" spans="1:16">
      <c r="A40" s="97" t="s">
        <v>1320</v>
      </c>
      <c r="B40" s="1881">
        <v>6097570.4800000004</v>
      </c>
      <c r="C40" s="1881">
        <v>6097570.4800000004</v>
      </c>
      <c r="D40" s="1881">
        <v>6097570.4800000004</v>
      </c>
      <c r="E40" s="1881">
        <v>6097570.4800000004</v>
      </c>
      <c r="F40" s="1881">
        <v>6097570.4800000004</v>
      </c>
      <c r="G40" s="1881">
        <v>6097570.4800000004</v>
      </c>
      <c r="H40" s="1881">
        <v>6097570.4800000004</v>
      </c>
      <c r="I40" s="1881">
        <v>6097570.4800000004</v>
      </c>
      <c r="J40" s="1881">
        <v>6097570.4800000004</v>
      </c>
      <c r="K40" s="1881">
        <v>6097570.4800000004</v>
      </c>
      <c r="L40" s="1881">
        <v>6097570.4800000004</v>
      </c>
      <c r="M40" s="1881">
        <v>6097570.4800000004</v>
      </c>
      <c r="N40" s="1881">
        <v>6097570.4800000004</v>
      </c>
      <c r="O40" s="1810">
        <f t="shared" si="0"/>
        <v>6097570.4800000023</v>
      </c>
      <c r="P40" s="97"/>
    </row>
    <row r="41" spans="1:16">
      <c r="A41" s="97" t="s">
        <v>1321</v>
      </c>
      <c r="B41" s="1881">
        <v>683462.18</v>
      </c>
      <c r="C41" s="1881">
        <v>683462.18</v>
      </c>
      <c r="D41" s="1881">
        <v>683462.18</v>
      </c>
      <c r="E41" s="1881">
        <v>683462.18</v>
      </c>
      <c r="F41" s="1881">
        <v>683462.18</v>
      </c>
      <c r="G41" s="1881">
        <v>683462.18</v>
      </c>
      <c r="H41" s="1881">
        <v>683462.18</v>
      </c>
      <c r="I41" s="1881">
        <v>683462.18</v>
      </c>
      <c r="J41" s="1881">
        <v>683462.18</v>
      </c>
      <c r="K41" s="1881">
        <v>683462.18</v>
      </c>
      <c r="L41" s="1881">
        <v>683462.18</v>
      </c>
      <c r="M41" s="1881">
        <v>683462.18</v>
      </c>
      <c r="N41" s="1881">
        <v>683462.18</v>
      </c>
      <c r="O41" s="1810">
        <f t="shared" si="0"/>
        <v>683462.17999999993</v>
      </c>
      <c r="P41" s="97"/>
    </row>
    <row r="42" spans="1:16">
      <c r="A42" s="97" t="s">
        <v>585</v>
      </c>
      <c r="B42" s="1881">
        <v>125967673.43000001</v>
      </c>
      <c r="C42" s="1881">
        <v>125967675.67</v>
      </c>
      <c r="D42" s="1881">
        <v>125864683.28</v>
      </c>
      <c r="E42" s="1881">
        <v>125854576.89</v>
      </c>
      <c r="F42" s="1881">
        <v>125854576.89</v>
      </c>
      <c r="G42" s="1881">
        <v>125854742.03</v>
      </c>
      <c r="H42" s="1881">
        <v>125959750.72</v>
      </c>
      <c r="I42" s="1881">
        <v>125966154.3</v>
      </c>
      <c r="J42" s="1881">
        <v>125966338.84999999</v>
      </c>
      <c r="K42" s="1881">
        <v>125966935.92</v>
      </c>
      <c r="L42" s="1881">
        <v>126021604.34</v>
      </c>
      <c r="M42" s="1881">
        <v>126021604.34</v>
      </c>
      <c r="N42" s="1881">
        <v>126022281.95</v>
      </c>
      <c r="O42" s="1810">
        <f t="shared" si="0"/>
        <v>125945276.81615384</v>
      </c>
      <c r="P42" s="97"/>
    </row>
    <row r="43" spans="1:16">
      <c r="A43" s="97" t="s">
        <v>638</v>
      </c>
      <c r="B43" s="1881">
        <v>700574.85</v>
      </c>
      <c r="C43" s="1881">
        <v>700574.85</v>
      </c>
      <c r="D43" s="1881">
        <v>700574.85</v>
      </c>
      <c r="E43" s="1881">
        <v>700574.85</v>
      </c>
      <c r="F43" s="1881">
        <v>700574.85</v>
      </c>
      <c r="G43" s="1881">
        <v>700574.85</v>
      </c>
      <c r="H43" s="1881">
        <v>700574.85</v>
      </c>
      <c r="I43" s="1881">
        <v>700574.85</v>
      </c>
      <c r="J43" s="1881">
        <v>700574.85</v>
      </c>
      <c r="K43" s="1881">
        <v>700574.85</v>
      </c>
      <c r="L43" s="1881">
        <v>700574.85</v>
      </c>
      <c r="M43" s="1881">
        <v>700574.85</v>
      </c>
      <c r="N43" s="1881">
        <v>700574.85</v>
      </c>
      <c r="O43" s="1810">
        <f t="shared" si="0"/>
        <v>700574.84999999974</v>
      </c>
      <c r="P43" s="97"/>
    </row>
    <row r="44" spans="1:16">
      <c r="A44" s="97" t="s">
        <v>639</v>
      </c>
      <c r="B44" s="1881">
        <v>2932873.15</v>
      </c>
      <c r="C44" s="1881">
        <v>2932873.15</v>
      </c>
      <c r="D44" s="1881">
        <v>2932873.15</v>
      </c>
      <c r="E44" s="1881">
        <v>2932873.15</v>
      </c>
      <c r="F44" s="1881">
        <v>2932873.15</v>
      </c>
      <c r="G44" s="1881">
        <v>2932873.15</v>
      </c>
      <c r="H44" s="1881">
        <v>2932873.15</v>
      </c>
      <c r="I44" s="1881">
        <v>2932873.15</v>
      </c>
      <c r="J44" s="1881">
        <v>2932873.15</v>
      </c>
      <c r="K44" s="1881">
        <v>2932873.15</v>
      </c>
      <c r="L44" s="1881">
        <v>2932873.15</v>
      </c>
      <c r="M44" s="1881">
        <v>2932873.15</v>
      </c>
      <c r="N44" s="1881">
        <v>2932873.15</v>
      </c>
      <c r="O44" s="1810">
        <f t="shared" si="0"/>
        <v>2932873.149999999</v>
      </c>
      <c r="P44" s="97"/>
    </row>
    <row r="45" spans="1:16">
      <c r="A45" s="97" t="s">
        <v>640</v>
      </c>
      <c r="B45" s="1881">
        <v>859379.45</v>
      </c>
      <c r="C45" s="1881">
        <v>859379.45</v>
      </c>
      <c r="D45" s="1881">
        <v>859379.45</v>
      </c>
      <c r="E45" s="1881">
        <v>859379.45</v>
      </c>
      <c r="F45" s="1881">
        <v>859379.45</v>
      </c>
      <c r="G45" s="1881">
        <v>859379.45</v>
      </c>
      <c r="H45" s="1881">
        <v>859379.45</v>
      </c>
      <c r="I45" s="1881">
        <v>859379.45</v>
      </c>
      <c r="J45" s="1881">
        <v>859379.45</v>
      </c>
      <c r="K45" s="1881">
        <v>859379.45</v>
      </c>
      <c r="L45" s="1881">
        <v>859379.45</v>
      </c>
      <c r="M45" s="1881">
        <v>859379.45</v>
      </c>
      <c r="N45" s="1881">
        <v>859379.45</v>
      </c>
      <c r="O45" s="1810">
        <f t="shared" si="0"/>
        <v>859379.44999999984</v>
      </c>
      <c r="P45" s="97"/>
    </row>
    <row r="46" spans="1:16">
      <c r="A46" s="97" t="s">
        <v>644</v>
      </c>
      <c r="B46" s="1881">
        <v>568185.43000000005</v>
      </c>
      <c r="C46" s="1881">
        <v>568185.43000000005</v>
      </c>
      <c r="D46" s="1881">
        <v>568185.43000000005</v>
      </c>
      <c r="E46" s="1881">
        <v>568185.43000000005</v>
      </c>
      <c r="F46" s="1881">
        <v>568185.43000000005</v>
      </c>
      <c r="G46" s="1881">
        <v>568185.43000000005</v>
      </c>
      <c r="H46" s="1881">
        <v>568185.43000000005</v>
      </c>
      <c r="I46" s="1881">
        <v>568185.43000000005</v>
      </c>
      <c r="J46" s="1881">
        <v>568185.43000000005</v>
      </c>
      <c r="K46" s="1881">
        <v>568185.43000000005</v>
      </c>
      <c r="L46" s="1881">
        <v>568185.43000000005</v>
      </c>
      <c r="M46" s="1881">
        <v>568185.43000000005</v>
      </c>
      <c r="N46" s="1881">
        <v>568185.43000000005</v>
      </c>
      <c r="O46" s="1810">
        <f t="shared" si="0"/>
        <v>568185.42999999993</v>
      </c>
      <c r="P46" s="97"/>
    </row>
    <row r="47" spans="1:16">
      <c r="A47" s="97" t="s">
        <v>645</v>
      </c>
      <c r="B47" s="1881">
        <v>3459667.39</v>
      </c>
      <c r="C47" s="1881">
        <v>5387661.8399999999</v>
      </c>
      <c r="D47" s="1881">
        <v>5387661.8399999999</v>
      </c>
      <c r="E47" s="1881">
        <v>5387661.8399999999</v>
      </c>
      <c r="F47" s="1881">
        <v>5387661.8399999999</v>
      </c>
      <c r="G47" s="1881">
        <v>5387661.8399999999</v>
      </c>
      <c r="H47" s="1881">
        <v>5387661.8399999999</v>
      </c>
      <c r="I47" s="1881">
        <v>5387661.8399999999</v>
      </c>
      <c r="J47" s="1881">
        <v>5387661.8399999999</v>
      </c>
      <c r="K47" s="1881">
        <v>5387661.8399999999</v>
      </c>
      <c r="L47" s="1881">
        <v>5387661.8399999999</v>
      </c>
      <c r="M47" s="1881">
        <v>5387661.8399999999</v>
      </c>
      <c r="N47" s="1881">
        <v>5272521.04</v>
      </c>
      <c r="O47" s="1810">
        <f t="shared" si="0"/>
        <v>5230497.5900000017</v>
      </c>
      <c r="P47" s="97"/>
    </row>
    <row r="48" spans="1:16">
      <c r="A48" s="1364" t="s">
        <v>1423</v>
      </c>
      <c r="B48" s="851">
        <f t="shared" ref="B48:O48" si="1">SUM(B6:B47)</f>
        <v>1027103355.73</v>
      </c>
      <c r="C48" s="851">
        <f t="shared" si="1"/>
        <v>1034358385.6800001</v>
      </c>
      <c r="D48" s="851">
        <f t="shared" si="1"/>
        <v>1034291265.3399999</v>
      </c>
      <c r="E48" s="851">
        <f t="shared" si="1"/>
        <v>1038548657.3899999</v>
      </c>
      <c r="F48" s="851">
        <f t="shared" si="1"/>
        <v>1042640319.23</v>
      </c>
      <c r="G48" s="851">
        <f t="shared" si="1"/>
        <v>1043212325.0199999</v>
      </c>
      <c r="H48" s="851">
        <f t="shared" si="1"/>
        <v>1048074956.98</v>
      </c>
      <c r="I48" s="851">
        <f t="shared" si="1"/>
        <v>1049265378.1399999</v>
      </c>
      <c r="J48" s="851">
        <f t="shared" si="1"/>
        <v>1055992245.79</v>
      </c>
      <c r="K48" s="851">
        <f t="shared" si="1"/>
        <v>1068132002.1299999</v>
      </c>
      <c r="L48" s="851">
        <f t="shared" si="1"/>
        <v>1079134174.0899999</v>
      </c>
      <c r="M48" s="851">
        <f t="shared" si="1"/>
        <v>1079990244.49</v>
      </c>
      <c r="N48" s="851">
        <f t="shared" si="1"/>
        <v>1084356656.22</v>
      </c>
      <c r="O48" s="851">
        <f t="shared" si="1"/>
        <v>1052699997.4023076</v>
      </c>
      <c r="P48" s="97"/>
    </row>
    <row r="49" spans="1:16">
      <c r="A49" s="97"/>
      <c r="B49" s="1881"/>
      <c r="C49" s="1881"/>
      <c r="D49" s="1881"/>
      <c r="E49" s="1881"/>
      <c r="F49" s="1881"/>
      <c r="G49" s="1881"/>
      <c r="H49" s="1881"/>
      <c r="I49" s="1881"/>
      <c r="J49" s="1881"/>
      <c r="K49" s="1881"/>
      <c r="L49" s="1881"/>
      <c r="M49" s="1881"/>
      <c r="N49" s="1881"/>
      <c r="O49" s="1810"/>
      <c r="P49" s="97"/>
    </row>
    <row r="50" spans="1:16">
      <c r="A50" s="104"/>
      <c r="B50" s="1883"/>
      <c r="C50" s="1883"/>
      <c r="D50" s="1883"/>
      <c r="E50" s="1883"/>
      <c r="F50" s="1883"/>
      <c r="G50" s="1883"/>
      <c r="H50" s="1883"/>
      <c r="I50" s="1883"/>
      <c r="J50" s="1883"/>
      <c r="K50" s="1883"/>
      <c r="L50" s="1883"/>
      <c r="M50" s="1883"/>
      <c r="N50" s="1883"/>
      <c r="O50" s="1810"/>
      <c r="P50" s="97"/>
    </row>
    <row r="51" spans="1:16">
      <c r="A51" s="97" t="s">
        <v>1428</v>
      </c>
      <c r="B51" s="1881">
        <v>10246.74</v>
      </c>
      <c r="C51" s="1881">
        <v>10246.74</v>
      </c>
      <c r="D51" s="1881">
        <v>10246.74</v>
      </c>
      <c r="E51" s="1881">
        <v>10246.74</v>
      </c>
      <c r="F51" s="1881">
        <v>10246.74</v>
      </c>
      <c r="G51" s="1881">
        <v>10246.74</v>
      </c>
      <c r="H51" s="1881">
        <v>10246.74</v>
      </c>
      <c r="I51" s="1881">
        <v>10246.74</v>
      </c>
      <c r="J51" s="1881">
        <v>10246.74</v>
      </c>
      <c r="K51" s="1881">
        <v>10246.74</v>
      </c>
      <c r="L51" s="1881">
        <v>10246.74</v>
      </c>
      <c r="M51" s="1881">
        <v>10246.74</v>
      </c>
      <c r="N51" s="1881">
        <v>10246.74</v>
      </c>
      <c r="O51" s="1810">
        <f t="shared" ref="O51:O61" si="2">AVERAGE(B51:N51)</f>
        <v>10246.740000000002</v>
      </c>
      <c r="P51" s="97"/>
    </row>
    <row r="52" spans="1:16">
      <c r="A52" s="97" t="s">
        <v>556</v>
      </c>
      <c r="B52" s="1881">
        <v>682302.76</v>
      </c>
      <c r="C52" s="1881">
        <v>682302.76</v>
      </c>
      <c r="D52" s="1881">
        <v>682302.76</v>
      </c>
      <c r="E52" s="1881">
        <v>682302.76</v>
      </c>
      <c r="F52" s="1881">
        <v>682302.76</v>
      </c>
      <c r="G52" s="1881">
        <v>682302.76</v>
      </c>
      <c r="H52" s="1881">
        <v>682302.76</v>
      </c>
      <c r="I52" s="1881">
        <v>682302.76</v>
      </c>
      <c r="J52" s="1881">
        <v>682302.76</v>
      </c>
      <c r="K52" s="1881">
        <v>682302.76</v>
      </c>
      <c r="L52" s="1881">
        <v>682302.76</v>
      </c>
      <c r="M52" s="1881">
        <v>682302.76</v>
      </c>
      <c r="N52" s="1881">
        <v>682302.76</v>
      </c>
      <c r="O52" s="1810">
        <f t="shared" si="2"/>
        <v>682302.75999999989</v>
      </c>
      <c r="P52" s="97"/>
    </row>
    <row r="53" spans="1:16">
      <c r="A53" s="97" t="s">
        <v>557</v>
      </c>
      <c r="B53" s="1881">
        <v>1071124.0900000001</v>
      </c>
      <c r="C53" s="1881">
        <v>1071124.0900000001</v>
      </c>
      <c r="D53" s="1881">
        <v>1071124.0900000001</v>
      </c>
      <c r="E53" s="1881">
        <v>1071124.0900000001</v>
      </c>
      <c r="F53" s="1881">
        <v>1071124.0900000001</v>
      </c>
      <c r="G53" s="1881">
        <v>1071124.0900000001</v>
      </c>
      <c r="H53" s="1881">
        <v>1071124.0900000001</v>
      </c>
      <c r="I53" s="1881">
        <v>1071124.0900000001</v>
      </c>
      <c r="J53" s="1881">
        <v>1071124.0900000001</v>
      </c>
      <c r="K53" s="1881">
        <v>1071124.0900000001</v>
      </c>
      <c r="L53" s="1881">
        <v>1071124.0900000001</v>
      </c>
      <c r="M53" s="1881">
        <v>1071124.0900000001</v>
      </c>
      <c r="N53" s="1881">
        <v>1071124.0900000001</v>
      </c>
      <c r="O53" s="1810">
        <f t="shared" si="2"/>
        <v>1071124.0900000001</v>
      </c>
      <c r="P53" s="97"/>
    </row>
    <row r="54" spans="1:16">
      <c r="A54" s="97" t="s">
        <v>561</v>
      </c>
      <c r="B54" s="1881">
        <v>488761.43</v>
      </c>
      <c r="C54" s="1881">
        <v>488761.43</v>
      </c>
      <c r="D54" s="1881">
        <v>488761.43</v>
      </c>
      <c r="E54" s="1881">
        <v>488761.43</v>
      </c>
      <c r="F54" s="1881">
        <v>488761.43</v>
      </c>
      <c r="G54" s="1881">
        <v>488761.43</v>
      </c>
      <c r="H54" s="1881">
        <v>488761.43</v>
      </c>
      <c r="I54" s="1881">
        <v>488761.43</v>
      </c>
      <c r="J54" s="1881">
        <v>488761.43</v>
      </c>
      <c r="K54" s="1881">
        <v>488761.43</v>
      </c>
      <c r="L54" s="1881">
        <v>488761.43</v>
      </c>
      <c r="M54" s="1881">
        <v>488761.43</v>
      </c>
      <c r="N54" s="1881">
        <v>488761.43</v>
      </c>
      <c r="O54" s="1810">
        <f t="shared" si="2"/>
        <v>488761.42999999993</v>
      </c>
      <c r="P54" s="97"/>
    </row>
    <row r="55" spans="1:16">
      <c r="A55" s="97" t="s">
        <v>1420</v>
      </c>
      <c r="B55" s="1881">
        <v>19101289.370000001</v>
      </c>
      <c r="C55" s="1881">
        <v>19234572.5</v>
      </c>
      <c r="D55" s="1881">
        <v>19290312.829999998</v>
      </c>
      <c r="E55" s="1881">
        <v>19307950.210000001</v>
      </c>
      <c r="F55" s="1881">
        <v>19351735.16</v>
      </c>
      <c r="G55" s="1881">
        <v>19380234.93</v>
      </c>
      <c r="H55" s="1881">
        <v>19420530.579999998</v>
      </c>
      <c r="I55" s="1881">
        <v>19464451.969999999</v>
      </c>
      <c r="J55" s="1881">
        <v>19518861.460000001</v>
      </c>
      <c r="K55" s="1881">
        <v>19611952.02</v>
      </c>
      <c r="L55" s="1881">
        <v>19992041.27</v>
      </c>
      <c r="M55" s="1881">
        <v>20082828.809999999</v>
      </c>
      <c r="N55" s="1881">
        <v>19991983.640000001</v>
      </c>
      <c r="O55" s="1810">
        <f t="shared" si="2"/>
        <v>19519134.21153846</v>
      </c>
      <c r="P55" s="97"/>
    </row>
    <row r="56" spans="1:16">
      <c r="A56" s="97" t="s">
        <v>571</v>
      </c>
      <c r="B56" s="1881">
        <v>14485597.5</v>
      </c>
      <c r="C56" s="1881">
        <v>14485597.5</v>
      </c>
      <c r="D56" s="1881">
        <v>14485597.5</v>
      </c>
      <c r="E56" s="1881">
        <v>14485597.5</v>
      </c>
      <c r="F56" s="1881">
        <v>14485597.5</v>
      </c>
      <c r="G56" s="1881">
        <v>14485597.5</v>
      </c>
      <c r="H56" s="1881">
        <v>14485597.5</v>
      </c>
      <c r="I56" s="1881">
        <v>14485597.5</v>
      </c>
      <c r="J56" s="1881">
        <v>14485597.5</v>
      </c>
      <c r="K56" s="1881">
        <v>14485597.5</v>
      </c>
      <c r="L56" s="1881">
        <v>14485597.5</v>
      </c>
      <c r="M56" s="1881">
        <v>14485597.5</v>
      </c>
      <c r="N56" s="1881">
        <v>14485597.5</v>
      </c>
      <c r="O56" s="1810">
        <f t="shared" si="2"/>
        <v>14485597.5</v>
      </c>
      <c r="P56" s="97"/>
    </row>
    <row r="57" spans="1:16">
      <c r="A57" s="97" t="s">
        <v>572</v>
      </c>
      <c r="B57" s="1881">
        <v>20589184.329999998</v>
      </c>
      <c r="C57" s="1881">
        <v>20589184.329999998</v>
      </c>
      <c r="D57" s="1881">
        <v>20589184.329999998</v>
      </c>
      <c r="E57" s="1881">
        <v>20589184.329999998</v>
      </c>
      <c r="F57" s="1881">
        <v>20589184.329999998</v>
      </c>
      <c r="G57" s="1881">
        <v>20589184.329999998</v>
      </c>
      <c r="H57" s="1881">
        <v>20589184.329999998</v>
      </c>
      <c r="I57" s="1881">
        <v>20589184.329999998</v>
      </c>
      <c r="J57" s="1881">
        <v>20589184.329999998</v>
      </c>
      <c r="K57" s="1881">
        <v>20589184.329999998</v>
      </c>
      <c r="L57" s="1881">
        <v>20589184.329999998</v>
      </c>
      <c r="M57" s="1881">
        <v>20589184.329999998</v>
      </c>
      <c r="N57" s="1881">
        <v>20589184.329999998</v>
      </c>
      <c r="O57" s="1810">
        <f t="shared" si="2"/>
        <v>20589184.329999991</v>
      </c>
      <c r="P57" s="97"/>
    </row>
    <row r="58" spans="1:16">
      <c r="A58" s="97" t="s">
        <v>580</v>
      </c>
      <c r="B58" s="1881">
        <v>12903738.619999999</v>
      </c>
      <c r="C58" s="1881">
        <v>12903738.619999999</v>
      </c>
      <c r="D58" s="1881">
        <v>12903738.619999999</v>
      </c>
      <c r="E58" s="1881">
        <v>12903738.619999999</v>
      </c>
      <c r="F58" s="1881">
        <v>12903738.619999999</v>
      </c>
      <c r="G58" s="1881">
        <v>12903738.619999999</v>
      </c>
      <c r="H58" s="1881">
        <v>12903738.619999999</v>
      </c>
      <c r="I58" s="1881">
        <v>12903738.619999999</v>
      </c>
      <c r="J58" s="1881">
        <v>12903738.619999999</v>
      </c>
      <c r="K58" s="1881">
        <v>12903738.619999999</v>
      </c>
      <c r="L58" s="1881">
        <v>12903738.619999999</v>
      </c>
      <c r="M58" s="1881">
        <v>12903738.619999999</v>
      </c>
      <c r="N58" s="1881">
        <v>12903738.619999999</v>
      </c>
      <c r="O58" s="1810">
        <f t="shared" si="2"/>
        <v>12903738.620000003</v>
      </c>
      <c r="P58" s="97"/>
    </row>
    <row r="59" spans="1:16">
      <c r="A59" s="97" t="s">
        <v>581</v>
      </c>
      <c r="B59" s="1881">
        <v>19732280.27</v>
      </c>
      <c r="C59" s="1881">
        <v>19732280.27</v>
      </c>
      <c r="D59" s="1881">
        <v>19732280.27</v>
      </c>
      <c r="E59" s="1881">
        <v>19732280.27</v>
      </c>
      <c r="F59" s="1881">
        <v>19732280.27</v>
      </c>
      <c r="G59" s="1881">
        <v>19732280.27</v>
      </c>
      <c r="H59" s="1881">
        <v>19732280.27</v>
      </c>
      <c r="I59" s="1881">
        <v>19732280.27</v>
      </c>
      <c r="J59" s="1881">
        <v>19732280.27</v>
      </c>
      <c r="K59" s="1881">
        <v>19732280.27</v>
      </c>
      <c r="L59" s="1881">
        <v>19732280.27</v>
      </c>
      <c r="M59" s="1881">
        <v>19732280.27</v>
      </c>
      <c r="N59" s="1881">
        <v>19732280.27</v>
      </c>
      <c r="O59" s="1810">
        <f t="shared" si="2"/>
        <v>19732280.270000003</v>
      </c>
      <c r="P59" s="97"/>
    </row>
    <row r="60" spans="1:16">
      <c r="A60" s="97" t="s">
        <v>642</v>
      </c>
      <c r="B60" s="1881">
        <v>113968.39</v>
      </c>
      <c r="C60" s="1881">
        <v>113968.39</v>
      </c>
      <c r="D60" s="1881">
        <v>113968.39</v>
      </c>
      <c r="E60" s="1881">
        <v>113968.39</v>
      </c>
      <c r="F60" s="1881">
        <v>113968.39</v>
      </c>
      <c r="G60" s="1881">
        <v>113968.39</v>
      </c>
      <c r="H60" s="1881">
        <v>113968.39</v>
      </c>
      <c r="I60" s="1881">
        <v>113968.39</v>
      </c>
      <c r="J60" s="1881">
        <v>113968.39</v>
      </c>
      <c r="K60" s="1881">
        <v>113968.39</v>
      </c>
      <c r="L60" s="1881">
        <v>113968.39</v>
      </c>
      <c r="M60" s="1881">
        <v>113968.39</v>
      </c>
      <c r="N60" s="1881">
        <v>113968.39</v>
      </c>
      <c r="O60" s="1810">
        <f t="shared" si="2"/>
        <v>113968.38999999997</v>
      </c>
      <c r="P60" s="97"/>
    </row>
    <row r="61" spans="1:16">
      <c r="A61" s="97" t="s">
        <v>643</v>
      </c>
      <c r="B61" s="1881">
        <v>331427.40999999997</v>
      </c>
      <c r="C61" s="1881">
        <v>331427.40999999997</v>
      </c>
      <c r="D61" s="1881">
        <v>331427.40999999997</v>
      </c>
      <c r="E61" s="1881">
        <v>331427.40999999997</v>
      </c>
      <c r="F61" s="1881">
        <v>331427.40999999997</v>
      </c>
      <c r="G61" s="1881">
        <v>331427.40999999997</v>
      </c>
      <c r="H61" s="1881">
        <v>331427.40999999997</v>
      </c>
      <c r="I61" s="1881">
        <v>331427.40999999997</v>
      </c>
      <c r="J61" s="1881">
        <v>331427.40999999997</v>
      </c>
      <c r="K61" s="1881">
        <v>331427.40999999997</v>
      </c>
      <c r="L61" s="1881">
        <v>331427.40999999997</v>
      </c>
      <c r="M61" s="1881">
        <v>331427.40999999997</v>
      </c>
      <c r="N61" s="1881">
        <v>331427.40999999997</v>
      </c>
      <c r="O61" s="1810">
        <f t="shared" si="2"/>
        <v>331427.41000000003</v>
      </c>
      <c r="P61" s="97"/>
    </row>
    <row r="62" spans="1:16">
      <c r="A62" s="1884" t="s">
        <v>1429</v>
      </c>
      <c r="B62" s="851">
        <f>SUM(B51:B61)</f>
        <v>89509920.909999996</v>
      </c>
      <c r="C62" s="851">
        <f t="shared" ref="C62:O62" si="3">SUM(C51:C61)</f>
        <v>89643204.039999992</v>
      </c>
      <c r="D62" s="851">
        <f t="shared" si="3"/>
        <v>89698944.36999999</v>
      </c>
      <c r="E62" s="851">
        <f t="shared" si="3"/>
        <v>89716581.75</v>
      </c>
      <c r="F62" s="851">
        <f t="shared" si="3"/>
        <v>89760366.699999988</v>
      </c>
      <c r="G62" s="851">
        <f t="shared" si="3"/>
        <v>89788866.469999999</v>
      </c>
      <c r="H62" s="851">
        <f t="shared" si="3"/>
        <v>89829162.11999999</v>
      </c>
      <c r="I62" s="851">
        <f t="shared" si="3"/>
        <v>89873083.50999999</v>
      </c>
      <c r="J62" s="851">
        <f t="shared" si="3"/>
        <v>89927493</v>
      </c>
      <c r="K62" s="851">
        <f t="shared" si="3"/>
        <v>90020583.559999987</v>
      </c>
      <c r="L62" s="851">
        <f t="shared" si="3"/>
        <v>90400672.809999987</v>
      </c>
      <c r="M62" s="851">
        <f t="shared" si="3"/>
        <v>90491460.349999994</v>
      </c>
      <c r="N62" s="851">
        <f t="shared" si="3"/>
        <v>90400615.179999992</v>
      </c>
      <c r="O62" s="851">
        <f t="shared" si="3"/>
        <v>89927765.751538441</v>
      </c>
      <c r="P62" s="97"/>
    </row>
    <row r="63" spans="1:16">
      <c r="A63" s="97"/>
      <c r="B63" s="1881"/>
      <c r="C63" s="1881"/>
      <c r="D63" s="1881"/>
      <c r="E63" s="1881"/>
      <c r="F63" s="1881"/>
      <c r="G63" s="1881"/>
      <c r="H63" s="1881"/>
      <c r="I63" s="1881"/>
      <c r="J63" s="1881"/>
      <c r="K63" s="1881"/>
      <c r="L63" s="1881"/>
      <c r="M63" s="1881"/>
      <c r="N63" s="1881"/>
      <c r="O63" s="1810"/>
      <c r="P63" s="97"/>
    </row>
    <row r="64" spans="1:16">
      <c r="A64" s="104"/>
      <c r="B64" s="1883"/>
      <c r="C64" s="1883"/>
      <c r="D64" s="1883"/>
      <c r="E64" s="1883"/>
      <c r="F64" s="1883"/>
      <c r="G64" s="1883"/>
      <c r="H64" s="1883"/>
      <c r="I64" s="1883"/>
      <c r="J64" s="1883"/>
      <c r="K64" s="1883"/>
      <c r="L64" s="1883"/>
      <c r="M64" s="1883"/>
      <c r="N64" s="1883"/>
      <c r="O64" s="1810"/>
      <c r="P64" s="97"/>
    </row>
    <row r="65" spans="1:16">
      <c r="A65" s="97" t="s">
        <v>1430</v>
      </c>
      <c r="B65" s="1881">
        <v>1769178.02</v>
      </c>
      <c r="C65" s="1881">
        <v>1769178.02</v>
      </c>
      <c r="D65" s="1881">
        <v>1769178.02</v>
      </c>
      <c r="E65" s="1881">
        <v>1769178.02</v>
      </c>
      <c r="F65" s="1881">
        <v>1769178.02</v>
      </c>
      <c r="G65" s="1881">
        <v>1769178.02</v>
      </c>
      <c r="H65" s="1881">
        <v>1769178.02</v>
      </c>
      <c r="I65" s="1881">
        <v>1769178.02</v>
      </c>
      <c r="J65" s="1881">
        <v>1769178.02</v>
      </c>
      <c r="K65" s="1881">
        <v>1769178.02</v>
      </c>
      <c r="L65" s="1881">
        <v>1769178.02</v>
      </c>
      <c r="M65" s="1881">
        <v>1769178.02</v>
      </c>
      <c r="N65" s="1881">
        <v>1769178.02</v>
      </c>
      <c r="O65" s="1810">
        <f t="shared" ref="O65:O71" si="4">AVERAGE(B65:N65)</f>
        <v>1769178.0199999998</v>
      </c>
      <c r="P65" s="97"/>
    </row>
    <row r="66" spans="1:16">
      <c r="A66" s="97" t="s">
        <v>560</v>
      </c>
      <c r="B66" s="1881">
        <v>1276263.6599999999</v>
      </c>
      <c r="C66" s="1881">
        <v>1276263.6599999999</v>
      </c>
      <c r="D66" s="1881">
        <v>1276263.6599999999</v>
      </c>
      <c r="E66" s="1881">
        <v>1276263.6599999999</v>
      </c>
      <c r="F66" s="1881">
        <v>1276263.6599999999</v>
      </c>
      <c r="G66" s="1881">
        <v>1276263.6599999999</v>
      </c>
      <c r="H66" s="1881">
        <v>1276263.6599999999</v>
      </c>
      <c r="I66" s="1881">
        <v>1276263.6599999999</v>
      </c>
      <c r="J66" s="1881">
        <v>1276263.6599999999</v>
      </c>
      <c r="K66" s="1881">
        <v>1276263.6599999999</v>
      </c>
      <c r="L66" s="1881">
        <v>1276263.6599999999</v>
      </c>
      <c r="M66" s="1881">
        <v>1276263.6599999999</v>
      </c>
      <c r="N66" s="1881">
        <v>1276263.6599999999</v>
      </c>
      <c r="O66" s="1810">
        <f t="shared" si="4"/>
        <v>1276263.6599999999</v>
      </c>
      <c r="P66" s="97"/>
    </row>
    <row r="67" spans="1:16">
      <c r="A67" s="97" t="s">
        <v>564</v>
      </c>
      <c r="B67" s="1881">
        <v>38758572.109999999</v>
      </c>
      <c r="C67" s="1881">
        <v>38758572.109999999</v>
      </c>
      <c r="D67" s="1881">
        <v>38758572.109999999</v>
      </c>
      <c r="E67" s="1881">
        <v>38758572.109999999</v>
      </c>
      <c r="F67" s="1881">
        <v>38758572.109999999</v>
      </c>
      <c r="G67" s="1881">
        <v>38758572.109999999</v>
      </c>
      <c r="H67" s="1881">
        <v>38758572.109999999</v>
      </c>
      <c r="I67" s="1881">
        <v>38758572.109999999</v>
      </c>
      <c r="J67" s="1881">
        <v>38758572.109999999</v>
      </c>
      <c r="K67" s="1881">
        <v>38758572.109999999</v>
      </c>
      <c r="L67" s="1881">
        <v>38758572.109999999</v>
      </c>
      <c r="M67" s="1881">
        <v>38758572.109999999</v>
      </c>
      <c r="N67" s="1881">
        <v>38758572.109999999</v>
      </c>
      <c r="O67" s="1810">
        <f t="shared" si="4"/>
        <v>38758572.110000007</v>
      </c>
      <c r="P67" s="97"/>
    </row>
    <row r="68" spans="1:16">
      <c r="A68" s="97" t="s">
        <v>570</v>
      </c>
      <c r="B68" s="1881">
        <v>22781416.949999999</v>
      </c>
      <c r="C68" s="1881">
        <v>22781416.949999999</v>
      </c>
      <c r="D68" s="1881">
        <v>22781416.949999999</v>
      </c>
      <c r="E68" s="1881">
        <v>22781416.949999999</v>
      </c>
      <c r="F68" s="1881">
        <v>22781416.949999999</v>
      </c>
      <c r="G68" s="1881">
        <v>22781416.949999999</v>
      </c>
      <c r="H68" s="1881">
        <v>22781416.949999999</v>
      </c>
      <c r="I68" s="1881">
        <v>22781416.949999999</v>
      </c>
      <c r="J68" s="1881">
        <v>22781416.949999999</v>
      </c>
      <c r="K68" s="1881">
        <v>22781416.949999999</v>
      </c>
      <c r="L68" s="1881">
        <v>22781416.949999999</v>
      </c>
      <c r="M68" s="1881">
        <v>22781416.949999999</v>
      </c>
      <c r="N68" s="1881">
        <v>22781416.949999999</v>
      </c>
      <c r="O68" s="1810">
        <f t="shared" si="4"/>
        <v>22781416.949999992</v>
      </c>
      <c r="P68" s="97"/>
    </row>
    <row r="69" spans="1:16">
      <c r="A69" s="97" t="s">
        <v>576</v>
      </c>
      <c r="B69" s="1881">
        <v>204200</v>
      </c>
      <c r="C69" s="1881">
        <v>204200</v>
      </c>
      <c r="D69" s="1881">
        <v>204200</v>
      </c>
      <c r="E69" s="1881">
        <v>204200</v>
      </c>
      <c r="F69" s="1881">
        <v>204200</v>
      </c>
      <c r="G69" s="1881">
        <v>204200</v>
      </c>
      <c r="H69" s="1881">
        <v>204200</v>
      </c>
      <c r="I69" s="1881">
        <v>204200</v>
      </c>
      <c r="J69" s="1881">
        <v>204200</v>
      </c>
      <c r="K69" s="1881">
        <v>204200</v>
      </c>
      <c r="L69" s="1881">
        <v>204200</v>
      </c>
      <c r="M69" s="1881">
        <v>204200</v>
      </c>
      <c r="N69" s="1881">
        <v>204200</v>
      </c>
      <c r="O69" s="1810">
        <f t="shared" si="4"/>
        <v>204200</v>
      </c>
      <c r="P69" s="97"/>
    </row>
    <row r="70" spans="1:16">
      <c r="A70" s="104" t="s">
        <v>579</v>
      </c>
      <c r="B70" s="1883">
        <v>23640685.219999999</v>
      </c>
      <c r="C70" s="1883">
        <v>23640685.219999999</v>
      </c>
      <c r="D70" s="1883">
        <v>23640685.219999999</v>
      </c>
      <c r="E70" s="1883">
        <v>23640685.219999999</v>
      </c>
      <c r="F70" s="1883">
        <v>23640685.219999999</v>
      </c>
      <c r="G70" s="1883">
        <v>23640685.219999999</v>
      </c>
      <c r="H70" s="1883">
        <v>23640685.219999999</v>
      </c>
      <c r="I70" s="1883">
        <v>23640685.219999999</v>
      </c>
      <c r="J70" s="1881">
        <v>23640685.219999999</v>
      </c>
      <c r="K70" s="1881">
        <v>23640685.219999999</v>
      </c>
      <c r="L70" s="1881">
        <v>23640685.219999999</v>
      </c>
      <c r="M70" s="1881">
        <v>23640685.219999999</v>
      </c>
      <c r="N70" s="1881">
        <v>23640685.219999999</v>
      </c>
      <c r="O70" s="1810">
        <f t="shared" si="4"/>
        <v>23640685.220000003</v>
      </c>
      <c r="P70" s="97"/>
    </row>
    <row r="71" spans="1:16">
      <c r="A71" s="97" t="s">
        <v>641</v>
      </c>
      <c r="B71" s="1881">
        <v>74854.09</v>
      </c>
      <c r="C71" s="1881">
        <v>74854.09</v>
      </c>
      <c r="D71" s="1881">
        <v>74854.09</v>
      </c>
      <c r="E71" s="1881">
        <v>74854.09</v>
      </c>
      <c r="F71" s="1881">
        <v>74854.09</v>
      </c>
      <c r="G71" s="1881">
        <v>74854.09</v>
      </c>
      <c r="H71" s="1881">
        <v>74854.09</v>
      </c>
      <c r="I71" s="1881">
        <v>74854.09</v>
      </c>
      <c r="J71" s="1881">
        <v>74854.09</v>
      </c>
      <c r="K71" s="1881">
        <v>74854.09</v>
      </c>
      <c r="L71" s="1881">
        <v>74854.09</v>
      </c>
      <c r="M71" s="1881">
        <v>74854.09</v>
      </c>
      <c r="N71" s="1881">
        <v>74854.09</v>
      </c>
      <c r="O71" s="1810">
        <f t="shared" si="4"/>
        <v>74854.089999999982</v>
      </c>
      <c r="P71" s="97"/>
    </row>
    <row r="72" spans="1:16">
      <c r="A72" s="1364" t="s">
        <v>1361</v>
      </c>
      <c r="B72" s="1885">
        <f>SUM(B65:B71)</f>
        <v>88505170.049999997</v>
      </c>
      <c r="C72" s="1885">
        <f t="shared" ref="C72:O72" si="5">SUM(C65:C71)</f>
        <v>88505170.049999997</v>
      </c>
      <c r="D72" s="1885">
        <f t="shared" si="5"/>
        <v>88505170.049999997</v>
      </c>
      <c r="E72" s="1885">
        <f t="shared" si="5"/>
        <v>88505170.049999997</v>
      </c>
      <c r="F72" s="1885">
        <f t="shared" si="5"/>
        <v>88505170.049999997</v>
      </c>
      <c r="G72" s="1885">
        <f t="shared" si="5"/>
        <v>88505170.049999997</v>
      </c>
      <c r="H72" s="1885">
        <f t="shared" si="5"/>
        <v>88505170.049999997</v>
      </c>
      <c r="I72" s="1885">
        <f t="shared" si="5"/>
        <v>88505170.049999997</v>
      </c>
      <c r="J72" s="1885">
        <f t="shared" si="5"/>
        <v>88505170.049999997</v>
      </c>
      <c r="K72" s="1885">
        <f t="shared" si="5"/>
        <v>88505170.049999997</v>
      </c>
      <c r="L72" s="1885">
        <f t="shared" si="5"/>
        <v>88505170.049999997</v>
      </c>
      <c r="M72" s="1885">
        <f t="shared" si="5"/>
        <v>88505170.049999997</v>
      </c>
      <c r="N72" s="1885">
        <f t="shared" si="5"/>
        <v>88505170.049999997</v>
      </c>
      <c r="O72" s="1885">
        <f t="shared" si="5"/>
        <v>88505170.049999997</v>
      </c>
      <c r="P72" s="97"/>
    </row>
    <row r="73" spans="1:16">
      <c r="A73" s="642"/>
      <c r="B73" s="648"/>
      <c r="C73" s="648"/>
      <c r="D73" s="648"/>
      <c r="E73" s="648"/>
      <c r="F73" s="648"/>
      <c r="G73" s="648"/>
      <c r="H73" s="648"/>
      <c r="I73" s="648"/>
      <c r="J73" s="648"/>
      <c r="K73" s="648"/>
      <c r="L73" s="648"/>
      <c r="M73" s="648"/>
      <c r="N73" s="648"/>
      <c r="O73" s="648"/>
      <c r="P73" s="97"/>
    </row>
    <row r="74" spans="1:16">
      <c r="A74" s="97" t="s">
        <v>1156</v>
      </c>
      <c r="B74" s="1881">
        <v>1908.09</v>
      </c>
      <c r="C74" s="1881">
        <v>1908.09</v>
      </c>
      <c r="D74" s="1881">
        <v>1908.09</v>
      </c>
      <c r="E74" s="1881">
        <v>1908.09</v>
      </c>
      <c r="F74" s="1881">
        <v>1908.09</v>
      </c>
      <c r="G74" s="1881">
        <v>1908.09</v>
      </c>
      <c r="H74" s="1881">
        <v>1908.09</v>
      </c>
      <c r="I74" s="1881">
        <v>1908.09</v>
      </c>
      <c r="J74" s="1881">
        <v>1908.09</v>
      </c>
      <c r="K74" s="1881">
        <v>1908.09</v>
      </c>
      <c r="L74" s="1881">
        <v>1908.09</v>
      </c>
      <c r="M74" s="1881">
        <v>1908.09</v>
      </c>
      <c r="N74" s="1881">
        <v>1908.09</v>
      </c>
      <c r="O74" s="1810">
        <f t="shared" ref="O74:O105" si="6">AVERAGE(B74:N74)</f>
        <v>1908.09</v>
      </c>
      <c r="P74" s="97"/>
    </row>
    <row r="75" spans="1:16">
      <c r="A75" s="97" t="s">
        <v>1157</v>
      </c>
      <c r="B75" s="1881">
        <v>28500</v>
      </c>
      <c r="C75" s="1881">
        <v>28500</v>
      </c>
      <c r="D75" s="1881">
        <v>28500</v>
      </c>
      <c r="E75" s="1881">
        <v>28500</v>
      </c>
      <c r="F75" s="1881">
        <v>28500</v>
      </c>
      <c r="G75" s="1881">
        <v>28500</v>
      </c>
      <c r="H75" s="1881">
        <v>28500</v>
      </c>
      <c r="I75" s="1881">
        <v>28500</v>
      </c>
      <c r="J75" s="1881">
        <v>28500</v>
      </c>
      <c r="K75" s="1881">
        <v>28500</v>
      </c>
      <c r="L75" s="1881">
        <v>28500</v>
      </c>
      <c r="M75" s="1881">
        <v>28500</v>
      </c>
      <c r="N75" s="1881">
        <v>28500</v>
      </c>
      <c r="O75" s="1810">
        <f t="shared" si="6"/>
        <v>28500</v>
      </c>
      <c r="P75" s="97"/>
    </row>
    <row r="76" spans="1:16">
      <c r="A76" s="97" t="s">
        <v>1158</v>
      </c>
      <c r="B76" s="1881">
        <v>132335</v>
      </c>
      <c r="C76" s="1881">
        <v>132335</v>
      </c>
      <c r="D76" s="1881">
        <v>132335</v>
      </c>
      <c r="E76" s="1881">
        <v>132335</v>
      </c>
      <c r="F76" s="1881">
        <v>132335</v>
      </c>
      <c r="G76" s="1881">
        <v>132335</v>
      </c>
      <c r="H76" s="1881">
        <v>132335</v>
      </c>
      <c r="I76" s="1881">
        <v>132335</v>
      </c>
      <c r="J76" s="1881">
        <v>132335</v>
      </c>
      <c r="K76" s="1881">
        <v>132335</v>
      </c>
      <c r="L76" s="1881">
        <v>132335</v>
      </c>
      <c r="M76" s="1881">
        <v>132335</v>
      </c>
      <c r="N76" s="1881">
        <v>132335</v>
      </c>
      <c r="O76" s="1810">
        <f t="shared" si="6"/>
        <v>132335</v>
      </c>
      <c r="P76" s="97"/>
    </row>
    <row r="77" spans="1:16">
      <c r="A77" s="97" t="s">
        <v>1159</v>
      </c>
      <c r="B77" s="1881">
        <v>964.77</v>
      </c>
      <c r="C77" s="1881">
        <v>964.77</v>
      </c>
      <c r="D77" s="1881">
        <v>964.77</v>
      </c>
      <c r="E77" s="1881">
        <v>964.77</v>
      </c>
      <c r="F77" s="1881">
        <v>964.77</v>
      </c>
      <c r="G77" s="1881">
        <v>964.77</v>
      </c>
      <c r="H77" s="1881">
        <v>964.77</v>
      </c>
      <c r="I77" s="1881">
        <v>964.77</v>
      </c>
      <c r="J77" s="1881">
        <v>964.77</v>
      </c>
      <c r="K77" s="1881">
        <v>964.77</v>
      </c>
      <c r="L77" s="1881">
        <v>964.77</v>
      </c>
      <c r="M77" s="1881">
        <v>964.77</v>
      </c>
      <c r="N77" s="1881">
        <v>964.77</v>
      </c>
      <c r="O77" s="1810">
        <f t="shared" si="6"/>
        <v>964.77000000000032</v>
      </c>
      <c r="P77" s="97"/>
    </row>
    <row r="78" spans="1:16">
      <c r="A78" s="97" t="s">
        <v>1160</v>
      </c>
      <c r="B78" s="1881">
        <v>6965</v>
      </c>
      <c r="C78" s="1881">
        <v>6965</v>
      </c>
      <c r="D78" s="1881">
        <v>6965</v>
      </c>
      <c r="E78" s="1881">
        <v>6965</v>
      </c>
      <c r="F78" s="1881">
        <v>6965</v>
      </c>
      <c r="G78" s="1881">
        <v>6965</v>
      </c>
      <c r="H78" s="1881">
        <v>6965</v>
      </c>
      <c r="I78" s="1881">
        <v>6965</v>
      </c>
      <c r="J78" s="1881">
        <v>6965</v>
      </c>
      <c r="K78" s="1881">
        <v>6965</v>
      </c>
      <c r="L78" s="1881">
        <v>6965</v>
      </c>
      <c r="M78" s="1881">
        <v>6965</v>
      </c>
      <c r="N78" s="1881">
        <v>6965</v>
      </c>
      <c r="O78" s="1810">
        <f t="shared" si="6"/>
        <v>6965</v>
      </c>
      <c r="P78" s="97"/>
    </row>
    <row r="79" spans="1:16">
      <c r="A79" s="97" t="s">
        <v>1345</v>
      </c>
      <c r="B79" s="1881">
        <v>40014.639999999999</v>
      </c>
      <c r="C79" s="1881">
        <v>40014.639999999999</v>
      </c>
      <c r="D79" s="1881">
        <v>40014.639999999999</v>
      </c>
      <c r="E79" s="1881">
        <v>40014.639999999999</v>
      </c>
      <c r="F79" s="1881">
        <v>40014.639999999999</v>
      </c>
      <c r="G79" s="1881">
        <v>40014.639999999999</v>
      </c>
      <c r="H79" s="1881">
        <v>40014.639999999999</v>
      </c>
      <c r="I79" s="1881">
        <v>40014.639999999999</v>
      </c>
      <c r="J79" s="1881">
        <v>40014.639999999999</v>
      </c>
      <c r="K79" s="1881">
        <v>40014.639999999999</v>
      </c>
      <c r="L79" s="1881">
        <v>40014.639999999999</v>
      </c>
      <c r="M79" s="1881">
        <v>40014.639999999999</v>
      </c>
      <c r="N79" s="1881">
        <v>40014.639999999999</v>
      </c>
      <c r="O79" s="1810">
        <f t="shared" si="6"/>
        <v>40014.640000000007</v>
      </c>
      <c r="P79" s="97"/>
    </row>
    <row r="80" spans="1:16">
      <c r="A80" s="97" t="s">
        <v>1266</v>
      </c>
      <c r="B80" s="1881">
        <v>1684036.41</v>
      </c>
      <c r="C80" s="1881">
        <v>1684036.41</v>
      </c>
      <c r="D80" s="1881">
        <v>1684036.41</v>
      </c>
      <c r="E80" s="1881">
        <v>1684036.41</v>
      </c>
      <c r="F80" s="1881">
        <v>1684036.41</v>
      </c>
      <c r="G80" s="1881">
        <v>1684036.41</v>
      </c>
      <c r="H80" s="1881">
        <v>1684036.41</v>
      </c>
      <c r="I80" s="1881">
        <v>1684036.41</v>
      </c>
      <c r="J80" s="1881">
        <v>1684036.41</v>
      </c>
      <c r="K80" s="1881">
        <v>1684036.41</v>
      </c>
      <c r="L80" s="1881">
        <v>1684036.41</v>
      </c>
      <c r="M80" s="1881">
        <v>1684036.41</v>
      </c>
      <c r="N80" s="1881">
        <v>1684036.41</v>
      </c>
      <c r="O80" s="1810">
        <f t="shared" si="6"/>
        <v>1684036.41</v>
      </c>
      <c r="P80" s="97"/>
    </row>
    <row r="81" spans="1:16">
      <c r="A81" s="97" t="s">
        <v>1161</v>
      </c>
      <c r="B81" s="1881">
        <v>153083</v>
      </c>
      <c r="C81" s="1881">
        <v>153083</v>
      </c>
      <c r="D81" s="1881">
        <v>153083</v>
      </c>
      <c r="E81" s="1881">
        <v>153083</v>
      </c>
      <c r="F81" s="1881">
        <v>153083</v>
      </c>
      <c r="G81" s="1881">
        <v>153083</v>
      </c>
      <c r="H81" s="1881">
        <v>153083</v>
      </c>
      <c r="I81" s="1881">
        <v>153083</v>
      </c>
      <c r="J81" s="1881">
        <v>153083</v>
      </c>
      <c r="K81" s="1881">
        <v>153083</v>
      </c>
      <c r="L81" s="1881">
        <v>153083</v>
      </c>
      <c r="M81" s="1881">
        <v>153083</v>
      </c>
      <c r="N81" s="1881">
        <v>153083</v>
      </c>
      <c r="O81" s="1810">
        <f t="shared" si="6"/>
        <v>153083</v>
      </c>
      <c r="P81" s="97"/>
    </row>
    <row r="82" spans="1:16">
      <c r="A82" s="97" t="s">
        <v>1162</v>
      </c>
      <c r="B82" s="1881">
        <v>79169.490000000005</v>
      </c>
      <c r="C82" s="1881">
        <v>79169.490000000005</v>
      </c>
      <c r="D82" s="1881">
        <v>79169.490000000005</v>
      </c>
      <c r="E82" s="1881">
        <v>79169.490000000005</v>
      </c>
      <c r="F82" s="1881">
        <v>79169.490000000005</v>
      </c>
      <c r="G82" s="1881">
        <v>79169.490000000005</v>
      </c>
      <c r="H82" s="1881">
        <v>79169.490000000005</v>
      </c>
      <c r="I82" s="1881">
        <v>79169.490000000005</v>
      </c>
      <c r="J82" s="1881">
        <v>79169.490000000005</v>
      </c>
      <c r="K82" s="1881">
        <v>79169.490000000005</v>
      </c>
      <c r="L82" s="1881">
        <v>79169.490000000005</v>
      </c>
      <c r="M82" s="1881">
        <v>79169.490000000005</v>
      </c>
      <c r="N82" s="1881">
        <v>79169.490000000005</v>
      </c>
      <c r="O82" s="1810">
        <f t="shared" si="6"/>
        <v>79169.490000000005</v>
      </c>
      <c r="P82" s="97"/>
    </row>
    <row r="83" spans="1:16">
      <c r="A83" s="97" t="s">
        <v>1163</v>
      </c>
      <c r="B83" s="1881">
        <v>405246.36</v>
      </c>
      <c r="C83" s="1881">
        <v>405246.36</v>
      </c>
      <c r="D83" s="1881">
        <v>405246.36</v>
      </c>
      <c r="E83" s="1881">
        <v>405246.36</v>
      </c>
      <c r="F83" s="1881">
        <v>405246.36</v>
      </c>
      <c r="G83" s="1881">
        <v>405246.36</v>
      </c>
      <c r="H83" s="1881">
        <v>405246.36</v>
      </c>
      <c r="I83" s="1881">
        <v>405246.36</v>
      </c>
      <c r="J83" s="1881">
        <v>405246.36</v>
      </c>
      <c r="K83" s="1881">
        <v>405246.36</v>
      </c>
      <c r="L83" s="1881">
        <v>405246.36</v>
      </c>
      <c r="M83" s="1881">
        <v>405246.36</v>
      </c>
      <c r="N83" s="1881">
        <v>405246.36</v>
      </c>
      <c r="O83" s="1810">
        <f t="shared" si="6"/>
        <v>405246.36</v>
      </c>
      <c r="P83" s="97"/>
    </row>
    <row r="84" spans="1:16">
      <c r="A84" s="97" t="s">
        <v>1164</v>
      </c>
      <c r="B84" s="1881">
        <v>144100.1</v>
      </c>
      <c r="C84" s="1881">
        <v>144100.1</v>
      </c>
      <c r="D84" s="1881">
        <v>144100.1</v>
      </c>
      <c r="E84" s="1881">
        <v>144100.1</v>
      </c>
      <c r="F84" s="1881">
        <v>144100.1</v>
      </c>
      <c r="G84" s="1881">
        <v>144100.1</v>
      </c>
      <c r="H84" s="1881">
        <v>144100.1</v>
      </c>
      <c r="I84" s="1881">
        <v>144100.1</v>
      </c>
      <c r="J84" s="1881">
        <v>144100.1</v>
      </c>
      <c r="K84" s="1881">
        <v>144100.1</v>
      </c>
      <c r="L84" s="1881">
        <v>144100.1</v>
      </c>
      <c r="M84" s="1881">
        <v>144100.1</v>
      </c>
      <c r="N84" s="1881">
        <v>144100.1</v>
      </c>
      <c r="O84" s="1810">
        <f t="shared" si="6"/>
        <v>144100.10000000003</v>
      </c>
      <c r="P84" s="97"/>
    </row>
    <row r="85" spans="1:16">
      <c r="A85" s="97" t="s">
        <v>1165</v>
      </c>
      <c r="B85" s="1881">
        <v>134338.09</v>
      </c>
      <c r="C85" s="1881">
        <v>134338.09</v>
      </c>
      <c r="D85" s="1881">
        <v>134338.09</v>
      </c>
      <c r="E85" s="1881">
        <v>134338.09</v>
      </c>
      <c r="F85" s="1881">
        <v>134338.09</v>
      </c>
      <c r="G85" s="1881">
        <v>134338.09</v>
      </c>
      <c r="H85" s="1881">
        <v>134338.09</v>
      </c>
      <c r="I85" s="1881">
        <v>134338.09</v>
      </c>
      <c r="J85" s="1881">
        <v>134338.09</v>
      </c>
      <c r="K85" s="1881">
        <v>134338.09</v>
      </c>
      <c r="L85" s="1881">
        <v>134338.09</v>
      </c>
      <c r="M85" s="1881">
        <v>134338.09</v>
      </c>
      <c r="N85" s="1881">
        <v>134338.09</v>
      </c>
      <c r="O85" s="1810">
        <f t="shared" si="6"/>
        <v>134338.09000000003</v>
      </c>
      <c r="P85" s="97"/>
    </row>
    <row r="86" spans="1:16">
      <c r="A86" s="97" t="s">
        <v>1166</v>
      </c>
      <c r="B86" s="1881">
        <v>112020.55</v>
      </c>
      <c r="C86" s="1881">
        <v>112020.55</v>
      </c>
      <c r="D86" s="1881">
        <v>112020.55</v>
      </c>
      <c r="E86" s="1881">
        <v>112020.55</v>
      </c>
      <c r="F86" s="1881">
        <v>112020.55</v>
      </c>
      <c r="G86" s="1881">
        <v>112020.55</v>
      </c>
      <c r="H86" s="1881">
        <v>112020.55</v>
      </c>
      <c r="I86" s="1881">
        <v>112020.55</v>
      </c>
      <c r="J86" s="1881">
        <v>112020.55</v>
      </c>
      <c r="K86" s="1881">
        <v>112020.55</v>
      </c>
      <c r="L86" s="1881">
        <v>112020.55</v>
      </c>
      <c r="M86" s="1881">
        <v>112020.55</v>
      </c>
      <c r="N86" s="1881">
        <v>112020.55</v>
      </c>
      <c r="O86" s="1810">
        <f t="shared" si="6"/>
        <v>112020.55000000003</v>
      </c>
      <c r="P86" s="97"/>
    </row>
    <row r="87" spans="1:16">
      <c r="A87" s="97" t="s">
        <v>1167</v>
      </c>
      <c r="B87" s="1881">
        <v>5413075.4800000004</v>
      </c>
      <c r="C87" s="1881">
        <v>5413075.4800000004</v>
      </c>
      <c r="D87" s="1881">
        <v>5413075.4800000004</v>
      </c>
      <c r="E87" s="1881">
        <v>5413075.4800000004</v>
      </c>
      <c r="F87" s="1881">
        <v>5413075.4800000004</v>
      </c>
      <c r="G87" s="1881">
        <v>5413075.4800000004</v>
      </c>
      <c r="H87" s="1881">
        <v>5413075.4800000004</v>
      </c>
      <c r="I87" s="1881">
        <v>5413075.4800000004</v>
      </c>
      <c r="J87" s="1881">
        <v>5413075.4800000004</v>
      </c>
      <c r="K87" s="1881">
        <v>5413075.4800000004</v>
      </c>
      <c r="L87" s="1881">
        <v>5413075.4800000004</v>
      </c>
      <c r="M87" s="1881">
        <v>5413075.4800000004</v>
      </c>
      <c r="N87" s="1881">
        <v>5413075.4800000004</v>
      </c>
      <c r="O87" s="1810">
        <f t="shared" si="6"/>
        <v>5413075.4800000023</v>
      </c>
      <c r="P87" s="97"/>
    </row>
    <row r="88" spans="1:16">
      <c r="A88" s="97" t="s">
        <v>1186</v>
      </c>
      <c r="B88" s="1881">
        <v>5618561.7699999996</v>
      </c>
      <c r="C88" s="1881">
        <v>5618561.7699999996</v>
      </c>
      <c r="D88" s="1881">
        <v>5618561.7699999996</v>
      </c>
      <c r="E88" s="1881">
        <v>5618561.7699999996</v>
      </c>
      <c r="F88" s="1881">
        <v>5618561.7699999996</v>
      </c>
      <c r="G88" s="1881">
        <v>5618561.7699999996</v>
      </c>
      <c r="H88" s="1881">
        <v>5618561.7699999996</v>
      </c>
      <c r="I88" s="1881">
        <v>5618561.7699999996</v>
      </c>
      <c r="J88" s="1881">
        <v>5618561.7699999996</v>
      </c>
      <c r="K88" s="1881">
        <v>5618561.7699999996</v>
      </c>
      <c r="L88" s="1881">
        <v>5618561.7699999996</v>
      </c>
      <c r="M88" s="1881">
        <v>5618561.7699999996</v>
      </c>
      <c r="N88" s="1881">
        <v>5618561.7699999996</v>
      </c>
      <c r="O88" s="1810">
        <f t="shared" si="6"/>
        <v>5618561.7699999977</v>
      </c>
      <c r="P88" s="97"/>
    </row>
    <row r="89" spans="1:16">
      <c r="A89" s="97" t="s">
        <v>1168</v>
      </c>
      <c r="B89" s="1881">
        <v>5035074.58</v>
      </c>
      <c r="C89" s="1881">
        <v>5035074.58</v>
      </c>
      <c r="D89" s="1881">
        <v>5035074.58</v>
      </c>
      <c r="E89" s="1881">
        <v>5035074.58</v>
      </c>
      <c r="F89" s="1881">
        <v>5035074.58</v>
      </c>
      <c r="G89" s="1881">
        <v>5035074.58</v>
      </c>
      <c r="H89" s="1881">
        <v>5035074.58</v>
      </c>
      <c r="I89" s="1881">
        <v>5035074.58</v>
      </c>
      <c r="J89" s="1881">
        <v>5035074.58</v>
      </c>
      <c r="K89" s="1881">
        <v>5035074.58</v>
      </c>
      <c r="L89" s="1881">
        <v>5035074.58</v>
      </c>
      <c r="M89" s="1881">
        <v>5035074.58</v>
      </c>
      <c r="N89" s="1881">
        <v>5035074.58</v>
      </c>
      <c r="O89" s="1810">
        <f t="shared" si="6"/>
        <v>5035074.5799999991</v>
      </c>
      <c r="P89" s="97"/>
    </row>
    <row r="90" spans="1:16">
      <c r="A90" s="97" t="s">
        <v>1169</v>
      </c>
      <c r="B90" s="1881">
        <v>3188705.85</v>
      </c>
      <c r="C90" s="1881">
        <v>3188705.85</v>
      </c>
      <c r="D90" s="1881">
        <v>3188705.85</v>
      </c>
      <c r="E90" s="1881">
        <v>3188705.85</v>
      </c>
      <c r="F90" s="1881">
        <v>3188705.85</v>
      </c>
      <c r="G90" s="1881">
        <v>3188705.85</v>
      </c>
      <c r="H90" s="1881">
        <v>3188705.85</v>
      </c>
      <c r="I90" s="1881">
        <v>3188705.85</v>
      </c>
      <c r="J90" s="1881">
        <v>3188705.85</v>
      </c>
      <c r="K90" s="1881">
        <v>3188705.85</v>
      </c>
      <c r="L90" s="1881">
        <v>3188705.85</v>
      </c>
      <c r="M90" s="1881">
        <v>3188705.85</v>
      </c>
      <c r="N90" s="1881">
        <v>3188705.85</v>
      </c>
      <c r="O90" s="1810">
        <f t="shared" si="6"/>
        <v>3188705.850000001</v>
      </c>
      <c r="P90" s="97"/>
    </row>
    <row r="91" spans="1:16">
      <c r="A91" s="97" t="s">
        <v>1170</v>
      </c>
      <c r="B91" s="1881">
        <v>3537269.55</v>
      </c>
      <c r="C91" s="1881">
        <v>3537269.55</v>
      </c>
      <c r="D91" s="1881">
        <v>3537269.55</v>
      </c>
      <c r="E91" s="1881">
        <v>3537269.55</v>
      </c>
      <c r="F91" s="1881">
        <v>3537269.55</v>
      </c>
      <c r="G91" s="1881">
        <v>3537269.55</v>
      </c>
      <c r="H91" s="1881">
        <v>3537269.55</v>
      </c>
      <c r="I91" s="1881">
        <v>3708558.27</v>
      </c>
      <c r="J91" s="1881">
        <v>3708558.27</v>
      </c>
      <c r="K91" s="1881">
        <v>3708558.27</v>
      </c>
      <c r="L91" s="1881">
        <v>3708558.27</v>
      </c>
      <c r="M91" s="1881">
        <v>3770471.15</v>
      </c>
      <c r="N91" s="1881">
        <v>3734053.99</v>
      </c>
      <c r="O91" s="1810">
        <f t="shared" si="6"/>
        <v>3623049.6207692316</v>
      </c>
      <c r="P91" s="97"/>
    </row>
    <row r="92" spans="1:16">
      <c r="A92" s="97" t="s">
        <v>1171</v>
      </c>
      <c r="B92" s="1881">
        <v>1732090.29</v>
      </c>
      <c r="C92" s="1881">
        <v>1732090.29</v>
      </c>
      <c r="D92" s="1881">
        <v>1732090.29</v>
      </c>
      <c r="E92" s="1881">
        <v>1732090.29</v>
      </c>
      <c r="F92" s="1881">
        <v>1732090.29</v>
      </c>
      <c r="G92" s="1881">
        <v>1732090.29</v>
      </c>
      <c r="H92" s="1881">
        <v>1732090.29</v>
      </c>
      <c r="I92" s="1881">
        <v>1732090.29</v>
      </c>
      <c r="J92" s="1881">
        <v>1732090.29</v>
      </c>
      <c r="K92" s="1881">
        <v>1732090.29</v>
      </c>
      <c r="L92" s="1881">
        <v>1732090.29</v>
      </c>
      <c r="M92" s="1881">
        <v>1732090.29</v>
      </c>
      <c r="N92" s="1881">
        <v>1732090.29</v>
      </c>
      <c r="O92" s="1810">
        <f t="shared" si="6"/>
        <v>1732090.2899999993</v>
      </c>
      <c r="P92" s="97"/>
    </row>
    <row r="93" spans="1:16">
      <c r="A93" s="97" t="s">
        <v>1172</v>
      </c>
      <c r="B93" s="1881">
        <v>411060</v>
      </c>
      <c r="C93" s="1881">
        <v>411060</v>
      </c>
      <c r="D93" s="1881">
        <v>411060</v>
      </c>
      <c r="E93" s="1881">
        <v>411060</v>
      </c>
      <c r="F93" s="1881">
        <v>411060</v>
      </c>
      <c r="G93" s="1881">
        <v>411060</v>
      </c>
      <c r="H93" s="1881">
        <v>411060</v>
      </c>
      <c r="I93" s="1881">
        <v>411060</v>
      </c>
      <c r="J93" s="1881">
        <v>411060</v>
      </c>
      <c r="K93" s="1881">
        <v>411060</v>
      </c>
      <c r="L93" s="1881">
        <v>411060</v>
      </c>
      <c r="M93" s="1881">
        <v>411060</v>
      </c>
      <c r="N93" s="1881">
        <v>411060</v>
      </c>
      <c r="O93" s="1810">
        <f t="shared" si="6"/>
        <v>411060</v>
      </c>
      <c r="P93" s="97"/>
    </row>
    <row r="94" spans="1:16">
      <c r="A94" s="97" t="s">
        <v>1173</v>
      </c>
      <c r="B94" s="1881">
        <v>8795959.3599999994</v>
      </c>
      <c r="C94" s="1881">
        <v>8795959.3599999994</v>
      </c>
      <c r="D94" s="1881">
        <v>8795959.3599999994</v>
      </c>
      <c r="E94" s="1881">
        <v>8795959.3599999994</v>
      </c>
      <c r="F94" s="1881">
        <v>8795959.3599999994</v>
      </c>
      <c r="G94" s="1881">
        <v>8795959.3599999994</v>
      </c>
      <c r="H94" s="1881">
        <v>8795959.3599999994</v>
      </c>
      <c r="I94" s="1881">
        <v>8795959.3599999994</v>
      </c>
      <c r="J94" s="1881">
        <v>8795959.3599999994</v>
      </c>
      <c r="K94" s="1881">
        <v>8795959.3599999994</v>
      </c>
      <c r="L94" s="1881">
        <v>8795959.3599999994</v>
      </c>
      <c r="M94" s="1881">
        <v>8795959.3599999994</v>
      </c>
      <c r="N94" s="1881">
        <v>8795959.3599999994</v>
      </c>
      <c r="O94" s="1810">
        <f t="shared" si="6"/>
        <v>8795959.3599999994</v>
      </c>
      <c r="P94" s="97"/>
    </row>
    <row r="95" spans="1:16">
      <c r="A95" s="97" t="s">
        <v>1174</v>
      </c>
      <c r="B95" s="1881">
        <v>9149505.9600000009</v>
      </c>
      <c r="C95" s="1881">
        <v>9149505.9600000009</v>
      </c>
      <c r="D95" s="1881">
        <v>9149505.9600000009</v>
      </c>
      <c r="E95" s="1881">
        <v>9149505.9600000009</v>
      </c>
      <c r="F95" s="1881">
        <v>9149505.9600000009</v>
      </c>
      <c r="G95" s="1881">
        <v>9149505.9600000009</v>
      </c>
      <c r="H95" s="1881">
        <v>9149505.9600000009</v>
      </c>
      <c r="I95" s="1881">
        <v>9149505.9600000009</v>
      </c>
      <c r="J95" s="1881">
        <v>9149505.9600000009</v>
      </c>
      <c r="K95" s="1881">
        <v>9149505.9600000009</v>
      </c>
      <c r="L95" s="1881">
        <v>9149505.9600000009</v>
      </c>
      <c r="M95" s="1881">
        <v>9149505.9600000009</v>
      </c>
      <c r="N95" s="1881">
        <v>9149505.9600000009</v>
      </c>
      <c r="O95" s="1810">
        <f t="shared" si="6"/>
        <v>9149505.9600000046</v>
      </c>
      <c r="P95" s="97"/>
    </row>
    <row r="96" spans="1:16">
      <c r="A96" s="97" t="s">
        <v>1346</v>
      </c>
      <c r="B96" s="1881">
        <v>422.97</v>
      </c>
      <c r="C96" s="1881">
        <v>422.97</v>
      </c>
      <c r="D96" s="1881">
        <v>422.97</v>
      </c>
      <c r="E96" s="1881">
        <v>422.97</v>
      </c>
      <c r="F96" s="1881">
        <v>422.97</v>
      </c>
      <c r="G96" s="1881">
        <v>422.97</v>
      </c>
      <c r="H96" s="1881">
        <v>422.97</v>
      </c>
      <c r="I96" s="1881">
        <v>422.97</v>
      </c>
      <c r="J96" s="1881">
        <v>422.97</v>
      </c>
      <c r="K96" s="1881">
        <v>422.97</v>
      </c>
      <c r="L96" s="1881">
        <v>422.97</v>
      </c>
      <c r="M96" s="1881">
        <v>422.97</v>
      </c>
      <c r="N96" s="1881">
        <v>422.97</v>
      </c>
      <c r="O96" s="1810">
        <f t="shared" si="6"/>
        <v>422.9700000000002</v>
      </c>
      <c r="P96" s="97"/>
    </row>
    <row r="97" spans="1:16">
      <c r="A97" s="97" t="s">
        <v>1175</v>
      </c>
      <c r="B97" s="1881">
        <v>2700204.91</v>
      </c>
      <c r="C97" s="1881">
        <v>2700204.91</v>
      </c>
      <c r="D97" s="1881">
        <v>2700204.91</v>
      </c>
      <c r="E97" s="1881">
        <v>2700204.91</v>
      </c>
      <c r="F97" s="1881">
        <v>2700204.91</v>
      </c>
      <c r="G97" s="1881">
        <v>2700204.91</v>
      </c>
      <c r="H97" s="1881">
        <v>2700204.91</v>
      </c>
      <c r="I97" s="1881">
        <v>2700204.91</v>
      </c>
      <c r="J97" s="1881">
        <v>2700204.91</v>
      </c>
      <c r="K97" s="1881">
        <v>2700204.91</v>
      </c>
      <c r="L97" s="1881">
        <v>2700204.91</v>
      </c>
      <c r="M97" s="1881">
        <v>2700204.91</v>
      </c>
      <c r="N97" s="1881">
        <v>2700204.91</v>
      </c>
      <c r="O97" s="1810">
        <f t="shared" si="6"/>
        <v>2700204.9099999997</v>
      </c>
      <c r="P97" s="97"/>
    </row>
    <row r="98" spans="1:16">
      <c r="A98" s="97" t="s">
        <v>1267</v>
      </c>
      <c r="B98" s="1881">
        <v>23954394.870000001</v>
      </c>
      <c r="C98" s="1881">
        <v>23954394.870000001</v>
      </c>
      <c r="D98" s="1881">
        <v>23954394.870000001</v>
      </c>
      <c r="E98" s="1881">
        <v>23954394.870000001</v>
      </c>
      <c r="F98" s="1881">
        <v>23954394.870000001</v>
      </c>
      <c r="G98" s="1881">
        <v>23954394.870000001</v>
      </c>
      <c r="H98" s="1881">
        <v>23954394.870000001</v>
      </c>
      <c r="I98" s="1881">
        <v>23954394.870000001</v>
      </c>
      <c r="J98" s="1881">
        <v>23954394.870000001</v>
      </c>
      <c r="K98" s="1881">
        <v>23954394.870000001</v>
      </c>
      <c r="L98" s="1881">
        <v>23954394.870000001</v>
      </c>
      <c r="M98" s="1881">
        <v>23954394.870000001</v>
      </c>
      <c r="N98" s="1881">
        <v>23954394.870000001</v>
      </c>
      <c r="O98" s="1810">
        <f t="shared" si="6"/>
        <v>23954394.870000001</v>
      </c>
      <c r="P98" s="97"/>
    </row>
    <row r="99" spans="1:16">
      <c r="A99" s="97" t="s">
        <v>1176</v>
      </c>
      <c r="B99" s="1881">
        <v>1782984.84</v>
      </c>
      <c r="C99" s="1881">
        <v>1782984.84</v>
      </c>
      <c r="D99" s="1881">
        <v>1782984.84</v>
      </c>
      <c r="E99" s="1881">
        <v>1782984.84</v>
      </c>
      <c r="F99" s="1881">
        <v>1782984.84</v>
      </c>
      <c r="G99" s="1881">
        <v>1782984.84</v>
      </c>
      <c r="H99" s="1881">
        <v>1782984.84</v>
      </c>
      <c r="I99" s="1881">
        <v>1782984.84</v>
      </c>
      <c r="J99" s="1881">
        <v>1782984.84</v>
      </c>
      <c r="K99" s="1881">
        <v>1782984.84</v>
      </c>
      <c r="L99" s="1881">
        <v>1782984.84</v>
      </c>
      <c r="M99" s="1881">
        <v>1782984.84</v>
      </c>
      <c r="N99" s="1881">
        <v>1782984.84</v>
      </c>
      <c r="O99" s="1810">
        <f t="shared" si="6"/>
        <v>1782984.84</v>
      </c>
      <c r="P99" s="97"/>
    </row>
    <row r="100" spans="1:16">
      <c r="A100" s="97" t="s">
        <v>1177</v>
      </c>
      <c r="B100" s="1881">
        <v>17779.78</v>
      </c>
      <c r="C100" s="1881">
        <v>17779.78</v>
      </c>
      <c r="D100" s="1881">
        <v>17779.78</v>
      </c>
      <c r="E100" s="1881">
        <v>30559.5</v>
      </c>
      <c r="F100" s="1881">
        <v>30559.5</v>
      </c>
      <c r="G100" s="1881">
        <v>30559.5</v>
      </c>
      <c r="H100" s="1881">
        <v>30559.5</v>
      </c>
      <c r="I100" s="1881">
        <v>30559.5</v>
      </c>
      <c r="J100" s="1881">
        <v>30559.5</v>
      </c>
      <c r="K100" s="1881">
        <v>30559.5</v>
      </c>
      <c r="L100" s="1881">
        <v>30559.5</v>
      </c>
      <c r="M100" s="1881">
        <v>30559.5</v>
      </c>
      <c r="N100" s="1881">
        <v>30559.5</v>
      </c>
      <c r="O100" s="1810">
        <f t="shared" si="6"/>
        <v>27610.333846153844</v>
      </c>
      <c r="P100" s="97"/>
    </row>
    <row r="101" spans="1:16">
      <c r="A101" s="97" t="s">
        <v>1178</v>
      </c>
      <c r="B101" s="1881">
        <v>179763.98</v>
      </c>
      <c r="C101" s="1881">
        <v>179763.98</v>
      </c>
      <c r="D101" s="1881">
        <v>179763.98</v>
      </c>
      <c r="E101" s="1881">
        <v>179763.98</v>
      </c>
      <c r="F101" s="1881">
        <v>179763.98</v>
      </c>
      <c r="G101" s="1881">
        <v>179763.98</v>
      </c>
      <c r="H101" s="1881">
        <v>179763.98</v>
      </c>
      <c r="I101" s="1881">
        <v>179763.98</v>
      </c>
      <c r="J101" s="1881">
        <v>179763.98</v>
      </c>
      <c r="K101" s="1881">
        <v>179763.98</v>
      </c>
      <c r="L101" s="1881">
        <v>179763.98</v>
      </c>
      <c r="M101" s="1881">
        <v>179763.98</v>
      </c>
      <c r="N101" s="1881">
        <v>179763.98</v>
      </c>
      <c r="O101" s="1810">
        <f t="shared" si="6"/>
        <v>179763.98</v>
      </c>
      <c r="P101" s="97"/>
    </row>
    <row r="102" spans="1:16">
      <c r="A102" s="97" t="s">
        <v>1179</v>
      </c>
      <c r="B102" s="1881">
        <v>126549.4</v>
      </c>
      <c r="C102" s="1881">
        <v>126549.4</v>
      </c>
      <c r="D102" s="1881">
        <v>126549.4</v>
      </c>
      <c r="E102" s="1881">
        <v>126549.4</v>
      </c>
      <c r="F102" s="1881">
        <v>126549.4</v>
      </c>
      <c r="G102" s="1881">
        <v>126549.4</v>
      </c>
      <c r="H102" s="1881">
        <v>126549.4</v>
      </c>
      <c r="I102" s="1881">
        <v>126549.4</v>
      </c>
      <c r="J102" s="1881">
        <v>126549.4</v>
      </c>
      <c r="K102" s="1881">
        <v>126549.4</v>
      </c>
      <c r="L102" s="1881">
        <v>126549.4</v>
      </c>
      <c r="M102" s="1881">
        <v>126549.4</v>
      </c>
      <c r="N102" s="1881">
        <v>126549.4</v>
      </c>
      <c r="O102" s="1810">
        <f t="shared" si="6"/>
        <v>126549.39999999998</v>
      </c>
      <c r="P102" s="97"/>
    </row>
    <row r="103" spans="1:16">
      <c r="A103" s="97" t="s">
        <v>1187</v>
      </c>
      <c r="B103" s="1881">
        <v>4058109.56</v>
      </c>
      <c r="C103" s="1881">
        <v>4059408.32</v>
      </c>
      <c r="D103" s="1881">
        <v>4059434.67</v>
      </c>
      <c r="E103" s="1881">
        <v>4059604.88</v>
      </c>
      <c r="F103" s="1881">
        <v>4058986.08</v>
      </c>
      <c r="G103" s="1881">
        <v>4058986.08</v>
      </c>
      <c r="H103" s="1881">
        <v>4058986.08</v>
      </c>
      <c r="I103" s="1881">
        <v>4058986.08</v>
      </c>
      <c r="J103" s="1881">
        <v>4058986.08</v>
      </c>
      <c r="K103" s="1881">
        <v>4058986.08</v>
      </c>
      <c r="L103" s="1881">
        <v>4058986.08</v>
      </c>
      <c r="M103" s="1881">
        <v>4058986.08</v>
      </c>
      <c r="N103" s="1881">
        <v>4058986.08</v>
      </c>
      <c r="O103" s="1810">
        <f t="shared" si="6"/>
        <v>4059033.2423076909</v>
      </c>
      <c r="P103" s="97"/>
    </row>
    <row r="104" spans="1:16">
      <c r="A104" s="97" t="s">
        <v>1188</v>
      </c>
      <c r="B104" s="1881">
        <v>4729219.6399999997</v>
      </c>
      <c r="C104" s="1881">
        <v>4729802.59</v>
      </c>
      <c r="D104" s="1881">
        <v>4729802.59</v>
      </c>
      <c r="E104" s="1881">
        <v>4729802.59</v>
      </c>
      <c r="F104" s="1881">
        <v>4729802.59</v>
      </c>
      <c r="G104" s="1881">
        <v>4729802.59</v>
      </c>
      <c r="H104" s="1881">
        <v>4729802.59</v>
      </c>
      <c r="I104" s="1881">
        <v>4729802.59</v>
      </c>
      <c r="J104" s="1881">
        <v>4729802.59</v>
      </c>
      <c r="K104" s="1881">
        <v>4729802.59</v>
      </c>
      <c r="L104" s="1881">
        <v>4729802.59</v>
      </c>
      <c r="M104" s="1881">
        <v>4729802.59</v>
      </c>
      <c r="N104" s="1881">
        <v>4729802.59</v>
      </c>
      <c r="O104" s="1810">
        <f t="shared" si="6"/>
        <v>4729757.7476923084</v>
      </c>
      <c r="P104" s="97"/>
    </row>
    <row r="105" spans="1:16">
      <c r="A105" s="97" t="s">
        <v>1180</v>
      </c>
      <c r="B105" s="1881">
        <v>208636.99</v>
      </c>
      <c r="C105" s="1881">
        <v>208636.99</v>
      </c>
      <c r="D105" s="1881">
        <v>208636.99</v>
      </c>
      <c r="E105" s="1881">
        <v>208636.99</v>
      </c>
      <c r="F105" s="1881">
        <v>208636.99</v>
      </c>
      <c r="G105" s="1881">
        <v>208636.99</v>
      </c>
      <c r="H105" s="1881">
        <v>208636.99</v>
      </c>
      <c r="I105" s="1881">
        <v>208636.99</v>
      </c>
      <c r="J105" s="1881">
        <v>208636.99</v>
      </c>
      <c r="K105" s="1881">
        <v>208636.99</v>
      </c>
      <c r="L105" s="1881">
        <v>208636.99</v>
      </c>
      <c r="M105" s="1881">
        <v>208636.99</v>
      </c>
      <c r="N105" s="1881">
        <v>208636.99</v>
      </c>
      <c r="O105" s="1810">
        <f t="shared" si="6"/>
        <v>208636.99000000002</v>
      </c>
      <c r="P105" s="97"/>
    </row>
    <row r="106" spans="1:16">
      <c r="A106" s="97" t="s">
        <v>1181</v>
      </c>
      <c r="B106" s="1881">
        <v>247149.15</v>
      </c>
      <c r="C106" s="1881">
        <v>247149.15</v>
      </c>
      <c r="D106" s="1881">
        <v>247149.15</v>
      </c>
      <c r="E106" s="1881">
        <v>247149.15</v>
      </c>
      <c r="F106" s="1881">
        <v>247149.15</v>
      </c>
      <c r="G106" s="1881">
        <v>247149.15</v>
      </c>
      <c r="H106" s="1881">
        <v>247149.15</v>
      </c>
      <c r="I106" s="1881">
        <v>247149.15</v>
      </c>
      <c r="J106" s="1881">
        <v>247149.15</v>
      </c>
      <c r="K106" s="1881">
        <v>247149.15</v>
      </c>
      <c r="L106" s="1881">
        <v>247149.15</v>
      </c>
      <c r="M106" s="1881">
        <v>247149.15</v>
      </c>
      <c r="N106" s="1881">
        <v>247149.15</v>
      </c>
      <c r="O106" s="1810">
        <f t="shared" ref="O106:O137" si="7">AVERAGE(B106:N106)</f>
        <v>247149.14999999994</v>
      </c>
      <c r="P106" s="97"/>
    </row>
    <row r="107" spans="1:16">
      <c r="A107" s="104" t="s">
        <v>1182</v>
      </c>
      <c r="B107" s="1883">
        <v>25891.1</v>
      </c>
      <c r="C107" s="1883">
        <v>25891.1</v>
      </c>
      <c r="D107" s="1883">
        <v>25891.1</v>
      </c>
      <c r="E107" s="1883">
        <v>25891.1</v>
      </c>
      <c r="F107" s="1883">
        <v>25891.1</v>
      </c>
      <c r="G107" s="1883">
        <v>25891.1</v>
      </c>
      <c r="H107" s="1883">
        <v>25891.1</v>
      </c>
      <c r="I107" s="1883">
        <v>25891.1</v>
      </c>
      <c r="J107" s="1883">
        <v>25891.1</v>
      </c>
      <c r="K107" s="1883">
        <v>25891.1</v>
      </c>
      <c r="L107" s="1883">
        <v>25891.1</v>
      </c>
      <c r="M107" s="1883">
        <v>25891.1</v>
      </c>
      <c r="N107" s="1883">
        <v>25891.1</v>
      </c>
      <c r="O107" s="1810">
        <f t="shared" si="7"/>
        <v>25891.1</v>
      </c>
      <c r="P107" s="97"/>
    </row>
    <row r="108" spans="1:16">
      <c r="A108" s="97" t="s">
        <v>1268</v>
      </c>
      <c r="B108" s="1881">
        <v>2835144.1</v>
      </c>
      <c r="C108" s="1881">
        <v>2835144.1</v>
      </c>
      <c r="D108" s="1881">
        <v>2835144.1</v>
      </c>
      <c r="E108" s="1881">
        <v>2835144.1</v>
      </c>
      <c r="F108" s="1881">
        <v>2835144.1</v>
      </c>
      <c r="G108" s="1881">
        <v>2835144.1</v>
      </c>
      <c r="H108" s="1881">
        <v>2835144.1</v>
      </c>
      <c r="I108" s="1881">
        <v>2835144.1</v>
      </c>
      <c r="J108" s="1881">
        <v>2835144.1</v>
      </c>
      <c r="K108" s="1881">
        <v>2835144.1</v>
      </c>
      <c r="L108" s="1881">
        <v>2835144.1</v>
      </c>
      <c r="M108" s="1881">
        <v>2835144.1</v>
      </c>
      <c r="N108" s="1881">
        <v>2835144.1</v>
      </c>
      <c r="O108" s="1810">
        <f t="shared" si="7"/>
        <v>2835144.100000001</v>
      </c>
      <c r="P108" s="97"/>
    </row>
    <row r="109" spans="1:16">
      <c r="A109" s="97" t="s">
        <v>1183</v>
      </c>
      <c r="B109" s="1881">
        <v>3525000</v>
      </c>
      <c r="C109" s="1881">
        <v>3525000</v>
      </c>
      <c r="D109" s="1881">
        <v>3525000</v>
      </c>
      <c r="E109" s="1881">
        <v>3525000</v>
      </c>
      <c r="F109" s="1881">
        <v>3525000</v>
      </c>
      <c r="G109" s="1881">
        <v>3525000</v>
      </c>
      <c r="H109" s="1881">
        <v>3525000</v>
      </c>
      <c r="I109" s="1881">
        <v>3525000</v>
      </c>
      <c r="J109" s="1881">
        <v>3525000</v>
      </c>
      <c r="K109" s="1881">
        <v>3525000</v>
      </c>
      <c r="L109" s="1881">
        <v>3525000</v>
      </c>
      <c r="M109" s="1881">
        <v>3525000</v>
      </c>
      <c r="N109" s="1881">
        <v>3525000</v>
      </c>
      <c r="O109" s="1810">
        <f t="shared" si="7"/>
        <v>3525000</v>
      </c>
      <c r="P109" s="97"/>
    </row>
    <row r="110" spans="1:16">
      <c r="A110" s="97" t="s">
        <v>1184</v>
      </c>
      <c r="B110" s="1881">
        <v>136831.13</v>
      </c>
      <c r="C110" s="1881">
        <v>136831.13</v>
      </c>
      <c r="D110" s="1881">
        <v>136831.13</v>
      </c>
      <c r="E110" s="1881">
        <v>136831.13</v>
      </c>
      <c r="F110" s="1881">
        <v>136831.13</v>
      </c>
      <c r="G110" s="1881">
        <v>136831.13</v>
      </c>
      <c r="H110" s="1881">
        <v>136831.13</v>
      </c>
      <c r="I110" s="1881">
        <v>136831.13</v>
      </c>
      <c r="J110" s="1881">
        <v>136831.13</v>
      </c>
      <c r="K110" s="1881">
        <v>136831.13</v>
      </c>
      <c r="L110" s="1881">
        <v>136831.13</v>
      </c>
      <c r="M110" s="1881">
        <v>136831.13</v>
      </c>
      <c r="N110" s="1881">
        <v>136831.13</v>
      </c>
      <c r="O110" s="1810">
        <f t="shared" si="7"/>
        <v>136831.12999999995</v>
      </c>
      <c r="P110" s="97"/>
    </row>
    <row r="111" spans="1:16">
      <c r="A111" s="97" t="s">
        <v>1185</v>
      </c>
      <c r="B111" s="1881">
        <v>13112.67</v>
      </c>
      <c r="C111" s="1881">
        <v>13112.67</v>
      </c>
      <c r="D111" s="1881">
        <v>13112.67</v>
      </c>
      <c r="E111" s="1881">
        <v>13112.67</v>
      </c>
      <c r="F111" s="1881">
        <v>13112.67</v>
      </c>
      <c r="G111" s="1881">
        <v>13112.67</v>
      </c>
      <c r="H111" s="1881">
        <v>13112.67</v>
      </c>
      <c r="I111" s="1881">
        <v>13112.67</v>
      </c>
      <c r="J111" s="1881">
        <v>13112.67</v>
      </c>
      <c r="K111" s="1881">
        <v>13112.67</v>
      </c>
      <c r="L111" s="1881">
        <v>13112.67</v>
      </c>
      <c r="M111" s="1881">
        <v>13112.67</v>
      </c>
      <c r="N111" s="1881">
        <v>13112.67</v>
      </c>
      <c r="O111" s="1810">
        <f t="shared" si="7"/>
        <v>13112.670000000004</v>
      </c>
      <c r="P111" s="97"/>
    </row>
    <row r="112" spans="1:16">
      <c r="A112" s="97" t="s">
        <v>0</v>
      </c>
      <c r="B112" s="1881">
        <v>2705503.41</v>
      </c>
      <c r="C112" s="1881">
        <v>2705503.41</v>
      </c>
      <c r="D112" s="1881">
        <v>2705503.41</v>
      </c>
      <c r="E112" s="1881">
        <v>2705503.41</v>
      </c>
      <c r="F112" s="1881">
        <v>2705503.41</v>
      </c>
      <c r="G112" s="1881">
        <v>2705503.41</v>
      </c>
      <c r="H112" s="1881">
        <v>2705503.41</v>
      </c>
      <c r="I112" s="1881">
        <v>2705503.41</v>
      </c>
      <c r="J112" s="1881">
        <v>2705503.41</v>
      </c>
      <c r="K112" s="1881">
        <v>2705503.41</v>
      </c>
      <c r="L112" s="1881">
        <v>2705503.41</v>
      </c>
      <c r="M112" s="1881">
        <v>2705503.41</v>
      </c>
      <c r="N112" s="1881">
        <v>2705503.41</v>
      </c>
      <c r="O112" s="1810">
        <f t="shared" si="7"/>
        <v>2705503.4099999997</v>
      </c>
      <c r="P112" s="97"/>
    </row>
    <row r="113" spans="1:16">
      <c r="A113" s="97" t="s">
        <v>1</v>
      </c>
      <c r="B113" s="1881">
        <v>2885148.42</v>
      </c>
      <c r="C113" s="1881">
        <v>2885148.42</v>
      </c>
      <c r="D113" s="1881">
        <v>2885148.42</v>
      </c>
      <c r="E113" s="1881">
        <v>2885148.42</v>
      </c>
      <c r="F113" s="1881">
        <v>2885148.42</v>
      </c>
      <c r="G113" s="1881">
        <v>2885148.42</v>
      </c>
      <c r="H113" s="1881">
        <v>2885148.42</v>
      </c>
      <c r="I113" s="1881">
        <v>2885148.42</v>
      </c>
      <c r="J113" s="1881">
        <v>2885148.42</v>
      </c>
      <c r="K113" s="1881">
        <v>2885148.42</v>
      </c>
      <c r="L113" s="1881">
        <v>2885148.42</v>
      </c>
      <c r="M113" s="1881">
        <v>2885148.42</v>
      </c>
      <c r="N113" s="1881">
        <v>2885148.42</v>
      </c>
      <c r="O113" s="1810">
        <f t="shared" si="7"/>
        <v>2885148.4200000009</v>
      </c>
      <c r="P113" s="97"/>
    </row>
    <row r="114" spans="1:16">
      <c r="A114" s="97" t="s">
        <v>2</v>
      </c>
      <c r="B114" s="1881">
        <v>2128002.84</v>
      </c>
      <c r="C114" s="1881">
        <v>2128002.84</v>
      </c>
      <c r="D114" s="1881">
        <v>2128002.84</v>
      </c>
      <c r="E114" s="1881">
        <v>2128002.84</v>
      </c>
      <c r="F114" s="1881">
        <v>2128002.84</v>
      </c>
      <c r="G114" s="1881">
        <v>2128002.84</v>
      </c>
      <c r="H114" s="1881">
        <v>2128002.84</v>
      </c>
      <c r="I114" s="1881">
        <v>2128002.84</v>
      </c>
      <c r="J114" s="1881">
        <v>2128002.84</v>
      </c>
      <c r="K114" s="1881">
        <v>2128002.84</v>
      </c>
      <c r="L114" s="1881">
        <v>2128002.84</v>
      </c>
      <c r="M114" s="1881">
        <v>2128002.84</v>
      </c>
      <c r="N114" s="1881">
        <v>2128002.84</v>
      </c>
      <c r="O114" s="1810">
        <f t="shared" si="7"/>
        <v>2128002.84</v>
      </c>
      <c r="P114" s="97"/>
    </row>
    <row r="115" spans="1:16">
      <c r="A115" s="97" t="s">
        <v>3</v>
      </c>
      <c r="B115" s="1881">
        <v>10814697.15</v>
      </c>
      <c r="C115" s="1881">
        <v>10814697.15</v>
      </c>
      <c r="D115" s="1881">
        <v>10814697.15</v>
      </c>
      <c r="E115" s="1881">
        <v>10814697.15</v>
      </c>
      <c r="F115" s="1881">
        <v>10814697.15</v>
      </c>
      <c r="G115" s="1881">
        <v>10814697.15</v>
      </c>
      <c r="H115" s="1881">
        <v>10814697.15</v>
      </c>
      <c r="I115" s="1881">
        <v>10814697.15</v>
      </c>
      <c r="J115" s="1881">
        <v>10814697.15</v>
      </c>
      <c r="K115" s="1881">
        <v>10814697.15</v>
      </c>
      <c r="L115" s="1881">
        <v>10814697.15</v>
      </c>
      <c r="M115" s="1881">
        <v>10814697.15</v>
      </c>
      <c r="N115" s="1881">
        <v>10814697.15</v>
      </c>
      <c r="O115" s="1810">
        <f t="shared" si="7"/>
        <v>10814697.150000002</v>
      </c>
      <c r="P115" s="97"/>
    </row>
    <row r="116" spans="1:16">
      <c r="A116" s="97" t="s">
        <v>1431</v>
      </c>
      <c r="B116" s="1881">
        <v>9687864.2899999991</v>
      </c>
      <c r="C116" s="1881">
        <v>9687864.2899999991</v>
      </c>
      <c r="D116" s="1881">
        <v>9687864.2899999991</v>
      </c>
      <c r="E116" s="1881">
        <v>9687864.2899999991</v>
      </c>
      <c r="F116" s="1881">
        <v>9687864.2899999991</v>
      </c>
      <c r="G116" s="1881">
        <v>9687864.2899999991</v>
      </c>
      <c r="H116" s="1881">
        <v>9687864.2899999991</v>
      </c>
      <c r="I116" s="1881">
        <v>9687864.2899999991</v>
      </c>
      <c r="J116" s="1881">
        <v>9687864.2899999991</v>
      </c>
      <c r="K116" s="1881">
        <v>9687864.2899999991</v>
      </c>
      <c r="L116" s="1881">
        <v>9687864.2899999991</v>
      </c>
      <c r="M116" s="1881">
        <v>9687864.2899999991</v>
      </c>
      <c r="N116" s="1881">
        <v>9687864.2899999991</v>
      </c>
      <c r="O116" s="1810">
        <f t="shared" si="7"/>
        <v>9687864.2899999954</v>
      </c>
      <c r="P116" s="97"/>
    </row>
    <row r="117" spans="1:16">
      <c r="A117" s="97" t="s">
        <v>4</v>
      </c>
      <c r="B117" s="1881">
        <v>8292075.0599999996</v>
      </c>
      <c r="C117" s="1881">
        <v>8292075.0599999996</v>
      </c>
      <c r="D117" s="1881">
        <v>8292075.0599999996</v>
      </c>
      <c r="E117" s="1881">
        <v>8292075.0599999996</v>
      </c>
      <c r="F117" s="1881">
        <v>8292075.0599999996</v>
      </c>
      <c r="G117" s="1881">
        <v>8292075.0599999996</v>
      </c>
      <c r="H117" s="1881">
        <v>8292075.0599999996</v>
      </c>
      <c r="I117" s="1881">
        <v>8292075.0599999996</v>
      </c>
      <c r="J117" s="1881">
        <v>8292075.0599999996</v>
      </c>
      <c r="K117" s="1881">
        <v>8292075.0599999996</v>
      </c>
      <c r="L117" s="1881">
        <v>8292075.0599999996</v>
      </c>
      <c r="M117" s="1881">
        <v>8292075.0599999996</v>
      </c>
      <c r="N117" s="1881">
        <v>8292075.0599999996</v>
      </c>
      <c r="O117" s="1810">
        <f t="shared" si="7"/>
        <v>8292075.0600000015</v>
      </c>
      <c r="P117" s="97"/>
    </row>
    <row r="118" spans="1:16">
      <c r="A118" s="97" t="s">
        <v>5</v>
      </c>
      <c r="B118" s="1881">
        <v>151580.69</v>
      </c>
      <c r="C118" s="1881">
        <v>151580.69</v>
      </c>
      <c r="D118" s="1881">
        <v>151580.69</v>
      </c>
      <c r="E118" s="1881">
        <v>151580.69</v>
      </c>
      <c r="F118" s="1881">
        <v>151580.69</v>
      </c>
      <c r="G118" s="1881">
        <v>151580.69</v>
      </c>
      <c r="H118" s="1881">
        <v>151580.69</v>
      </c>
      <c r="I118" s="1881">
        <v>151580.69</v>
      </c>
      <c r="J118" s="1881">
        <v>151580.69</v>
      </c>
      <c r="K118" s="1881">
        <v>151580.69</v>
      </c>
      <c r="L118" s="1881">
        <v>151580.69</v>
      </c>
      <c r="M118" s="1881">
        <v>151580.69</v>
      </c>
      <c r="N118" s="1881">
        <v>151580.69</v>
      </c>
      <c r="O118" s="1810">
        <f t="shared" si="7"/>
        <v>151580.68999999997</v>
      </c>
      <c r="P118" s="97"/>
    </row>
    <row r="119" spans="1:16">
      <c r="A119" s="97" t="s">
        <v>6</v>
      </c>
      <c r="B119" s="1881">
        <v>158947.37</v>
      </c>
      <c r="C119" s="1881">
        <v>158947.37</v>
      </c>
      <c r="D119" s="1881">
        <v>158947.37</v>
      </c>
      <c r="E119" s="1881">
        <v>158947.37</v>
      </c>
      <c r="F119" s="1881">
        <v>158947.37</v>
      </c>
      <c r="G119" s="1881">
        <v>158947.37</v>
      </c>
      <c r="H119" s="1881">
        <v>158947.37</v>
      </c>
      <c r="I119" s="1881">
        <v>158947.37</v>
      </c>
      <c r="J119" s="1881">
        <v>158947.37</v>
      </c>
      <c r="K119" s="1881">
        <v>158947.37</v>
      </c>
      <c r="L119" s="1881">
        <v>158947.37</v>
      </c>
      <c r="M119" s="1881">
        <v>158947.37</v>
      </c>
      <c r="N119" s="1881">
        <v>158947.37</v>
      </c>
      <c r="O119" s="1810">
        <f t="shared" si="7"/>
        <v>158947.37000000005</v>
      </c>
      <c r="P119" s="97"/>
    </row>
    <row r="120" spans="1:16">
      <c r="A120" s="97" t="s">
        <v>1189</v>
      </c>
      <c r="B120" s="1881">
        <v>44555</v>
      </c>
      <c r="C120" s="1881">
        <v>44555</v>
      </c>
      <c r="D120" s="1881">
        <v>44555</v>
      </c>
      <c r="E120" s="1881">
        <v>44555</v>
      </c>
      <c r="F120" s="1881">
        <v>44555</v>
      </c>
      <c r="G120" s="1881">
        <v>44555</v>
      </c>
      <c r="H120" s="1881">
        <v>44555</v>
      </c>
      <c r="I120" s="1881">
        <v>44555</v>
      </c>
      <c r="J120" s="1881">
        <v>44555</v>
      </c>
      <c r="K120" s="1881">
        <v>44555</v>
      </c>
      <c r="L120" s="1881">
        <v>44555</v>
      </c>
      <c r="M120" s="1881">
        <v>44555</v>
      </c>
      <c r="N120" s="1881">
        <v>44555</v>
      </c>
      <c r="O120" s="1810">
        <f t="shared" si="7"/>
        <v>44555</v>
      </c>
      <c r="P120" s="97"/>
    </row>
    <row r="121" spans="1:16">
      <c r="A121" s="97" t="s">
        <v>7</v>
      </c>
      <c r="B121" s="1881">
        <v>1544998.62</v>
      </c>
      <c r="C121" s="1881">
        <v>1544998.62</v>
      </c>
      <c r="D121" s="1881">
        <v>1544998.62</v>
      </c>
      <c r="E121" s="1881">
        <v>1544998.62</v>
      </c>
      <c r="F121" s="1881">
        <v>1544998.62</v>
      </c>
      <c r="G121" s="1881">
        <v>1544998.62</v>
      </c>
      <c r="H121" s="1881">
        <v>1544998.62</v>
      </c>
      <c r="I121" s="1881">
        <v>1544998.62</v>
      </c>
      <c r="J121" s="1881">
        <v>1544998.62</v>
      </c>
      <c r="K121" s="1881">
        <v>1544998.62</v>
      </c>
      <c r="L121" s="1881">
        <v>1544998.62</v>
      </c>
      <c r="M121" s="1881">
        <v>1544998.62</v>
      </c>
      <c r="N121" s="1881">
        <v>1544998.62</v>
      </c>
      <c r="O121" s="1810">
        <f t="shared" si="7"/>
        <v>1544998.6200000006</v>
      </c>
      <c r="P121" s="97"/>
    </row>
    <row r="122" spans="1:16">
      <c r="A122" s="97" t="s">
        <v>8</v>
      </c>
      <c r="B122" s="1881">
        <v>11360.29</v>
      </c>
      <c r="C122" s="1881">
        <v>11360.29</v>
      </c>
      <c r="D122" s="1881">
        <v>11360.29</v>
      </c>
      <c r="E122" s="1881">
        <v>11360.29</v>
      </c>
      <c r="F122" s="1881">
        <v>11360.29</v>
      </c>
      <c r="G122" s="1881">
        <v>11360.29</v>
      </c>
      <c r="H122" s="1881">
        <v>11360.29</v>
      </c>
      <c r="I122" s="1881">
        <v>11360.29</v>
      </c>
      <c r="J122" s="1881">
        <v>11360.29</v>
      </c>
      <c r="K122" s="1881">
        <v>11360.29</v>
      </c>
      <c r="L122" s="1881">
        <v>11360.29</v>
      </c>
      <c r="M122" s="1881">
        <v>11360.29</v>
      </c>
      <c r="N122" s="1881">
        <v>11360.29</v>
      </c>
      <c r="O122" s="1810">
        <f t="shared" si="7"/>
        <v>11360.290000000005</v>
      </c>
      <c r="P122" s="97"/>
    </row>
    <row r="123" spans="1:16">
      <c r="A123" s="97" t="s">
        <v>9</v>
      </c>
      <c r="B123" s="1881">
        <v>935092.03</v>
      </c>
      <c r="C123" s="1881">
        <v>935092.03</v>
      </c>
      <c r="D123" s="1881">
        <v>935092.03</v>
      </c>
      <c r="E123" s="1881">
        <v>935092.03</v>
      </c>
      <c r="F123" s="1881">
        <v>935092.03</v>
      </c>
      <c r="G123" s="1881">
        <v>935092.03</v>
      </c>
      <c r="H123" s="1881">
        <v>935092.03</v>
      </c>
      <c r="I123" s="1881">
        <v>935092.03</v>
      </c>
      <c r="J123" s="1881">
        <v>935092.03</v>
      </c>
      <c r="K123" s="1881">
        <v>935092.03</v>
      </c>
      <c r="L123" s="1881">
        <v>935092.03</v>
      </c>
      <c r="M123" s="1881">
        <v>935092.03</v>
      </c>
      <c r="N123" s="1881">
        <v>935092.03</v>
      </c>
      <c r="O123" s="1810">
        <f t="shared" si="7"/>
        <v>935092.02999999991</v>
      </c>
      <c r="P123" s="97"/>
    </row>
    <row r="124" spans="1:16">
      <c r="A124" s="97" t="s">
        <v>10</v>
      </c>
      <c r="B124" s="1881">
        <v>19271.73</v>
      </c>
      <c r="C124" s="1881">
        <v>19271.73</v>
      </c>
      <c r="D124" s="1881">
        <v>19271.73</v>
      </c>
      <c r="E124" s="1881">
        <v>19271.73</v>
      </c>
      <c r="F124" s="1881">
        <v>19271.73</v>
      </c>
      <c r="G124" s="1881">
        <v>19271.73</v>
      </c>
      <c r="H124" s="1881">
        <v>19271.73</v>
      </c>
      <c r="I124" s="1881">
        <v>19271.73</v>
      </c>
      <c r="J124" s="1881">
        <v>19271.73</v>
      </c>
      <c r="K124" s="1881">
        <v>19271.73</v>
      </c>
      <c r="L124" s="1881">
        <v>19271.73</v>
      </c>
      <c r="M124" s="1881">
        <v>19271.73</v>
      </c>
      <c r="N124" s="1881">
        <v>19271.73</v>
      </c>
      <c r="O124" s="1810">
        <f t="shared" si="7"/>
        <v>19271.730000000003</v>
      </c>
      <c r="P124" s="97"/>
    </row>
    <row r="125" spans="1:16">
      <c r="A125" s="97" t="s">
        <v>11</v>
      </c>
      <c r="B125" s="1881">
        <v>235.61</v>
      </c>
      <c r="C125" s="1881">
        <v>235.61</v>
      </c>
      <c r="D125" s="1881">
        <v>235.61</v>
      </c>
      <c r="E125" s="1881">
        <v>235.61</v>
      </c>
      <c r="F125" s="1881">
        <v>235.61</v>
      </c>
      <c r="G125" s="1881">
        <v>235.61</v>
      </c>
      <c r="H125" s="1881">
        <v>235.61</v>
      </c>
      <c r="I125" s="1881">
        <v>235.61</v>
      </c>
      <c r="J125" s="1881">
        <v>235.61</v>
      </c>
      <c r="K125" s="1881">
        <v>235.61</v>
      </c>
      <c r="L125" s="1881">
        <v>235.61</v>
      </c>
      <c r="M125" s="1881">
        <v>235.61</v>
      </c>
      <c r="N125" s="1881">
        <v>235.61</v>
      </c>
      <c r="O125" s="1810">
        <f t="shared" si="7"/>
        <v>235.6100000000001</v>
      </c>
      <c r="P125" s="97"/>
    </row>
    <row r="126" spans="1:16">
      <c r="A126" s="97" t="s">
        <v>12</v>
      </c>
      <c r="B126" s="1881">
        <v>236934.54</v>
      </c>
      <c r="C126" s="1881">
        <v>236934.54</v>
      </c>
      <c r="D126" s="1881">
        <v>236934.54</v>
      </c>
      <c r="E126" s="1881">
        <v>236934.54</v>
      </c>
      <c r="F126" s="1881">
        <v>236934.54</v>
      </c>
      <c r="G126" s="1881">
        <v>236934.54</v>
      </c>
      <c r="H126" s="1881">
        <v>236934.54</v>
      </c>
      <c r="I126" s="1881">
        <v>236934.54</v>
      </c>
      <c r="J126" s="1881">
        <v>236934.54</v>
      </c>
      <c r="K126" s="1881">
        <v>236934.54</v>
      </c>
      <c r="L126" s="1881">
        <v>236934.54</v>
      </c>
      <c r="M126" s="1881">
        <v>236934.54</v>
      </c>
      <c r="N126" s="1881">
        <v>236934.54</v>
      </c>
      <c r="O126" s="1810">
        <f t="shared" si="7"/>
        <v>236934.54</v>
      </c>
      <c r="P126" s="97"/>
    </row>
    <row r="127" spans="1:16">
      <c r="A127" s="97" t="s">
        <v>13</v>
      </c>
      <c r="B127" s="1881">
        <v>62500</v>
      </c>
      <c r="C127" s="1881">
        <v>62500</v>
      </c>
      <c r="D127" s="1881">
        <v>62500</v>
      </c>
      <c r="E127" s="1881">
        <v>62500</v>
      </c>
      <c r="F127" s="1881">
        <v>62500</v>
      </c>
      <c r="G127" s="1881">
        <v>62500</v>
      </c>
      <c r="H127" s="1881">
        <v>62500</v>
      </c>
      <c r="I127" s="1881">
        <v>62500</v>
      </c>
      <c r="J127" s="1881">
        <v>62500</v>
      </c>
      <c r="K127" s="1881">
        <v>62500</v>
      </c>
      <c r="L127" s="1881">
        <v>62500</v>
      </c>
      <c r="M127" s="1881">
        <v>62500</v>
      </c>
      <c r="N127" s="1881">
        <v>62500</v>
      </c>
      <c r="O127" s="1810">
        <f t="shared" si="7"/>
        <v>62500</v>
      </c>
      <c r="P127" s="97"/>
    </row>
    <row r="128" spans="1:16">
      <c r="A128" s="104" t="s">
        <v>1347</v>
      </c>
      <c r="B128" s="1883">
        <v>89222.26999999999</v>
      </c>
      <c r="C128" s="1883">
        <v>89222.26999999999</v>
      </c>
      <c r="D128" s="1883">
        <v>89222.26999999999</v>
      </c>
      <c r="E128" s="1883">
        <v>89222.26999999999</v>
      </c>
      <c r="F128" s="1883">
        <v>89222.26999999999</v>
      </c>
      <c r="G128" s="1883">
        <v>89222.26999999999</v>
      </c>
      <c r="H128" s="1883">
        <v>89222.26999999999</v>
      </c>
      <c r="I128" s="1883">
        <v>89222.26999999999</v>
      </c>
      <c r="J128" s="1883">
        <v>89222.27</v>
      </c>
      <c r="K128" s="1883">
        <v>89222.27</v>
      </c>
      <c r="L128" s="1883">
        <v>89222.27</v>
      </c>
      <c r="M128" s="1883">
        <v>89222.27</v>
      </c>
      <c r="N128" s="1883">
        <v>89222.27</v>
      </c>
      <c r="O128" s="1810">
        <f t="shared" si="7"/>
        <v>89222.27</v>
      </c>
      <c r="P128" s="97"/>
    </row>
    <row r="129" spans="1:16">
      <c r="A129" s="97" t="s">
        <v>14</v>
      </c>
      <c r="B129" s="1881">
        <v>151699.76999999999</v>
      </c>
      <c r="C129" s="1881">
        <v>151699.76999999999</v>
      </c>
      <c r="D129" s="1881">
        <v>151699.76999999999</v>
      </c>
      <c r="E129" s="1881">
        <v>151699.76999999999</v>
      </c>
      <c r="F129" s="1881">
        <v>151699.76999999999</v>
      </c>
      <c r="G129" s="1881">
        <v>151699.76999999999</v>
      </c>
      <c r="H129" s="1881">
        <v>151699.76999999999</v>
      </c>
      <c r="I129" s="1881">
        <v>151699.76999999999</v>
      </c>
      <c r="J129" s="1881">
        <v>151699.76999999999</v>
      </c>
      <c r="K129" s="1881">
        <v>151699.76999999999</v>
      </c>
      <c r="L129" s="1881">
        <v>151699.76999999999</v>
      </c>
      <c r="M129" s="1881">
        <v>151699.76999999999</v>
      </c>
      <c r="N129" s="1881">
        <v>151699.76999999999</v>
      </c>
      <c r="O129" s="1810">
        <f t="shared" si="7"/>
        <v>151699.76999999999</v>
      </c>
      <c r="P129" s="97"/>
    </row>
    <row r="130" spans="1:16">
      <c r="A130" s="104" t="s">
        <v>15</v>
      </c>
      <c r="B130" s="1883">
        <v>1155954.05</v>
      </c>
      <c r="C130" s="1883">
        <v>1155954.05</v>
      </c>
      <c r="D130" s="1883">
        <v>1155954.05</v>
      </c>
      <c r="E130" s="1883">
        <v>1155954.05</v>
      </c>
      <c r="F130" s="1883">
        <v>1155954.05</v>
      </c>
      <c r="G130" s="1883">
        <v>1155954.05</v>
      </c>
      <c r="H130" s="1883">
        <v>1155954.05</v>
      </c>
      <c r="I130" s="1883">
        <v>1155954.05</v>
      </c>
      <c r="J130" s="1881">
        <v>1155954.05</v>
      </c>
      <c r="K130" s="1881">
        <v>1155954.05</v>
      </c>
      <c r="L130" s="1881">
        <v>1155954.05</v>
      </c>
      <c r="M130" s="1881">
        <v>1155954.05</v>
      </c>
      <c r="N130" s="1881">
        <v>1155954.05</v>
      </c>
      <c r="O130" s="1810">
        <f t="shared" si="7"/>
        <v>1155954.0500000003</v>
      </c>
      <c r="P130" s="97"/>
    </row>
    <row r="131" spans="1:16">
      <c r="A131" s="104" t="s">
        <v>1269</v>
      </c>
      <c r="B131" s="1883">
        <v>4534313.82</v>
      </c>
      <c r="C131" s="1883">
        <v>4534313.82</v>
      </c>
      <c r="D131" s="1883">
        <v>4534313.82</v>
      </c>
      <c r="E131" s="1883">
        <v>4534313.82</v>
      </c>
      <c r="F131" s="1883">
        <v>4534313.82</v>
      </c>
      <c r="G131" s="1883">
        <v>4534313.82</v>
      </c>
      <c r="H131" s="1883">
        <v>4534313.82</v>
      </c>
      <c r="I131" s="1883">
        <v>4534313.82</v>
      </c>
      <c r="J131" s="1883">
        <v>4534313.82</v>
      </c>
      <c r="K131" s="1883">
        <v>4534313.82</v>
      </c>
      <c r="L131" s="1883">
        <v>4534313.82</v>
      </c>
      <c r="M131" s="1883">
        <v>4534313.82</v>
      </c>
      <c r="N131" s="1883">
        <v>4534313.82</v>
      </c>
      <c r="O131" s="1810">
        <f t="shared" si="7"/>
        <v>4534313.82</v>
      </c>
      <c r="P131" s="97"/>
    </row>
    <row r="132" spans="1:16">
      <c r="A132" s="97" t="s">
        <v>1433</v>
      </c>
      <c r="B132" s="1881">
        <v>62493.63</v>
      </c>
      <c r="C132" s="1881">
        <v>62493.63</v>
      </c>
      <c r="D132" s="1881">
        <v>62493.63</v>
      </c>
      <c r="E132" s="1881">
        <v>62493.63</v>
      </c>
      <c r="F132" s="1881">
        <v>62493.63</v>
      </c>
      <c r="G132" s="1881">
        <v>62493.63</v>
      </c>
      <c r="H132" s="1881">
        <v>62493.63</v>
      </c>
      <c r="I132" s="1881">
        <v>62493.63</v>
      </c>
      <c r="J132" s="1881">
        <v>62493.63</v>
      </c>
      <c r="K132" s="1881">
        <v>62493.63</v>
      </c>
      <c r="L132" s="1881">
        <v>62493.63</v>
      </c>
      <c r="M132" s="1881">
        <v>62493.63</v>
      </c>
      <c r="N132" s="1881">
        <v>62493.63</v>
      </c>
      <c r="O132" s="1810">
        <f t="shared" si="7"/>
        <v>62493.63</v>
      </c>
      <c r="P132" s="97"/>
    </row>
    <row r="133" spans="1:16">
      <c r="A133" s="97" t="s">
        <v>16</v>
      </c>
      <c r="B133" s="1881">
        <v>1664798.76</v>
      </c>
      <c r="C133" s="1881">
        <v>1664798.76</v>
      </c>
      <c r="D133" s="1881">
        <v>1664798.76</v>
      </c>
      <c r="E133" s="1881">
        <v>1664798.76</v>
      </c>
      <c r="F133" s="1881">
        <v>1664798.76</v>
      </c>
      <c r="G133" s="1881">
        <v>1664798.76</v>
      </c>
      <c r="H133" s="1881">
        <v>1664798.76</v>
      </c>
      <c r="I133" s="1881">
        <v>1664798.76</v>
      </c>
      <c r="J133" s="1881">
        <v>1664798.76</v>
      </c>
      <c r="K133" s="1881">
        <v>1664798.76</v>
      </c>
      <c r="L133" s="1881">
        <v>1664798.76</v>
      </c>
      <c r="M133" s="1881">
        <v>1664798.76</v>
      </c>
      <c r="N133" s="1881">
        <v>1664798.76</v>
      </c>
      <c r="O133" s="1810">
        <f t="shared" si="7"/>
        <v>1664798.7600000002</v>
      </c>
      <c r="P133" s="97"/>
    </row>
    <row r="134" spans="1:16">
      <c r="A134" s="97" t="s">
        <v>17</v>
      </c>
      <c r="B134" s="1881">
        <v>251566.45</v>
      </c>
      <c r="C134" s="1881">
        <v>251566.45</v>
      </c>
      <c r="D134" s="1881">
        <v>251566.45</v>
      </c>
      <c r="E134" s="1881">
        <v>251566.45</v>
      </c>
      <c r="F134" s="1881">
        <v>251566.45</v>
      </c>
      <c r="G134" s="1881">
        <v>251566.45</v>
      </c>
      <c r="H134" s="1881">
        <v>251566.45</v>
      </c>
      <c r="I134" s="1881">
        <v>251566.45</v>
      </c>
      <c r="J134" s="1881">
        <v>251566.45</v>
      </c>
      <c r="K134" s="1881">
        <v>251566.45</v>
      </c>
      <c r="L134" s="1881">
        <v>251566.45</v>
      </c>
      <c r="M134" s="1881">
        <v>251566.45</v>
      </c>
      <c r="N134" s="1881">
        <v>251566.45</v>
      </c>
      <c r="O134" s="1810">
        <f t="shared" si="7"/>
        <v>251566.45000000004</v>
      </c>
      <c r="P134" s="97"/>
    </row>
    <row r="135" spans="1:16">
      <c r="A135" s="97" t="s">
        <v>18</v>
      </c>
      <c r="B135" s="1881">
        <v>9387.01</v>
      </c>
      <c r="C135" s="1881">
        <v>9387.01</v>
      </c>
      <c r="D135" s="1881">
        <v>9387.01</v>
      </c>
      <c r="E135" s="1881">
        <v>9387.01</v>
      </c>
      <c r="F135" s="1881">
        <v>9387.01</v>
      </c>
      <c r="G135" s="1881">
        <v>9387.01</v>
      </c>
      <c r="H135" s="1881">
        <v>9387.01</v>
      </c>
      <c r="I135" s="1881">
        <v>9387.01</v>
      </c>
      <c r="J135" s="1881">
        <v>9387.01</v>
      </c>
      <c r="K135" s="1881">
        <v>9387.01</v>
      </c>
      <c r="L135" s="1881">
        <v>9387.01</v>
      </c>
      <c r="M135" s="1881">
        <v>9387.01</v>
      </c>
      <c r="N135" s="1881">
        <v>9387.01</v>
      </c>
      <c r="O135" s="1810">
        <f t="shared" si="7"/>
        <v>9387.0099999999984</v>
      </c>
      <c r="P135" s="97"/>
    </row>
    <row r="136" spans="1:16">
      <c r="A136" s="97" t="s">
        <v>19</v>
      </c>
      <c r="B136" s="1881">
        <v>164163.29</v>
      </c>
      <c r="C136" s="1881">
        <v>164163.29</v>
      </c>
      <c r="D136" s="1881">
        <v>164163.29</v>
      </c>
      <c r="E136" s="1881">
        <v>164163.29</v>
      </c>
      <c r="F136" s="1881">
        <v>164163.29</v>
      </c>
      <c r="G136" s="1881">
        <v>164163.29</v>
      </c>
      <c r="H136" s="1881">
        <v>164163.29</v>
      </c>
      <c r="I136" s="1881">
        <v>164163.29</v>
      </c>
      <c r="J136" s="1881">
        <v>164163.29</v>
      </c>
      <c r="K136" s="1881">
        <v>164163.29</v>
      </c>
      <c r="L136" s="1881">
        <v>164163.29</v>
      </c>
      <c r="M136" s="1881">
        <v>164163.29</v>
      </c>
      <c r="N136" s="1881">
        <v>164163.29</v>
      </c>
      <c r="O136" s="1810">
        <f t="shared" si="7"/>
        <v>164163.29</v>
      </c>
      <c r="P136" s="97"/>
    </row>
    <row r="137" spans="1:16">
      <c r="A137" s="97" t="s">
        <v>20</v>
      </c>
      <c r="B137" s="1881">
        <v>103400.51</v>
      </c>
      <c r="C137" s="1881">
        <v>103400.51</v>
      </c>
      <c r="D137" s="1881">
        <v>103400.51</v>
      </c>
      <c r="E137" s="1881">
        <v>103400.51</v>
      </c>
      <c r="F137" s="1881">
        <v>103400.51</v>
      </c>
      <c r="G137" s="1881">
        <v>103400.51</v>
      </c>
      <c r="H137" s="1881">
        <v>103400.51</v>
      </c>
      <c r="I137" s="1881">
        <v>103400.51</v>
      </c>
      <c r="J137" s="1881">
        <v>103400.51</v>
      </c>
      <c r="K137" s="1881">
        <v>103400.51</v>
      </c>
      <c r="L137" s="1881">
        <v>103400.51</v>
      </c>
      <c r="M137" s="1881">
        <v>103400.51</v>
      </c>
      <c r="N137" s="1881">
        <v>103400.51</v>
      </c>
      <c r="O137" s="1810">
        <f t="shared" si="7"/>
        <v>103400.51</v>
      </c>
      <c r="P137" s="97"/>
    </row>
    <row r="138" spans="1:16">
      <c r="A138" s="97" t="s">
        <v>21</v>
      </c>
      <c r="B138" s="1881">
        <v>62500</v>
      </c>
      <c r="C138" s="1881">
        <v>62500</v>
      </c>
      <c r="D138" s="1881">
        <v>62500</v>
      </c>
      <c r="E138" s="1881">
        <v>62500</v>
      </c>
      <c r="F138" s="1881">
        <v>62500</v>
      </c>
      <c r="G138" s="1881">
        <v>62500</v>
      </c>
      <c r="H138" s="1881">
        <v>62500</v>
      </c>
      <c r="I138" s="1881">
        <v>62500</v>
      </c>
      <c r="J138" s="1881">
        <v>62500</v>
      </c>
      <c r="K138" s="1881">
        <v>62500</v>
      </c>
      <c r="L138" s="1881">
        <v>62500</v>
      </c>
      <c r="M138" s="1881">
        <v>62500</v>
      </c>
      <c r="N138" s="1881">
        <v>62500</v>
      </c>
      <c r="O138" s="1810">
        <f t="shared" ref="O138:O147" si="8">AVERAGE(B138:N138)</f>
        <v>62500</v>
      </c>
      <c r="P138" s="97"/>
    </row>
    <row r="139" spans="1:16">
      <c r="A139" s="104" t="s">
        <v>1348</v>
      </c>
      <c r="B139" s="1883">
        <v>27678.730000000003</v>
      </c>
      <c r="C139" s="1883">
        <v>27678.730000000003</v>
      </c>
      <c r="D139" s="1883">
        <v>27678.730000000003</v>
      </c>
      <c r="E139" s="1883">
        <v>27678.730000000003</v>
      </c>
      <c r="F139" s="1883">
        <v>27678.730000000003</v>
      </c>
      <c r="G139" s="1883">
        <v>27678.730000000003</v>
      </c>
      <c r="H139" s="1883">
        <v>27678.730000000003</v>
      </c>
      <c r="I139" s="1883">
        <v>27678.730000000003</v>
      </c>
      <c r="J139" s="1883">
        <v>27678.73</v>
      </c>
      <c r="K139" s="1883">
        <v>27678.73</v>
      </c>
      <c r="L139" s="1883">
        <v>27678.73</v>
      </c>
      <c r="M139" s="1883">
        <v>27678.73</v>
      </c>
      <c r="N139" s="1883">
        <v>27678.73</v>
      </c>
      <c r="O139" s="1810">
        <f t="shared" si="8"/>
        <v>27678.73</v>
      </c>
      <c r="P139" s="97"/>
    </row>
    <row r="140" spans="1:16">
      <c r="A140" s="104" t="s">
        <v>23</v>
      </c>
      <c r="B140" s="1883">
        <v>377726.5</v>
      </c>
      <c r="C140" s="1883">
        <v>377726.5</v>
      </c>
      <c r="D140" s="1883">
        <v>377726.5</v>
      </c>
      <c r="E140" s="1883">
        <v>377726.5</v>
      </c>
      <c r="F140" s="1883">
        <v>377726.5</v>
      </c>
      <c r="G140" s="1883">
        <v>377726.5</v>
      </c>
      <c r="H140" s="1883">
        <v>377726.5</v>
      </c>
      <c r="I140" s="1883">
        <v>377726.5</v>
      </c>
      <c r="J140" s="1883">
        <v>377726.5</v>
      </c>
      <c r="K140" s="1883">
        <v>377726.5</v>
      </c>
      <c r="L140" s="1881">
        <v>377726.5</v>
      </c>
      <c r="M140" s="1881">
        <v>377726.5</v>
      </c>
      <c r="N140" s="1881">
        <v>377726.5</v>
      </c>
      <c r="O140" s="1810">
        <f t="shared" si="8"/>
        <v>377726.5</v>
      </c>
      <c r="P140" s="97"/>
    </row>
    <row r="141" spans="1:16">
      <c r="A141" s="104" t="s">
        <v>1270</v>
      </c>
      <c r="B141" s="1883">
        <v>3022875.39</v>
      </c>
      <c r="C141" s="1883">
        <v>3022875.39</v>
      </c>
      <c r="D141" s="1883">
        <v>3022875.39</v>
      </c>
      <c r="E141" s="1883">
        <v>3022875.39</v>
      </c>
      <c r="F141" s="1883">
        <v>3022875.39</v>
      </c>
      <c r="G141" s="1883">
        <v>3022875.39</v>
      </c>
      <c r="H141" s="1883">
        <v>3022875.39</v>
      </c>
      <c r="I141" s="1883">
        <v>3022875.39</v>
      </c>
      <c r="J141" s="1883">
        <v>3022875.39</v>
      </c>
      <c r="K141" s="1883">
        <v>3022875.39</v>
      </c>
      <c r="L141" s="1883">
        <v>3022875.39</v>
      </c>
      <c r="M141" s="1883">
        <v>3022875.39</v>
      </c>
      <c r="N141" s="1883">
        <v>3022875.39</v>
      </c>
      <c r="O141" s="1810">
        <f t="shared" si="8"/>
        <v>3022875.39</v>
      </c>
      <c r="P141" s="97"/>
    </row>
    <row r="142" spans="1:16">
      <c r="A142" s="104" t="s">
        <v>24</v>
      </c>
      <c r="B142" s="1883">
        <v>3475100.76</v>
      </c>
      <c r="C142" s="1883">
        <v>3475100.76</v>
      </c>
      <c r="D142" s="1883">
        <v>3475100.76</v>
      </c>
      <c r="E142" s="1883">
        <v>3475100.76</v>
      </c>
      <c r="F142" s="1883">
        <v>3475100.76</v>
      </c>
      <c r="G142" s="1883">
        <v>3475100.76</v>
      </c>
      <c r="H142" s="1883">
        <v>3475100.76</v>
      </c>
      <c r="I142" s="1883">
        <v>3475100.76</v>
      </c>
      <c r="J142" s="1883">
        <v>3475100.76</v>
      </c>
      <c r="K142" s="1883">
        <v>3475100.76</v>
      </c>
      <c r="L142" s="1881">
        <v>3475100.76</v>
      </c>
      <c r="M142" s="1881">
        <v>3475100.76</v>
      </c>
      <c r="N142" s="1881">
        <v>3475100.76</v>
      </c>
      <c r="O142" s="1810">
        <f t="shared" si="8"/>
        <v>3475100.7599999984</v>
      </c>
      <c r="P142" s="97"/>
    </row>
    <row r="143" spans="1:16">
      <c r="A143" s="104" t="s">
        <v>1271</v>
      </c>
      <c r="B143" s="1883">
        <v>22545729.120000001</v>
      </c>
      <c r="C143" s="1883">
        <v>22545729.120000001</v>
      </c>
      <c r="D143" s="1883">
        <v>22545729.120000001</v>
      </c>
      <c r="E143" s="1883">
        <v>22545729.120000001</v>
      </c>
      <c r="F143" s="1883">
        <v>22545729.120000001</v>
      </c>
      <c r="G143" s="1883">
        <v>22545729.120000001</v>
      </c>
      <c r="H143" s="1883">
        <v>22545729.120000001</v>
      </c>
      <c r="I143" s="1883">
        <v>22545729.120000001</v>
      </c>
      <c r="J143" s="1883">
        <v>22545729.120000001</v>
      </c>
      <c r="K143" s="1883">
        <v>22545729.120000001</v>
      </c>
      <c r="L143" s="1881">
        <v>22545729.120000001</v>
      </c>
      <c r="M143" s="1881">
        <v>22545729.120000001</v>
      </c>
      <c r="N143" s="1881">
        <v>22545729.120000001</v>
      </c>
      <c r="O143" s="1810">
        <f t="shared" si="8"/>
        <v>22545729.120000001</v>
      </c>
      <c r="P143" s="97"/>
    </row>
    <row r="144" spans="1:16">
      <c r="A144" s="104" t="s">
        <v>1350</v>
      </c>
      <c r="B144" s="1883">
        <v>3836675.65</v>
      </c>
      <c r="C144" s="1883">
        <v>3836675.65</v>
      </c>
      <c r="D144" s="1883">
        <v>3836675.65</v>
      </c>
      <c r="E144" s="1883">
        <v>3836675.65</v>
      </c>
      <c r="F144" s="1883">
        <v>3836675.65</v>
      </c>
      <c r="G144" s="1883">
        <v>3836675.65</v>
      </c>
      <c r="H144" s="1883">
        <v>3836675.65</v>
      </c>
      <c r="I144" s="1883">
        <v>3836675.65</v>
      </c>
      <c r="J144" s="1883">
        <v>3836675.65</v>
      </c>
      <c r="K144" s="1883">
        <v>3836675.65</v>
      </c>
      <c r="L144" s="1881">
        <v>3836675.65</v>
      </c>
      <c r="M144" s="1881">
        <v>3836675.65</v>
      </c>
      <c r="N144" s="1881">
        <v>3836675.65</v>
      </c>
      <c r="O144" s="1810">
        <f t="shared" si="8"/>
        <v>3836675.649999999</v>
      </c>
      <c r="P144" s="97"/>
    </row>
    <row r="145" spans="1:16">
      <c r="A145" s="104" t="s">
        <v>1351</v>
      </c>
      <c r="B145" s="1883">
        <v>1590284.9700000002</v>
      </c>
      <c r="C145" s="1883">
        <v>1590284.9700000002</v>
      </c>
      <c r="D145" s="1883">
        <v>1590284.9700000002</v>
      </c>
      <c r="E145" s="1883">
        <v>1590284.9700000002</v>
      </c>
      <c r="F145" s="1883">
        <v>1590284.9700000002</v>
      </c>
      <c r="G145" s="1883">
        <v>1590284.9700000002</v>
      </c>
      <c r="H145" s="1883">
        <v>1590284.9700000002</v>
      </c>
      <c r="I145" s="1883">
        <v>1590284.9700000002</v>
      </c>
      <c r="J145" s="1883">
        <v>1590284.9700000002</v>
      </c>
      <c r="K145" s="1883">
        <v>1590284.9700000002</v>
      </c>
      <c r="L145" s="1881">
        <v>1590284.9700000002</v>
      </c>
      <c r="M145" s="1881">
        <v>1590284.9700000002</v>
      </c>
      <c r="N145" s="1881">
        <v>1590284.9700000002</v>
      </c>
      <c r="O145" s="1810">
        <f t="shared" si="8"/>
        <v>1590284.9700000002</v>
      </c>
      <c r="P145" s="97"/>
    </row>
    <row r="146" spans="1:16">
      <c r="A146" s="104" t="s">
        <v>1352</v>
      </c>
      <c r="B146" s="1883">
        <v>3086350.53</v>
      </c>
      <c r="C146" s="1883">
        <v>3086350.53</v>
      </c>
      <c r="D146" s="1883">
        <v>3086350.53</v>
      </c>
      <c r="E146" s="1883">
        <v>3086350.53</v>
      </c>
      <c r="F146" s="1883">
        <v>3086350.53</v>
      </c>
      <c r="G146" s="1883">
        <v>3086350.53</v>
      </c>
      <c r="H146" s="1883">
        <v>3086350.53</v>
      </c>
      <c r="I146" s="1883">
        <v>3086350.53</v>
      </c>
      <c r="J146" s="1883">
        <v>3086350.53</v>
      </c>
      <c r="K146" s="1883">
        <v>3086350.53</v>
      </c>
      <c r="L146" s="1881">
        <v>3086350.53</v>
      </c>
      <c r="M146" s="1881">
        <v>3086350.53</v>
      </c>
      <c r="N146" s="1881">
        <v>3086350.53</v>
      </c>
      <c r="O146" s="1810">
        <f t="shared" si="8"/>
        <v>3086350.5300000007</v>
      </c>
      <c r="P146" s="97"/>
    </row>
    <row r="147" spans="1:16">
      <c r="A147" s="104" t="s">
        <v>25</v>
      </c>
      <c r="B147" s="1883">
        <v>8020.92</v>
      </c>
      <c r="C147" s="1883">
        <v>8020.92</v>
      </c>
      <c r="D147" s="1883">
        <v>8020.92</v>
      </c>
      <c r="E147" s="1883">
        <v>8020.92</v>
      </c>
      <c r="F147" s="1883">
        <v>8020.92</v>
      </c>
      <c r="G147" s="1883">
        <v>8020.92</v>
      </c>
      <c r="H147" s="1883">
        <v>8020.92</v>
      </c>
      <c r="I147" s="1883">
        <v>8020.92</v>
      </c>
      <c r="J147" s="1883">
        <v>8020.92</v>
      </c>
      <c r="K147" s="1883">
        <v>8020.92</v>
      </c>
      <c r="L147" s="1881">
        <v>8020.92</v>
      </c>
      <c r="M147" s="1881">
        <v>8020.92</v>
      </c>
      <c r="N147" s="1881">
        <v>8020.92</v>
      </c>
      <c r="O147" s="1810">
        <f t="shared" si="8"/>
        <v>8020.9199999999992</v>
      </c>
      <c r="P147" s="97"/>
    </row>
    <row r="148" spans="1:16">
      <c r="A148" s="1364" t="s">
        <v>1421</v>
      </c>
      <c r="B148" s="1882">
        <f t="shared" ref="B148:O148" si="9">SUM(B74:B147)</f>
        <v>176243888.60999995</v>
      </c>
      <c r="C148" s="1882">
        <f t="shared" si="9"/>
        <v>176245770.31999993</v>
      </c>
      <c r="D148" s="1882">
        <f t="shared" si="9"/>
        <v>176245796.66999996</v>
      </c>
      <c r="E148" s="1882">
        <f t="shared" si="9"/>
        <v>176258746.59999993</v>
      </c>
      <c r="F148" s="1882">
        <f t="shared" si="9"/>
        <v>176258127.79999995</v>
      </c>
      <c r="G148" s="1882">
        <f t="shared" si="9"/>
        <v>176258127.79999995</v>
      </c>
      <c r="H148" s="1882">
        <f t="shared" si="9"/>
        <v>176258127.79999995</v>
      </c>
      <c r="I148" s="1882">
        <f t="shared" si="9"/>
        <v>176429416.51999995</v>
      </c>
      <c r="J148" s="1882">
        <f t="shared" si="9"/>
        <v>176429416.51999995</v>
      </c>
      <c r="K148" s="1882">
        <f t="shared" si="9"/>
        <v>176429416.51999995</v>
      </c>
      <c r="L148" s="1882">
        <f t="shared" si="9"/>
        <v>176429416.51999995</v>
      </c>
      <c r="M148" s="1882">
        <f t="shared" si="9"/>
        <v>176491329.39999995</v>
      </c>
      <c r="N148" s="1882">
        <f t="shared" si="9"/>
        <v>176454912.23999995</v>
      </c>
      <c r="O148" s="1882">
        <f t="shared" si="9"/>
        <v>176340961.02461532</v>
      </c>
      <c r="P148" s="97"/>
    </row>
    <row r="149" spans="1:16">
      <c r="A149" s="97"/>
      <c r="O149" s="648"/>
      <c r="P149" s="97"/>
    </row>
    <row r="150" spans="1:16">
      <c r="A150" s="1862" t="s">
        <v>1437</v>
      </c>
      <c r="B150" s="1881">
        <v>3623.76</v>
      </c>
      <c r="C150" s="1881">
        <v>3623.76</v>
      </c>
      <c r="D150" s="1881">
        <v>3623.76</v>
      </c>
      <c r="E150" s="1881">
        <v>3623.76</v>
      </c>
      <c r="F150" s="1881">
        <v>3623.76</v>
      </c>
      <c r="G150" s="1881">
        <v>3623.76</v>
      </c>
      <c r="H150" s="1881">
        <v>3623.76</v>
      </c>
      <c r="I150" s="1881">
        <v>3623.76</v>
      </c>
      <c r="J150" s="1881">
        <v>3623.76</v>
      </c>
      <c r="K150" s="1881">
        <v>3623.76</v>
      </c>
      <c r="L150" s="1881">
        <v>3623.76</v>
      </c>
      <c r="M150" s="1881">
        <v>3623.76</v>
      </c>
      <c r="N150" s="1881">
        <v>3623.76</v>
      </c>
      <c r="O150" s="1810">
        <f t="shared" ref="O150:O154" si="10">AVERAGE(B150:N150)</f>
        <v>3623.7600000000016</v>
      </c>
      <c r="P150" s="97"/>
    </row>
    <row r="151" spans="1:16">
      <c r="A151" s="1862" t="s">
        <v>1438</v>
      </c>
      <c r="B151" s="1881">
        <v>4746424.87</v>
      </c>
      <c r="C151" s="1881">
        <v>4746424.87</v>
      </c>
      <c r="D151" s="1881">
        <v>4746424.87</v>
      </c>
      <c r="E151" s="1881">
        <v>4746424.87</v>
      </c>
      <c r="F151" s="1881">
        <v>4746424.87</v>
      </c>
      <c r="G151" s="1881">
        <v>4746424.87</v>
      </c>
      <c r="H151" s="1881">
        <v>4746424.87</v>
      </c>
      <c r="I151" s="1881">
        <v>4746424.87</v>
      </c>
      <c r="J151" s="1881">
        <v>4746424.87</v>
      </c>
      <c r="K151" s="1881">
        <v>4746424.87</v>
      </c>
      <c r="L151" s="1881">
        <v>4746424.87</v>
      </c>
      <c r="M151" s="1881">
        <v>4746424.87</v>
      </c>
      <c r="N151" s="1881">
        <v>4746424.87</v>
      </c>
      <c r="O151" s="1810">
        <f t="shared" si="10"/>
        <v>4746424.8699999992</v>
      </c>
      <c r="P151" s="97"/>
    </row>
    <row r="152" spans="1:16">
      <c r="A152" s="1862" t="s">
        <v>1439</v>
      </c>
      <c r="B152" s="1881">
        <v>88844.28</v>
      </c>
      <c r="C152" s="1881">
        <v>88844.28</v>
      </c>
      <c r="D152" s="1881">
        <v>88844.28</v>
      </c>
      <c r="E152" s="1881">
        <v>88844.28</v>
      </c>
      <c r="F152" s="1881">
        <v>88844.28</v>
      </c>
      <c r="G152" s="1881">
        <v>88844.28</v>
      </c>
      <c r="H152" s="1881">
        <v>88844.28</v>
      </c>
      <c r="I152" s="1881">
        <v>88844.28</v>
      </c>
      <c r="J152" s="1881">
        <v>88844.28</v>
      </c>
      <c r="K152" s="1881">
        <v>88844.28</v>
      </c>
      <c r="L152" s="1881">
        <v>88844.28</v>
      </c>
      <c r="M152" s="1881">
        <v>88844.28</v>
      </c>
      <c r="N152" s="1881">
        <v>88844.28</v>
      </c>
      <c r="O152" s="1810">
        <f t="shared" si="10"/>
        <v>88844.280000000013</v>
      </c>
      <c r="P152" s="97"/>
    </row>
    <row r="153" spans="1:16">
      <c r="A153" s="1862" t="s">
        <v>1440</v>
      </c>
      <c r="B153" s="1881">
        <v>137698.34</v>
      </c>
      <c r="C153" s="1881">
        <v>137698.34</v>
      </c>
      <c r="D153" s="1881">
        <v>137698.34</v>
      </c>
      <c r="E153" s="1881">
        <v>137698.34</v>
      </c>
      <c r="F153" s="1881">
        <v>137698.34</v>
      </c>
      <c r="G153" s="1881">
        <v>137698.34</v>
      </c>
      <c r="H153" s="1881">
        <v>137698.34</v>
      </c>
      <c r="I153" s="1881">
        <v>137698.34</v>
      </c>
      <c r="J153" s="1881">
        <v>137698.34</v>
      </c>
      <c r="K153" s="1881">
        <v>137698.34</v>
      </c>
      <c r="L153" s="1881">
        <v>137698.34</v>
      </c>
      <c r="M153" s="1881">
        <v>137698.34</v>
      </c>
      <c r="N153" s="1881">
        <v>137698.34</v>
      </c>
      <c r="O153" s="1810">
        <f t="shared" si="10"/>
        <v>137698.34000000003</v>
      </c>
      <c r="P153" s="97"/>
    </row>
    <row r="154" spans="1:16">
      <c r="A154" s="1862" t="s">
        <v>1441</v>
      </c>
      <c r="B154" s="1881">
        <v>522947.41000000003</v>
      </c>
      <c r="C154" s="1881">
        <v>522947.41000000003</v>
      </c>
      <c r="D154" s="1881">
        <v>522947.41000000003</v>
      </c>
      <c r="E154" s="1881">
        <v>522947.41000000003</v>
      </c>
      <c r="F154" s="1881">
        <v>522947.41000000003</v>
      </c>
      <c r="G154" s="1881">
        <v>522947.41000000003</v>
      </c>
      <c r="H154" s="1881">
        <v>522947.41000000003</v>
      </c>
      <c r="I154" s="1881">
        <v>522947.41000000003</v>
      </c>
      <c r="J154" s="1881">
        <v>522947.41000000003</v>
      </c>
      <c r="K154" s="1881">
        <v>522947.41000000003</v>
      </c>
      <c r="L154" s="1881">
        <v>522947.41000000003</v>
      </c>
      <c r="M154" s="1881">
        <v>522947.41000000003</v>
      </c>
      <c r="N154" s="1881">
        <v>522947.41000000003</v>
      </c>
      <c r="O154" s="1810">
        <f t="shared" si="10"/>
        <v>522947.41000000009</v>
      </c>
      <c r="P154" s="97"/>
    </row>
    <row r="155" spans="1:16">
      <c r="A155" s="1364" t="s">
        <v>1422</v>
      </c>
      <c r="B155" s="1886">
        <f t="shared" ref="B155:O155" si="11">SUM(B150:B154)</f>
        <v>5499538.6600000001</v>
      </c>
      <c r="C155" s="1886">
        <f t="shared" si="11"/>
        <v>5499538.6600000001</v>
      </c>
      <c r="D155" s="1886">
        <f t="shared" si="11"/>
        <v>5499538.6600000001</v>
      </c>
      <c r="E155" s="1886">
        <f t="shared" si="11"/>
        <v>5499538.6600000001</v>
      </c>
      <c r="F155" s="1886">
        <f t="shared" si="11"/>
        <v>5499538.6600000001</v>
      </c>
      <c r="G155" s="1886">
        <f t="shared" si="11"/>
        <v>5499538.6600000001</v>
      </c>
      <c r="H155" s="1886">
        <f t="shared" si="11"/>
        <v>5499538.6600000001</v>
      </c>
      <c r="I155" s="1886">
        <f t="shared" si="11"/>
        <v>5499538.6600000001</v>
      </c>
      <c r="J155" s="1886">
        <f t="shared" si="11"/>
        <v>5499538.6600000001</v>
      </c>
      <c r="K155" s="1886">
        <f t="shared" si="11"/>
        <v>5499538.6600000001</v>
      </c>
      <c r="L155" s="1886">
        <f t="shared" si="11"/>
        <v>5499538.6600000001</v>
      </c>
      <c r="M155" s="1886">
        <f t="shared" si="11"/>
        <v>5499538.6600000001</v>
      </c>
      <c r="N155" s="1886">
        <f t="shared" si="11"/>
        <v>5499538.6600000001</v>
      </c>
      <c r="O155" s="1886">
        <f t="shared" si="11"/>
        <v>5499538.6599999992</v>
      </c>
      <c r="P155" s="97"/>
    </row>
    <row r="156" spans="1:16">
      <c r="A156" s="183"/>
      <c r="B156" s="1878"/>
      <c r="C156" s="1878"/>
      <c r="D156" s="1878"/>
      <c r="E156" s="1878"/>
      <c r="F156" s="1878"/>
      <c r="G156" s="1878"/>
      <c r="H156" s="1878"/>
      <c r="I156" s="1878"/>
      <c r="J156" s="1878"/>
      <c r="K156" s="1878"/>
      <c r="L156" s="1878"/>
      <c r="M156" s="1878"/>
      <c r="N156" s="1878"/>
      <c r="O156" s="1810"/>
      <c r="P156" s="97"/>
    </row>
    <row r="157" spans="1:16">
      <c r="A157" s="834"/>
      <c r="B157" s="834"/>
      <c r="C157" s="834"/>
      <c r="D157" s="834"/>
      <c r="E157" s="834"/>
      <c r="F157" s="834"/>
      <c r="G157" s="834"/>
      <c r="H157" s="834"/>
      <c r="I157" s="834"/>
      <c r="J157" s="834"/>
      <c r="K157" s="834"/>
      <c r="L157" s="834"/>
      <c r="M157" s="834"/>
      <c r="N157" s="1575"/>
      <c r="O157" s="1365"/>
      <c r="P157" s="97"/>
    </row>
    <row r="158" spans="1:16" ht="15.75">
      <c r="A158" s="788" t="s">
        <v>1353</v>
      </c>
      <c r="B158" s="1863">
        <f t="shared" ref="B158:O158" si="12">B148+B48</f>
        <v>1203347244.3399999</v>
      </c>
      <c r="C158" s="1863">
        <f t="shared" si="12"/>
        <v>1210604156</v>
      </c>
      <c r="D158" s="1863">
        <f t="shared" si="12"/>
        <v>1210537062.0099998</v>
      </c>
      <c r="E158" s="1863">
        <f t="shared" si="12"/>
        <v>1214807403.9899998</v>
      </c>
      <c r="F158" s="1863">
        <f t="shared" si="12"/>
        <v>1218898447.03</v>
      </c>
      <c r="G158" s="1863">
        <f t="shared" si="12"/>
        <v>1219470452.8199997</v>
      </c>
      <c r="H158" s="1863">
        <f t="shared" si="12"/>
        <v>1224333084.78</v>
      </c>
      <c r="I158" s="1863">
        <f t="shared" si="12"/>
        <v>1225694794.6599998</v>
      </c>
      <c r="J158" s="1863">
        <f t="shared" si="12"/>
        <v>1232421662.3099999</v>
      </c>
      <c r="K158" s="1863">
        <f t="shared" si="12"/>
        <v>1244561418.6499999</v>
      </c>
      <c r="L158" s="1863">
        <f t="shared" si="12"/>
        <v>1255563590.6099999</v>
      </c>
      <c r="M158" s="1863">
        <f t="shared" si="12"/>
        <v>1256481573.8899999</v>
      </c>
      <c r="N158" s="1863">
        <f t="shared" si="12"/>
        <v>1260811568.46</v>
      </c>
      <c r="O158" s="1863">
        <f t="shared" si="12"/>
        <v>1229040958.426923</v>
      </c>
      <c r="P158" s="97"/>
    </row>
    <row r="159" spans="1:16" ht="15.75">
      <c r="A159" s="788" t="s">
        <v>1354</v>
      </c>
      <c r="B159" s="1863">
        <f t="shared" ref="B159:O159" si="13">B155+B62</f>
        <v>95009459.569999993</v>
      </c>
      <c r="C159" s="1863">
        <f t="shared" si="13"/>
        <v>95142742.699999988</v>
      </c>
      <c r="D159" s="1863">
        <f t="shared" si="13"/>
        <v>95198483.029999986</v>
      </c>
      <c r="E159" s="1863">
        <f t="shared" si="13"/>
        <v>95216120.409999996</v>
      </c>
      <c r="F159" s="1863">
        <f t="shared" si="13"/>
        <v>95259905.359999985</v>
      </c>
      <c r="G159" s="1863">
        <f t="shared" si="13"/>
        <v>95288405.129999995</v>
      </c>
      <c r="H159" s="1863">
        <f t="shared" si="13"/>
        <v>95328700.779999986</v>
      </c>
      <c r="I159" s="1863">
        <f t="shared" si="13"/>
        <v>95372622.169999987</v>
      </c>
      <c r="J159" s="1863">
        <f t="shared" si="13"/>
        <v>95427031.659999996</v>
      </c>
      <c r="K159" s="1863">
        <f t="shared" si="13"/>
        <v>95520122.219999984</v>
      </c>
      <c r="L159" s="1863">
        <f t="shared" si="13"/>
        <v>95900211.469999984</v>
      </c>
      <c r="M159" s="1863">
        <f t="shared" si="13"/>
        <v>95990999.00999999</v>
      </c>
      <c r="N159" s="1863">
        <f t="shared" si="13"/>
        <v>95900153.839999989</v>
      </c>
      <c r="O159" s="1863">
        <f t="shared" si="13"/>
        <v>95427304.411538437</v>
      </c>
      <c r="P159" s="97"/>
    </row>
    <row r="160" spans="1:16" ht="15.75">
      <c r="A160" s="788" t="s">
        <v>1355</v>
      </c>
      <c r="B160" s="1863">
        <f t="shared" ref="B160:O160" si="14">B72</f>
        <v>88505170.049999997</v>
      </c>
      <c r="C160" s="1863">
        <f t="shared" si="14"/>
        <v>88505170.049999997</v>
      </c>
      <c r="D160" s="1863">
        <f t="shared" si="14"/>
        <v>88505170.049999997</v>
      </c>
      <c r="E160" s="1863">
        <f t="shared" si="14"/>
        <v>88505170.049999997</v>
      </c>
      <c r="F160" s="1863">
        <f t="shared" si="14"/>
        <v>88505170.049999997</v>
      </c>
      <c r="G160" s="1863">
        <f t="shared" si="14"/>
        <v>88505170.049999997</v>
      </c>
      <c r="H160" s="1863">
        <f t="shared" si="14"/>
        <v>88505170.049999997</v>
      </c>
      <c r="I160" s="1863">
        <f t="shared" si="14"/>
        <v>88505170.049999997</v>
      </c>
      <c r="J160" s="1863">
        <f t="shared" si="14"/>
        <v>88505170.049999997</v>
      </c>
      <c r="K160" s="1863">
        <f t="shared" si="14"/>
        <v>88505170.049999997</v>
      </c>
      <c r="L160" s="1863">
        <f t="shared" si="14"/>
        <v>88505170.049999997</v>
      </c>
      <c r="M160" s="1863">
        <f t="shared" si="14"/>
        <v>88505170.049999997</v>
      </c>
      <c r="N160" s="1863">
        <f t="shared" si="14"/>
        <v>88505170.049999997</v>
      </c>
      <c r="O160" s="1863">
        <f t="shared" si="14"/>
        <v>88505170.049999997</v>
      </c>
      <c r="P160" s="97"/>
    </row>
    <row r="161" spans="1:16">
      <c r="A161" s="788" t="s">
        <v>1356</v>
      </c>
      <c r="B161" s="851">
        <f>SUM(B158:B160)</f>
        <v>1386861873.9599998</v>
      </c>
      <c r="C161" s="851">
        <f t="shared" ref="C161:N161" si="15">SUM(C158:C160)</f>
        <v>1394252068.75</v>
      </c>
      <c r="D161" s="851">
        <f t="shared" si="15"/>
        <v>1394240715.0899997</v>
      </c>
      <c r="E161" s="851">
        <f t="shared" si="15"/>
        <v>1398528694.4499998</v>
      </c>
      <c r="F161" s="851">
        <f t="shared" si="15"/>
        <v>1402663522.4399998</v>
      </c>
      <c r="G161" s="851">
        <f t="shared" si="15"/>
        <v>1403264027.9999998</v>
      </c>
      <c r="H161" s="851">
        <f t="shared" si="15"/>
        <v>1408166955.6099999</v>
      </c>
      <c r="I161" s="851">
        <f t="shared" si="15"/>
        <v>1409572586.8799999</v>
      </c>
      <c r="J161" s="851">
        <f t="shared" si="15"/>
        <v>1416353864.02</v>
      </c>
      <c r="K161" s="851">
        <f t="shared" si="15"/>
        <v>1428586710.9199998</v>
      </c>
      <c r="L161" s="851">
        <f t="shared" si="15"/>
        <v>1439968972.1299999</v>
      </c>
      <c r="M161" s="851">
        <f t="shared" si="15"/>
        <v>1440977742.9499998</v>
      </c>
      <c r="N161" s="851">
        <f t="shared" si="15"/>
        <v>1445216892.3499999</v>
      </c>
      <c r="O161" s="851">
        <f>SUM(O158:O160)</f>
        <v>1412973432.8884614</v>
      </c>
      <c r="P161" s="97"/>
    </row>
    <row r="162" spans="1:16">
      <c r="A162" s="834"/>
      <c r="B162" s="834"/>
      <c r="C162" s="834"/>
      <c r="D162" s="834"/>
      <c r="E162" s="834"/>
      <c r="F162" s="834"/>
      <c r="G162" s="834"/>
      <c r="H162" s="834"/>
      <c r="I162" s="834"/>
      <c r="J162" s="834"/>
      <c r="K162" s="834"/>
      <c r="L162" s="834"/>
      <c r="M162" s="834"/>
      <c r="N162" s="97"/>
      <c r="O162" s="97"/>
      <c r="P162" s="97"/>
    </row>
    <row r="163" spans="1:16">
      <c r="A163" s="1861" t="s">
        <v>1357</v>
      </c>
      <c r="B163" s="834"/>
      <c r="C163" s="834"/>
      <c r="D163" s="834"/>
      <c r="E163" s="834"/>
      <c r="F163" s="834"/>
      <c r="G163" s="834"/>
      <c r="H163" s="834"/>
      <c r="I163" s="834"/>
      <c r="J163" s="834"/>
      <c r="K163" s="834"/>
      <c r="L163" s="834"/>
      <c r="M163" s="834"/>
      <c r="N163" s="97"/>
      <c r="O163" s="1862" t="s">
        <v>1358</v>
      </c>
      <c r="P163" s="97"/>
    </row>
    <row r="164" spans="1:16">
      <c r="A164" s="834"/>
      <c r="B164" s="834"/>
      <c r="C164" s="834"/>
      <c r="D164" s="834"/>
      <c r="E164" s="834"/>
      <c r="F164" s="834"/>
      <c r="G164" s="834"/>
      <c r="H164" s="834"/>
      <c r="I164" s="834"/>
      <c r="J164" s="834"/>
      <c r="K164" s="834"/>
      <c r="L164" s="834"/>
      <c r="M164" s="834"/>
      <c r="N164" s="97"/>
      <c r="O164" s="97"/>
      <c r="P164" s="97"/>
    </row>
    <row r="165" spans="1:16">
      <c r="A165" s="832" t="s">
        <v>1360</v>
      </c>
      <c r="O165" s="835"/>
      <c r="P165" s="97"/>
    </row>
    <row r="166" spans="1:16" ht="15">
      <c r="A166" s="788" t="s">
        <v>646</v>
      </c>
      <c r="B166" s="1465">
        <f t="shared" ref="B166:N166" si="16">B5</f>
        <v>42339</v>
      </c>
      <c r="C166" s="1465">
        <f t="shared" si="16"/>
        <v>42370</v>
      </c>
      <c r="D166" s="1465">
        <f t="shared" si="16"/>
        <v>42401</v>
      </c>
      <c r="E166" s="1465">
        <f t="shared" si="16"/>
        <v>42430</v>
      </c>
      <c r="F166" s="1465">
        <f t="shared" si="16"/>
        <v>42461</v>
      </c>
      <c r="G166" s="1465">
        <f t="shared" si="16"/>
        <v>42491</v>
      </c>
      <c r="H166" s="1465">
        <f t="shared" si="16"/>
        <v>42522</v>
      </c>
      <c r="I166" s="1465">
        <f t="shared" si="16"/>
        <v>42552</v>
      </c>
      <c r="J166" s="1465">
        <f t="shared" si="16"/>
        <v>42583</v>
      </c>
      <c r="K166" s="1465">
        <f t="shared" si="16"/>
        <v>42614</v>
      </c>
      <c r="L166" s="1465">
        <f t="shared" si="16"/>
        <v>42644</v>
      </c>
      <c r="M166" s="1465">
        <f t="shared" si="16"/>
        <v>42675</v>
      </c>
      <c r="N166" s="1465">
        <f t="shared" si="16"/>
        <v>42705</v>
      </c>
      <c r="O166" s="833" t="s">
        <v>81</v>
      </c>
      <c r="P166" s="97"/>
    </row>
    <row r="167" spans="1:16">
      <c r="A167" s="97" t="s">
        <v>558</v>
      </c>
      <c r="B167" s="1883">
        <v>11249868.630000001</v>
      </c>
      <c r="C167" s="1883">
        <v>10994860.550000001</v>
      </c>
      <c r="D167" s="1883">
        <v>11058978.489999998</v>
      </c>
      <c r="E167" s="1883">
        <v>11123111.35</v>
      </c>
      <c r="F167" s="1883">
        <v>11187248.99</v>
      </c>
      <c r="G167" s="1883">
        <v>11251386.630000001</v>
      </c>
      <c r="H167" s="1883">
        <v>11315524.27</v>
      </c>
      <c r="I167" s="1883">
        <v>11379661.66</v>
      </c>
      <c r="J167" s="1883">
        <v>11443798.799999999</v>
      </c>
      <c r="K167" s="1883">
        <v>11507937.85</v>
      </c>
      <c r="L167" s="1883">
        <v>11571351.199999999</v>
      </c>
      <c r="M167" s="1883">
        <v>11634769.300000001</v>
      </c>
      <c r="N167" s="1883">
        <v>11698193.25</v>
      </c>
      <c r="O167" s="184">
        <f t="shared" ref="O167:O203" si="17">AVERAGE(B167:N167)</f>
        <v>11339745.459230769</v>
      </c>
      <c r="P167" s="97"/>
    </row>
    <row r="168" spans="1:16">
      <c r="A168" s="97" t="s">
        <v>1313</v>
      </c>
      <c r="B168" s="1883">
        <v>62199.29</v>
      </c>
      <c r="C168" s="1883">
        <v>62329.770000000004</v>
      </c>
      <c r="D168" s="1883">
        <v>62460.25</v>
      </c>
      <c r="E168" s="1883">
        <v>62590.73</v>
      </c>
      <c r="F168" s="1883">
        <v>62721.21</v>
      </c>
      <c r="G168" s="1883">
        <v>62851.69</v>
      </c>
      <c r="H168" s="1883">
        <v>62982.17</v>
      </c>
      <c r="I168" s="1883">
        <v>63112.65</v>
      </c>
      <c r="J168" s="1883">
        <v>63243.130000000005</v>
      </c>
      <c r="K168" s="1883">
        <v>63373.61</v>
      </c>
      <c r="L168" s="1883">
        <v>63504.090000000004</v>
      </c>
      <c r="M168" s="1883">
        <v>63634.57</v>
      </c>
      <c r="N168" s="1883">
        <v>63765.05</v>
      </c>
      <c r="O168" s="184">
        <f t="shared" si="17"/>
        <v>62982.17</v>
      </c>
      <c r="P168" s="97"/>
    </row>
    <row r="169" spans="1:16">
      <c r="A169" s="97" t="s">
        <v>1314</v>
      </c>
      <c r="B169" s="1883">
        <v>44688.46</v>
      </c>
      <c r="C169" s="1883">
        <v>44794.07</v>
      </c>
      <c r="D169" s="1883">
        <v>44899.68</v>
      </c>
      <c r="E169" s="1883">
        <v>45005.29</v>
      </c>
      <c r="F169" s="1883">
        <v>45110.9</v>
      </c>
      <c r="G169" s="1883">
        <v>45216.51</v>
      </c>
      <c r="H169" s="1883">
        <v>45322.12</v>
      </c>
      <c r="I169" s="1883">
        <v>45427.73</v>
      </c>
      <c r="J169" s="1883">
        <v>45533.340000000004</v>
      </c>
      <c r="K169" s="1883">
        <v>45638.950000000004</v>
      </c>
      <c r="L169" s="1883">
        <v>45744.56</v>
      </c>
      <c r="M169" s="1883">
        <v>45850.17</v>
      </c>
      <c r="N169" s="1883">
        <v>45955.78</v>
      </c>
      <c r="O169" s="184">
        <f t="shared" si="17"/>
        <v>45322.12</v>
      </c>
      <c r="P169" s="97"/>
    </row>
    <row r="170" spans="1:16">
      <c r="A170" s="97" t="s">
        <v>562</v>
      </c>
      <c r="B170" s="1883">
        <v>336659.45</v>
      </c>
      <c r="C170" s="1883">
        <v>339568.95</v>
      </c>
      <c r="D170" s="1883">
        <v>342478.45</v>
      </c>
      <c r="E170" s="1883">
        <v>345387.95</v>
      </c>
      <c r="F170" s="1883">
        <v>348297.45</v>
      </c>
      <c r="G170" s="1883">
        <v>351206.95</v>
      </c>
      <c r="H170" s="1883">
        <v>354116.45</v>
      </c>
      <c r="I170" s="1883">
        <v>357025.95</v>
      </c>
      <c r="J170" s="1883">
        <v>359935.45</v>
      </c>
      <c r="K170" s="1883">
        <v>362844.95</v>
      </c>
      <c r="L170" s="1883">
        <v>365754.45</v>
      </c>
      <c r="M170" s="1883">
        <v>368663.95</v>
      </c>
      <c r="N170" s="1883">
        <v>371573.45</v>
      </c>
      <c r="O170" s="184">
        <f t="shared" si="17"/>
        <v>354116.45000000007</v>
      </c>
      <c r="P170" s="97"/>
    </row>
    <row r="171" spans="1:16">
      <c r="A171" s="97" t="s">
        <v>494</v>
      </c>
      <c r="B171" s="1883">
        <v>162974.49</v>
      </c>
      <c r="C171" s="1883">
        <v>166704.63</v>
      </c>
      <c r="D171" s="1883">
        <v>170434.77</v>
      </c>
      <c r="E171" s="1883">
        <v>174164.91</v>
      </c>
      <c r="F171" s="1883">
        <v>177895.05000000002</v>
      </c>
      <c r="G171" s="1883">
        <v>182422.30000000002</v>
      </c>
      <c r="H171" s="1883">
        <v>187819.21</v>
      </c>
      <c r="I171" s="1883">
        <v>193288.80000000002</v>
      </c>
      <c r="J171" s="1883">
        <v>198758.51</v>
      </c>
      <c r="K171" s="1883">
        <v>204234.52000000002</v>
      </c>
      <c r="L171" s="1883">
        <v>209716.82</v>
      </c>
      <c r="M171" s="1883">
        <v>215199.12</v>
      </c>
      <c r="N171" s="1883">
        <v>220682.64</v>
      </c>
      <c r="O171" s="184">
        <f t="shared" si="17"/>
        <v>189561.2130769231</v>
      </c>
      <c r="P171" s="97"/>
    </row>
    <row r="172" spans="1:16">
      <c r="A172" s="97" t="s">
        <v>563</v>
      </c>
      <c r="B172" s="1883">
        <v>1222036.49</v>
      </c>
      <c r="C172" s="1883">
        <v>1225460.74</v>
      </c>
      <c r="D172" s="1883">
        <v>1228884.99</v>
      </c>
      <c r="E172" s="1883">
        <v>1232309.24</v>
      </c>
      <c r="F172" s="1883">
        <v>1235733.49</v>
      </c>
      <c r="G172" s="1883">
        <v>1169229.1400000001</v>
      </c>
      <c r="H172" s="1883">
        <v>1172653.3900000001</v>
      </c>
      <c r="I172" s="1883">
        <v>1176077.6400000001</v>
      </c>
      <c r="J172" s="1883">
        <v>1179501.8900000001</v>
      </c>
      <c r="K172" s="1883">
        <v>1182926.1400000001</v>
      </c>
      <c r="L172" s="1883">
        <v>1186350.3900000001</v>
      </c>
      <c r="M172" s="1883">
        <v>1189774.6400000001</v>
      </c>
      <c r="N172" s="1883">
        <v>1193198.8900000001</v>
      </c>
      <c r="O172" s="184">
        <f t="shared" si="17"/>
        <v>1199549.0053846156</v>
      </c>
      <c r="P172" s="97"/>
    </row>
    <row r="173" spans="1:16">
      <c r="A173" s="97" t="s">
        <v>1315</v>
      </c>
      <c r="B173" s="1883">
        <v>650855.56000000006</v>
      </c>
      <c r="C173" s="1883">
        <v>656881.52</v>
      </c>
      <c r="D173" s="1883">
        <v>662907.48</v>
      </c>
      <c r="E173" s="1883">
        <v>668933.44000000006</v>
      </c>
      <c r="F173" s="1883">
        <v>674959.4</v>
      </c>
      <c r="G173" s="1883">
        <v>680985.36</v>
      </c>
      <c r="H173" s="1883">
        <v>687011.32000000007</v>
      </c>
      <c r="I173" s="1883">
        <v>693037.28</v>
      </c>
      <c r="J173" s="1883">
        <v>699063.24</v>
      </c>
      <c r="K173" s="1883">
        <v>705089.20000000007</v>
      </c>
      <c r="L173" s="1883">
        <v>711115.16</v>
      </c>
      <c r="M173" s="1883">
        <v>717141.12</v>
      </c>
      <c r="N173" s="1883">
        <v>723167.08</v>
      </c>
      <c r="O173" s="184">
        <f t="shared" si="17"/>
        <v>687011.32000000007</v>
      </c>
      <c r="P173" s="97"/>
    </row>
    <row r="174" spans="1:16">
      <c r="A174" s="97" t="s">
        <v>565</v>
      </c>
      <c r="B174" s="1883">
        <v>791250.47</v>
      </c>
      <c r="C174" s="1883">
        <v>798798.47</v>
      </c>
      <c r="D174" s="1883">
        <v>806346.47</v>
      </c>
      <c r="E174" s="1883">
        <v>813894.47</v>
      </c>
      <c r="F174" s="1883">
        <v>821442.47</v>
      </c>
      <c r="G174" s="1883">
        <v>828990.47</v>
      </c>
      <c r="H174" s="1883">
        <v>836538.47</v>
      </c>
      <c r="I174" s="1883">
        <v>844086.47</v>
      </c>
      <c r="J174" s="1883">
        <v>851634.47</v>
      </c>
      <c r="K174" s="1883">
        <v>859182.47</v>
      </c>
      <c r="L174" s="1883">
        <v>866730.47</v>
      </c>
      <c r="M174" s="1883">
        <v>874278.47</v>
      </c>
      <c r="N174" s="1883">
        <v>881826.47</v>
      </c>
      <c r="O174" s="184">
        <f t="shared" si="17"/>
        <v>836538.47</v>
      </c>
      <c r="P174" s="97"/>
    </row>
    <row r="175" spans="1:16">
      <c r="A175" s="97" t="s">
        <v>566</v>
      </c>
      <c r="B175" s="1883">
        <v>20854478.48</v>
      </c>
      <c r="C175" s="1883">
        <v>21175564.610000003</v>
      </c>
      <c r="D175" s="1883">
        <v>21501035.960000001</v>
      </c>
      <c r="E175" s="1883">
        <v>21147346.210000001</v>
      </c>
      <c r="F175" s="1883">
        <v>21482098.120000001</v>
      </c>
      <c r="G175" s="1883">
        <v>21818591.710000001</v>
      </c>
      <c r="H175" s="1883">
        <v>22154857.720000003</v>
      </c>
      <c r="I175" s="1883">
        <v>22495162.650000002</v>
      </c>
      <c r="J175" s="1883">
        <v>22837651.970000003</v>
      </c>
      <c r="K175" s="1883">
        <v>23185217.170000002</v>
      </c>
      <c r="L175" s="1883">
        <v>23546167.91</v>
      </c>
      <c r="M175" s="1883">
        <v>23883596.740000002</v>
      </c>
      <c r="N175" s="1883">
        <v>24269508.030000001</v>
      </c>
      <c r="O175" s="184">
        <v>22334713.636923078</v>
      </c>
      <c r="P175" s="97"/>
    </row>
    <row r="176" spans="1:16">
      <c r="A176" s="97" t="s">
        <v>1260</v>
      </c>
      <c r="B176" s="1883">
        <v>14077.2</v>
      </c>
      <c r="C176" s="1883">
        <v>14907.76</v>
      </c>
      <c r="D176" s="1883">
        <v>13464.300000000001</v>
      </c>
      <c r="E176" s="1883">
        <v>14295.37</v>
      </c>
      <c r="F176" s="1883">
        <v>15126.44</v>
      </c>
      <c r="G176" s="1883">
        <v>15957.51</v>
      </c>
      <c r="H176" s="1883">
        <v>16788.580000000002</v>
      </c>
      <c r="I176" s="1883">
        <v>17619.650000000001</v>
      </c>
      <c r="J176" s="1883">
        <v>18450.72</v>
      </c>
      <c r="K176" s="1883">
        <v>19281.79</v>
      </c>
      <c r="L176" s="1883">
        <v>20112.86</v>
      </c>
      <c r="M176" s="1883">
        <v>20943.93</v>
      </c>
      <c r="N176" s="1883">
        <v>21775</v>
      </c>
      <c r="O176" s="184">
        <f t="shared" si="17"/>
        <v>17138.546923076923</v>
      </c>
      <c r="P176" s="97"/>
    </row>
    <row r="177" spans="1:16">
      <c r="A177" s="97" t="s">
        <v>567</v>
      </c>
      <c r="B177" s="1883">
        <v>1903653.21</v>
      </c>
      <c r="C177" s="1883">
        <v>1911883.23</v>
      </c>
      <c r="D177" s="1883">
        <v>1920099.72</v>
      </c>
      <c r="E177" s="1883">
        <v>1928316.21</v>
      </c>
      <c r="F177" s="1883">
        <v>1936532.7000000002</v>
      </c>
      <c r="G177" s="1883">
        <v>1944749.19</v>
      </c>
      <c r="H177" s="1883">
        <v>1952965.6800000002</v>
      </c>
      <c r="I177" s="1883">
        <v>1961182.17</v>
      </c>
      <c r="J177" s="1883">
        <v>1969398.6600000001</v>
      </c>
      <c r="K177" s="1883">
        <v>1977615.15</v>
      </c>
      <c r="L177" s="1883">
        <v>1985831.6400000001</v>
      </c>
      <c r="M177" s="1883">
        <v>1994048.13</v>
      </c>
      <c r="N177" s="1883">
        <v>2002264.62</v>
      </c>
      <c r="O177" s="184">
        <f t="shared" si="17"/>
        <v>1952964.6392307691</v>
      </c>
      <c r="P177" s="97"/>
    </row>
    <row r="178" spans="1:16">
      <c r="A178" s="97" t="s">
        <v>568</v>
      </c>
      <c r="B178" s="1883">
        <v>62731555.299999997</v>
      </c>
      <c r="C178" s="1883">
        <v>62552453.339999996</v>
      </c>
      <c r="D178" s="1883">
        <v>62553759.210000001</v>
      </c>
      <c r="E178" s="1883">
        <v>62555065.079999998</v>
      </c>
      <c r="F178" s="1883">
        <v>62556370.950000003</v>
      </c>
      <c r="G178" s="1883">
        <v>62557676.82</v>
      </c>
      <c r="H178" s="1883">
        <v>62558982.689999998</v>
      </c>
      <c r="I178" s="1883">
        <v>62560288.560000002</v>
      </c>
      <c r="J178" s="1883">
        <v>62561594.43</v>
      </c>
      <c r="K178" s="1883">
        <v>62582540.020000003</v>
      </c>
      <c r="L178" s="1883">
        <v>62583845.890000001</v>
      </c>
      <c r="M178" s="1883">
        <v>62585151.759999998</v>
      </c>
      <c r="N178" s="1883">
        <v>65095768.130000003</v>
      </c>
      <c r="O178" s="184">
        <f t="shared" si="17"/>
        <v>62771927.090769224</v>
      </c>
      <c r="P178" s="97"/>
    </row>
    <row r="179" spans="1:16">
      <c r="A179" s="97" t="s">
        <v>569</v>
      </c>
      <c r="B179" s="1883">
        <v>6510426.9199999999</v>
      </c>
      <c r="C179" s="1883">
        <v>6547950.4000000004</v>
      </c>
      <c r="D179" s="1883">
        <v>6585473.8799999999</v>
      </c>
      <c r="E179" s="1883">
        <v>6622997.3600000003</v>
      </c>
      <c r="F179" s="1883">
        <v>6660520.8399999999</v>
      </c>
      <c r="G179" s="1883">
        <v>6698044.3200000003</v>
      </c>
      <c r="H179" s="1883">
        <v>6735567.7999999998</v>
      </c>
      <c r="I179" s="1883">
        <v>6773091.2800000003</v>
      </c>
      <c r="J179" s="1883">
        <v>6810614.7599999998</v>
      </c>
      <c r="K179" s="1883">
        <v>6848138.2400000002</v>
      </c>
      <c r="L179" s="1883">
        <v>6885661.7199999997</v>
      </c>
      <c r="M179" s="1883">
        <v>6923185.2000000002</v>
      </c>
      <c r="N179" s="1883">
        <v>6960708.6799999997</v>
      </c>
      <c r="O179" s="184">
        <f t="shared" si="17"/>
        <v>6735567.8000000007</v>
      </c>
      <c r="P179" s="97"/>
    </row>
    <row r="180" spans="1:16">
      <c r="A180" s="97" t="s">
        <v>573</v>
      </c>
      <c r="B180" s="1883">
        <v>1852792.46</v>
      </c>
      <c r="C180" s="1883">
        <v>1860786.33</v>
      </c>
      <c r="D180" s="1883">
        <v>1868780.2000000002</v>
      </c>
      <c r="E180" s="1883">
        <v>1876774.07</v>
      </c>
      <c r="F180" s="1883">
        <v>1884767.94</v>
      </c>
      <c r="G180" s="1883">
        <v>1892761.81</v>
      </c>
      <c r="H180" s="1883">
        <v>1900755.6800000002</v>
      </c>
      <c r="I180" s="1883">
        <v>1908749.55</v>
      </c>
      <c r="J180" s="1883">
        <v>1916743.42</v>
      </c>
      <c r="K180" s="1883">
        <v>1924737.29</v>
      </c>
      <c r="L180" s="1883">
        <v>1932731.1600000001</v>
      </c>
      <c r="M180" s="1883">
        <v>1940725.03</v>
      </c>
      <c r="N180" s="1883">
        <v>1948718.9</v>
      </c>
      <c r="O180" s="184">
        <f t="shared" si="17"/>
        <v>1900755.68</v>
      </c>
      <c r="P180" s="97"/>
    </row>
    <row r="181" spans="1:16">
      <c r="A181" s="97" t="s">
        <v>574</v>
      </c>
      <c r="B181" s="1883">
        <v>861474.67</v>
      </c>
      <c r="C181" s="1883">
        <v>865380.96</v>
      </c>
      <c r="D181" s="1883">
        <v>869287.25</v>
      </c>
      <c r="E181" s="1883">
        <v>873193.54</v>
      </c>
      <c r="F181" s="1883">
        <v>877099.83000000007</v>
      </c>
      <c r="G181" s="1883">
        <v>881006.12</v>
      </c>
      <c r="H181" s="1883">
        <v>884912.41</v>
      </c>
      <c r="I181" s="1883">
        <v>888818.70000000007</v>
      </c>
      <c r="J181" s="1883">
        <v>892724.99</v>
      </c>
      <c r="K181" s="1883">
        <v>896631.28</v>
      </c>
      <c r="L181" s="1883">
        <v>900537.57000000007</v>
      </c>
      <c r="M181" s="1883">
        <v>904443.86</v>
      </c>
      <c r="N181" s="1883">
        <v>908350.15</v>
      </c>
      <c r="O181" s="184">
        <f t="shared" si="17"/>
        <v>884912.41</v>
      </c>
      <c r="P181" s="97"/>
    </row>
    <row r="182" spans="1:16">
      <c r="A182" s="97" t="s">
        <v>575</v>
      </c>
      <c r="B182" s="1883">
        <v>16893639.170000002</v>
      </c>
      <c r="C182" s="1883">
        <v>17077147.059999999</v>
      </c>
      <c r="D182" s="1883">
        <v>23217953.239999998</v>
      </c>
      <c r="E182" s="1883">
        <v>23394244.739999998</v>
      </c>
      <c r="F182" s="1883">
        <v>23570559.329999998</v>
      </c>
      <c r="G182" s="1883">
        <v>23746988.399999999</v>
      </c>
      <c r="H182" s="1883">
        <v>23923531.84</v>
      </c>
      <c r="I182" s="1883">
        <v>24100143.539999999</v>
      </c>
      <c r="J182" s="1883">
        <v>24276725.050000001</v>
      </c>
      <c r="K182" s="1883">
        <v>24453486.02</v>
      </c>
      <c r="L182" s="1883">
        <v>24630784.25</v>
      </c>
      <c r="M182" s="1883">
        <v>24768381.259999998</v>
      </c>
      <c r="N182" s="1883">
        <v>24946466.899999999</v>
      </c>
      <c r="O182" s="184">
        <f t="shared" si="17"/>
        <v>23000003.907692309</v>
      </c>
      <c r="P182" s="97"/>
    </row>
    <row r="183" spans="1:16">
      <c r="A183" s="97" t="s">
        <v>577</v>
      </c>
      <c r="B183" s="1883">
        <v>1839646.9500000002</v>
      </c>
      <c r="C183" s="1883">
        <v>1848496.97</v>
      </c>
      <c r="D183" s="1883">
        <v>1857346.99</v>
      </c>
      <c r="E183" s="1883">
        <v>1866197.01</v>
      </c>
      <c r="F183" s="1883">
        <v>1875047.03</v>
      </c>
      <c r="G183" s="1883">
        <v>1883897.05</v>
      </c>
      <c r="H183" s="1883">
        <v>1892747.07</v>
      </c>
      <c r="I183" s="1883">
        <v>1901597.0899999999</v>
      </c>
      <c r="J183" s="1883">
        <v>1910447.1099999999</v>
      </c>
      <c r="K183" s="1883">
        <v>1919297.13</v>
      </c>
      <c r="L183" s="1883">
        <v>1928147.15</v>
      </c>
      <c r="M183" s="1883">
        <v>1936997.17</v>
      </c>
      <c r="N183" s="1883">
        <v>1945847.19</v>
      </c>
      <c r="O183" s="184">
        <f t="shared" si="17"/>
        <v>1892747.07</v>
      </c>
      <c r="P183" s="97"/>
    </row>
    <row r="184" spans="1:16">
      <c r="A184" s="97" t="s">
        <v>1316</v>
      </c>
      <c r="B184" s="1883">
        <v>62757.590000000004</v>
      </c>
      <c r="C184" s="1883">
        <v>64822.98</v>
      </c>
      <c r="D184" s="1883">
        <v>66888.37</v>
      </c>
      <c r="E184" s="1883">
        <v>68953.759999999995</v>
      </c>
      <c r="F184" s="1883">
        <v>71019.150000000009</v>
      </c>
      <c r="G184" s="1883">
        <v>73084.540000000008</v>
      </c>
      <c r="H184" s="1883">
        <v>75149.930000000008</v>
      </c>
      <c r="I184" s="1883">
        <v>77215.320000000007</v>
      </c>
      <c r="J184" s="1883">
        <v>79280.710000000006</v>
      </c>
      <c r="K184" s="1883">
        <v>81346.100000000006</v>
      </c>
      <c r="L184" s="1883">
        <v>83411.490000000005</v>
      </c>
      <c r="M184" s="1883">
        <v>85476.88</v>
      </c>
      <c r="N184" s="1883">
        <v>87688.11</v>
      </c>
      <c r="O184" s="184">
        <f t="shared" si="17"/>
        <v>75161.148461538454</v>
      </c>
      <c r="P184" s="97"/>
    </row>
    <row r="185" spans="1:16">
      <c r="A185" s="97" t="s">
        <v>578</v>
      </c>
      <c r="B185" s="1883">
        <v>1563704.94</v>
      </c>
      <c r="C185" s="1883">
        <v>1577569.26</v>
      </c>
      <c r="D185" s="1883">
        <v>1591433.58</v>
      </c>
      <c r="E185" s="1883">
        <v>1605297.9</v>
      </c>
      <c r="F185" s="1883">
        <v>1619162.22</v>
      </c>
      <c r="G185" s="1883">
        <v>1633026.54</v>
      </c>
      <c r="H185" s="1883">
        <v>1646890.8599999999</v>
      </c>
      <c r="I185" s="1883">
        <v>1660755.1800000002</v>
      </c>
      <c r="J185" s="1883">
        <v>1674619.5</v>
      </c>
      <c r="K185" s="1883">
        <v>1688483.82</v>
      </c>
      <c r="L185" s="1883">
        <v>1702348.1400000001</v>
      </c>
      <c r="M185" s="1883">
        <v>1716212.46</v>
      </c>
      <c r="N185" s="1883">
        <v>1730076.78</v>
      </c>
      <c r="O185" s="184">
        <f t="shared" si="17"/>
        <v>1646890.8599999999</v>
      </c>
      <c r="P185" s="97"/>
    </row>
    <row r="186" spans="1:16">
      <c r="A186" s="97" t="s">
        <v>1426</v>
      </c>
      <c r="B186" s="1883">
        <v>3435908.3</v>
      </c>
      <c r="C186" s="1883">
        <v>3386243.79</v>
      </c>
      <c r="D186" s="1883">
        <v>3558705.44</v>
      </c>
      <c r="E186" s="1883">
        <v>3692841.15</v>
      </c>
      <c r="F186" s="1883">
        <v>3868925.24</v>
      </c>
      <c r="G186" s="1883">
        <v>4047542.89</v>
      </c>
      <c r="H186" s="1883">
        <v>4229084.6399999997</v>
      </c>
      <c r="I186" s="1883">
        <v>4413093.01</v>
      </c>
      <c r="J186" s="1883">
        <v>4613917.97</v>
      </c>
      <c r="K186" s="1883">
        <v>4825665.6500000004</v>
      </c>
      <c r="L186" s="1883">
        <v>5031697.1500000004</v>
      </c>
      <c r="M186" s="1883">
        <v>5241654.29</v>
      </c>
      <c r="N186" s="1883">
        <v>5459197.6200000001</v>
      </c>
      <c r="O186" s="184">
        <f t="shared" si="17"/>
        <v>4292652.0876923073</v>
      </c>
      <c r="P186" s="97"/>
    </row>
    <row r="187" spans="1:16">
      <c r="A187" s="97" t="s">
        <v>1427</v>
      </c>
      <c r="B187" s="1883">
        <v>42809880.950000003</v>
      </c>
      <c r="C187" s="1883">
        <v>43214430.780000001</v>
      </c>
      <c r="D187" s="1883">
        <v>43515875.690000005</v>
      </c>
      <c r="E187" s="1883">
        <v>43755751.420000002</v>
      </c>
      <c r="F187" s="1883">
        <v>43947965.859999999</v>
      </c>
      <c r="G187" s="1883">
        <v>44338010.990000002</v>
      </c>
      <c r="H187" s="1883">
        <v>44686288.789999999</v>
      </c>
      <c r="I187" s="1883">
        <v>45091817.690000005</v>
      </c>
      <c r="J187" s="1883">
        <v>45499760.609999999</v>
      </c>
      <c r="K187" s="1883">
        <v>45909676.160000004</v>
      </c>
      <c r="L187" s="1883">
        <v>46317647.270000003</v>
      </c>
      <c r="M187" s="1883">
        <v>46680136.950000003</v>
      </c>
      <c r="N187" s="1883">
        <v>47065878.970000006</v>
      </c>
      <c r="O187" s="184">
        <f t="shared" si="17"/>
        <v>44833317.086923085</v>
      </c>
      <c r="P187" s="97"/>
    </row>
    <row r="188" spans="1:16">
      <c r="A188" s="97" t="s">
        <v>1317</v>
      </c>
      <c r="B188" s="1883">
        <v>1417230.6600000001</v>
      </c>
      <c r="C188" s="1883">
        <v>1436365.81</v>
      </c>
      <c r="D188" s="1883">
        <v>1455500.96</v>
      </c>
      <c r="E188" s="1883">
        <v>1474636.1099999999</v>
      </c>
      <c r="F188" s="1883">
        <v>1493771.26</v>
      </c>
      <c r="G188" s="1883">
        <v>1512906.4100000001</v>
      </c>
      <c r="H188" s="1883">
        <v>1532041.56</v>
      </c>
      <c r="I188" s="1883">
        <v>1551176.71</v>
      </c>
      <c r="J188" s="1883">
        <v>1568907.97</v>
      </c>
      <c r="K188" s="1883">
        <v>1588040.85</v>
      </c>
      <c r="L188" s="1883">
        <v>1607173.73</v>
      </c>
      <c r="M188" s="1883">
        <v>1626306.6099999999</v>
      </c>
      <c r="N188" s="1883">
        <v>1645439.49</v>
      </c>
      <c r="O188" s="184">
        <f t="shared" si="17"/>
        <v>1531499.856153846</v>
      </c>
      <c r="P188" s="97"/>
    </row>
    <row r="189" spans="1:16">
      <c r="A189" s="97" t="s">
        <v>1318</v>
      </c>
      <c r="B189" s="1883">
        <v>184232.68</v>
      </c>
      <c r="C189" s="1883">
        <v>184787.37</v>
      </c>
      <c r="D189" s="1883">
        <v>185342.06</v>
      </c>
      <c r="E189" s="1883">
        <v>185896.75</v>
      </c>
      <c r="F189" s="1883">
        <v>186451.44</v>
      </c>
      <c r="G189" s="1883">
        <v>187006.13</v>
      </c>
      <c r="H189" s="1883">
        <v>187560.82</v>
      </c>
      <c r="I189" s="1883">
        <v>188115.51</v>
      </c>
      <c r="J189" s="1883">
        <v>188670.2</v>
      </c>
      <c r="K189" s="1883">
        <v>189224.89</v>
      </c>
      <c r="L189" s="1883">
        <v>189779.58000000002</v>
      </c>
      <c r="M189" s="1883">
        <v>190334.27</v>
      </c>
      <c r="N189" s="1883">
        <v>190888.95999999999</v>
      </c>
      <c r="O189" s="184">
        <f t="shared" si="17"/>
        <v>187560.82</v>
      </c>
      <c r="P189" s="97"/>
    </row>
    <row r="190" spans="1:16">
      <c r="A190" s="97" t="s">
        <v>582</v>
      </c>
      <c r="B190" s="1883">
        <v>5774067.5600000005</v>
      </c>
      <c r="C190" s="1883">
        <v>5796399.9100000001</v>
      </c>
      <c r="D190" s="1883">
        <v>5818732.2599999998</v>
      </c>
      <c r="E190" s="1883">
        <v>5841064.6100000003</v>
      </c>
      <c r="F190" s="1883">
        <v>5863396.96</v>
      </c>
      <c r="G190" s="1883">
        <v>5885729.3100000005</v>
      </c>
      <c r="H190" s="1883">
        <v>5908061.6600000001</v>
      </c>
      <c r="I190" s="1883">
        <v>5930394.0099999998</v>
      </c>
      <c r="J190" s="1883">
        <v>5952726.3600000003</v>
      </c>
      <c r="K190" s="1883">
        <v>5975058.71</v>
      </c>
      <c r="L190" s="1883">
        <v>5997391.0600000005</v>
      </c>
      <c r="M190" s="1883">
        <v>6019723.4100000001</v>
      </c>
      <c r="N190" s="1883">
        <v>6042055.7599999998</v>
      </c>
      <c r="O190" s="184">
        <f t="shared" si="17"/>
        <v>5908061.6600000001</v>
      </c>
      <c r="P190" s="97"/>
    </row>
    <row r="191" spans="1:16">
      <c r="A191" s="97" t="s">
        <v>1319</v>
      </c>
      <c r="B191" s="1883">
        <v>59554.700000000004</v>
      </c>
      <c r="C191" s="1883">
        <v>60056.81</v>
      </c>
      <c r="D191" s="1883">
        <v>60558.92</v>
      </c>
      <c r="E191" s="1883">
        <v>61061.03</v>
      </c>
      <c r="F191" s="1883">
        <v>61563.14</v>
      </c>
      <c r="G191" s="1883">
        <v>62065.25</v>
      </c>
      <c r="H191" s="1883">
        <v>62567.360000000001</v>
      </c>
      <c r="I191" s="1883">
        <v>63069.47</v>
      </c>
      <c r="J191" s="1883">
        <v>63571.58</v>
      </c>
      <c r="K191" s="1883">
        <v>64073.69</v>
      </c>
      <c r="L191" s="1883">
        <v>64575.8</v>
      </c>
      <c r="M191" s="1883">
        <v>65077.91</v>
      </c>
      <c r="N191" s="1883">
        <v>65580.02</v>
      </c>
      <c r="O191" s="184">
        <f t="shared" si="17"/>
        <v>62567.360000000001</v>
      </c>
      <c r="P191" s="97"/>
    </row>
    <row r="192" spans="1:16">
      <c r="A192" s="97" t="s">
        <v>583</v>
      </c>
      <c r="B192" s="1883">
        <v>1839834.94</v>
      </c>
      <c r="C192" s="1883">
        <v>1849330.46</v>
      </c>
      <c r="D192" s="1883">
        <v>1858825.98</v>
      </c>
      <c r="E192" s="1883">
        <v>1868321.5</v>
      </c>
      <c r="F192" s="1883">
        <v>1877817.02</v>
      </c>
      <c r="G192" s="1883">
        <v>1887312.54</v>
      </c>
      <c r="H192" s="1883">
        <v>1896808.06</v>
      </c>
      <c r="I192" s="1883">
        <v>1906303.58</v>
      </c>
      <c r="J192" s="1883">
        <v>1915799.1</v>
      </c>
      <c r="K192" s="1883">
        <v>1925294.62</v>
      </c>
      <c r="L192" s="1883">
        <v>1934790.1400000001</v>
      </c>
      <c r="M192" s="1883">
        <v>1944285.6600000001</v>
      </c>
      <c r="N192" s="1883">
        <v>1953781.1800000002</v>
      </c>
      <c r="O192" s="184">
        <f t="shared" si="17"/>
        <v>1896808.0600000003</v>
      </c>
      <c r="P192" s="97"/>
    </row>
    <row r="193" spans="1:16">
      <c r="A193" s="97" t="s">
        <v>584</v>
      </c>
      <c r="B193" s="1883">
        <v>21761643.920000002</v>
      </c>
      <c r="C193" s="1883">
        <v>21854542.890000001</v>
      </c>
      <c r="D193" s="1883">
        <v>21947441.859999999</v>
      </c>
      <c r="E193" s="1883">
        <v>22040340.829999998</v>
      </c>
      <c r="F193" s="1883">
        <v>22133239.800000001</v>
      </c>
      <c r="G193" s="1883">
        <v>22226138.77</v>
      </c>
      <c r="H193" s="1883">
        <v>22319037.739999998</v>
      </c>
      <c r="I193" s="1883">
        <v>22411936.710000001</v>
      </c>
      <c r="J193" s="1883">
        <v>22504835.68</v>
      </c>
      <c r="K193" s="1883">
        <v>22597734.649999999</v>
      </c>
      <c r="L193" s="1883">
        <v>22690633.620000001</v>
      </c>
      <c r="M193" s="1883">
        <v>22783532.59</v>
      </c>
      <c r="N193" s="1883">
        <v>22876431.559999999</v>
      </c>
      <c r="O193" s="184">
        <f t="shared" si="17"/>
        <v>22319037.740000002</v>
      </c>
      <c r="P193" s="97"/>
    </row>
    <row r="194" spans="1:16">
      <c r="A194" s="97" t="s">
        <v>495</v>
      </c>
      <c r="B194" s="1883">
        <v>972261.92</v>
      </c>
      <c r="C194" s="1883">
        <v>1016859.06</v>
      </c>
      <c r="D194" s="1883">
        <v>1061372.18</v>
      </c>
      <c r="E194" s="1883">
        <v>1105871.8799999999</v>
      </c>
      <c r="F194" s="1883">
        <v>1150601.1100000001</v>
      </c>
      <c r="G194" s="1883">
        <v>1195360.43</v>
      </c>
      <c r="H194" s="1883">
        <v>1240203.54</v>
      </c>
      <c r="I194" s="1883">
        <v>1285793.1499999999</v>
      </c>
      <c r="J194" s="1883">
        <v>1331717.3799999999</v>
      </c>
      <c r="K194" s="1883">
        <v>1384143.75</v>
      </c>
      <c r="L194" s="1883">
        <v>1441936.1400000001</v>
      </c>
      <c r="M194" s="1883">
        <v>1496830.29</v>
      </c>
      <c r="N194" s="1883">
        <v>1551530.33</v>
      </c>
      <c r="O194" s="184">
        <f t="shared" si="17"/>
        <v>1248806.2430769228</v>
      </c>
      <c r="P194" s="97"/>
    </row>
    <row r="195" spans="1:16">
      <c r="A195" s="97" t="s">
        <v>1320</v>
      </c>
      <c r="B195" s="1883">
        <v>779192.71</v>
      </c>
      <c r="C195" s="1883">
        <v>793572.82000000007</v>
      </c>
      <c r="D195" s="1883">
        <v>807952.93</v>
      </c>
      <c r="E195" s="1883">
        <v>822333.04</v>
      </c>
      <c r="F195" s="1883">
        <v>836713.15</v>
      </c>
      <c r="G195" s="1883">
        <v>851093.26</v>
      </c>
      <c r="H195" s="1883">
        <v>865473.37</v>
      </c>
      <c r="I195" s="1883">
        <v>879853.48</v>
      </c>
      <c r="J195" s="1883">
        <v>894233.59</v>
      </c>
      <c r="K195" s="1883">
        <v>908613.70000000007</v>
      </c>
      <c r="L195" s="1883">
        <v>922993.81</v>
      </c>
      <c r="M195" s="1883">
        <v>937373.92</v>
      </c>
      <c r="N195" s="1883">
        <v>951754.03</v>
      </c>
      <c r="O195" s="184">
        <f t="shared" si="17"/>
        <v>865473.36999999988</v>
      </c>
      <c r="P195" s="97"/>
    </row>
    <row r="196" spans="1:16">
      <c r="A196" s="97" t="s">
        <v>1321</v>
      </c>
      <c r="B196" s="1883">
        <v>640286.82999999996</v>
      </c>
      <c r="C196" s="1883">
        <v>641898.66</v>
      </c>
      <c r="D196" s="1883">
        <v>643510.49</v>
      </c>
      <c r="E196" s="1883">
        <v>645122.32000000007</v>
      </c>
      <c r="F196" s="1883">
        <v>646734.15</v>
      </c>
      <c r="G196" s="1883">
        <v>648345.98</v>
      </c>
      <c r="H196" s="1883">
        <v>649957.81000000006</v>
      </c>
      <c r="I196" s="1883">
        <v>651569.64</v>
      </c>
      <c r="J196" s="1883">
        <v>653181.47</v>
      </c>
      <c r="K196" s="1883">
        <v>654793.30000000005</v>
      </c>
      <c r="L196" s="1883">
        <v>656405.13</v>
      </c>
      <c r="M196" s="1883">
        <v>658016.96</v>
      </c>
      <c r="N196" s="1883">
        <v>659628.79</v>
      </c>
      <c r="O196" s="184">
        <f t="shared" si="17"/>
        <v>649957.80999999994</v>
      </c>
      <c r="P196" s="97"/>
    </row>
    <row r="197" spans="1:16">
      <c r="A197" s="97" t="s">
        <v>585</v>
      </c>
      <c r="B197" s="1883">
        <v>66211941.080000006</v>
      </c>
      <c r="C197" s="1883">
        <v>66509014.850000001</v>
      </c>
      <c r="D197" s="1883">
        <v>66701689.920000002</v>
      </c>
      <c r="E197" s="1883">
        <v>66982624.18</v>
      </c>
      <c r="F197" s="1883">
        <v>67277091.780000001</v>
      </c>
      <c r="G197" s="1883">
        <v>67573899.00999999</v>
      </c>
      <c r="H197" s="1883">
        <v>67882373.670000002</v>
      </c>
      <c r="I197" s="1883">
        <v>68252012.539999992</v>
      </c>
      <c r="J197" s="1883">
        <v>68515122.039999992</v>
      </c>
      <c r="K197" s="1883">
        <v>68813295.839999989</v>
      </c>
      <c r="L197" s="1883">
        <v>69125099.390000001</v>
      </c>
      <c r="M197" s="1883">
        <v>69420295.089999989</v>
      </c>
      <c r="N197" s="1883">
        <v>69717496.829999998</v>
      </c>
      <c r="O197" s="184">
        <f t="shared" si="17"/>
        <v>67921688.940000013</v>
      </c>
      <c r="P197" s="97"/>
    </row>
    <row r="198" spans="1:16">
      <c r="A198" s="97" t="s">
        <v>638</v>
      </c>
      <c r="B198" s="1883">
        <v>363591.94</v>
      </c>
      <c r="C198" s="1883">
        <v>364911.35999999999</v>
      </c>
      <c r="D198" s="1883">
        <v>366230.78</v>
      </c>
      <c r="E198" s="1883">
        <v>367550.2</v>
      </c>
      <c r="F198" s="1883">
        <v>368869.62</v>
      </c>
      <c r="G198" s="1883">
        <v>370189.04</v>
      </c>
      <c r="H198" s="1883">
        <v>371508.46</v>
      </c>
      <c r="I198" s="1883">
        <v>372827.88</v>
      </c>
      <c r="J198" s="1883">
        <v>374147.3</v>
      </c>
      <c r="K198" s="1883">
        <v>375466.72000000003</v>
      </c>
      <c r="L198" s="1883">
        <v>376786.14</v>
      </c>
      <c r="M198" s="1883">
        <v>378105.56</v>
      </c>
      <c r="N198" s="1883">
        <v>379424.98</v>
      </c>
      <c r="O198" s="184">
        <f t="shared" si="17"/>
        <v>371508.46</v>
      </c>
      <c r="P198" s="97"/>
    </row>
    <row r="199" spans="1:16">
      <c r="A199" s="97" t="s">
        <v>639</v>
      </c>
      <c r="B199" s="1883">
        <v>2607771.31</v>
      </c>
      <c r="C199" s="1883">
        <v>2616398.85</v>
      </c>
      <c r="D199" s="1883">
        <v>2625026.39</v>
      </c>
      <c r="E199" s="1883">
        <v>2633653.9300000002</v>
      </c>
      <c r="F199" s="1883">
        <v>2642281.4699999997</v>
      </c>
      <c r="G199" s="1883">
        <v>2650909.0099999998</v>
      </c>
      <c r="H199" s="1883">
        <v>2659536.5499999998</v>
      </c>
      <c r="I199" s="1883">
        <v>2668164.09</v>
      </c>
      <c r="J199" s="1883">
        <v>2676791.63</v>
      </c>
      <c r="K199" s="1883">
        <v>2515857.46</v>
      </c>
      <c r="L199" s="1883">
        <v>2524485</v>
      </c>
      <c r="M199" s="1883">
        <v>2533112.54</v>
      </c>
      <c r="N199" s="1883">
        <v>2541740.08</v>
      </c>
      <c r="O199" s="184">
        <f t="shared" si="17"/>
        <v>2607363.7161538457</v>
      </c>
      <c r="P199" s="97"/>
    </row>
    <row r="200" spans="1:16">
      <c r="A200" s="97" t="s">
        <v>640</v>
      </c>
      <c r="B200" s="1881">
        <v>70947.13</v>
      </c>
      <c r="C200" s="1881">
        <v>71971.22</v>
      </c>
      <c r="D200" s="1881">
        <v>72995.31</v>
      </c>
      <c r="E200" s="1881">
        <v>74019.400000000009</v>
      </c>
      <c r="F200" s="1881">
        <v>75043.490000000005</v>
      </c>
      <c r="G200" s="1881">
        <v>76067.58</v>
      </c>
      <c r="H200" s="1881">
        <v>77091.67</v>
      </c>
      <c r="I200" s="1881">
        <v>78115.759999999995</v>
      </c>
      <c r="J200" s="1881">
        <v>79139.850000000006</v>
      </c>
      <c r="K200" s="1881">
        <v>80163.94</v>
      </c>
      <c r="L200" s="1881">
        <v>81188.03</v>
      </c>
      <c r="M200" s="1881">
        <v>82212.12</v>
      </c>
      <c r="N200" s="1881">
        <v>83236.210000000006</v>
      </c>
      <c r="O200" s="184">
        <f t="shared" si="17"/>
        <v>77091.669999999984</v>
      </c>
      <c r="P200" s="97"/>
    </row>
    <row r="201" spans="1:16">
      <c r="A201" s="97" t="s">
        <v>644</v>
      </c>
      <c r="B201" s="1881">
        <v>266275.81</v>
      </c>
      <c r="C201" s="1881">
        <v>267748.36</v>
      </c>
      <c r="D201" s="1881">
        <v>269220.91000000003</v>
      </c>
      <c r="E201" s="1881">
        <v>270693.46000000002</v>
      </c>
      <c r="F201" s="1881">
        <v>272166.01</v>
      </c>
      <c r="G201" s="1881">
        <v>273638.56</v>
      </c>
      <c r="H201" s="1881">
        <v>275111.11</v>
      </c>
      <c r="I201" s="1881">
        <v>276583.66000000003</v>
      </c>
      <c r="J201" s="1881">
        <v>278056.21000000002</v>
      </c>
      <c r="K201" s="1881">
        <v>279528.76</v>
      </c>
      <c r="L201" s="1881">
        <v>281001.31</v>
      </c>
      <c r="M201" s="1881">
        <v>282473.86</v>
      </c>
      <c r="N201" s="1881">
        <v>283946.41000000003</v>
      </c>
      <c r="O201" s="184">
        <f t="shared" si="17"/>
        <v>275111.11000000004</v>
      </c>
      <c r="P201" s="97"/>
    </row>
    <row r="202" spans="1:16">
      <c r="A202" s="97" t="s">
        <v>645</v>
      </c>
      <c r="B202" s="1881">
        <v>1210473.24</v>
      </c>
      <c r="C202" s="1881">
        <v>4988.57</v>
      </c>
      <c r="D202" s="1881">
        <v>14965.73</v>
      </c>
      <c r="E202" s="1881">
        <v>24942.880000000001</v>
      </c>
      <c r="F202" s="1881">
        <v>34920.06</v>
      </c>
      <c r="G202" s="1881">
        <v>44897.200000000004</v>
      </c>
      <c r="H202" s="1881">
        <v>54874.33</v>
      </c>
      <c r="I202" s="1881">
        <v>64851.5</v>
      </c>
      <c r="J202" s="1881">
        <v>74828.63</v>
      </c>
      <c r="K202" s="1881">
        <v>84805.759999999995</v>
      </c>
      <c r="L202" s="1881">
        <v>94782.92</v>
      </c>
      <c r="M202" s="1881">
        <v>104760.05</v>
      </c>
      <c r="N202" s="1881">
        <v>114628.45</v>
      </c>
      <c r="O202" s="184">
        <f t="shared" si="17"/>
        <v>148363.02461538461</v>
      </c>
      <c r="P202" s="97"/>
    </row>
    <row r="203" spans="1:16">
      <c r="A203" s="1364" t="s">
        <v>1419</v>
      </c>
      <c r="B203" s="1886">
        <f t="shared" ref="B203:N203" si="18">SUM(B167:B202)</f>
        <v>280013835.41000003</v>
      </c>
      <c r="C203" s="1886">
        <f t="shared" si="18"/>
        <v>279855883.17000008</v>
      </c>
      <c r="D203" s="1886">
        <f t="shared" si="18"/>
        <v>287386861.09000003</v>
      </c>
      <c r="E203" s="1886">
        <f t="shared" si="18"/>
        <v>288264803.31999993</v>
      </c>
      <c r="F203" s="1886">
        <f t="shared" si="18"/>
        <v>289839265.07000011</v>
      </c>
      <c r="G203" s="1886">
        <f t="shared" si="18"/>
        <v>291549185.41999996</v>
      </c>
      <c r="H203" s="1886">
        <f t="shared" si="18"/>
        <v>293302698.80000001</v>
      </c>
      <c r="I203" s="1886">
        <f t="shared" si="18"/>
        <v>295182020.25999999</v>
      </c>
      <c r="J203" s="1886">
        <f t="shared" si="18"/>
        <v>296975127.72000003</v>
      </c>
      <c r="K203" s="1886">
        <f t="shared" si="18"/>
        <v>298679440.14999998</v>
      </c>
      <c r="L203" s="1886">
        <f t="shared" si="18"/>
        <v>300558213.13999999</v>
      </c>
      <c r="M203" s="1886">
        <f t="shared" si="18"/>
        <v>302312705.84000003</v>
      </c>
      <c r="N203" s="1886">
        <f t="shared" si="18"/>
        <v>306698174.77000004</v>
      </c>
      <c r="O203" s="851">
        <f t="shared" si="17"/>
        <v>293124478.0123077</v>
      </c>
      <c r="P203" s="97"/>
    </row>
    <row r="204" spans="1:16">
      <c r="O204" s="645"/>
      <c r="P204" s="97"/>
    </row>
    <row r="205" spans="1:16">
      <c r="A205" s="97"/>
      <c r="B205" s="1881"/>
      <c r="C205" s="1881"/>
      <c r="D205" s="1881"/>
      <c r="E205" s="1881"/>
      <c r="F205" s="1881"/>
      <c r="G205" s="1881"/>
      <c r="H205" s="1881"/>
      <c r="I205" s="1881"/>
      <c r="J205" s="1881"/>
      <c r="K205" s="1881"/>
      <c r="L205" s="1881"/>
      <c r="M205" s="1881"/>
      <c r="N205" s="1881"/>
      <c r="O205" s="2"/>
      <c r="P205" s="97"/>
    </row>
    <row r="206" spans="1:16">
      <c r="A206" s="97" t="s">
        <v>556</v>
      </c>
      <c r="B206" s="1881">
        <v>479548.97000000003</v>
      </c>
      <c r="C206" s="1881">
        <v>480629.28</v>
      </c>
      <c r="D206" s="1881">
        <v>481709.59</v>
      </c>
      <c r="E206" s="1881">
        <v>482789.9</v>
      </c>
      <c r="F206" s="1881">
        <v>483870.21</v>
      </c>
      <c r="G206" s="1881">
        <v>484950.52</v>
      </c>
      <c r="H206" s="1881">
        <v>486030.83</v>
      </c>
      <c r="I206" s="1881">
        <v>487111.14</v>
      </c>
      <c r="J206" s="1881">
        <v>488191.45</v>
      </c>
      <c r="K206" s="1881">
        <v>489271.76</v>
      </c>
      <c r="L206" s="1881">
        <v>490352.07</v>
      </c>
      <c r="M206" s="1881">
        <v>491432.38</v>
      </c>
      <c r="N206" s="1881">
        <v>492512.69</v>
      </c>
      <c r="O206" s="1810">
        <f t="shared" ref="O206:O224" si="19">AVERAGE(B206:N206)</f>
        <v>486030.83000000007</v>
      </c>
      <c r="P206" s="97"/>
    </row>
    <row r="207" spans="1:16">
      <c r="A207" s="97" t="s">
        <v>557</v>
      </c>
      <c r="B207" s="1881">
        <v>741826.18</v>
      </c>
      <c r="C207" s="1881">
        <v>743522.13</v>
      </c>
      <c r="D207" s="1881">
        <v>745218.08</v>
      </c>
      <c r="E207" s="1881">
        <v>746914.03</v>
      </c>
      <c r="F207" s="1881">
        <v>748609.98</v>
      </c>
      <c r="G207" s="1881">
        <v>750305.93</v>
      </c>
      <c r="H207" s="1881">
        <v>752001.88</v>
      </c>
      <c r="I207" s="1881">
        <v>753697.83</v>
      </c>
      <c r="J207" s="1881">
        <v>755393.78</v>
      </c>
      <c r="K207" s="1881">
        <v>757089.73</v>
      </c>
      <c r="L207" s="1881">
        <v>758785.68</v>
      </c>
      <c r="M207" s="1881">
        <v>760481.63</v>
      </c>
      <c r="N207" s="1881">
        <v>762177.58</v>
      </c>
      <c r="O207" s="1810">
        <f t="shared" si="19"/>
        <v>752001.88000000012</v>
      </c>
      <c r="P207" s="97"/>
    </row>
    <row r="208" spans="1:16">
      <c r="A208" s="97" t="s">
        <v>561</v>
      </c>
      <c r="B208" s="1881">
        <v>335491.47000000003</v>
      </c>
      <c r="C208" s="1881">
        <v>336183.88</v>
      </c>
      <c r="D208" s="1881">
        <v>336876.29</v>
      </c>
      <c r="E208" s="1881">
        <v>337568.7</v>
      </c>
      <c r="F208" s="1881">
        <v>338261.11</v>
      </c>
      <c r="G208" s="1881">
        <v>338953.52</v>
      </c>
      <c r="H208" s="1881">
        <v>339645.93</v>
      </c>
      <c r="I208" s="1881">
        <v>340338.34</v>
      </c>
      <c r="J208" s="1881">
        <v>341030.75</v>
      </c>
      <c r="K208" s="1881">
        <v>341723.16000000003</v>
      </c>
      <c r="L208" s="1881">
        <v>342415.57</v>
      </c>
      <c r="M208" s="1881">
        <v>343107.98</v>
      </c>
      <c r="N208" s="1881">
        <v>343800.39</v>
      </c>
      <c r="O208" s="1810">
        <f t="shared" si="19"/>
        <v>339645.93</v>
      </c>
      <c r="P208" s="97"/>
    </row>
    <row r="209" spans="1:16">
      <c r="A209" s="97" t="s">
        <v>1420</v>
      </c>
      <c r="B209" s="1881">
        <v>10513228.4</v>
      </c>
      <c r="C209" s="1881">
        <v>10625586.529999999</v>
      </c>
      <c r="D209" s="1881">
        <v>10659686.4</v>
      </c>
      <c r="E209" s="1881">
        <v>10693620.710000001</v>
      </c>
      <c r="F209" s="1881">
        <v>10727609.02</v>
      </c>
      <c r="G209" s="1881">
        <v>10761660.880000001</v>
      </c>
      <c r="H209" s="1881">
        <v>10795773.220000001</v>
      </c>
      <c r="I209" s="1881">
        <v>10829959.6</v>
      </c>
      <c r="J209" s="1881">
        <v>10864232.43</v>
      </c>
      <c r="K209" s="1881">
        <v>10898634.939999999</v>
      </c>
      <c r="L209" s="1881">
        <v>10933453.449999999</v>
      </c>
      <c r="M209" s="1881">
        <v>10968685.939999999</v>
      </c>
      <c r="N209" s="1881">
        <v>10896472.5</v>
      </c>
      <c r="O209" s="1810">
        <f t="shared" si="19"/>
        <v>10782200.309230767</v>
      </c>
      <c r="P209" s="97"/>
    </row>
    <row r="210" spans="1:16">
      <c r="A210" s="97" t="s">
        <v>571</v>
      </c>
      <c r="B210" s="1881">
        <v>10339702.93</v>
      </c>
      <c r="C210" s="1881">
        <v>10359862.050000001</v>
      </c>
      <c r="D210" s="1881">
        <v>10380021.17</v>
      </c>
      <c r="E210" s="1881">
        <v>10400180.289999999</v>
      </c>
      <c r="F210" s="1881">
        <v>10420339.41</v>
      </c>
      <c r="G210" s="1881">
        <v>10440498.529999999</v>
      </c>
      <c r="H210" s="1881">
        <v>10460657.65</v>
      </c>
      <c r="I210" s="1881">
        <v>10480816.77</v>
      </c>
      <c r="J210" s="1881">
        <v>10500975.890000001</v>
      </c>
      <c r="K210" s="1881">
        <v>10521135.01</v>
      </c>
      <c r="L210" s="1881">
        <v>10541294.130000001</v>
      </c>
      <c r="M210" s="1881">
        <v>10561453.25</v>
      </c>
      <c r="N210" s="1881">
        <v>10581612.369999999</v>
      </c>
      <c r="O210" s="1810">
        <f t="shared" si="19"/>
        <v>10460657.649999999</v>
      </c>
      <c r="P210" s="97"/>
    </row>
    <row r="211" spans="1:16">
      <c r="A211" s="97" t="s">
        <v>572</v>
      </c>
      <c r="B211" s="1881">
        <v>14449660.17</v>
      </c>
      <c r="C211" s="1881">
        <v>14478313.449999999</v>
      </c>
      <c r="D211" s="1881">
        <v>14506966.73</v>
      </c>
      <c r="E211" s="1881">
        <v>14535620.01</v>
      </c>
      <c r="F211" s="1881">
        <v>14564273.289999999</v>
      </c>
      <c r="G211" s="1881">
        <v>14592926.57</v>
      </c>
      <c r="H211" s="1881">
        <v>14621579.85</v>
      </c>
      <c r="I211" s="1881">
        <v>14650233.130000001</v>
      </c>
      <c r="J211" s="1881">
        <v>14678886.41</v>
      </c>
      <c r="K211" s="1881">
        <v>14707539.689999999</v>
      </c>
      <c r="L211" s="1881">
        <v>14736192.970000001</v>
      </c>
      <c r="M211" s="1881">
        <v>14764846.25</v>
      </c>
      <c r="N211" s="1881">
        <v>14793499.529999999</v>
      </c>
      <c r="O211" s="1810">
        <f t="shared" si="19"/>
        <v>14621579.849999998</v>
      </c>
      <c r="P211" s="97"/>
    </row>
    <row r="212" spans="1:16">
      <c r="A212" s="97" t="s">
        <v>580</v>
      </c>
      <c r="B212" s="1881">
        <v>10291464.880000001</v>
      </c>
      <c r="C212" s="1881">
        <v>10314153.949999999</v>
      </c>
      <c r="D212" s="1881">
        <v>10336843.02</v>
      </c>
      <c r="E212" s="1881">
        <v>10359532.09</v>
      </c>
      <c r="F212" s="1881">
        <v>10382221.16</v>
      </c>
      <c r="G212" s="1881">
        <v>10404910.23</v>
      </c>
      <c r="H212" s="1881">
        <v>10427599.300000001</v>
      </c>
      <c r="I212" s="1881">
        <v>10450288.369999999</v>
      </c>
      <c r="J212" s="1881">
        <v>10472977.439999999</v>
      </c>
      <c r="K212" s="1881">
        <v>10495666.51</v>
      </c>
      <c r="L212" s="1881">
        <v>10518355.58</v>
      </c>
      <c r="M212" s="1881">
        <v>10541044.65</v>
      </c>
      <c r="N212" s="1881">
        <v>10563733.720000001</v>
      </c>
      <c r="O212" s="1810">
        <f t="shared" si="19"/>
        <v>10427599.300000001</v>
      </c>
      <c r="P212" s="97"/>
    </row>
    <row r="213" spans="1:16">
      <c r="A213" s="97" t="s">
        <v>581</v>
      </c>
      <c r="B213" s="1881">
        <v>15461240.82</v>
      </c>
      <c r="C213" s="1881">
        <v>15495936.75</v>
      </c>
      <c r="D213" s="1881">
        <v>15530632.68</v>
      </c>
      <c r="E213" s="1881">
        <v>15565328.609999999</v>
      </c>
      <c r="F213" s="1881">
        <v>15600024.539999999</v>
      </c>
      <c r="G213" s="1881">
        <v>15634720.470000001</v>
      </c>
      <c r="H213" s="1881">
        <v>15669416.4</v>
      </c>
      <c r="I213" s="1881">
        <v>15704112.33</v>
      </c>
      <c r="J213" s="1881">
        <v>15738808.26</v>
      </c>
      <c r="K213" s="1881">
        <v>15773504.189999999</v>
      </c>
      <c r="L213" s="1881">
        <v>15808200.119999999</v>
      </c>
      <c r="M213" s="1881">
        <v>15842896.050000001</v>
      </c>
      <c r="N213" s="1881">
        <v>15877591.98</v>
      </c>
      <c r="O213" s="1810">
        <f t="shared" si="19"/>
        <v>15669416.400000002</v>
      </c>
      <c r="P213" s="97"/>
    </row>
    <row r="214" spans="1:16">
      <c r="A214" s="97" t="s">
        <v>642</v>
      </c>
      <c r="B214" s="1881">
        <v>76551.3</v>
      </c>
      <c r="C214" s="1881">
        <v>76687.11</v>
      </c>
      <c r="D214" s="1881">
        <v>76822.92</v>
      </c>
      <c r="E214" s="1881">
        <v>76958.73</v>
      </c>
      <c r="F214" s="1881">
        <v>77094.540000000008</v>
      </c>
      <c r="G214" s="1881">
        <v>77230.350000000006</v>
      </c>
      <c r="H214" s="1881">
        <v>77366.16</v>
      </c>
      <c r="I214" s="1881">
        <v>77501.97</v>
      </c>
      <c r="J214" s="1881">
        <v>77637.78</v>
      </c>
      <c r="K214" s="1881">
        <v>77773.59</v>
      </c>
      <c r="L214" s="1881">
        <v>77909.400000000009</v>
      </c>
      <c r="M214" s="1881">
        <v>78045.210000000006</v>
      </c>
      <c r="N214" s="1881">
        <v>78181.02</v>
      </c>
      <c r="O214" s="1810">
        <f t="shared" si="19"/>
        <v>77366.16</v>
      </c>
      <c r="P214" s="97"/>
    </row>
    <row r="215" spans="1:16">
      <c r="A215" s="97" t="s">
        <v>643</v>
      </c>
      <c r="B215" s="1881">
        <v>220209.66</v>
      </c>
      <c r="C215" s="1881">
        <v>220604.61000000002</v>
      </c>
      <c r="D215" s="1881">
        <v>220999.56</v>
      </c>
      <c r="E215" s="1881">
        <v>221394.51</v>
      </c>
      <c r="F215" s="1881">
        <v>221789.46</v>
      </c>
      <c r="G215" s="1881">
        <v>222184.41</v>
      </c>
      <c r="H215" s="1881">
        <v>222579.36000000002</v>
      </c>
      <c r="I215" s="1881">
        <v>222974.31</v>
      </c>
      <c r="J215" s="1881">
        <v>223369.26</v>
      </c>
      <c r="K215" s="1881">
        <v>223764.21</v>
      </c>
      <c r="L215" s="1881">
        <v>224159.16</v>
      </c>
      <c r="M215" s="1881">
        <v>224554.11000000002</v>
      </c>
      <c r="N215" s="1881">
        <v>224949.06</v>
      </c>
      <c r="O215" s="1810">
        <f t="shared" si="19"/>
        <v>222579.36000000002</v>
      </c>
      <c r="P215" s="97"/>
    </row>
    <row r="216" spans="1:16">
      <c r="A216" s="1364" t="s">
        <v>1344</v>
      </c>
      <c r="B216" s="1882">
        <f>SUM(B206:B215)</f>
        <v>62908924.779999994</v>
      </c>
      <c r="C216" s="1882">
        <f t="shared" ref="C216:N216" si="20">SUM(C206:C215)</f>
        <v>63131479.739999995</v>
      </c>
      <c r="D216" s="1882">
        <f t="shared" si="20"/>
        <v>63275776.440000005</v>
      </c>
      <c r="E216" s="1882">
        <f t="shared" si="20"/>
        <v>63419907.579999998</v>
      </c>
      <c r="F216" s="1882">
        <f t="shared" si="20"/>
        <v>63564092.719999991</v>
      </c>
      <c r="G216" s="1882">
        <f t="shared" si="20"/>
        <v>63708341.410000004</v>
      </c>
      <c r="H216" s="1882">
        <f t="shared" si="20"/>
        <v>63852650.579999991</v>
      </c>
      <c r="I216" s="1882">
        <f t="shared" si="20"/>
        <v>63997033.789999999</v>
      </c>
      <c r="J216" s="1882">
        <f t="shared" si="20"/>
        <v>64141503.449999996</v>
      </c>
      <c r="K216" s="1882">
        <f t="shared" si="20"/>
        <v>64286102.789999999</v>
      </c>
      <c r="L216" s="1882">
        <f t="shared" si="20"/>
        <v>64431118.129999988</v>
      </c>
      <c r="M216" s="1882">
        <f t="shared" si="20"/>
        <v>64576547.449999996</v>
      </c>
      <c r="N216" s="1882">
        <f t="shared" si="20"/>
        <v>64614530.840000011</v>
      </c>
      <c r="O216" s="851">
        <f t="shared" si="19"/>
        <v>63839077.669230774</v>
      </c>
      <c r="P216" s="97"/>
    </row>
    <row r="217" spans="1:16">
      <c r="A217" s="97"/>
      <c r="B217" s="1881"/>
      <c r="C217" s="1881"/>
      <c r="D217" s="1881"/>
      <c r="E217" s="1881"/>
      <c r="F217" s="1881"/>
      <c r="G217" s="1881"/>
      <c r="H217" s="1881"/>
      <c r="I217" s="1881"/>
      <c r="J217" s="1881"/>
      <c r="K217" s="1881"/>
      <c r="L217" s="1881"/>
      <c r="M217" s="1881"/>
      <c r="N217" s="1881"/>
    </row>
    <row r="218" spans="1:16">
      <c r="A218" s="97"/>
      <c r="B218" s="1881"/>
      <c r="C218" s="1881"/>
      <c r="D218" s="1881"/>
      <c r="E218" s="1881"/>
      <c r="F218" s="1881"/>
      <c r="G218" s="1881"/>
      <c r="H218" s="1881"/>
      <c r="I218" s="1881"/>
      <c r="J218" s="1881"/>
      <c r="K218" s="1881"/>
      <c r="L218" s="1881"/>
      <c r="M218" s="1881"/>
      <c r="N218" s="1881"/>
      <c r="O218" s="1810"/>
    </row>
    <row r="219" spans="1:16">
      <c r="A219" s="97" t="s">
        <v>560</v>
      </c>
      <c r="B219" s="1881">
        <v>511610.15</v>
      </c>
      <c r="C219" s="1881">
        <v>513418.19</v>
      </c>
      <c r="D219" s="1881">
        <v>515226.23000000004</v>
      </c>
      <c r="E219" s="1881">
        <v>517034.27</v>
      </c>
      <c r="F219" s="1881">
        <v>518842.31</v>
      </c>
      <c r="G219" s="1881">
        <v>520650.35000000003</v>
      </c>
      <c r="H219" s="1881">
        <v>522458.39</v>
      </c>
      <c r="I219" s="1881">
        <v>524266.43</v>
      </c>
      <c r="J219" s="1881">
        <v>526074.47</v>
      </c>
      <c r="K219" s="1881">
        <v>527882.51</v>
      </c>
      <c r="L219" s="1881">
        <v>529690.55000000005</v>
      </c>
      <c r="M219" s="1881">
        <v>531498.59</v>
      </c>
      <c r="N219" s="1881">
        <v>533306.63</v>
      </c>
      <c r="O219" s="1810">
        <f t="shared" si="19"/>
        <v>522458.38999999996</v>
      </c>
    </row>
    <row r="220" spans="1:16">
      <c r="A220" s="97" t="s">
        <v>564</v>
      </c>
      <c r="B220" s="1881">
        <v>16263998.9</v>
      </c>
      <c r="C220" s="1881">
        <v>16332149.390000001</v>
      </c>
      <c r="D220" s="1881">
        <v>16400299.880000001</v>
      </c>
      <c r="E220" s="1881">
        <v>16468450.369999999</v>
      </c>
      <c r="F220" s="1881">
        <v>16536600.859999999</v>
      </c>
      <c r="G220" s="1881">
        <v>16604751.35</v>
      </c>
      <c r="H220" s="1881">
        <v>16672901.84</v>
      </c>
      <c r="I220" s="1881">
        <v>16741052.33</v>
      </c>
      <c r="J220" s="1881">
        <v>16809202.82</v>
      </c>
      <c r="K220" s="1881">
        <v>16877353.309999999</v>
      </c>
      <c r="L220" s="1881">
        <v>16945503.800000001</v>
      </c>
      <c r="M220" s="1881">
        <v>17013654.289999999</v>
      </c>
      <c r="N220" s="1881">
        <v>17081804.780000001</v>
      </c>
      <c r="O220" s="1810">
        <f t="shared" si="19"/>
        <v>16672901.840000002</v>
      </c>
    </row>
    <row r="221" spans="1:16">
      <c r="A221" s="97" t="s">
        <v>570</v>
      </c>
      <c r="B221" s="1881">
        <v>9227587.2200000007</v>
      </c>
      <c r="C221" s="1881">
        <v>9259291.3499999996</v>
      </c>
      <c r="D221" s="1881">
        <v>9290995.4800000004</v>
      </c>
      <c r="E221" s="1881">
        <v>9322699.6099999994</v>
      </c>
      <c r="F221" s="1881">
        <v>9354403.7400000002</v>
      </c>
      <c r="G221" s="1881">
        <v>9386107.8699999992</v>
      </c>
      <c r="H221" s="1881">
        <v>9417812</v>
      </c>
      <c r="I221" s="1881">
        <v>9449516.1300000008</v>
      </c>
      <c r="J221" s="1881">
        <v>9481220.2599999998</v>
      </c>
      <c r="K221" s="1881">
        <v>9512924.3900000006</v>
      </c>
      <c r="L221" s="1881">
        <v>9544628.5199999996</v>
      </c>
      <c r="M221" s="1881">
        <v>9576332.6500000004</v>
      </c>
      <c r="N221" s="1881">
        <v>9608036.7799999993</v>
      </c>
      <c r="O221" s="1810">
        <f t="shared" si="19"/>
        <v>9417812</v>
      </c>
    </row>
    <row r="222" spans="1:16">
      <c r="A222" s="97" t="s">
        <v>576</v>
      </c>
      <c r="B222" s="1881">
        <v>103955.39</v>
      </c>
      <c r="C222" s="1881">
        <v>104469.3</v>
      </c>
      <c r="D222" s="1881">
        <v>104983.21</v>
      </c>
      <c r="E222" s="1881">
        <v>105497.12</v>
      </c>
      <c r="F222" s="1881">
        <v>106011.03</v>
      </c>
      <c r="G222" s="1881">
        <v>106524.94</v>
      </c>
      <c r="H222" s="1881">
        <v>107038.85</v>
      </c>
      <c r="I222" s="1881">
        <v>107552.76000000001</v>
      </c>
      <c r="J222" s="1881">
        <v>108066.67</v>
      </c>
      <c r="K222" s="1881">
        <v>108580.58</v>
      </c>
      <c r="L222" s="1881">
        <v>109094.49</v>
      </c>
      <c r="M222" s="1881">
        <v>109608.40000000001</v>
      </c>
      <c r="N222" s="1881">
        <v>110122.31</v>
      </c>
      <c r="O222" s="1810">
        <f t="shared" si="19"/>
        <v>107038.85</v>
      </c>
    </row>
    <row r="223" spans="1:16">
      <c r="A223" s="97" t="s">
        <v>579</v>
      </c>
      <c r="B223" s="1881">
        <v>12639248.92</v>
      </c>
      <c r="C223" s="1881">
        <v>12680817.119999999</v>
      </c>
      <c r="D223" s="1881">
        <v>12722385.32</v>
      </c>
      <c r="E223" s="1881">
        <v>12763953.52</v>
      </c>
      <c r="F223" s="1881">
        <v>12805521.720000001</v>
      </c>
      <c r="G223" s="1881">
        <v>12847089.92</v>
      </c>
      <c r="H223" s="1881">
        <v>12888658.119999999</v>
      </c>
      <c r="I223" s="1881">
        <v>12930226.32</v>
      </c>
      <c r="J223" s="1881">
        <v>12971794.52</v>
      </c>
      <c r="K223" s="1881">
        <v>13013362.720000001</v>
      </c>
      <c r="L223" s="1881">
        <v>13054930.92</v>
      </c>
      <c r="M223" s="1881">
        <v>13096499.119999999</v>
      </c>
      <c r="N223" s="1881">
        <v>13138067.32</v>
      </c>
      <c r="O223" s="1810">
        <f t="shared" si="19"/>
        <v>12888658.120000001</v>
      </c>
    </row>
    <row r="224" spans="1:16">
      <c r="A224" s="97" t="s">
        <v>641</v>
      </c>
      <c r="B224" s="1881">
        <v>14989.220000000001</v>
      </c>
      <c r="C224" s="1881">
        <v>15078.42</v>
      </c>
      <c r="D224" s="1881">
        <v>15167.62</v>
      </c>
      <c r="E224" s="1881">
        <v>15256.82</v>
      </c>
      <c r="F224" s="1881">
        <v>15346.02</v>
      </c>
      <c r="G224" s="1881">
        <v>15435.220000000001</v>
      </c>
      <c r="H224" s="1881">
        <v>15524.42</v>
      </c>
      <c r="I224" s="1881">
        <v>15613.62</v>
      </c>
      <c r="J224" s="1881">
        <v>15702.82</v>
      </c>
      <c r="K224" s="1881">
        <v>15792.02</v>
      </c>
      <c r="L224" s="1881">
        <v>15881.220000000001</v>
      </c>
      <c r="M224" s="1881">
        <v>15970.42</v>
      </c>
      <c r="N224" s="1881">
        <v>16059.62</v>
      </c>
      <c r="O224" s="1810">
        <f t="shared" si="19"/>
        <v>15524.42</v>
      </c>
    </row>
    <row r="225" spans="1:15">
      <c r="A225" s="1364" t="s">
        <v>1361</v>
      </c>
      <c r="B225" s="851">
        <f>SUM(B219:B224)</f>
        <v>38761389.800000004</v>
      </c>
      <c r="C225" s="851">
        <f t="shared" ref="C225:O225" si="21">SUM(C219:C224)</f>
        <v>38905223.770000003</v>
      </c>
      <c r="D225" s="851">
        <f t="shared" si="21"/>
        <v>39049057.740000002</v>
      </c>
      <c r="E225" s="851">
        <f t="shared" si="21"/>
        <v>39192891.710000001</v>
      </c>
      <c r="F225" s="851">
        <f t="shared" si="21"/>
        <v>39336725.68</v>
      </c>
      <c r="G225" s="851">
        <f t="shared" si="21"/>
        <v>39480559.649999999</v>
      </c>
      <c r="H225" s="851">
        <f t="shared" si="21"/>
        <v>39624393.620000005</v>
      </c>
      <c r="I225" s="851">
        <f t="shared" si="21"/>
        <v>39768227.589999996</v>
      </c>
      <c r="J225" s="851">
        <f t="shared" si="21"/>
        <v>39912061.559999995</v>
      </c>
      <c r="K225" s="851">
        <f t="shared" si="21"/>
        <v>40055895.530000001</v>
      </c>
      <c r="L225" s="851">
        <f t="shared" si="21"/>
        <v>40199729.5</v>
      </c>
      <c r="M225" s="851">
        <f t="shared" si="21"/>
        <v>40343563.469999999</v>
      </c>
      <c r="N225" s="851">
        <f t="shared" si="21"/>
        <v>40487397.43999999</v>
      </c>
      <c r="O225" s="851">
        <f t="shared" si="21"/>
        <v>39624393.620000005</v>
      </c>
    </row>
    <row r="226" spans="1:15">
      <c r="A226" s="2"/>
      <c r="B226" s="2"/>
      <c r="C226" s="2"/>
      <c r="D226" s="2"/>
      <c r="E226" s="2"/>
      <c r="F226" s="2"/>
      <c r="G226" s="2"/>
      <c r="H226" s="2"/>
      <c r="I226" s="2"/>
      <c r="J226" s="2"/>
      <c r="K226" s="2"/>
      <c r="L226" s="2"/>
      <c r="M226" s="2"/>
      <c r="N226" s="2"/>
    </row>
    <row r="227" spans="1:15">
      <c r="A227" s="2"/>
      <c r="B227" s="2"/>
      <c r="C227" s="2"/>
      <c r="D227" s="2"/>
      <c r="E227" s="2"/>
      <c r="F227" s="2"/>
      <c r="G227" s="2"/>
      <c r="H227" s="2"/>
      <c r="I227" s="2"/>
      <c r="J227" s="2"/>
      <c r="K227" s="2"/>
      <c r="L227" s="2"/>
      <c r="M227" s="2"/>
      <c r="N227" s="2"/>
    </row>
    <row r="228" spans="1:15">
      <c r="A228" s="97" t="s">
        <v>1157</v>
      </c>
      <c r="B228" s="1883">
        <v>6960.66</v>
      </c>
      <c r="C228" s="1883">
        <v>7013.8600000000006</v>
      </c>
      <c r="D228" s="1883">
        <v>7067.06</v>
      </c>
      <c r="E228" s="1883">
        <v>7120.26</v>
      </c>
      <c r="F228" s="1883">
        <v>7173.46</v>
      </c>
      <c r="G228" s="1883">
        <v>7226.66</v>
      </c>
      <c r="H228" s="1883">
        <v>7279.8600000000006</v>
      </c>
      <c r="I228" s="1883">
        <v>7333.06</v>
      </c>
      <c r="J228" s="1883">
        <v>7386.26</v>
      </c>
      <c r="K228" s="1883">
        <v>7439.46</v>
      </c>
      <c r="L228" s="1883">
        <v>7492.66</v>
      </c>
      <c r="M228" s="1883">
        <v>7545.8600000000006</v>
      </c>
      <c r="N228" s="1883">
        <v>7599.06</v>
      </c>
      <c r="O228" s="1810">
        <f t="shared" ref="O228:O259" si="22">AVERAGE(B228:N228)</f>
        <v>7279.8600000000006</v>
      </c>
    </row>
    <row r="229" spans="1:15">
      <c r="A229" s="97" t="s">
        <v>1158</v>
      </c>
      <c r="B229" s="1883">
        <v>25622.45</v>
      </c>
      <c r="C229" s="1883">
        <v>25831.98</v>
      </c>
      <c r="D229" s="1883">
        <v>26041.510000000002</v>
      </c>
      <c r="E229" s="1883">
        <v>26251.040000000001</v>
      </c>
      <c r="F229" s="1883">
        <v>26460.57</v>
      </c>
      <c r="G229" s="1883">
        <v>26670.100000000002</v>
      </c>
      <c r="H229" s="1883">
        <v>26879.63</v>
      </c>
      <c r="I229" s="1883">
        <v>27089.16</v>
      </c>
      <c r="J229" s="1883">
        <v>27298.690000000002</v>
      </c>
      <c r="K229" s="1883">
        <v>27508.22</v>
      </c>
      <c r="L229" s="1883">
        <v>27717.75</v>
      </c>
      <c r="M229" s="1883">
        <v>27927.279999999999</v>
      </c>
      <c r="N229" s="1883">
        <v>28136.81</v>
      </c>
      <c r="O229" s="1810">
        <f t="shared" si="22"/>
        <v>26879.63</v>
      </c>
    </row>
    <row r="230" spans="1:15">
      <c r="A230" s="97" t="s">
        <v>1159</v>
      </c>
      <c r="B230" s="1883">
        <v>788.6</v>
      </c>
      <c r="C230" s="1883">
        <v>790.4</v>
      </c>
      <c r="D230" s="1883">
        <v>792.2</v>
      </c>
      <c r="E230" s="1883">
        <v>794</v>
      </c>
      <c r="F230" s="1883">
        <v>795.80000000000007</v>
      </c>
      <c r="G230" s="1883">
        <v>797.6</v>
      </c>
      <c r="H230" s="1883">
        <v>799.4</v>
      </c>
      <c r="I230" s="1883">
        <v>801.2</v>
      </c>
      <c r="J230" s="1883">
        <v>803</v>
      </c>
      <c r="K230" s="1883">
        <v>804.80000000000007</v>
      </c>
      <c r="L230" s="1883">
        <v>806.6</v>
      </c>
      <c r="M230" s="1883">
        <v>808.4</v>
      </c>
      <c r="N230" s="1883">
        <v>810.2</v>
      </c>
      <c r="O230" s="1810">
        <f t="shared" si="22"/>
        <v>799.40000000000009</v>
      </c>
    </row>
    <row r="231" spans="1:15">
      <c r="A231" s="97" t="s">
        <v>1160</v>
      </c>
      <c r="B231" s="1883">
        <v>673.80000000000007</v>
      </c>
      <c r="C231" s="1883">
        <v>684.83</v>
      </c>
      <c r="D231" s="1883">
        <v>695.86</v>
      </c>
      <c r="E231" s="1883">
        <v>706.89</v>
      </c>
      <c r="F231" s="1883">
        <v>717.92</v>
      </c>
      <c r="G231" s="1883">
        <v>728.95</v>
      </c>
      <c r="H231" s="1883">
        <v>739.98</v>
      </c>
      <c r="I231" s="1883">
        <v>751.01</v>
      </c>
      <c r="J231" s="1883">
        <v>762.04</v>
      </c>
      <c r="K231" s="1883">
        <v>773.07</v>
      </c>
      <c r="L231" s="1883">
        <v>784.1</v>
      </c>
      <c r="M231" s="1883">
        <v>795.13</v>
      </c>
      <c r="N231" s="1883">
        <v>806.16</v>
      </c>
      <c r="O231" s="1810">
        <f t="shared" si="22"/>
        <v>739.98</v>
      </c>
    </row>
    <row r="232" spans="1:15">
      <c r="A232" s="97" t="s">
        <v>1345</v>
      </c>
      <c r="B232" s="1883">
        <v>25704.260000000002</v>
      </c>
      <c r="C232" s="1883">
        <v>25764.61</v>
      </c>
      <c r="D232" s="1883">
        <v>25824.959999999999</v>
      </c>
      <c r="E232" s="1883">
        <v>25885.31</v>
      </c>
      <c r="F232" s="1883">
        <v>25945.66</v>
      </c>
      <c r="G232" s="1883">
        <v>26006.010000000002</v>
      </c>
      <c r="H232" s="1883">
        <v>26066.36</v>
      </c>
      <c r="I232" s="1883">
        <v>26126.71</v>
      </c>
      <c r="J232" s="1883">
        <v>26187.06</v>
      </c>
      <c r="K232" s="1883">
        <v>26247.41</v>
      </c>
      <c r="L232" s="1883">
        <v>26307.760000000002</v>
      </c>
      <c r="M232" s="1883">
        <v>26368.11</v>
      </c>
      <c r="N232" s="1883">
        <v>26428.46</v>
      </c>
      <c r="O232" s="1810">
        <f t="shared" si="22"/>
        <v>26066.36</v>
      </c>
    </row>
    <row r="233" spans="1:15">
      <c r="A233" s="97" t="s">
        <v>1266</v>
      </c>
      <c r="B233" s="1883">
        <v>128045.65000000001</v>
      </c>
      <c r="C233" s="1883">
        <v>133995.91</v>
      </c>
      <c r="D233" s="1883">
        <v>139946.17000000001</v>
      </c>
      <c r="E233" s="1883">
        <v>145896.43</v>
      </c>
      <c r="F233" s="1883">
        <v>151846.69</v>
      </c>
      <c r="G233" s="1883">
        <v>157796.95000000001</v>
      </c>
      <c r="H233" s="1883">
        <v>163747.21</v>
      </c>
      <c r="I233" s="1883">
        <v>169697.47</v>
      </c>
      <c r="J233" s="1883">
        <v>175647.73</v>
      </c>
      <c r="K233" s="1883">
        <v>181597.99</v>
      </c>
      <c r="L233" s="1883">
        <v>187548.25</v>
      </c>
      <c r="M233" s="1883">
        <v>193498.51</v>
      </c>
      <c r="N233" s="1883">
        <v>199448.77000000002</v>
      </c>
      <c r="O233" s="1810">
        <f t="shared" si="22"/>
        <v>163747.20999999996</v>
      </c>
    </row>
    <row r="234" spans="1:15">
      <c r="A234" s="97" t="s">
        <v>1161</v>
      </c>
      <c r="B234" s="1883">
        <v>25808.170000000002</v>
      </c>
      <c r="C234" s="1883">
        <v>26165.200000000001</v>
      </c>
      <c r="D234" s="1883">
        <v>26522.23</v>
      </c>
      <c r="E234" s="1883">
        <v>26879.260000000002</v>
      </c>
      <c r="F234" s="1883">
        <v>27236.29</v>
      </c>
      <c r="G234" s="1883">
        <v>27593.32</v>
      </c>
      <c r="H234" s="1883">
        <v>27950.350000000002</v>
      </c>
      <c r="I234" s="1883">
        <v>28307.38</v>
      </c>
      <c r="J234" s="1883">
        <v>28664.41</v>
      </c>
      <c r="K234" s="1883">
        <v>29021.440000000002</v>
      </c>
      <c r="L234" s="1883">
        <v>29378.47</v>
      </c>
      <c r="M234" s="1883">
        <v>29735.5</v>
      </c>
      <c r="N234" s="1883">
        <v>30092.53</v>
      </c>
      <c r="O234" s="1810">
        <f t="shared" si="22"/>
        <v>27950.350000000002</v>
      </c>
    </row>
    <row r="235" spans="1:15">
      <c r="A235" s="97" t="s">
        <v>1162</v>
      </c>
      <c r="B235" s="1883">
        <v>60196.17</v>
      </c>
      <c r="C235" s="1883">
        <v>60315.590000000004</v>
      </c>
      <c r="D235" s="1883">
        <v>60435.01</v>
      </c>
      <c r="E235" s="1883">
        <v>60554.43</v>
      </c>
      <c r="F235" s="1883">
        <v>60673.85</v>
      </c>
      <c r="G235" s="1883">
        <v>60793.270000000004</v>
      </c>
      <c r="H235" s="1883">
        <v>60912.69</v>
      </c>
      <c r="I235" s="1883">
        <v>61032.11</v>
      </c>
      <c r="J235" s="1883">
        <v>61151.53</v>
      </c>
      <c r="K235" s="1883">
        <v>61270.950000000004</v>
      </c>
      <c r="L235" s="1883">
        <v>61390.37</v>
      </c>
      <c r="M235" s="1883">
        <v>61509.79</v>
      </c>
      <c r="N235" s="1883">
        <v>61629.21</v>
      </c>
      <c r="O235" s="1810">
        <f t="shared" si="22"/>
        <v>60912.689999999995</v>
      </c>
    </row>
    <row r="236" spans="1:15">
      <c r="A236" s="97" t="s">
        <v>1163</v>
      </c>
      <c r="B236" s="1883">
        <v>187984.79</v>
      </c>
      <c r="C236" s="1883">
        <v>188650.07</v>
      </c>
      <c r="D236" s="1883">
        <v>189315.35</v>
      </c>
      <c r="E236" s="1883">
        <v>189980.63</v>
      </c>
      <c r="F236" s="1883">
        <v>190645.91</v>
      </c>
      <c r="G236" s="1883">
        <v>191311.19</v>
      </c>
      <c r="H236" s="1883">
        <v>191976.47</v>
      </c>
      <c r="I236" s="1883">
        <v>192641.75</v>
      </c>
      <c r="J236" s="1883">
        <v>193307.03</v>
      </c>
      <c r="K236" s="1883">
        <v>193972.31</v>
      </c>
      <c r="L236" s="1883">
        <v>194637.59</v>
      </c>
      <c r="M236" s="1883">
        <v>195302.87</v>
      </c>
      <c r="N236" s="1883">
        <v>195968.15</v>
      </c>
      <c r="O236" s="1810">
        <f t="shared" si="22"/>
        <v>191976.47</v>
      </c>
    </row>
    <row r="237" spans="1:15">
      <c r="A237" s="97" t="s">
        <v>1164</v>
      </c>
      <c r="B237" s="1883">
        <v>76654.070000000007</v>
      </c>
      <c r="C237" s="1883">
        <v>76890.64</v>
      </c>
      <c r="D237" s="1883">
        <v>77127.210000000006</v>
      </c>
      <c r="E237" s="1883">
        <v>77363.78</v>
      </c>
      <c r="F237" s="1883">
        <v>77600.350000000006</v>
      </c>
      <c r="G237" s="1883">
        <v>77836.92</v>
      </c>
      <c r="H237" s="1883">
        <v>78073.490000000005</v>
      </c>
      <c r="I237" s="1883">
        <v>78310.06</v>
      </c>
      <c r="J237" s="1883">
        <v>78546.63</v>
      </c>
      <c r="K237" s="1883">
        <v>78783.199999999997</v>
      </c>
      <c r="L237" s="1883">
        <v>79019.77</v>
      </c>
      <c r="M237" s="1883">
        <v>79256.34</v>
      </c>
      <c r="N237" s="1883">
        <v>79492.91</v>
      </c>
      <c r="O237" s="1810">
        <f t="shared" si="22"/>
        <v>78073.490000000005</v>
      </c>
    </row>
    <row r="238" spans="1:15">
      <c r="A238" s="97" t="s">
        <v>1165</v>
      </c>
      <c r="B238" s="1883">
        <v>70874.19</v>
      </c>
      <c r="C238" s="1883">
        <v>71094.73</v>
      </c>
      <c r="D238" s="1883">
        <v>71315.27</v>
      </c>
      <c r="E238" s="1883">
        <v>71535.81</v>
      </c>
      <c r="F238" s="1883">
        <v>71756.350000000006</v>
      </c>
      <c r="G238" s="1883">
        <v>71976.89</v>
      </c>
      <c r="H238" s="1883">
        <v>72197.430000000008</v>
      </c>
      <c r="I238" s="1883">
        <v>72417.97</v>
      </c>
      <c r="J238" s="1883">
        <v>72638.509999999995</v>
      </c>
      <c r="K238" s="1883">
        <v>72859.05</v>
      </c>
      <c r="L238" s="1883">
        <v>73079.59</v>
      </c>
      <c r="M238" s="1883">
        <v>73300.13</v>
      </c>
      <c r="N238" s="1883">
        <v>73520.67</v>
      </c>
      <c r="O238" s="1810">
        <f t="shared" si="22"/>
        <v>72197.430000000008</v>
      </c>
    </row>
    <row r="239" spans="1:15">
      <c r="A239" s="97" t="s">
        <v>1166</v>
      </c>
      <c r="B239" s="1883">
        <v>69787.75</v>
      </c>
      <c r="C239" s="1883">
        <v>69971.650000000009</v>
      </c>
      <c r="D239" s="1883">
        <v>70155.55</v>
      </c>
      <c r="E239" s="1883">
        <v>70339.45</v>
      </c>
      <c r="F239" s="1883">
        <v>70523.350000000006</v>
      </c>
      <c r="G239" s="1883">
        <v>70707.25</v>
      </c>
      <c r="H239" s="1883">
        <v>70891.150000000009</v>
      </c>
      <c r="I239" s="1883">
        <v>71075.05</v>
      </c>
      <c r="J239" s="1883">
        <v>71258.95</v>
      </c>
      <c r="K239" s="1883">
        <v>71442.850000000006</v>
      </c>
      <c r="L239" s="1883">
        <v>71626.75</v>
      </c>
      <c r="M239" s="1883">
        <v>71810.650000000009</v>
      </c>
      <c r="N239" s="1883">
        <v>71994.55</v>
      </c>
      <c r="O239" s="1810">
        <f t="shared" si="22"/>
        <v>70891.150000000009</v>
      </c>
    </row>
    <row r="240" spans="1:15">
      <c r="A240" s="97" t="s">
        <v>1167</v>
      </c>
      <c r="B240" s="1883">
        <v>4436959.55</v>
      </c>
      <c r="C240" s="1883">
        <v>4445846.01</v>
      </c>
      <c r="D240" s="1883">
        <v>4454732.47</v>
      </c>
      <c r="E240" s="1883">
        <v>4463618.93</v>
      </c>
      <c r="F240" s="1883">
        <v>4472505.3899999997</v>
      </c>
      <c r="G240" s="1883">
        <v>4481391.8499999996</v>
      </c>
      <c r="H240" s="1883">
        <v>4490278.3099999996</v>
      </c>
      <c r="I240" s="1883">
        <v>4499164.7699999996</v>
      </c>
      <c r="J240" s="1883">
        <v>4508051.2300000004</v>
      </c>
      <c r="K240" s="1883">
        <v>4516937.6900000004</v>
      </c>
      <c r="L240" s="1883">
        <v>4525824.1500000004</v>
      </c>
      <c r="M240" s="1883">
        <v>4534710.6100000003</v>
      </c>
      <c r="N240" s="1883">
        <v>4543597.07</v>
      </c>
      <c r="O240" s="1810">
        <f t="shared" si="22"/>
        <v>4490278.3099999987</v>
      </c>
    </row>
    <row r="241" spans="1:15">
      <c r="A241" s="97" t="s">
        <v>1186</v>
      </c>
      <c r="B241" s="1883">
        <v>3516785.2800000003</v>
      </c>
      <c r="C241" s="1883">
        <v>3523829.18</v>
      </c>
      <c r="D241" s="1883">
        <v>3530873.08</v>
      </c>
      <c r="E241" s="1883">
        <v>3537916.98</v>
      </c>
      <c r="F241" s="1883">
        <v>3544960.88</v>
      </c>
      <c r="G241" s="1883">
        <v>3552004.7800000003</v>
      </c>
      <c r="H241" s="1883">
        <v>3559048.68</v>
      </c>
      <c r="I241" s="1883">
        <v>3566092.58</v>
      </c>
      <c r="J241" s="1883">
        <v>3573136.48</v>
      </c>
      <c r="K241" s="1883">
        <v>3580180.38</v>
      </c>
      <c r="L241" s="1883">
        <v>3587224.2800000003</v>
      </c>
      <c r="M241" s="1883">
        <v>3594268.18</v>
      </c>
      <c r="N241" s="1883">
        <v>3601312.08</v>
      </c>
      <c r="O241" s="1810">
        <f t="shared" si="22"/>
        <v>3559048.68</v>
      </c>
    </row>
    <row r="242" spans="1:15">
      <c r="A242" s="97" t="s">
        <v>1168</v>
      </c>
      <c r="B242" s="1883">
        <v>1204176.72</v>
      </c>
      <c r="C242" s="1883">
        <v>1213030.06</v>
      </c>
      <c r="D242" s="1883">
        <v>1221883.3999999999</v>
      </c>
      <c r="E242" s="1883">
        <v>1230736.74</v>
      </c>
      <c r="F242" s="1883">
        <v>1239590.08</v>
      </c>
      <c r="G242" s="1883">
        <v>1248443.42</v>
      </c>
      <c r="H242" s="1883">
        <v>1257296.76</v>
      </c>
      <c r="I242" s="1883">
        <v>1266150.1000000001</v>
      </c>
      <c r="J242" s="1883">
        <v>1275003.44</v>
      </c>
      <c r="K242" s="1883">
        <v>1283856.78</v>
      </c>
      <c r="L242" s="1883">
        <v>1292710.1200000001</v>
      </c>
      <c r="M242" s="1883">
        <v>1301563.46</v>
      </c>
      <c r="N242" s="1883">
        <v>1310416.8</v>
      </c>
      <c r="O242" s="1810">
        <f t="shared" si="22"/>
        <v>1257296.76</v>
      </c>
    </row>
    <row r="243" spans="1:15">
      <c r="A243" s="97" t="s">
        <v>1169</v>
      </c>
      <c r="B243" s="1883">
        <v>320034.12</v>
      </c>
      <c r="C243" s="1883">
        <v>325268.92</v>
      </c>
      <c r="D243" s="1883">
        <v>330503.72000000003</v>
      </c>
      <c r="E243" s="1883">
        <v>335738.52</v>
      </c>
      <c r="F243" s="1883">
        <v>340973.32</v>
      </c>
      <c r="G243" s="1883">
        <v>346208.12</v>
      </c>
      <c r="H243" s="1883">
        <v>351442.92</v>
      </c>
      <c r="I243" s="1883">
        <v>356677.72000000003</v>
      </c>
      <c r="J243" s="1883">
        <v>361912.52</v>
      </c>
      <c r="K243" s="1883">
        <v>367147.32</v>
      </c>
      <c r="L243" s="1883">
        <v>372382.12</v>
      </c>
      <c r="M243" s="1883">
        <v>377616.92</v>
      </c>
      <c r="N243" s="1883">
        <v>382851.72000000003</v>
      </c>
      <c r="O243" s="1810">
        <f t="shared" si="22"/>
        <v>351442.92</v>
      </c>
    </row>
    <row r="244" spans="1:15">
      <c r="A244" s="97" t="s">
        <v>1170</v>
      </c>
      <c r="B244" s="1883">
        <v>1243526.99</v>
      </c>
      <c r="C244" s="1883">
        <v>1249334.01</v>
      </c>
      <c r="D244" s="1883">
        <v>1255141.03</v>
      </c>
      <c r="E244" s="1883">
        <v>1260948.05</v>
      </c>
      <c r="F244" s="1883">
        <v>1266755.07</v>
      </c>
      <c r="G244" s="1883">
        <v>1272562.0900000001</v>
      </c>
      <c r="H244" s="1883">
        <v>1278369.1099999999</v>
      </c>
      <c r="I244" s="1883">
        <v>1284316.73</v>
      </c>
      <c r="J244" s="1883">
        <v>1290404.94</v>
      </c>
      <c r="K244" s="1883">
        <v>1296493.1499999999</v>
      </c>
      <c r="L244" s="1883">
        <v>1302581.3599999999</v>
      </c>
      <c r="M244" s="1883">
        <v>1308720.3999999999</v>
      </c>
      <c r="N244" s="1883">
        <v>1314880.3700000001</v>
      </c>
      <c r="O244" s="1810">
        <f t="shared" si="22"/>
        <v>1278771.7923076923</v>
      </c>
    </row>
    <row r="245" spans="1:15">
      <c r="A245" s="97" t="s">
        <v>1171</v>
      </c>
      <c r="B245" s="1883">
        <v>483231.63</v>
      </c>
      <c r="C245" s="1883">
        <v>486565.9</v>
      </c>
      <c r="D245" s="1883">
        <v>489894.69</v>
      </c>
      <c r="E245" s="1883">
        <v>493223.48</v>
      </c>
      <c r="F245" s="1883">
        <v>496552.27</v>
      </c>
      <c r="G245" s="1883">
        <v>499881.06</v>
      </c>
      <c r="H245" s="1883">
        <v>503209.85000000003</v>
      </c>
      <c r="I245" s="1883">
        <v>506538.64</v>
      </c>
      <c r="J245" s="1883">
        <v>509867.43</v>
      </c>
      <c r="K245" s="1883">
        <v>513196.22000000003</v>
      </c>
      <c r="L245" s="1883">
        <v>516525.01</v>
      </c>
      <c r="M245" s="1883">
        <v>519853.8</v>
      </c>
      <c r="N245" s="1883">
        <v>523182.59</v>
      </c>
      <c r="O245" s="1810">
        <f t="shared" si="22"/>
        <v>503209.42846153839</v>
      </c>
    </row>
    <row r="246" spans="1:15">
      <c r="A246" s="97" t="s">
        <v>1172</v>
      </c>
      <c r="B246" s="1883">
        <v>67073.070000000007</v>
      </c>
      <c r="C246" s="1883">
        <v>67604.02</v>
      </c>
      <c r="D246" s="1883">
        <v>68134.97</v>
      </c>
      <c r="E246" s="1883">
        <v>68665.919999999998</v>
      </c>
      <c r="F246" s="1883">
        <v>69196.87</v>
      </c>
      <c r="G246" s="1883">
        <v>69727.820000000007</v>
      </c>
      <c r="H246" s="1883">
        <v>70258.77</v>
      </c>
      <c r="I246" s="1883">
        <v>70789.72</v>
      </c>
      <c r="J246" s="1883">
        <v>71320.67</v>
      </c>
      <c r="K246" s="1883">
        <v>71851.62</v>
      </c>
      <c r="L246" s="1883">
        <v>72382.570000000007</v>
      </c>
      <c r="M246" s="1883">
        <v>72913.52</v>
      </c>
      <c r="N246" s="1883">
        <v>73444.47</v>
      </c>
      <c r="O246" s="1810">
        <f t="shared" si="22"/>
        <v>70258.77</v>
      </c>
    </row>
    <row r="247" spans="1:15">
      <c r="A247" s="97" t="s">
        <v>1173</v>
      </c>
      <c r="B247" s="1883">
        <v>1528115.15</v>
      </c>
      <c r="C247" s="1883">
        <v>1542555.1800000002</v>
      </c>
      <c r="D247" s="1883">
        <v>1556995.21</v>
      </c>
      <c r="E247" s="1883">
        <v>1571435.24</v>
      </c>
      <c r="F247" s="1883">
        <v>1524075.27</v>
      </c>
      <c r="G247" s="1883">
        <v>1538515.3</v>
      </c>
      <c r="H247" s="1883">
        <v>1552955.33</v>
      </c>
      <c r="I247" s="1883">
        <v>1567395.3599999999</v>
      </c>
      <c r="J247" s="1883">
        <v>1581835.3900000001</v>
      </c>
      <c r="K247" s="1883">
        <v>1596275.42</v>
      </c>
      <c r="L247" s="1883">
        <v>1610715.4500000002</v>
      </c>
      <c r="M247" s="1883">
        <v>1625155.48</v>
      </c>
      <c r="N247" s="1883">
        <v>1639595.51</v>
      </c>
      <c r="O247" s="1810">
        <f t="shared" si="22"/>
        <v>1571970.7146153848</v>
      </c>
    </row>
    <row r="248" spans="1:15">
      <c r="A248" s="97" t="s">
        <v>1174</v>
      </c>
      <c r="B248" s="1883">
        <v>2027958.38</v>
      </c>
      <c r="C248" s="1883">
        <v>2042978.82</v>
      </c>
      <c r="D248" s="1883">
        <v>2057999.26</v>
      </c>
      <c r="E248" s="1883">
        <v>2073019.7</v>
      </c>
      <c r="F248" s="1883">
        <v>2088040.14</v>
      </c>
      <c r="G248" s="1883">
        <v>2103060.58</v>
      </c>
      <c r="H248" s="1883">
        <v>2118081.02</v>
      </c>
      <c r="I248" s="1883">
        <v>2133101.46</v>
      </c>
      <c r="J248" s="1883">
        <v>2148121.9</v>
      </c>
      <c r="K248" s="1883">
        <v>2163142.34</v>
      </c>
      <c r="L248" s="1883">
        <v>2178162.7799999998</v>
      </c>
      <c r="M248" s="1883">
        <v>2193183.2200000002</v>
      </c>
      <c r="N248" s="1883">
        <v>2208203.66</v>
      </c>
      <c r="O248" s="1810">
        <f t="shared" si="22"/>
        <v>2118081.02</v>
      </c>
    </row>
    <row r="249" spans="1:15">
      <c r="A249" s="97" t="s">
        <v>1346</v>
      </c>
      <c r="B249" s="1883">
        <v>14.790000000000001</v>
      </c>
      <c r="C249" s="1883">
        <v>15.56</v>
      </c>
      <c r="D249" s="1883">
        <v>16.330000000000002</v>
      </c>
      <c r="E249" s="1883">
        <v>17.100000000000001</v>
      </c>
      <c r="F249" s="1883">
        <v>17.87</v>
      </c>
      <c r="G249" s="1883">
        <v>18.64</v>
      </c>
      <c r="H249" s="1883">
        <v>19.41</v>
      </c>
      <c r="I249" s="1883">
        <v>20.18</v>
      </c>
      <c r="J249" s="1883">
        <v>20.95</v>
      </c>
      <c r="K249" s="1883">
        <v>21.72</v>
      </c>
      <c r="L249" s="1883">
        <v>22.490000000000002</v>
      </c>
      <c r="M249" s="1883">
        <v>23.26</v>
      </c>
      <c r="N249" s="1883">
        <v>24.03</v>
      </c>
      <c r="O249" s="1810">
        <f t="shared" si="22"/>
        <v>19.41</v>
      </c>
    </row>
    <row r="250" spans="1:15">
      <c r="A250" s="97" t="s">
        <v>1175</v>
      </c>
      <c r="B250" s="1883">
        <v>428398.96</v>
      </c>
      <c r="C250" s="1883">
        <v>432831.8</v>
      </c>
      <c r="D250" s="1883">
        <v>437264.64000000001</v>
      </c>
      <c r="E250" s="1883">
        <v>441697.48</v>
      </c>
      <c r="F250" s="1883">
        <v>446130.32</v>
      </c>
      <c r="G250" s="1883">
        <v>450563.16000000003</v>
      </c>
      <c r="H250" s="1883">
        <v>454996</v>
      </c>
      <c r="I250" s="1883">
        <v>459428.84</v>
      </c>
      <c r="J250" s="1883">
        <v>463861.68</v>
      </c>
      <c r="K250" s="1883">
        <v>468294.52</v>
      </c>
      <c r="L250" s="1883">
        <v>472727.36</v>
      </c>
      <c r="M250" s="1883">
        <v>477160.2</v>
      </c>
      <c r="N250" s="1883">
        <v>481593.04000000004</v>
      </c>
      <c r="O250" s="1810">
        <f t="shared" si="22"/>
        <v>454996.00000000006</v>
      </c>
    </row>
    <row r="251" spans="1:15">
      <c r="A251" s="97" t="s">
        <v>1267</v>
      </c>
      <c r="B251" s="1883">
        <v>5134079.9400000004</v>
      </c>
      <c r="C251" s="1883">
        <v>5218718.8</v>
      </c>
      <c r="D251" s="1883">
        <v>5303357.66</v>
      </c>
      <c r="E251" s="1883">
        <v>5387996.5199999996</v>
      </c>
      <c r="F251" s="1883">
        <v>5472635.3799999999</v>
      </c>
      <c r="G251" s="1883">
        <v>5557274.2400000002</v>
      </c>
      <c r="H251" s="1883">
        <v>5641913.0999999996</v>
      </c>
      <c r="I251" s="1883">
        <v>5726551.96</v>
      </c>
      <c r="J251" s="1883">
        <v>5811190.8200000003</v>
      </c>
      <c r="K251" s="1883">
        <v>5895829.6799999997</v>
      </c>
      <c r="L251" s="1883">
        <v>5980468.54</v>
      </c>
      <c r="M251" s="1883">
        <v>6065107.4000000004</v>
      </c>
      <c r="N251" s="1883">
        <v>6149746.2599999998</v>
      </c>
      <c r="O251" s="1810">
        <f t="shared" si="22"/>
        <v>5641913.1000000006</v>
      </c>
    </row>
    <row r="252" spans="1:15">
      <c r="A252" s="97" t="s">
        <v>1176</v>
      </c>
      <c r="B252" s="1883">
        <v>291818.27</v>
      </c>
      <c r="C252" s="1883">
        <v>295976.65000000002</v>
      </c>
      <c r="D252" s="1883">
        <v>300135.03000000003</v>
      </c>
      <c r="E252" s="1883">
        <v>304293.41000000003</v>
      </c>
      <c r="F252" s="1883">
        <v>308451.78999999998</v>
      </c>
      <c r="G252" s="1883">
        <v>312610.17</v>
      </c>
      <c r="H252" s="1883">
        <v>316768.55</v>
      </c>
      <c r="I252" s="1883">
        <v>320926.93</v>
      </c>
      <c r="J252" s="1883">
        <v>325085.31</v>
      </c>
      <c r="K252" s="1883">
        <v>329243.69</v>
      </c>
      <c r="L252" s="1883">
        <v>333402.07</v>
      </c>
      <c r="M252" s="1883">
        <v>337560.45</v>
      </c>
      <c r="N252" s="1883">
        <v>341718.83</v>
      </c>
      <c r="O252" s="1810">
        <f t="shared" si="22"/>
        <v>316768.55000000005</v>
      </c>
    </row>
    <row r="253" spans="1:15">
      <c r="A253" s="97" t="s">
        <v>1177</v>
      </c>
      <c r="B253" s="1883">
        <v>6886.63</v>
      </c>
      <c r="C253" s="1883">
        <v>6915.82</v>
      </c>
      <c r="D253" s="1883">
        <v>6945.01</v>
      </c>
      <c r="E253" s="1883">
        <v>6984.6900000000005</v>
      </c>
      <c r="F253" s="1883">
        <v>7034.85</v>
      </c>
      <c r="G253" s="1883">
        <v>7085.01</v>
      </c>
      <c r="H253" s="1883">
        <v>7135.17</v>
      </c>
      <c r="I253" s="1883">
        <v>7185.33</v>
      </c>
      <c r="J253" s="1883">
        <v>7235.49</v>
      </c>
      <c r="K253" s="1883">
        <v>7285.6500000000005</v>
      </c>
      <c r="L253" s="1883">
        <v>7335.81</v>
      </c>
      <c r="M253" s="1883">
        <v>7385.97</v>
      </c>
      <c r="N253" s="1883">
        <v>7436.13</v>
      </c>
      <c r="O253" s="1810">
        <f t="shared" si="22"/>
        <v>7142.4276923076923</v>
      </c>
    </row>
    <row r="254" spans="1:15">
      <c r="A254" s="97" t="s">
        <v>1178</v>
      </c>
      <c r="B254" s="1883">
        <v>21513.510000000002</v>
      </c>
      <c r="C254" s="1883">
        <v>21829.59</v>
      </c>
      <c r="D254" s="1883">
        <v>22145.670000000002</v>
      </c>
      <c r="E254" s="1883">
        <v>22461.75</v>
      </c>
      <c r="F254" s="1883">
        <v>22777.83</v>
      </c>
      <c r="G254" s="1883">
        <v>23093.91</v>
      </c>
      <c r="H254" s="1883">
        <v>23409.99</v>
      </c>
      <c r="I254" s="1883">
        <v>23726.07</v>
      </c>
      <c r="J254" s="1883">
        <v>24042.15</v>
      </c>
      <c r="K254" s="1883">
        <v>24358.23</v>
      </c>
      <c r="L254" s="1883">
        <v>24674.31</v>
      </c>
      <c r="M254" s="1883">
        <v>24990.39</v>
      </c>
      <c r="N254" s="1883">
        <v>25306.47</v>
      </c>
      <c r="O254" s="1810">
        <f t="shared" si="22"/>
        <v>23409.989999999998</v>
      </c>
    </row>
    <row r="255" spans="1:15">
      <c r="A255" s="97" t="s">
        <v>1179</v>
      </c>
      <c r="B255" s="1883">
        <v>24598.43</v>
      </c>
      <c r="C255" s="1883">
        <v>24806.18</v>
      </c>
      <c r="D255" s="1883">
        <v>25013.93</v>
      </c>
      <c r="E255" s="1883">
        <v>25221.68</v>
      </c>
      <c r="F255" s="1883">
        <v>25429.43</v>
      </c>
      <c r="G255" s="1883">
        <v>25637.18</v>
      </c>
      <c r="H255" s="1883">
        <v>25844.93</v>
      </c>
      <c r="I255" s="1883">
        <v>26052.68</v>
      </c>
      <c r="J255" s="1883">
        <v>26260.43</v>
      </c>
      <c r="K255" s="1883">
        <v>26468.18</v>
      </c>
      <c r="L255" s="1883">
        <v>26675.93</v>
      </c>
      <c r="M255" s="1883">
        <v>26883.68</v>
      </c>
      <c r="N255" s="1883">
        <v>27091.43</v>
      </c>
      <c r="O255" s="1810">
        <f t="shared" si="22"/>
        <v>25844.929999999997</v>
      </c>
    </row>
    <row r="256" spans="1:15">
      <c r="A256" s="97" t="s">
        <v>1187</v>
      </c>
      <c r="B256" s="1883">
        <v>299458.14</v>
      </c>
      <c r="C256" s="1883">
        <v>310247.67</v>
      </c>
      <c r="D256" s="1883">
        <v>321038.97000000003</v>
      </c>
      <c r="E256" s="1883">
        <v>331830.53000000003</v>
      </c>
      <c r="F256" s="1883">
        <v>342621.49</v>
      </c>
      <c r="G256" s="1883">
        <v>353411.63</v>
      </c>
      <c r="H256" s="1883">
        <v>364201.77</v>
      </c>
      <c r="I256" s="1883">
        <v>374991.91000000003</v>
      </c>
      <c r="J256" s="1883">
        <v>385782.05</v>
      </c>
      <c r="K256" s="1883">
        <v>396572.19</v>
      </c>
      <c r="L256" s="1883">
        <v>407362.33</v>
      </c>
      <c r="M256" s="1883">
        <v>418152.47000000003</v>
      </c>
      <c r="N256" s="1883">
        <v>428942.61</v>
      </c>
      <c r="O256" s="1810">
        <f t="shared" si="22"/>
        <v>364201.05846153852</v>
      </c>
    </row>
    <row r="257" spans="1:15">
      <c r="A257" s="97" t="s">
        <v>1188</v>
      </c>
      <c r="B257" s="1883">
        <v>403318.37</v>
      </c>
      <c r="C257" s="1883">
        <v>415890.99</v>
      </c>
      <c r="D257" s="1883">
        <v>428464.38</v>
      </c>
      <c r="E257" s="1883">
        <v>441037.77</v>
      </c>
      <c r="F257" s="1883">
        <v>453611.16000000003</v>
      </c>
      <c r="G257" s="1883">
        <v>466184.55</v>
      </c>
      <c r="H257" s="1883">
        <v>478757.94</v>
      </c>
      <c r="I257" s="1883">
        <v>491331.33</v>
      </c>
      <c r="J257" s="1883">
        <v>503904.72000000003</v>
      </c>
      <c r="K257" s="1883">
        <v>326478.11</v>
      </c>
      <c r="L257" s="1883">
        <v>339051.5</v>
      </c>
      <c r="M257" s="1883">
        <v>351624.89</v>
      </c>
      <c r="N257" s="1883">
        <v>364198.28</v>
      </c>
      <c r="O257" s="1810">
        <f t="shared" si="22"/>
        <v>420296.46076923079</v>
      </c>
    </row>
    <row r="258" spans="1:15">
      <c r="A258" s="97" t="s">
        <v>1180</v>
      </c>
      <c r="B258" s="1883">
        <v>-63492.73</v>
      </c>
      <c r="C258" s="1883">
        <v>-63150.21</v>
      </c>
      <c r="D258" s="1883">
        <v>-62807.69</v>
      </c>
      <c r="E258" s="1883">
        <v>-62465.17</v>
      </c>
      <c r="F258" s="1883">
        <v>-62122.65</v>
      </c>
      <c r="G258" s="1883">
        <v>-61780.130000000005</v>
      </c>
      <c r="H258" s="1883">
        <v>-61437.61</v>
      </c>
      <c r="I258" s="1883">
        <v>-61095.090000000004</v>
      </c>
      <c r="J258" s="1883">
        <v>-60752.57</v>
      </c>
      <c r="K258" s="1883">
        <v>129589.95</v>
      </c>
      <c r="L258" s="1883">
        <v>129932.47</v>
      </c>
      <c r="M258" s="1883">
        <v>130274.99</v>
      </c>
      <c r="N258" s="1883">
        <v>130617.51000000001</v>
      </c>
      <c r="O258" s="1810">
        <f t="shared" si="22"/>
        <v>-2976.0715384615332</v>
      </c>
    </row>
    <row r="259" spans="1:15">
      <c r="A259" s="97" t="s">
        <v>1181</v>
      </c>
      <c r="B259" s="1883">
        <v>130905.7</v>
      </c>
      <c r="C259" s="1883">
        <v>131311.43</v>
      </c>
      <c r="D259" s="1883">
        <v>131717.16</v>
      </c>
      <c r="E259" s="1883">
        <v>132122.89000000001</v>
      </c>
      <c r="F259" s="1883">
        <v>132528.62</v>
      </c>
      <c r="G259" s="1883">
        <v>132934.35</v>
      </c>
      <c r="H259" s="1883">
        <v>133340.08000000002</v>
      </c>
      <c r="I259" s="1883">
        <v>133745.81</v>
      </c>
      <c r="J259" s="1883">
        <v>134151.54</v>
      </c>
      <c r="K259" s="1883">
        <v>134557.26999999999</v>
      </c>
      <c r="L259" s="1883">
        <v>134963</v>
      </c>
      <c r="M259" s="1883">
        <v>135368.73000000001</v>
      </c>
      <c r="N259" s="1883">
        <v>135774.46</v>
      </c>
      <c r="O259" s="1810">
        <f t="shared" si="22"/>
        <v>133340.08000000002</v>
      </c>
    </row>
    <row r="260" spans="1:15">
      <c r="A260" s="104" t="s">
        <v>1182</v>
      </c>
      <c r="B260" s="1883">
        <v>10073</v>
      </c>
      <c r="C260" s="1883">
        <v>10115.5</v>
      </c>
      <c r="D260" s="1883">
        <v>10158</v>
      </c>
      <c r="E260" s="1883">
        <v>10200.5</v>
      </c>
      <c r="F260" s="1883">
        <v>10243</v>
      </c>
      <c r="G260" s="1883">
        <v>10285.5</v>
      </c>
      <c r="H260" s="1883">
        <v>10328</v>
      </c>
      <c r="I260" s="1883">
        <v>10370.5</v>
      </c>
      <c r="J260" s="1883">
        <v>10413</v>
      </c>
      <c r="K260" s="1883">
        <v>10455.5</v>
      </c>
      <c r="L260" s="1883">
        <v>10498</v>
      </c>
      <c r="M260" s="1883">
        <v>10540.5</v>
      </c>
      <c r="N260" s="1883">
        <v>10583</v>
      </c>
      <c r="O260" s="1810">
        <f t="shared" ref="O260:O291" si="23">AVERAGE(B260:N260)</f>
        <v>10328</v>
      </c>
    </row>
    <row r="261" spans="1:15">
      <c r="A261" s="97" t="s">
        <v>1268</v>
      </c>
      <c r="B261" s="1883">
        <v>151319.97</v>
      </c>
      <c r="C261" s="1883">
        <v>156494.11000000002</v>
      </c>
      <c r="D261" s="1883">
        <v>161668.25</v>
      </c>
      <c r="E261" s="1883">
        <v>166842.39000000001</v>
      </c>
      <c r="F261" s="1883">
        <v>172016.53</v>
      </c>
      <c r="G261" s="1883">
        <v>177190.67</v>
      </c>
      <c r="H261" s="1883">
        <v>182364.81</v>
      </c>
      <c r="I261" s="1883">
        <v>187538.95</v>
      </c>
      <c r="J261" s="1883">
        <v>192713.09</v>
      </c>
      <c r="K261" s="1883">
        <v>197887.23</v>
      </c>
      <c r="L261" s="1883">
        <v>203061.37</v>
      </c>
      <c r="M261" s="1883">
        <v>208235.51</v>
      </c>
      <c r="N261" s="1883">
        <v>213409.65</v>
      </c>
      <c r="O261" s="1810">
        <f t="shared" si="23"/>
        <v>182364.81</v>
      </c>
    </row>
    <row r="262" spans="1:15">
      <c r="A262" s="97" t="s">
        <v>1183</v>
      </c>
      <c r="B262" s="1883">
        <v>3102401.54</v>
      </c>
      <c r="C262" s="1883">
        <v>3107512.79</v>
      </c>
      <c r="D262" s="1883">
        <v>3112624.04</v>
      </c>
      <c r="E262" s="1883">
        <v>3117735.29</v>
      </c>
      <c r="F262" s="1883">
        <v>3122846.54</v>
      </c>
      <c r="G262" s="1883">
        <v>3127957.79</v>
      </c>
      <c r="H262" s="1883">
        <v>3133069.04</v>
      </c>
      <c r="I262" s="1883">
        <v>3138180.29</v>
      </c>
      <c r="J262" s="1883">
        <v>3143291.54</v>
      </c>
      <c r="K262" s="1883">
        <v>3148402.79</v>
      </c>
      <c r="L262" s="1883">
        <v>3153514.04</v>
      </c>
      <c r="M262" s="1883">
        <v>3158625.29</v>
      </c>
      <c r="N262" s="1883">
        <v>3163736.54</v>
      </c>
      <c r="O262" s="1810">
        <f t="shared" si="23"/>
        <v>3133069.0399999996</v>
      </c>
    </row>
    <row r="263" spans="1:15">
      <c r="A263" s="97" t="s">
        <v>1184</v>
      </c>
      <c r="B263" s="1883">
        <v>61343.76</v>
      </c>
      <c r="C263" s="1883">
        <v>61568.39</v>
      </c>
      <c r="D263" s="1883">
        <v>61793.020000000004</v>
      </c>
      <c r="E263" s="1883">
        <v>62017.65</v>
      </c>
      <c r="F263" s="1883">
        <v>62242.28</v>
      </c>
      <c r="G263" s="1883">
        <v>62466.91</v>
      </c>
      <c r="H263" s="1883">
        <v>62691.54</v>
      </c>
      <c r="I263" s="1883">
        <v>62916.17</v>
      </c>
      <c r="J263" s="1883">
        <v>63140.800000000003</v>
      </c>
      <c r="K263" s="1883">
        <v>63365.43</v>
      </c>
      <c r="L263" s="1883">
        <v>63590.060000000005</v>
      </c>
      <c r="M263" s="1883">
        <v>63814.69</v>
      </c>
      <c r="N263" s="1883">
        <v>64039.32</v>
      </c>
      <c r="O263" s="1810">
        <f t="shared" si="23"/>
        <v>62691.540000000008</v>
      </c>
    </row>
    <row r="264" spans="1:15">
      <c r="A264" s="97" t="s">
        <v>1185</v>
      </c>
      <c r="B264" s="1883">
        <v>6660.2</v>
      </c>
      <c r="C264" s="1883">
        <v>6681.7300000000005</v>
      </c>
      <c r="D264" s="1883">
        <v>6703.26</v>
      </c>
      <c r="E264" s="1883">
        <v>6724.79</v>
      </c>
      <c r="F264" s="1883">
        <v>6746.32</v>
      </c>
      <c r="G264" s="1883">
        <v>6767.85</v>
      </c>
      <c r="H264" s="1883">
        <v>6789.38</v>
      </c>
      <c r="I264" s="1883">
        <v>6810.91</v>
      </c>
      <c r="J264" s="1883">
        <v>6832.4400000000005</v>
      </c>
      <c r="K264" s="1883">
        <v>6853.97</v>
      </c>
      <c r="L264" s="1883">
        <v>6875.5</v>
      </c>
      <c r="M264" s="1883">
        <v>6897.03</v>
      </c>
      <c r="N264" s="1883">
        <v>6918.56</v>
      </c>
      <c r="O264" s="1810">
        <f t="shared" si="23"/>
        <v>6789.38</v>
      </c>
    </row>
    <row r="265" spans="1:15">
      <c r="A265" s="97" t="s">
        <v>0</v>
      </c>
      <c r="B265" s="1883">
        <v>441384.02</v>
      </c>
      <c r="C265" s="1883">
        <v>445825.56</v>
      </c>
      <c r="D265" s="1883">
        <v>450267.10000000003</v>
      </c>
      <c r="E265" s="1883">
        <v>454708.64</v>
      </c>
      <c r="F265" s="1883">
        <v>459150.18</v>
      </c>
      <c r="G265" s="1883">
        <v>463591.72000000003</v>
      </c>
      <c r="H265" s="1883">
        <v>468033.26</v>
      </c>
      <c r="I265" s="1883">
        <v>472474.8</v>
      </c>
      <c r="J265" s="1883">
        <v>476916.34</v>
      </c>
      <c r="K265" s="1883">
        <v>481357.88</v>
      </c>
      <c r="L265" s="1883">
        <v>485799.42</v>
      </c>
      <c r="M265" s="1883">
        <v>490240.96</v>
      </c>
      <c r="N265" s="1883">
        <v>494682.5</v>
      </c>
      <c r="O265" s="1810">
        <f t="shared" si="23"/>
        <v>468033.26</v>
      </c>
    </row>
    <row r="266" spans="1:15">
      <c r="A266" s="97" t="s">
        <v>1</v>
      </c>
      <c r="B266" s="1883">
        <v>319864.22000000003</v>
      </c>
      <c r="C266" s="1883">
        <v>324937.28000000003</v>
      </c>
      <c r="D266" s="1883">
        <v>330010.34000000003</v>
      </c>
      <c r="E266" s="1883">
        <v>335083.40000000002</v>
      </c>
      <c r="F266" s="1883">
        <v>340156.46</v>
      </c>
      <c r="G266" s="1883">
        <v>345229.52</v>
      </c>
      <c r="H266" s="1883">
        <v>350302.58</v>
      </c>
      <c r="I266" s="1883">
        <v>355375.64</v>
      </c>
      <c r="J266" s="1883">
        <v>360448.7</v>
      </c>
      <c r="K266" s="1883">
        <v>365521.76</v>
      </c>
      <c r="L266" s="1883">
        <v>370594.82</v>
      </c>
      <c r="M266" s="1883">
        <v>375667.88</v>
      </c>
      <c r="N266" s="1883">
        <v>380740.94</v>
      </c>
      <c r="O266" s="1810">
        <f t="shared" si="23"/>
        <v>350302.58</v>
      </c>
    </row>
    <row r="267" spans="1:15">
      <c r="A267" s="97" t="s">
        <v>2</v>
      </c>
      <c r="B267" s="1883">
        <v>1443892.42</v>
      </c>
      <c r="C267" s="1883">
        <v>1447385.8900000001</v>
      </c>
      <c r="D267" s="1883">
        <v>1450879.3599999999</v>
      </c>
      <c r="E267" s="1883">
        <v>1454372.83</v>
      </c>
      <c r="F267" s="1883">
        <v>1457866.3</v>
      </c>
      <c r="G267" s="1883">
        <v>1461359.77</v>
      </c>
      <c r="H267" s="1883">
        <v>1464853.24</v>
      </c>
      <c r="I267" s="1883">
        <v>1468346.71</v>
      </c>
      <c r="J267" s="1883">
        <v>1471840.18</v>
      </c>
      <c r="K267" s="1883">
        <v>1475333.65</v>
      </c>
      <c r="L267" s="1883">
        <v>1478827.12</v>
      </c>
      <c r="M267" s="1883">
        <v>1482320.59</v>
      </c>
      <c r="N267" s="1883">
        <v>1485814.06</v>
      </c>
      <c r="O267" s="1810">
        <f t="shared" si="23"/>
        <v>1464853.2399999998</v>
      </c>
    </row>
    <row r="268" spans="1:15">
      <c r="A268" s="97" t="s">
        <v>3</v>
      </c>
      <c r="B268" s="1883">
        <v>2171439.17</v>
      </c>
      <c r="C268" s="1883">
        <v>2190455.02</v>
      </c>
      <c r="D268" s="1883">
        <v>2209470.87</v>
      </c>
      <c r="E268" s="1883">
        <v>2228486.7200000002</v>
      </c>
      <c r="F268" s="1883">
        <v>2247502.5699999998</v>
      </c>
      <c r="G268" s="1883">
        <v>2266518.42</v>
      </c>
      <c r="H268" s="1883">
        <v>2285534.27</v>
      </c>
      <c r="I268" s="1883">
        <v>2304550.12</v>
      </c>
      <c r="J268" s="1883">
        <v>2323565.9700000002</v>
      </c>
      <c r="K268" s="1883">
        <v>2342581.8199999998</v>
      </c>
      <c r="L268" s="1883">
        <v>2361597.67</v>
      </c>
      <c r="M268" s="1883">
        <v>2380613.52</v>
      </c>
      <c r="N268" s="1883">
        <v>2399629.37</v>
      </c>
      <c r="O268" s="1810">
        <f t="shared" si="23"/>
        <v>2285534.27</v>
      </c>
    </row>
    <row r="269" spans="1:15">
      <c r="A269" s="97" t="s">
        <v>1431</v>
      </c>
      <c r="B269" s="1883">
        <v>1819630.54</v>
      </c>
      <c r="C269" s="1883">
        <v>1836665.03</v>
      </c>
      <c r="D269" s="1883">
        <v>1853699.52</v>
      </c>
      <c r="E269" s="1883">
        <v>1870734.01</v>
      </c>
      <c r="F269" s="1883">
        <v>1887768.5</v>
      </c>
      <c r="G269" s="1883">
        <v>1904802.99</v>
      </c>
      <c r="H269" s="1883">
        <v>1921837.48</v>
      </c>
      <c r="I269" s="1883">
        <v>1938871.97</v>
      </c>
      <c r="J269" s="1883">
        <v>1955906.46</v>
      </c>
      <c r="K269" s="1883">
        <v>1972940.9500000002</v>
      </c>
      <c r="L269" s="1883">
        <v>1989975.44</v>
      </c>
      <c r="M269" s="1883">
        <v>2007009.93</v>
      </c>
      <c r="N269" s="1883">
        <v>2024044.42</v>
      </c>
      <c r="O269" s="1810">
        <f t="shared" si="23"/>
        <v>1921837.4800000002</v>
      </c>
    </row>
    <row r="270" spans="1:15">
      <c r="A270" s="97" t="s">
        <v>4</v>
      </c>
      <c r="B270" s="1883">
        <v>902276.51</v>
      </c>
      <c r="C270" s="1883">
        <v>916856.74</v>
      </c>
      <c r="D270" s="1883">
        <v>931436.97</v>
      </c>
      <c r="E270" s="1883">
        <v>946017.20000000007</v>
      </c>
      <c r="F270" s="1883">
        <v>960597.43</v>
      </c>
      <c r="G270" s="1883">
        <v>975177.66</v>
      </c>
      <c r="H270" s="1883">
        <v>989757.89</v>
      </c>
      <c r="I270" s="1883">
        <v>1004338.12</v>
      </c>
      <c r="J270" s="1883">
        <v>1018918.35</v>
      </c>
      <c r="K270" s="1883">
        <v>1033498.58</v>
      </c>
      <c r="L270" s="1883">
        <v>1048078.81</v>
      </c>
      <c r="M270" s="1883">
        <v>1062659.04</v>
      </c>
      <c r="N270" s="1883">
        <v>1077239.27</v>
      </c>
      <c r="O270" s="1810">
        <f t="shared" si="23"/>
        <v>989757.89</v>
      </c>
    </row>
    <row r="271" spans="1:15">
      <c r="A271" s="97" t="s">
        <v>5</v>
      </c>
      <c r="B271" s="1883">
        <v>29928.22</v>
      </c>
      <c r="C271" s="1883">
        <v>30194.75</v>
      </c>
      <c r="D271" s="1883">
        <v>30461.279999999999</v>
      </c>
      <c r="E271" s="1883">
        <v>30727.81</v>
      </c>
      <c r="F271" s="1883">
        <v>30994.34</v>
      </c>
      <c r="G271" s="1883">
        <v>31260.87</v>
      </c>
      <c r="H271" s="1883">
        <v>31527.4</v>
      </c>
      <c r="I271" s="1883">
        <v>31793.93</v>
      </c>
      <c r="J271" s="1883">
        <v>32060.46</v>
      </c>
      <c r="K271" s="1883">
        <v>32326.99</v>
      </c>
      <c r="L271" s="1883">
        <v>32593.52</v>
      </c>
      <c r="M271" s="1883">
        <v>32860.050000000003</v>
      </c>
      <c r="N271" s="1883">
        <v>33126.58</v>
      </c>
      <c r="O271" s="1810">
        <f t="shared" si="23"/>
        <v>31527.4</v>
      </c>
    </row>
    <row r="272" spans="1:15">
      <c r="A272" s="97" t="s">
        <v>6</v>
      </c>
      <c r="B272" s="1883">
        <v>29373.170000000002</v>
      </c>
      <c r="C272" s="1883">
        <v>29652.66</v>
      </c>
      <c r="D272" s="1883">
        <v>29932.15</v>
      </c>
      <c r="E272" s="1883">
        <v>30211.64</v>
      </c>
      <c r="F272" s="1883">
        <v>30491.13</v>
      </c>
      <c r="G272" s="1883">
        <v>30770.62</v>
      </c>
      <c r="H272" s="1883">
        <v>31050.11</v>
      </c>
      <c r="I272" s="1883">
        <v>31329.600000000002</v>
      </c>
      <c r="J272" s="1883">
        <v>31609.09</v>
      </c>
      <c r="K272" s="1883">
        <v>31888.58</v>
      </c>
      <c r="L272" s="1883">
        <v>32168.07</v>
      </c>
      <c r="M272" s="1883">
        <v>32447.56</v>
      </c>
      <c r="N272" s="1883">
        <v>32727.05</v>
      </c>
      <c r="O272" s="1810">
        <f t="shared" si="23"/>
        <v>31050.11</v>
      </c>
    </row>
    <row r="273" spans="1:15">
      <c r="A273" s="97" t="s">
        <v>1189</v>
      </c>
      <c r="B273" s="1883">
        <v>29997.920000000002</v>
      </c>
      <c r="C273" s="1883">
        <v>30053.78</v>
      </c>
      <c r="D273" s="1883">
        <v>30109.64</v>
      </c>
      <c r="E273" s="1883">
        <v>30165.5</v>
      </c>
      <c r="F273" s="1883">
        <v>30221.360000000001</v>
      </c>
      <c r="G273" s="1883">
        <v>30277.22</v>
      </c>
      <c r="H273" s="1883">
        <v>30333.08</v>
      </c>
      <c r="I273" s="1883">
        <v>30388.940000000002</v>
      </c>
      <c r="J273" s="1883">
        <v>30444.799999999999</v>
      </c>
      <c r="K273" s="1883">
        <v>30500.66</v>
      </c>
      <c r="L273" s="1883">
        <v>30556.52</v>
      </c>
      <c r="M273" s="1883">
        <v>30612.38</v>
      </c>
      <c r="N273" s="1883">
        <v>30668.240000000002</v>
      </c>
      <c r="O273" s="1810">
        <f t="shared" si="23"/>
        <v>30333.079999999998</v>
      </c>
    </row>
    <row r="274" spans="1:15">
      <c r="A274" s="97" t="s">
        <v>7</v>
      </c>
      <c r="B274" s="1883">
        <v>401871.43</v>
      </c>
      <c r="C274" s="1883">
        <v>405875.55</v>
      </c>
      <c r="D274" s="1883">
        <v>409879.67</v>
      </c>
      <c r="E274" s="1883">
        <v>413883.79000000004</v>
      </c>
      <c r="F274" s="1883">
        <v>417887.91000000003</v>
      </c>
      <c r="G274" s="1883">
        <v>421892.03</v>
      </c>
      <c r="H274" s="1883">
        <v>425896.15</v>
      </c>
      <c r="I274" s="1883">
        <v>429900.27</v>
      </c>
      <c r="J274" s="1883">
        <v>433904.39</v>
      </c>
      <c r="K274" s="1883">
        <v>437908.51</v>
      </c>
      <c r="L274" s="1883">
        <v>441912.63</v>
      </c>
      <c r="M274" s="1883">
        <v>445916.75</v>
      </c>
      <c r="N274" s="1883">
        <v>449920.87</v>
      </c>
      <c r="O274" s="1810">
        <f t="shared" si="23"/>
        <v>425896.15</v>
      </c>
    </row>
    <row r="275" spans="1:15">
      <c r="A275" s="97" t="s">
        <v>8</v>
      </c>
      <c r="B275" s="1883">
        <v>10548.6</v>
      </c>
      <c r="C275" s="1883">
        <v>10578.050000000001</v>
      </c>
      <c r="D275" s="1883">
        <v>10607.5</v>
      </c>
      <c r="E275" s="1883">
        <v>10636.95</v>
      </c>
      <c r="F275" s="1883">
        <v>10666.4</v>
      </c>
      <c r="G275" s="1883">
        <v>10695.85</v>
      </c>
      <c r="H275" s="1883">
        <v>10725.300000000001</v>
      </c>
      <c r="I275" s="1883">
        <v>10754.75</v>
      </c>
      <c r="J275" s="1883">
        <v>10784.2</v>
      </c>
      <c r="K275" s="1883">
        <v>10813.65</v>
      </c>
      <c r="L275" s="1883">
        <v>10843.1</v>
      </c>
      <c r="M275" s="1883">
        <v>10872.550000000001</v>
      </c>
      <c r="N275" s="1883">
        <v>10902</v>
      </c>
      <c r="O275" s="1810">
        <f t="shared" si="23"/>
        <v>10725.300000000001</v>
      </c>
    </row>
    <row r="276" spans="1:15">
      <c r="A276" s="97" t="s">
        <v>9</v>
      </c>
      <c r="B276" s="1883">
        <v>154800.37</v>
      </c>
      <c r="C276" s="1883">
        <v>157153.68</v>
      </c>
      <c r="D276" s="1883">
        <v>159506.99</v>
      </c>
      <c r="E276" s="1883">
        <v>161860.30000000002</v>
      </c>
      <c r="F276" s="1883">
        <v>164213.61000000002</v>
      </c>
      <c r="G276" s="1883">
        <v>166566.92000000001</v>
      </c>
      <c r="H276" s="1883">
        <v>168920.23</v>
      </c>
      <c r="I276" s="1883">
        <v>171273.54</v>
      </c>
      <c r="J276" s="1883">
        <v>173626.85</v>
      </c>
      <c r="K276" s="1883">
        <v>175980.16</v>
      </c>
      <c r="L276" s="1883">
        <v>178333.47</v>
      </c>
      <c r="M276" s="1883">
        <v>180686.78</v>
      </c>
      <c r="N276" s="1883">
        <v>183040.09</v>
      </c>
      <c r="O276" s="1810">
        <f t="shared" si="23"/>
        <v>168920.23</v>
      </c>
    </row>
    <row r="277" spans="1:15">
      <c r="A277" s="97" t="s">
        <v>10</v>
      </c>
      <c r="B277" s="1883">
        <v>8193.18</v>
      </c>
      <c r="C277" s="1883">
        <v>8243.1200000000008</v>
      </c>
      <c r="D277" s="1883">
        <v>8293.06</v>
      </c>
      <c r="E277" s="1883">
        <v>8343</v>
      </c>
      <c r="F277" s="1883">
        <v>8392.94</v>
      </c>
      <c r="G277" s="1883">
        <v>8442.880000000001</v>
      </c>
      <c r="H277" s="1883">
        <v>8492.82</v>
      </c>
      <c r="I277" s="1883">
        <v>8542.76</v>
      </c>
      <c r="J277" s="1883">
        <v>8592.7000000000007</v>
      </c>
      <c r="K277" s="1883">
        <v>8642.64</v>
      </c>
      <c r="L277" s="1883">
        <v>8692.58</v>
      </c>
      <c r="M277" s="1883">
        <v>8742.52</v>
      </c>
      <c r="N277" s="1883">
        <v>8792.4600000000009</v>
      </c>
      <c r="O277" s="1810">
        <f t="shared" si="23"/>
        <v>8492.8200000000015</v>
      </c>
    </row>
    <row r="278" spans="1:15">
      <c r="A278" s="97" t="s">
        <v>11</v>
      </c>
      <c r="B278" s="1883">
        <v>196.29</v>
      </c>
      <c r="C278" s="1883">
        <v>196.9</v>
      </c>
      <c r="D278" s="1883">
        <v>197.51</v>
      </c>
      <c r="E278" s="1883">
        <v>198.12</v>
      </c>
      <c r="F278" s="1883">
        <v>198.73000000000002</v>
      </c>
      <c r="G278" s="1883">
        <v>199.34</v>
      </c>
      <c r="H278" s="1883">
        <v>199.95000000000002</v>
      </c>
      <c r="I278" s="1883">
        <v>200.56</v>
      </c>
      <c r="J278" s="1883">
        <v>201.17000000000002</v>
      </c>
      <c r="K278" s="1883">
        <v>201.78</v>
      </c>
      <c r="L278" s="1883">
        <v>202.39000000000001</v>
      </c>
      <c r="M278" s="1883">
        <v>203</v>
      </c>
      <c r="N278" s="1883">
        <v>203.61</v>
      </c>
      <c r="O278" s="1810">
        <f t="shared" si="23"/>
        <v>199.95000000000002</v>
      </c>
    </row>
    <row r="279" spans="1:15">
      <c r="A279" s="97" t="s">
        <v>12</v>
      </c>
      <c r="B279" s="1883">
        <v>67270.16</v>
      </c>
      <c r="C279" s="1883">
        <v>67884.210000000006</v>
      </c>
      <c r="D279" s="1883">
        <v>68498.259999999995</v>
      </c>
      <c r="E279" s="1883">
        <v>69112.31</v>
      </c>
      <c r="F279" s="1883">
        <v>69726.36</v>
      </c>
      <c r="G279" s="1883">
        <v>70340.41</v>
      </c>
      <c r="H279" s="1883">
        <v>70954.460000000006</v>
      </c>
      <c r="I279" s="1883">
        <v>71568.509999999995</v>
      </c>
      <c r="J279" s="1883">
        <v>72182.559999999998</v>
      </c>
      <c r="K279" s="1883">
        <v>72796.61</v>
      </c>
      <c r="L279" s="1883">
        <v>73410.66</v>
      </c>
      <c r="M279" s="1883">
        <v>74024.710000000006</v>
      </c>
      <c r="N279" s="1883">
        <v>74638.759999999995</v>
      </c>
      <c r="O279" s="1810">
        <f t="shared" si="23"/>
        <v>70954.459999999992</v>
      </c>
    </row>
    <row r="280" spans="1:15">
      <c r="A280" s="97" t="s">
        <v>13</v>
      </c>
      <c r="B280" s="1883">
        <v>58438.33</v>
      </c>
      <c r="C280" s="1883">
        <v>58600.31</v>
      </c>
      <c r="D280" s="1883">
        <v>58762.29</v>
      </c>
      <c r="E280" s="1883">
        <v>58924.270000000004</v>
      </c>
      <c r="F280" s="1883">
        <v>59086.25</v>
      </c>
      <c r="G280" s="1883">
        <v>59248.23</v>
      </c>
      <c r="H280" s="1883">
        <v>59410.21</v>
      </c>
      <c r="I280" s="1883">
        <v>59572.19</v>
      </c>
      <c r="J280" s="1883">
        <v>59734.17</v>
      </c>
      <c r="K280" s="1883">
        <v>59896.15</v>
      </c>
      <c r="L280" s="1883">
        <v>60058.130000000005</v>
      </c>
      <c r="M280" s="1883">
        <v>60220.11</v>
      </c>
      <c r="N280" s="1883">
        <v>60382.090000000004</v>
      </c>
      <c r="O280" s="1810">
        <f t="shared" si="23"/>
        <v>59410.21</v>
      </c>
    </row>
    <row r="281" spans="1:15">
      <c r="A281" s="97" t="s">
        <v>1347</v>
      </c>
      <c r="B281" s="1883">
        <v>24551.338665827097</v>
      </c>
      <c r="C281" s="1883">
        <v>162974.49</v>
      </c>
      <c r="D281" s="1883">
        <v>162974.49</v>
      </c>
      <c r="E281" s="1883">
        <v>162974.49</v>
      </c>
      <c r="F281" s="1883">
        <v>162974.49</v>
      </c>
      <c r="G281" s="1883">
        <v>162974.49</v>
      </c>
      <c r="H281" s="1883">
        <v>162974.49</v>
      </c>
      <c r="I281" s="1883">
        <v>162974.49</v>
      </c>
      <c r="J281" s="1883">
        <v>27129.46</v>
      </c>
      <c r="K281" s="1883">
        <v>27360.690000000002</v>
      </c>
      <c r="L281" s="1883">
        <v>27591.920000000002</v>
      </c>
      <c r="M281" s="1883">
        <v>27823.15</v>
      </c>
      <c r="N281" s="1883">
        <v>28054.38</v>
      </c>
      <c r="O281" s="1810">
        <f t="shared" si="23"/>
        <v>100256.33605121743</v>
      </c>
    </row>
    <row r="282" spans="1:15">
      <c r="A282" s="97" t="s">
        <v>14</v>
      </c>
      <c r="B282" s="1883">
        <v>118109.96</v>
      </c>
      <c r="C282" s="1883">
        <v>118503.12</v>
      </c>
      <c r="D282" s="1883">
        <v>118896.28</v>
      </c>
      <c r="E282" s="1883">
        <v>119289.44</v>
      </c>
      <c r="F282" s="1883">
        <v>119682.6</v>
      </c>
      <c r="G282" s="1883">
        <v>120075.76000000001</v>
      </c>
      <c r="H282" s="1883">
        <v>120468.92</v>
      </c>
      <c r="I282" s="1883">
        <v>120862.08</v>
      </c>
      <c r="J282" s="1883">
        <v>121255.24</v>
      </c>
      <c r="K282" s="1883">
        <v>121648.40000000001</v>
      </c>
      <c r="L282" s="1883">
        <v>122041.56</v>
      </c>
      <c r="M282" s="1883">
        <v>122434.72</v>
      </c>
      <c r="N282" s="1883">
        <v>122827.88</v>
      </c>
      <c r="O282" s="1810">
        <f t="shared" si="23"/>
        <v>120468.92</v>
      </c>
    </row>
    <row r="283" spans="1:15">
      <c r="A283" s="97" t="s">
        <v>15</v>
      </c>
      <c r="B283" s="1883">
        <v>272324.12</v>
      </c>
      <c r="C283" s="1883">
        <v>275233.27</v>
      </c>
      <c r="D283" s="1883">
        <v>278142.42</v>
      </c>
      <c r="E283" s="1883">
        <v>281051.57</v>
      </c>
      <c r="F283" s="1883">
        <v>283960.72000000003</v>
      </c>
      <c r="G283" s="1883">
        <v>286869.87</v>
      </c>
      <c r="H283" s="1883">
        <v>289779.02</v>
      </c>
      <c r="I283" s="1883">
        <v>292688.17</v>
      </c>
      <c r="J283" s="1883">
        <v>295597.32</v>
      </c>
      <c r="K283" s="1883">
        <v>298506.47000000003</v>
      </c>
      <c r="L283" s="1883">
        <v>301415.62</v>
      </c>
      <c r="M283" s="1883">
        <v>304324.77</v>
      </c>
      <c r="N283" s="1883">
        <v>307233.91999999998</v>
      </c>
      <c r="O283" s="1810">
        <f t="shared" si="23"/>
        <v>289779.02</v>
      </c>
    </row>
    <row r="284" spans="1:15">
      <c r="A284" s="97" t="s">
        <v>1269</v>
      </c>
      <c r="B284" s="1883">
        <v>416299.19000000006</v>
      </c>
      <c r="C284" s="1883">
        <v>431198.95</v>
      </c>
      <c r="D284" s="1883">
        <v>446098.71</v>
      </c>
      <c r="E284" s="1883">
        <v>460998.47000000003</v>
      </c>
      <c r="F284" s="1883">
        <v>475898.23000000004</v>
      </c>
      <c r="G284" s="1883">
        <v>490797.99000000005</v>
      </c>
      <c r="H284" s="1883">
        <v>505697.75000000006</v>
      </c>
      <c r="I284" s="1883">
        <v>520597.51000000007</v>
      </c>
      <c r="J284" s="1883">
        <v>758286.87</v>
      </c>
      <c r="K284" s="1883">
        <v>774308.11</v>
      </c>
      <c r="L284" s="1883">
        <v>790329.35</v>
      </c>
      <c r="M284" s="1883">
        <v>806350.59</v>
      </c>
      <c r="N284" s="1883">
        <v>822371.83000000007</v>
      </c>
      <c r="O284" s="1810">
        <f t="shared" si="23"/>
        <v>592248.73461538472</v>
      </c>
    </row>
    <row r="285" spans="1:15">
      <c r="A285" s="97" t="s">
        <v>16</v>
      </c>
      <c r="B285" s="1883">
        <v>502117.14</v>
      </c>
      <c r="C285" s="1883">
        <v>506043.29000000004</v>
      </c>
      <c r="D285" s="1883">
        <v>509969.44</v>
      </c>
      <c r="E285" s="1883">
        <v>513895.59</v>
      </c>
      <c r="F285" s="1883">
        <v>517821.74</v>
      </c>
      <c r="G285" s="1883">
        <v>521747.89</v>
      </c>
      <c r="H285" s="1883">
        <v>525674.04</v>
      </c>
      <c r="I285" s="1883">
        <v>529600.19000000006</v>
      </c>
      <c r="J285" s="1883">
        <v>533526.34</v>
      </c>
      <c r="K285" s="1883">
        <v>537452.49</v>
      </c>
      <c r="L285" s="1883">
        <v>541378.64</v>
      </c>
      <c r="M285" s="1883">
        <v>545304.79</v>
      </c>
      <c r="N285" s="1883">
        <v>549230.94000000006</v>
      </c>
      <c r="O285" s="1810">
        <f t="shared" si="23"/>
        <v>525674.04</v>
      </c>
    </row>
    <row r="286" spans="1:15">
      <c r="A286" s="97" t="s">
        <v>17</v>
      </c>
      <c r="B286" s="1883">
        <v>50981.270000000004</v>
      </c>
      <c r="C286" s="1883">
        <v>51423.6</v>
      </c>
      <c r="D286" s="1883">
        <v>51865.93</v>
      </c>
      <c r="E286" s="1883">
        <v>52308.26</v>
      </c>
      <c r="F286" s="1883">
        <v>52750.590000000004</v>
      </c>
      <c r="G286" s="1883">
        <v>53192.92</v>
      </c>
      <c r="H286" s="1883">
        <v>53635.25</v>
      </c>
      <c r="I286" s="1883">
        <v>54077.58</v>
      </c>
      <c r="J286" s="1883">
        <v>54519.91</v>
      </c>
      <c r="K286" s="1883">
        <v>54962.239999999998</v>
      </c>
      <c r="L286" s="1883">
        <v>55404.57</v>
      </c>
      <c r="M286" s="1883">
        <v>55846.9</v>
      </c>
      <c r="N286" s="1883">
        <v>56289.23</v>
      </c>
      <c r="O286" s="1810">
        <f t="shared" si="23"/>
        <v>53635.25</v>
      </c>
    </row>
    <row r="287" spans="1:15">
      <c r="A287" s="97" t="s">
        <v>18</v>
      </c>
      <c r="B287" s="1883">
        <v>4752.28</v>
      </c>
      <c r="C287" s="1883">
        <v>4774.42</v>
      </c>
      <c r="D287" s="1883">
        <v>4796.5600000000004</v>
      </c>
      <c r="E287" s="1883">
        <v>4818.7</v>
      </c>
      <c r="F287" s="1883">
        <v>4840.84</v>
      </c>
      <c r="G287" s="1883">
        <v>4862.9800000000005</v>
      </c>
      <c r="H287" s="1883">
        <v>4885.12</v>
      </c>
      <c r="I287" s="1883">
        <v>4907.26</v>
      </c>
      <c r="J287" s="1883">
        <v>4929.4000000000005</v>
      </c>
      <c r="K287" s="1883">
        <v>4951.54</v>
      </c>
      <c r="L287" s="1883">
        <v>4973.68</v>
      </c>
      <c r="M287" s="1883">
        <v>4995.82</v>
      </c>
      <c r="N287" s="1883">
        <v>5017.96</v>
      </c>
      <c r="O287" s="1810">
        <f t="shared" si="23"/>
        <v>4885.1200000000008</v>
      </c>
    </row>
    <row r="288" spans="1:15">
      <c r="A288" s="97" t="s">
        <v>19</v>
      </c>
      <c r="B288" s="1883">
        <v>6102.57</v>
      </c>
      <c r="C288" s="1883">
        <v>6489.72</v>
      </c>
      <c r="D288" s="1883">
        <v>6876.87</v>
      </c>
      <c r="E288" s="1883">
        <v>7264.02</v>
      </c>
      <c r="F288" s="1883">
        <v>7651.17</v>
      </c>
      <c r="G288" s="1883">
        <v>8038.3200000000006</v>
      </c>
      <c r="H288" s="1883">
        <v>8425.4699999999993</v>
      </c>
      <c r="I288" s="1883">
        <v>8812.6200000000008</v>
      </c>
      <c r="J288" s="1883">
        <v>9199.77</v>
      </c>
      <c r="K288" s="1883">
        <v>9586.92</v>
      </c>
      <c r="L288" s="1883">
        <v>9974.07</v>
      </c>
      <c r="M288" s="1883">
        <v>10361.219999999999</v>
      </c>
      <c r="N288" s="1883">
        <v>10748.37</v>
      </c>
      <c r="O288" s="1810">
        <f t="shared" si="23"/>
        <v>8425.4699999999993</v>
      </c>
    </row>
    <row r="289" spans="1:15">
      <c r="A289" s="97" t="s">
        <v>20</v>
      </c>
      <c r="B289" s="1883">
        <v>56617.37</v>
      </c>
      <c r="C289" s="1883">
        <v>56861.22</v>
      </c>
      <c r="D289" s="1883">
        <v>57105.07</v>
      </c>
      <c r="E289" s="1883">
        <v>57348.92</v>
      </c>
      <c r="F289" s="1883">
        <v>57592.770000000004</v>
      </c>
      <c r="G289" s="1883">
        <v>57836.62</v>
      </c>
      <c r="H289" s="1883">
        <v>58080.47</v>
      </c>
      <c r="I289" s="1883">
        <v>58324.32</v>
      </c>
      <c r="J289" s="1883">
        <v>58568.17</v>
      </c>
      <c r="K289" s="1883">
        <v>58812.020000000004</v>
      </c>
      <c r="L289" s="1883">
        <v>59055.87</v>
      </c>
      <c r="M289" s="1883">
        <v>59299.72</v>
      </c>
      <c r="N289" s="1883">
        <v>59543.57</v>
      </c>
      <c r="O289" s="1810">
        <f t="shared" si="23"/>
        <v>58080.47</v>
      </c>
    </row>
    <row r="290" spans="1:15">
      <c r="A290" s="97" t="s">
        <v>21</v>
      </c>
      <c r="B290" s="1883">
        <v>56586.96</v>
      </c>
      <c r="C290" s="1883">
        <v>56677.590000000004</v>
      </c>
      <c r="D290" s="1883">
        <v>56768.22</v>
      </c>
      <c r="E290" s="1883">
        <v>56858.85</v>
      </c>
      <c r="F290" s="1883">
        <v>56949.48</v>
      </c>
      <c r="G290" s="1883">
        <v>57040.11</v>
      </c>
      <c r="H290" s="1883">
        <v>57130.74</v>
      </c>
      <c r="I290" s="1883">
        <v>57221.37</v>
      </c>
      <c r="J290" s="1883">
        <v>57312</v>
      </c>
      <c r="K290" s="1883">
        <v>57402.630000000005</v>
      </c>
      <c r="L290" s="1883">
        <v>57493.26</v>
      </c>
      <c r="M290" s="1883">
        <v>57583.89</v>
      </c>
      <c r="N290" s="1883">
        <v>57674.520000000004</v>
      </c>
      <c r="O290" s="1810">
        <f t="shared" si="23"/>
        <v>57130.74</v>
      </c>
    </row>
    <row r="291" spans="1:15">
      <c r="A291" s="97" t="s">
        <v>1348</v>
      </c>
      <c r="B291" s="1883">
        <v>7903.4042899302394</v>
      </c>
      <c r="C291" s="1883">
        <v>0</v>
      </c>
      <c r="D291" s="1883">
        <v>0</v>
      </c>
      <c r="E291" s="1883">
        <v>0</v>
      </c>
      <c r="F291" s="1883">
        <v>0</v>
      </c>
      <c r="G291" s="1883">
        <v>0</v>
      </c>
      <c r="H291" s="1883">
        <v>0</v>
      </c>
      <c r="I291" s="1883">
        <v>0</v>
      </c>
      <c r="J291" s="1883">
        <v>8724.17</v>
      </c>
      <c r="K291" s="1883">
        <v>8789.44</v>
      </c>
      <c r="L291" s="1883">
        <v>8854.7100000000009</v>
      </c>
      <c r="M291" s="1883">
        <v>8919.98</v>
      </c>
      <c r="N291" s="1883">
        <v>8985.25</v>
      </c>
      <c r="O291" s="1810">
        <f t="shared" si="23"/>
        <v>4013.6118684561716</v>
      </c>
    </row>
    <row r="292" spans="1:15">
      <c r="A292" s="97" t="s">
        <v>22</v>
      </c>
      <c r="B292" s="1883">
        <v>49697.659999999996</v>
      </c>
      <c r="C292" s="1883">
        <v>49845.04</v>
      </c>
      <c r="D292" s="1883">
        <v>49992.42</v>
      </c>
      <c r="E292" s="1883">
        <v>50139.8</v>
      </c>
      <c r="F292" s="1883">
        <v>50287.18</v>
      </c>
      <c r="G292" s="1883">
        <v>50434.559999999998</v>
      </c>
      <c r="H292" s="1883">
        <v>50581.94</v>
      </c>
      <c r="I292" s="1883">
        <v>50729.320000000007</v>
      </c>
      <c r="J292" s="1883">
        <v>50876.7</v>
      </c>
      <c r="K292" s="1883">
        <v>51024.08</v>
      </c>
      <c r="L292" s="1883">
        <v>51171.460000000006</v>
      </c>
      <c r="M292" s="1883">
        <v>51318.84</v>
      </c>
      <c r="N292" s="1883">
        <v>51466.22</v>
      </c>
      <c r="O292" s="1810">
        <f t="shared" ref="O292:O300" si="24">AVERAGE(B292:N292)</f>
        <v>50581.939999999995</v>
      </c>
    </row>
    <row r="293" spans="1:15">
      <c r="A293" s="97" t="s">
        <v>23</v>
      </c>
      <c r="B293" s="1883">
        <v>74816.91</v>
      </c>
      <c r="C293" s="1883">
        <v>75481.08</v>
      </c>
      <c r="D293" s="1883">
        <v>76145.25</v>
      </c>
      <c r="E293" s="1883">
        <v>76809.42</v>
      </c>
      <c r="F293" s="1883">
        <v>77473.59</v>
      </c>
      <c r="G293" s="1883">
        <v>78137.759999999995</v>
      </c>
      <c r="H293" s="1883">
        <v>78801.930000000008</v>
      </c>
      <c r="I293" s="1883">
        <v>79466.100000000006</v>
      </c>
      <c r="J293" s="1883">
        <v>80130.27</v>
      </c>
      <c r="K293" s="1883">
        <v>80794.44</v>
      </c>
      <c r="L293" s="1883">
        <v>81458.61</v>
      </c>
      <c r="M293" s="1883">
        <v>82122.78</v>
      </c>
      <c r="N293" s="1883">
        <v>82786.95</v>
      </c>
      <c r="O293" s="1810">
        <f t="shared" si="24"/>
        <v>78801.929999999993</v>
      </c>
    </row>
    <row r="294" spans="1:15">
      <c r="A294" s="97" t="s">
        <v>1270</v>
      </c>
      <c r="B294" s="1883">
        <v>274411.5</v>
      </c>
      <c r="C294" s="1883">
        <v>284344.67</v>
      </c>
      <c r="D294" s="1883">
        <v>294277.84000000003</v>
      </c>
      <c r="E294" s="1883">
        <v>304211.01</v>
      </c>
      <c r="F294" s="1883">
        <v>314144.18</v>
      </c>
      <c r="G294" s="1883">
        <v>324077.35000000003</v>
      </c>
      <c r="H294" s="1883">
        <v>334010.52</v>
      </c>
      <c r="I294" s="1883">
        <v>343943.69</v>
      </c>
      <c r="J294" s="1883">
        <v>380604.05</v>
      </c>
      <c r="K294" s="1883">
        <v>391284.87</v>
      </c>
      <c r="L294" s="1883">
        <v>401965.69</v>
      </c>
      <c r="M294" s="1883">
        <v>412646.51</v>
      </c>
      <c r="N294" s="1883">
        <v>423327.33</v>
      </c>
      <c r="O294" s="1810">
        <f t="shared" si="24"/>
        <v>344865.32384615386</v>
      </c>
    </row>
    <row r="295" spans="1:15">
      <c r="A295" s="97" t="s">
        <v>1349</v>
      </c>
      <c r="B295" s="1883">
        <v>102742.46678060634</v>
      </c>
      <c r="C295" s="1883">
        <v>0</v>
      </c>
      <c r="D295" s="1883">
        <v>0</v>
      </c>
      <c r="E295" s="1883">
        <v>0</v>
      </c>
      <c r="F295" s="1883">
        <v>0</v>
      </c>
      <c r="G295" s="1883">
        <v>0</v>
      </c>
      <c r="H295" s="1883">
        <v>0</v>
      </c>
      <c r="I295" s="1883">
        <v>0</v>
      </c>
      <c r="J295" s="1883">
        <v>113524.78</v>
      </c>
      <c r="K295" s="1883">
        <v>114485.82</v>
      </c>
      <c r="L295" s="1883">
        <v>115446.86</v>
      </c>
      <c r="M295" s="1883">
        <v>116407.90000000001</v>
      </c>
      <c r="N295" s="1883">
        <v>117368.94</v>
      </c>
      <c r="O295" s="1810">
        <f t="shared" si="24"/>
        <v>52305.905136969712</v>
      </c>
    </row>
    <row r="296" spans="1:15">
      <c r="A296" s="97" t="s">
        <v>24</v>
      </c>
      <c r="B296" s="1883">
        <v>984588.77</v>
      </c>
      <c r="C296" s="1883">
        <v>990148.93</v>
      </c>
      <c r="D296" s="1883">
        <v>995709.09</v>
      </c>
      <c r="E296" s="1883">
        <v>1001269.25</v>
      </c>
      <c r="F296" s="1883">
        <v>1006829.41</v>
      </c>
      <c r="G296" s="1883">
        <v>1012389.57</v>
      </c>
      <c r="H296" s="1883">
        <v>1017949.73</v>
      </c>
      <c r="I296" s="1883">
        <v>1023509.89</v>
      </c>
      <c r="J296" s="1883">
        <v>1029070.05</v>
      </c>
      <c r="K296" s="1883">
        <v>1034630.21</v>
      </c>
      <c r="L296" s="1883">
        <v>1040190.37</v>
      </c>
      <c r="M296" s="1883">
        <v>1045750.53</v>
      </c>
      <c r="N296" s="1883">
        <v>1051310.69</v>
      </c>
      <c r="O296" s="1810">
        <f t="shared" si="24"/>
        <v>1017949.7299999997</v>
      </c>
    </row>
    <row r="297" spans="1:15">
      <c r="A297" s="97" t="s">
        <v>1271</v>
      </c>
      <c r="B297" s="1883">
        <v>4192103.8256121115</v>
      </c>
      <c r="C297" s="1883">
        <v>984588.77</v>
      </c>
      <c r="D297" s="1883">
        <v>984588.77</v>
      </c>
      <c r="E297" s="1883">
        <v>984588.77</v>
      </c>
      <c r="F297" s="1883">
        <v>984588.77</v>
      </c>
      <c r="G297" s="1883">
        <v>984588.77</v>
      </c>
      <c r="H297" s="1883">
        <v>984588.77</v>
      </c>
      <c r="I297" s="1883">
        <v>984588.77</v>
      </c>
      <c r="J297" s="1883">
        <v>4672493.53</v>
      </c>
      <c r="K297" s="1883">
        <v>4752155.0999999996</v>
      </c>
      <c r="L297" s="1883">
        <v>4831816.67</v>
      </c>
      <c r="M297" s="1883">
        <v>4911478.24</v>
      </c>
      <c r="N297" s="1883">
        <v>4991139.8100000005</v>
      </c>
      <c r="O297" s="1810">
        <f t="shared" si="24"/>
        <v>2711023.7358163167</v>
      </c>
    </row>
    <row r="298" spans="1:15">
      <c r="A298" s="97" t="s">
        <v>1350</v>
      </c>
      <c r="B298" s="1883">
        <v>1271937.4308440546</v>
      </c>
      <c r="C298" s="1883">
        <v>0</v>
      </c>
      <c r="D298" s="1883">
        <v>0</v>
      </c>
      <c r="E298" s="1883">
        <v>0</v>
      </c>
      <c r="F298" s="1883">
        <v>0</v>
      </c>
      <c r="G298" s="1883">
        <v>0</v>
      </c>
      <c r="H298" s="1883">
        <v>0</v>
      </c>
      <c r="I298" s="1883">
        <v>0</v>
      </c>
      <c r="J298" s="1883">
        <v>1404808.56</v>
      </c>
      <c r="K298" s="1883">
        <v>1416094.79</v>
      </c>
      <c r="L298" s="1883">
        <v>1427381.02</v>
      </c>
      <c r="M298" s="1883">
        <v>1438667.25</v>
      </c>
      <c r="N298" s="1883">
        <v>1449953.48</v>
      </c>
      <c r="O298" s="1810">
        <f t="shared" si="24"/>
        <v>646834.04083415808</v>
      </c>
    </row>
    <row r="299" spans="1:15">
      <c r="A299" s="97" t="s">
        <v>1351</v>
      </c>
      <c r="B299" s="1883">
        <v>866998.71343685454</v>
      </c>
      <c r="C299" s="1883">
        <v>0</v>
      </c>
      <c r="D299" s="1883">
        <v>0</v>
      </c>
      <c r="E299" s="1883">
        <v>0</v>
      </c>
      <c r="F299" s="1883">
        <v>0</v>
      </c>
      <c r="G299" s="1883">
        <v>0</v>
      </c>
      <c r="H299" s="1883">
        <v>0</v>
      </c>
      <c r="I299" s="1883">
        <v>0</v>
      </c>
      <c r="J299" s="1883">
        <v>962132.16</v>
      </c>
      <c r="K299" s="1883">
        <v>974388.18</v>
      </c>
      <c r="L299" s="1883">
        <v>986644.20000000007</v>
      </c>
      <c r="M299" s="1883">
        <v>998900.21</v>
      </c>
      <c r="N299" s="1883">
        <v>1011156.23</v>
      </c>
      <c r="O299" s="1810">
        <f t="shared" si="24"/>
        <v>446170.74564898887</v>
      </c>
    </row>
    <row r="300" spans="1:15">
      <c r="A300" s="97" t="s">
        <v>25</v>
      </c>
      <c r="B300" s="1881">
        <v>3126.13</v>
      </c>
      <c r="C300" s="1881">
        <v>3146.91</v>
      </c>
      <c r="D300" s="1881">
        <v>3167.69</v>
      </c>
      <c r="E300" s="1881">
        <v>3188.4700000000003</v>
      </c>
      <c r="F300" s="1881">
        <v>3209.25</v>
      </c>
      <c r="G300" s="1881">
        <v>3230.03</v>
      </c>
      <c r="H300" s="1881">
        <v>3250.81</v>
      </c>
      <c r="I300" s="1881">
        <v>3271.59</v>
      </c>
      <c r="J300" s="1881">
        <v>3292.37</v>
      </c>
      <c r="K300" s="1881">
        <v>3313.15</v>
      </c>
      <c r="L300" s="1881">
        <v>3333.9300000000003</v>
      </c>
      <c r="M300" s="1881">
        <v>3354.71</v>
      </c>
      <c r="N300" s="1881">
        <v>3375.4900000000002</v>
      </c>
      <c r="O300" s="1810">
        <f t="shared" si="24"/>
        <v>3250.81</v>
      </c>
    </row>
    <row r="301" spans="1:15">
      <c r="A301" s="1364" t="s">
        <v>1421</v>
      </c>
      <c r="B301" s="1882">
        <f t="shared" ref="B301:O301" si="25">SUM(B228:B300)</f>
        <v>42742133.489629395</v>
      </c>
      <c r="C301" s="1882">
        <f t="shared" si="25"/>
        <v>37740241.970000006</v>
      </c>
      <c r="D301" s="1882">
        <f t="shared" si="25"/>
        <v>38057021.430000015</v>
      </c>
      <c r="E301" s="1882">
        <f t="shared" si="25"/>
        <v>38373811.640000008</v>
      </c>
      <c r="F301" s="1882">
        <f t="shared" si="25"/>
        <v>38628811.730000012</v>
      </c>
      <c r="G301" s="1882">
        <f t="shared" si="25"/>
        <v>38945611.000000007</v>
      </c>
      <c r="H301" s="1882">
        <f t="shared" si="25"/>
        <v>39262410.269999988</v>
      </c>
      <c r="I301" s="1882">
        <f t="shared" si="25"/>
        <v>39579350.139999993</v>
      </c>
      <c r="J301" s="1882">
        <f t="shared" si="25"/>
        <v>46187196.790000014</v>
      </c>
      <c r="K301" s="1882">
        <f t="shared" si="25"/>
        <v>46610607.73999998</v>
      </c>
      <c r="L301" s="1882">
        <f t="shared" si="25"/>
        <v>47034018.690000005</v>
      </c>
      <c r="M301" s="1882">
        <f t="shared" si="25"/>
        <v>47457480.460000008</v>
      </c>
      <c r="N301" s="1882">
        <f t="shared" si="25"/>
        <v>47880963.170000002</v>
      </c>
      <c r="O301" s="1882">
        <f t="shared" si="25"/>
        <v>42192281.424586855</v>
      </c>
    </row>
    <row r="302" spans="1:15">
      <c r="A302" s="97"/>
      <c r="B302" s="1881"/>
      <c r="C302" s="1881"/>
      <c r="D302" s="1881"/>
      <c r="E302" s="1881"/>
      <c r="F302" s="1881"/>
      <c r="G302" s="1881"/>
      <c r="H302" s="1881"/>
      <c r="I302" s="1881"/>
      <c r="J302" s="1881"/>
      <c r="K302" s="1881"/>
      <c r="L302" s="1881"/>
      <c r="M302" s="1881"/>
      <c r="N302" s="1881"/>
    </row>
    <row r="303" spans="1:15">
      <c r="A303" s="97"/>
      <c r="B303" s="1881"/>
      <c r="C303" s="1881"/>
      <c r="D303" s="1881"/>
      <c r="E303" s="1881"/>
      <c r="F303" s="1881"/>
      <c r="G303" s="1881"/>
      <c r="H303" s="1881"/>
      <c r="I303" s="1881"/>
      <c r="J303" s="1881"/>
      <c r="K303" s="1881"/>
      <c r="L303" s="1881"/>
      <c r="M303" s="1881"/>
      <c r="N303" s="1881"/>
    </row>
    <row r="304" spans="1:15">
      <c r="A304" s="1862" t="s">
        <v>1437</v>
      </c>
      <c r="B304" s="1881">
        <v>2981.71</v>
      </c>
      <c r="C304" s="1881">
        <v>2987.4500000000003</v>
      </c>
      <c r="D304" s="1881">
        <v>2993.19</v>
      </c>
      <c r="E304" s="1881">
        <v>2998.93</v>
      </c>
      <c r="F304" s="1881">
        <v>3004.67</v>
      </c>
      <c r="G304" s="1881">
        <v>3010.41</v>
      </c>
      <c r="H304" s="1881">
        <v>3016.15</v>
      </c>
      <c r="I304" s="1881">
        <v>3021.89</v>
      </c>
      <c r="J304" s="1881">
        <v>3027.63</v>
      </c>
      <c r="K304" s="1881">
        <v>3033.37</v>
      </c>
      <c r="L304" s="1881">
        <v>3039.11</v>
      </c>
      <c r="M304" s="1881">
        <v>3044.85</v>
      </c>
      <c r="N304" s="1881">
        <v>3050.59</v>
      </c>
      <c r="O304" s="1810">
        <f t="shared" ref="O304:O308" si="26">AVERAGE(B304:N304)</f>
        <v>3016.1499999999996</v>
      </c>
    </row>
    <row r="305" spans="1:15">
      <c r="A305" s="1862" t="s">
        <v>1442</v>
      </c>
      <c r="B305" s="1881">
        <v>3734849.3899999997</v>
      </c>
      <c r="C305" s="1881">
        <v>3743195.19</v>
      </c>
      <c r="D305" s="1881">
        <v>3751540.99</v>
      </c>
      <c r="E305" s="1881">
        <v>3759886.79</v>
      </c>
      <c r="F305" s="1881">
        <v>3768232.59</v>
      </c>
      <c r="G305" s="1881">
        <v>3776578.39</v>
      </c>
      <c r="H305" s="1881">
        <v>3784924.1899999995</v>
      </c>
      <c r="I305" s="1881">
        <v>3793269.99</v>
      </c>
      <c r="J305" s="1881">
        <v>3801615.79</v>
      </c>
      <c r="K305" s="1881">
        <v>3809961.59</v>
      </c>
      <c r="L305" s="1881">
        <v>3818307.39</v>
      </c>
      <c r="M305" s="1881">
        <v>3826653.19</v>
      </c>
      <c r="N305" s="1881">
        <v>3834998.99</v>
      </c>
      <c r="O305" s="1810">
        <f t="shared" si="26"/>
        <v>3784924.1900000004</v>
      </c>
    </row>
    <row r="306" spans="1:15">
      <c r="A306" s="1862" t="s">
        <v>1439</v>
      </c>
      <c r="B306" s="1881">
        <v>78737.63</v>
      </c>
      <c r="C306" s="1881">
        <v>78861.27</v>
      </c>
      <c r="D306" s="1881">
        <v>78984.91</v>
      </c>
      <c r="E306" s="1881">
        <v>79108.55</v>
      </c>
      <c r="F306" s="1881">
        <v>79232.19</v>
      </c>
      <c r="G306" s="1881">
        <v>79355.83</v>
      </c>
      <c r="H306" s="1881">
        <v>79479.47</v>
      </c>
      <c r="I306" s="1881">
        <v>79603.11</v>
      </c>
      <c r="J306" s="1881">
        <v>79726.75</v>
      </c>
      <c r="K306" s="1881">
        <v>79850.39</v>
      </c>
      <c r="L306" s="1881">
        <v>79974.03</v>
      </c>
      <c r="M306" s="1881">
        <v>80097.67</v>
      </c>
      <c r="N306" s="1881">
        <v>80221.31</v>
      </c>
      <c r="O306" s="1810">
        <f t="shared" si="26"/>
        <v>79479.47</v>
      </c>
    </row>
    <row r="307" spans="1:15">
      <c r="A307" s="1862" t="s">
        <v>1440</v>
      </c>
      <c r="B307" s="1881">
        <v>106135.89</v>
      </c>
      <c r="C307" s="1881">
        <v>106482.44</v>
      </c>
      <c r="D307" s="1881">
        <v>106828.99</v>
      </c>
      <c r="E307" s="1881">
        <v>107175.54000000001</v>
      </c>
      <c r="F307" s="1881">
        <v>107522.09</v>
      </c>
      <c r="G307" s="1881">
        <v>107868.64000000001</v>
      </c>
      <c r="H307" s="1881">
        <v>108215.19</v>
      </c>
      <c r="I307" s="1881">
        <v>108561.73999999999</v>
      </c>
      <c r="J307" s="1881">
        <v>108908.29000000001</v>
      </c>
      <c r="K307" s="1881">
        <v>109254.84</v>
      </c>
      <c r="L307" s="1881">
        <v>109601.39</v>
      </c>
      <c r="M307" s="1881">
        <v>109947.94</v>
      </c>
      <c r="N307" s="1881">
        <v>110294.49</v>
      </c>
      <c r="O307" s="1810">
        <f t="shared" si="26"/>
        <v>108215.19</v>
      </c>
    </row>
    <row r="308" spans="1:15">
      <c r="A308" s="1862" t="s">
        <v>1441</v>
      </c>
      <c r="B308" s="1881">
        <v>347383.68000000005</v>
      </c>
      <c r="C308" s="1881">
        <v>348303.19</v>
      </c>
      <c r="D308" s="1881">
        <v>349222.7</v>
      </c>
      <c r="E308" s="1881">
        <v>350142.21</v>
      </c>
      <c r="F308" s="1881">
        <v>351061.72</v>
      </c>
      <c r="G308" s="1881">
        <v>351981.23</v>
      </c>
      <c r="H308" s="1881">
        <v>352900.74</v>
      </c>
      <c r="I308" s="1881">
        <v>353820.25</v>
      </c>
      <c r="J308" s="1881">
        <v>354739.76</v>
      </c>
      <c r="K308" s="1881">
        <v>355659.27</v>
      </c>
      <c r="L308" s="1881">
        <v>356578.78</v>
      </c>
      <c r="M308" s="1881">
        <v>357498.29000000004</v>
      </c>
      <c r="N308" s="1881">
        <v>358417.80000000005</v>
      </c>
      <c r="O308" s="1810">
        <f t="shared" si="26"/>
        <v>352900.73999999993</v>
      </c>
    </row>
    <row r="309" spans="1:15">
      <c r="A309" s="1364" t="s">
        <v>1422</v>
      </c>
      <c r="B309" s="1882">
        <f t="shared" ref="B309:O309" si="27">SUM(B304:B308)</f>
        <v>4270088.3</v>
      </c>
      <c r="C309" s="1882">
        <f t="shared" si="27"/>
        <v>4279829.54</v>
      </c>
      <c r="D309" s="1882">
        <f t="shared" si="27"/>
        <v>4289570.78</v>
      </c>
      <c r="E309" s="1882">
        <f t="shared" si="27"/>
        <v>4299312.0200000005</v>
      </c>
      <c r="F309" s="1882">
        <f t="shared" si="27"/>
        <v>4309053.26</v>
      </c>
      <c r="G309" s="1882">
        <f t="shared" si="27"/>
        <v>4318794.5</v>
      </c>
      <c r="H309" s="1882">
        <f t="shared" si="27"/>
        <v>4328535.7399999993</v>
      </c>
      <c r="I309" s="1882">
        <f t="shared" si="27"/>
        <v>4338276.9800000004</v>
      </c>
      <c r="J309" s="1882">
        <f t="shared" si="27"/>
        <v>4348018.22</v>
      </c>
      <c r="K309" s="1882">
        <f t="shared" si="27"/>
        <v>4357759.46</v>
      </c>
      <c r="L309" s="1882">
        <f t="shared" si="27"/>
        <v>4367500.7</v>
      </c>
      <c r="M309" s="1882">
        <f t="shared" si="27"/>
        <v>4377241.9399999995</v>
      </c>
      <c r="N309" s="1882">
        <f t="shared" si="27"/>
        <v>4386983.1800000006</v>
      </c>
      <c r="O309" s="1882">
        <f t="shared" si="27"/>
        <v>4328535.74</v>
      </c>
    </row>
    <row r="311" spans="1:15">
      <c r="A311" s="1877" t="s">
        <v>1362</v>
      </c>
      <c r="B311" s="378">
        <f t="shared" ref="B311:O311" si="28">B301+B203</f>
        <v>322755968.89962941</v>
      </c>
      <c r="C311" s="378">
        <f t="shared" si="28"/>
        <v>317596125.1400001</v>
      </c>
      <c r="D311" s="378">
        <f t="shared" si="28"/>
        <v>325443882.52000004</v>
      </c>
      <c r="E311" s="378">
        <f t="shared" si="28"/>
        <v>326638614.95999992</v>
      </c>
      <c r="F311" s="378">
        <f t="shared" si="28"/>
        <v>328468076.80000013</v>
      </c>
      <c r="G311" s="378">
        <f t="shared" si="28"/>
        <v>330494796.41999996</v>
      </c>
      <c r="H311" s="378">
        <f t="shared" si="28"/>
        <v>332565109.06999999</v>
      </c>
      <c r="I311" s="378">
        <f t="shared" si="28"/>
        <v>334761370.39999998</v>
      </c>
      <c r="J311" s="378">
        <f t="shared" si="28"/>
        <v>343162324.51000005</v>
      </c>
      <c r="K311" s="378">
        <f t="shared" si="28"/>
        <v>345290047.88999999</v>
      </c>
      <c r="L311" s="378">
        <f t="shared" si="28"/>
        <v>347592231.82999998</v>
      </c>
      <c r="M311" s="378">
        <f t="shared" si="28"/>
        <v>349770186.30000007</v>
      </c>
      <c r="N311" s="378">
        <f t="shared" si="28"/>
        <v>354579137.94000006</v>
      </c>
      <c r="O311" s="378">
        <f t="shared" si="28"/>
        <v>335316759.43689454</v>
      </c>
    </row>
    <row r="312" spans="1:15">
      <c r="A312" s="1877" t="s">
        <v>1432</v>
      </c>
      <c r="B312" s="378">
        <f t="shared" ref="B312:O312" si="29">B309+B216</f>
        <v>67179013.079999998</v>
      </c>
      <c r="C312" s="378">
        <f t="shared" si="29"/>
        <v>67411309.280000001</v>
      </c>
      <c r="D312" s="378">
        <f t="shared" si="29"/>
        <v>67565347.219999999</v>
      </c>
      <c r="E312" s="378">
        <f t="shared" si="29"/>
        <v>67719219.599999994</v>
      </c>
      <c r="F312" s="378">
        <f t="shared" si="29"/>
        <v>67873145.979999989</v>
      </c>
      <c r="G312" s="378">
        <f t="shared" si="29"/>
        <v>68027135.909999996</v>
      </c>
      <c r="H312" s="378">
        <f t="shared" si="29"/>
        <v>68181186.319999993</v>
      </c>
      <c r="I312" s="378">
        <f t="shared" si="29"/>
        <v>68335310.769999996</v>
      </c>
      <c r="J312" s="378">
        <f t="shared" si="29"/>
        <v>68489521.670000002</v>
      </c>
      <c r="K312" s="378">
        <f t="shared" si="29"/>
        <v>68643862.25</v>
      </c>
      <c r="L312" s="378">
        <f t="shared" si="29"/>
        <v>68798618.829999983</v>
      </c>
      <c r="M312" s="378">
        <f t="shared" si="29"/>
        <v>68953789.390000001</v>
      </c>
      <c r="N312" s="378">
        <f t="shared" si="29"/>
        <v>69001514.020000011</v>
      </c>
      <c r="O312" s="378">
        <f t="shared" si="29"/>
        <v>68167613.409230769</v>
      </c>
    </row>
    <row r="313" spans="1:15">
      <c r="A313" s="1877" t="s">
        <v>1363</v>
      </c>
      <c r="B313" s="378">
        <f t="shared" ref="B313:O313" si="30">B225</f>
        <v>38761389.800000004</v>
      </c>
      <c r="C313" s="378">
        <f t="shared" si="30"/>
        <v>38905223.770000003</v>
      </c>
      <c r="D313" s="378">
        <f t="shared" si="30"/>
        <v>39049057.740000002</v>
      </c>
      <c r="E313" s="378">
        <f t="shared" si="30"/>
        <v>39192891.710000001</v>
      </c>
      <c r="F313" s="378">
        <f t="shared" si="30"/>
        <v>39336725.68</v>
      </c>
      <c r="G313" s="378">
        <f t="shared" si="30"/>
        <v>39480559.649999999</v>
      </c>
      <c r="H313" s="378">
        <f t="shared" si="30"/>
        <v>39624393.620000005</v>
      </c>
      <c r="I313" s="378">
        <f t="shared" si="30"/>
        <v>39768227.589999996</v>
      </c>
      <c r="J313" s="378">
        <f t="shared" si="30"/>
        <v>39912061.559999995</v>
      </c>
      <c r="K313" s="378">
        <f t="shared" si="30"/>
        <v>40055895.530000001</v>
      </c>
      <c r="L313" s="378">
        <f t="shared" si="30"/>
        <v>40199729.5</v>
      </c>
      <c r="M313" s="378">
        <f t="shared" si="30"/>
        <v>40343563.469999999</v>
      </c>
      <c r="N313" s="378">
        <f t="shared" si="30"/>
        <v>40487397.43999999</v>
      </c>
      <c r="O313" s="378">
        <f t="shared" si="30"/>
        <v>39624393.620000005</v>
      </c>
    </row>
    <row r="314" spans="1:15">
      <c r="A314" s="1877" t="s">
        <v>1364</v>
      </c>
      <c r="B314" s="851">
        <f>SUM(B311:B313)</f>
        <v>428696371.77962941</v>
      </c>
      <c r="C314" s="851">
        <f t="shared" ref="C314:O314" si="31">SUM(C311:C313)</f>
        <v>423912658.19000006</v>
      </c>
      <c r="D314" s="851">
        <f t="shared" si="31"/>
        <v>432058287.48000002</v>
      </c>
      <c r="E314" s="851">
        <f t="shared" si="31"/>
        <v>433550726.26999992</v>
      </c>
      <c r="F314" s="851">
        <f t="shared" si="31"/>
        <v>435677948.4600001</v>
      </c>
      <c r="G314" s="851">
        <f t="shared" si="31"/>
        <v>438002491.9799999</v>
      </c>
      <c r="H314" s="851">
        <f t="shared" si="31"/>
        <v>440370689.00999999</v>
      </c>
      <c r="I314" s="851">
        <f t="shared" si="31"/>
        <v>442864908.75999993</v>
      </c>
      <c r="J314" s="851">
        <f t="shared" si="31"/>
        <v>451563907.74000007</v>
      </c>
      <c r="K314" s="851">
        <f t="shared" si="31"/>
        <v>453989805.66999996</v>
      </c>
      <c r="L314" s="851">
        <f t="shared" si="31"/>
        <v>456590580.15999997</v>
      </c>
      <c r="M314" s="851">
        <f t="shared" si="31"/>
        <v>459067539.16000009</v>
      </c>
      <c r="N314" s="851">
        <f t="shared" si="31"/>
        <v>464068049.40000004</v>
      </c>
      <c r="O314" s="851">
        <f t="shared" si="31"/>
        <v>443108766.46612531</v>
      </c>
    </row>
    <row r="319" spans="1:15">
      <c r="N319" s="183" t="s">
        <v>1365</v>
      </c>
    </row>
  </sheetData>
  <sortState ref="A74:O147">
    <sortCondition ref="A74:A147"/>
  </sortState>
  <phoneticPr fontId="74" type="noConversion"/>
  <pageMargins left="1" right="1" top="0" bottom="0" header="0.17" footer="0.16"/>
  <pageSetup paperSize="5" scale="52" fitToHeight="0" orientation="landscape" r:id="rId1"/>
  <headerFooter alignWithMargins="0"/>
  <rowBreaks count="1" manualBreakCount="1">
    <brk id="164" max="16383" man="1"/>
  </rowBreak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24"/>
  <sheetViews>
    <sheetView zoomScale="75" zoomScaleNormal="75" zoomScaleSheetLayoutView="75" workbookViewId="0">
      <pane xSplit="1" ySplit="3" topLeftCell="B4" activePane="bottomRight" state="frozen"/>
      <selection activeCell="C309" sqref="C309"/>
      <selection pane="topRight" activeCell="C309" sqref="C309"/>
      <selection pane="bottomLeft" activeCell="C309" sqref="C309"/>
      <selection pane="bottomRight" activeCell="L25" sqref="L25"/>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6" width="15.5703125" bestFit="1" customWidth="1"/>
    <col min="17" max="17" width="14" bestFit="1" customWidth="1"/>
  </cols>
  <sheetData>
    <row r="1" spans="1:17">
      <c r="A1" s="788" t="s">
        <v>657</v>
      </c>
    </row>
    <row r="2" spans="1:17">
      <c r="P2" s="157" t="s">
        <v>1100</v>
      </c>
    </row>
    <row r="3" spans="1:17">
      <c r="A3" s="145" t="s">
        <v>966</v>
      </c>
      <c r="B3" t="s">
        <v>28</v>
      </c>
      <c r="C3" s="914">
        <v>42369</v>
      </c>
      <c r="D3" s="914">
        <v>42400</v>
      </c>
      <c r="E3" s="914">
        <v>42428</v>
      </c>
      <c r="F3" s="914">
        <v>42456</v>
      </c>
      <c r="G3" s="914">
        <v>42484</v>
      </c>
      <c r="H3" s="914">
        <v>42512</v>
      </c>
      <c r="I3" s="914">
        <v>42540</v>
      </c>
      <c r="J3" s="914">
        <v>42568</v>
      </c>
      <c r="K3" s="914">
        <v>42596</v>
      </c>
      <c r="L3" s="914">
        <v>42624</v>
      </c>
      <c r="M3" s="914">
        <v>42652</v>
      </c>
      <c r="N3" s="914">
        <v>42680</v>
      </c>
      <c r="O3" s="914">
        <v>42708</v>
      </c>
      <c r="P3" s="913" t="s">
        <v>81</v>
      </c>
    </row>
    <row r="4" spans="1:17">
      <c r="A4" s="837" t="s">
        <v>869</v>
      </c>
    </row>
    <row r="5" spans="1:17">
      <c r="A5" t="s">
        <v>794</v>
      </c>
      <c r="B5" t="s">
        <v>33</v>
      </c>
      <c r="C5" s="1816">
        <v>3773860000</v>
      </c>
      <c r="D5" s="1816">
        <v>3773860000</v>
      </c>
      <c r="E5" s="1816">
        <v>3773860000</v>
      </c>
      <c r="F5" s="1816">
        <v>3773860000</v>
      </c>
      <c r="G5" s="1816">
        <v>3773860000</v>
      </c>
      <c r="H5" s="1816">
        <v>3773860000</v>
      </c>
      <c r="I5" s="1816">
        <v>3773860000</v>
      </c>
      <c r="J5" s="1816">
        <v>3773860000</v>
      </c>
      <c r="K5" s="1816">
        <v>3773860000</v>
      </c>
      <c r="L5" s="1816">
        <v>3773860000</v>
      </c>
      <c r="M5" s="1816">
        <v>3773860000</v>
      </c>
      <c r="N5" s="1816">
        <v>3773860000</v>
      </c>
      <c r="O5" s="1816">
        <v>3773860000</v>
      </c>
      <c r="P5" s="838">
        <f>AVERAGE(C5:O5)</f>
        <v>3773860000</v>
      </c>
      <c r="Q5" s="107"/>
    </row>
    <row r="6" spans="1:17">
      <c r="A6" t="s">
        <v>796</v>
      </c>
      <c r="B6" t="s">
        <v>34</v>
      </c>
      <c r="C6" s="1816"/>
      <c r="D6" s="1816">
        <v>0</v>
      </c>
      <c r="E6" s="1816">
        <v>0</v>
      </c>
      <c r="F6" s="1816">
        <v>0</v>
      </c>
      <c r="G6" s="1816">
        <v>0</v>
      </c>
      <c r="H6" s="1816">
        <v>0</v>
      </c>
      <c r="I6" s="1816">
        <v>0</v>
      </c>
      <c r="J6" s="1816">
        <v>0</v>
      </c>
      <c r="K6" s="1816">
        <v>0</v>
      </c>
      <c r="L6" s="1816">
        <v>0</v>
      </c>
      <c r="M6" s="1816">
        <v>0</v>
      </c>
      <c r="N6" s="1816">
        <v>0</v>
      </c>
      <c r="O6" s="1865">
        <v>0</v>
      </c>
      <c r="P6" s="838">
        <f>AVERAGE(C6:O6)</f>
        <v>0</v>
      </c>
      <c r="Q6" s="838"/>
    </row>
    <row r="7" spans="1:17">
      <c r="C7" s="838"/>
      <c r="D7" s="838"/>
      <c r="E7" s="838"/>
      <c r="F7" s="838"/>
      <c r="G7" s="838"/>
      <c r="H7" s="838"/>
      <c r="I7" s="838"/>
      <c r="J7" s="838"/>
      <c r="K7" s="838"/>
      <c r="L7" s="838"/>
      <c r="M7" s="838"/>
      <c r="N7" s="838"/>
      <c r="O7" s="838"/>
      <c r="P7" s="838"/>
    </row>
    <row r="8" spans="1:17">
      <c r="A8" t="s">
        <v>795</v>
      </c>
      <c r="B8" t="s">
        <v>29</v>
      </c>
      <c r="C8" s="1816"/>
      <c r="D8" s="1816">
        <v>0</v>
      </c>
      <c r="E8" s="1816">
        <v>0</v>
      </c>
      <c r="F8" s="1816">
        <v>0</v>
      </c>
      <c r="G8" s="1816">
        <v>0</v>
      </c>
      <c r="H8" s="1816">
        <v>0</v>
      </c>
      <c r="I8" s="1816">
        <v>0</v>
      </c>
      <c r="J8" s="1816">
        <v>0</v>
      </c>
      <c r="K8" s="1816">
        <v>0</v>
      </c>
      <c r="L8" s="1816">
        <v>0</v>
      </c>
      <c r="M8" s="1816">
        <v>0</v>
      </c>
      <c r="N8" s="1816">
        <v>0</v>
      </c>
      <c r="O8" s="1816">
        <v>0</v>
      </c>
      <c r="P8" s="838">
        <f>AVERAGE(C8:O8)</f>
        <v>0</v>
      </c>
    </row>
    <row r="9" spans="1:17">
      <c r="A9" t="s">
        <v>797</v>
      </c>
      <c r="B9" t="s">
        <v>35</v>
      </c>
      <c r="C9" s="1817"/>
      <c r="D9" s="1817">
        <v>0</v>
      </c>
      <c r="E9" s="1817">
        <v>0</v>
      </c>
      <c r="F9" s="1817">
        <v>0</v>
      </c>
      <c r="G9" s="1817">
        <v>0</v>
      </c>
      <c r="H9" s="1817">
        <v>0</v>
      </c>
      <c r="I9" s="1817">
        <v>0</v>
      </c>
      <c r="J9" s="1817">
        <v>0</v>
      </c>
      <c r="K9" s="1817">
        <v>0</v>
      </c>
      <c r="L9" s="1817">
        <v>0</v>
      </c>
      <c r="M9" s="1817">
        <v>0</v>
      </c>
      <c r="N9" s="1817">
        <v>0</v>
      </c>
      <c r="O9" s="1817">
        <v>0</v>
      </c>
      <c r="P9" s="838">
        <f>AVERAGE(C9:O9)</f>
        <v>0</v>
      </c>
    </row>
    <row r="10" spans="1:17">
      <c r="A10" s="144" t="s">
        <v>789</v>
      </c>
      <c r="C10" s="1771"/>
      <c r="D10" s="1769"/>
      <c r="E10" s="1769"/>
      <c r="F10" s="1769"/>
      <c r="G10" s="1769"/>
      <c r="H10" s="1769"/>
      <c r="I10" s="1769"/>
      <c r="J10" s="1769"/>
      <c r="K10" s="1769"/>
      <c r="L10" s="1769"/>
      <c r="M10" s="1769"/>
      <c r="N10" s="1769"/>
      <c r="O10" s="1769"/>
      <c r="P10" s="839">
        <f>SUM(P5:P9)</f>
        <v>3773860000</v>
      </c>
    </row>
    <row r="11" spans="1:17">
      <c r="C11" s="1771"/>
      <c r="D11" s="1769"/>
      <c r="E11" s="1769"/>
      <c r="F11" s="1769"/>
      <c r="G11" s="1769"/>
      <c r="H11" s="1769"/>
      <c r="I11" s="1769"/>
      <c r="J11" s="1769"/>
      <c r="K11" s="1769"/>
      <c r="L11" s="1769"/>
      <c r="M11" s="1769"/>
      <c r="N11" s="1769"/>
      <c r="O11" s="1769"/>
      <c r="P11" s="838"/>
    </row>
    <row r="12" spans="1:17">
      <c r="A12" t="s">
        <v>798</v>
      </c>
      <c r="B12" t="s">
        <v>36</v>
      </c>
      <c r="C12" s="1816">
        <v>-1887064.4</v>
      </c>
      <c r="D12" s="1816">
        <v>-1881710.05</v>
      </c>
      <c r="E12" s="1816">
        <v>-1876355.7</v>
      </c>
      <c r="F12" s="1816">
        <v>-1871001.35</v>
      </c>
      <c r="G12" s="1816">
        <v>-1865647</v>
      </c>
      <c r="H12" s="1816">
        <v>-1860292.65</v>
      </c>
      <c r="I12" s="1816">
        <v>-1854938.3</v>
      </c>
      <c r="J12" s="1816">
        <v>-1849583.95</v>
      </c>
      <c r="K12" s="1816">
        <v>-1844229.6</v>
      </c>
      <c r="L12" s="1816">
        <v>-1838875.25</v>
      </c>
      <c r="M12" s="1816">
        <v>-1833520.9</v>
      </c>
      <c r="N12" s="1816">
        <v>-1828166.55</v>
      </c>
      <c r="O12" s="1816">
        <v>-1822812.2</v>
      </c>
      <c r="P12" s="838">
        <f>AVERAGE(C12:O12)</f>
        <v>-1854938.2999999998</v>
      </c>
    </row>
    <row r="13" spans="1:17">
      <c r="A13" t="s">
        <v>799</v>
      </c>
      <c r="B13" t="s">
        <v>37</v>
      </c>
      <c r="C13" s="1816">
        <v>-30022059.649999999</v>
      </c>
      <c r="D13" s="1816">
        <v>-29781146.489999998</v>
      </c>
      <c r="E13" s="1816">
        <v>-29540233.329999998</v>
      </c>
      <c r="F13" s="1816">
        <v>-29299320.170000002</v>
      </c>
      <c r="G13" s="1816">
        <v>-29058407.010000002</v>
      </c>
      <c r="H13" s="1816">
        <v>-28821247.920000002</v>
      </c>
      <c r="I13" s="1816">
        <v>-28581698.84</v>
      </c>
      <c r="J13" s="1816">
        <v>-28343648.739999998</v>
      </c>
      <c r="K13" s="1816">
        <v>-28103890.640000001</v>
      </c>
      <c r="L13" s="1816">
        <v>-27866389.539999999</v>
      </c>
      <c r="M13" s="1816">
        <v>-27627302.440000001</v>
      </c>
      <c r="N13" s="1816">
        <v>-27387801.359999999</v>
      </c>
      <c r="O13" s="1816">
        <v>-27151032.260000002</v>
      </c>
      <c r="P13" s="838">
        <f>AVERAGE(C13:O13)</f>
        <v>-28583398.337692313</v>
      </c>
    </row>
    <row r="14" spans="1:17">
      <c r="A14" t="s">
        <v>800</v>
      </c>
      <c r="B14" t="s">
        <v>38</v>
      </c>
      <c r="C14" s="1818">
        <v>-44984230.549999997</v>
      </c>
      <c r="D14" s="1816">
        <v>-44751718.189999998</v>
      </c>
      <c r="E14" s="1816">
        <v>-44519205.829999998</v>
      </c>
      <c r="F14" s="1818">
        <v>-44286693.469999999</v>
      </c>
      <c r="G14" s="1818">
        <v>-44054181.109999999</v>
      </c>
      <c r="H14" s="1818">
        <v>-43821668.75</v>
      </c>
      <c r="I14" s="1818">
        <v>-43589156.390000001</v>
      </c>
      <c r="J14" s="1818">
        <v>-43356644.030000001</v>
      </c>
      <c r="K14" s="1818">
        <v>-43124131.670000002</v>
      </c>
      <c r="L14" s="1818">
        <v>-42891619.310000002</v>
      </c>
      <c r="M14" s="1818">
        <v>-42659106.950000003</v>
      </c>
      <c r="N14" s="1818">
        <v>-42427332.590000004</v>
      </c>
      <c r="O14" s="1818">
        <v>-42196348.229999997</v>
      </c>
      <c r="P14" s="838">
        <f>AVERAGE(C14:O14)</f>
        <v>-43589387.466923073</v>
      </c>
    </row>
    <row r="15" spans="1:17">
      <c r="A15" t="s">
        <v>801</v>
      </c>
      <c r="B15" t="s">
        <v>30</v>
      </c>
      <c r="C15" s="1818">
        <v>0</v>
      </c>
      <c r="D15" s="1816">
        <v>0</v>
      </c>
      <c r="E15" s="1816">
        <v>0</v>
      </c>
      <c r="F15" s="1818">
        <v>0</v>
      </c>
      <c r="G15" s="1818">
        <v>0</v>
      </c>
      <c r="H15" s="1818">
        <v>0</v>
      </c>
      <c r="I15" s="1818">
        <v>0</v>
      </c>
      <c r="J15" s="1818">
        <v>0</v>
      </c>
      <c r="K15" s="1818">
        <v>0</v>
      </c>
      <c r="M15" s="1818">
        <v>0</v>
      </c>
      <c r="N15" s="1818">
        <v>0</v>
      </c>
      <c r="O15" s="1818">
        <v>0</v>
      </c>
      <c r="P15" s="838">
        <f>AVERAGE(C15:O15)</f>
        <v>0</v>
      </c>
    </row>
    <row r="16" spans="1:17">
      <c r="A16" t="s">
        <v>802</v>
      </c>
      <c r="B16" t="s">
        <v>31</v>
      </c>
      <c r="C16" s="1817">
        <v>0</v>
      </c>
      <c r="D16" s="1817">
        <v>0</v>
      </c>
      <c r="E16" s="1817">
        <v>0</v>
      </c>
      <c r="F16" s="1817">
        <v>0</v>
      </c>
      <c r="G16" s="1817">
        <v>0</v>
      </c>
      <c r="H16" s="1817">
        <v>0</v>
      </c>
      <c r="I16" s="1817">
        <v>0</v>
      </c>
      <c r="J16" s="1817">
        <v>0</v>
      </c>
      <c r="K16" s="1817">
        <v>0</v>
      </c>
      <c r="L16" s="145"/>
      <c r="M16" s="1817">
        <v>0</v>
      </c>
      <c r="N16" s="1817">
        <v>0</v>
      </c>
      <c r="O16" s="1817">
        <v>0</v>
      </c>
      <c r="P16" s="838">
        <f>AVERAGE(C16:O16)</f>
        <v>0</v>
      </c>
    </row>
    <row r="17" spans="1:18">
      <c r="A17" s="144" t="s">
        <v>790</v>
      </c>
      <c r="C17" s="107"/>
      <c r="D17" s="107"/>
      <c r="E17" s="107"/>
      <c r="F17" s="107"/>
      <c r="G17" s="107"/>
      <c r="H17" s="107"/>
      <c r="I17" s="107"/>
      <c r="J17" s="107"/>
      <c r="K17" s="107"/>
      <c r="L17" s="107"/>
      <c r="M17" s="107"/>
      <c r="N17" s="107"/>
      <c r="O17" s="107"/>
      <c r="P17" s="839">
        <f>SUM(P10:P16)</f>
        <v>3699832275.8953843</v>
      </c>
    </row>
    <row r="18" spans="1:18">
      <c r="C18" s="107"/>
      <c r="D18" s="107"/>
      <c r="E18" s="107"/>
      <c r="F18" s="107"/>
      <c r="G18" s="107"/>
      <c r="H18" s="107"/>
      <c r="I18" s="107"/>
      <c r="J18" s="107"/>
      <c r="K18" s="107"/>
      <c r="L18" s="107"/>
      <c r="M18" s="107"/>
      <c r="N18" s="107"/>
      <c r="O18" s="107"/>
      <c r="P18" s="838"/>
    </row>
    <row r="19" spans="1:18">
      <c r="A19" s="837" t="s">
        <v>803</v>
      </c>
      <c r="C19" s="107"/>
      <c r="D19" s="1816"/>
      <c r="E19" s="1816"/>
      <c r="F19" s="1816"/>
      <c r="G19" s="1816"/>
      <c r="H19" s="1816"/>
      <c r="I19" s="1816"/>
      <c r="J19" s="1816"/>
      <c r="K19" s="1816"/>
      <c r="L19" s="1816"/>
      <c r="M19" s="1816"/>
      <c r="N19" s="1816"/>
      <c r="O19" s="1816"/>
      <c r="P19" s="838"/>
    </row>
    <row r="20" spans="1:18">
      <c r="A20" s="183" t="s">
        <v>1155</v>
      </c>
      <c r="C20" s="1498"/>
      <c r="D20" s="1816">
        <v>18178069.5</v>
      </c>
      <c r="E20" s="1816">
        <v>18178069.5</v>
      </c>
      <c r="F20" s="1816">
        <v>18178069.5</v>
      </c>
      <c r="G20" s="1816">
        <v>18178069.5</v>
      </c>
      <c r="H20" s="1816">
        <v>18178069.5</v>
      </c>
      <c r="I20" s="1816">
        <v>18178069.5</v>
      </c>
      <c r="J20" s="1816">
        <v>18178069.5</v>
      </c>
      <c r="K20" s="1816">
        <v>18178069.5</v>
      </c>
      <c r="L20" s="1816">
        <v>18178069.5</v>
      </c>
      <c r="M20" s="1816">
        <v>18178069.5</v>
      </c>
      <c r="N20" s="1816">
        <v>18178069.5</v>
      </c>
      <c r="O20" s="1816">
        <v>18178069.5</v>
      </c>
      <c r="P20" s="838">
        <f>SUM(C20:O20)</f>
        <v>218136834</v>
      </c>
    </row>
    <row r="21" spans="1:18">
      <c r="A21" s="183" t="s">
        <v>826</v>
      </c>
      <c r="C21" s="1498"/>
      <c r="D21" s="1816">
        <v>-59224</v>
      </c>
      <c r="E21" s="1816">
        <v>-59224</v>
      </c>
      <c r="F21" s="1816">
        <v>-59224</v>
      </c>
      <c r="G21" s="1816">
        <v>-59224</v>
      </c>
      <c r="H21" s="1816">
        <v>-59224</v>
      </c>
      <c r="I21" s="1816">
        <v>-59224</v>
      </c>
      <c r="J21" s="1816">
        <v>-59224</v>
      </c>
      <c r="K21" s="1816">
        <v>-59224</v>
      </c>
      <c r="L21" s="1816">
        <v>-59224</v>
      </c>
      <c r="M21" s="1816">
        <v>-59224</v>
      </c>
      <c r="N21" s="1816">
        <v>-59224</v>
      </c>
      <c r="O21" s="1816">
        <v>-59224</v>
      </c>
      <c r="P21" s="838">
        <f t="shared" ref="P21:P28" si="0">SUM(C21:O21)</f>
        <v>-710688</v>
      </c>
      <c r="Q21" s="849"/>
    </row>
    <row r="22" spans="1:18">
      <c r="A22" s="183" t="s">
        <v>827</v>
      </c>
      <c r="C22" s="1498"/>
      <c r="D22" s="1816">
        <v>98084</v>
      </c>
      <c r="E22" s="1816">
        <v>98084</v>
      </c>
      <c r="F22" s="1816">
        <v>98084</v>
      </c>
      <c r="G22" s="1816">
        <v>98084</v>
      </c>
      <c r="H22" s="1816">
        <v>98084</v>
      </c>
      <c r="I22" s="1816">
        <v>98084</v>
      </c>
      <c r="J22" s="1816">
        <v>98084</v>
      </c>
      <c r="K22" s="1816">
        <v>98084</v>
      </c>
      <c r="L22" s="1816">
        <v>98084</v>
      </c>
      <c r="M22" s="1816">
        <v>98084</v>
      </c>
      <c r="N22" s="1816">
        <v>98084</v>
      </c>
      <c r="O22" s="1816">
        <v>98084</v>
      </c>
      <c r="P22" s="838">
        <f t="shared" si="0"/>
        <v>1177008</v>
      </c>
      <c r="Q22" s="849"/>
    </row>
    <row r="23" spans="1:18">
      <c r="A23" s="183" t="s">
        <v>1265</v>
      </c>
      <c r="C23" s="1498"/>
      <c r="D23" s="1816">
        <v>1777</v>
      </c>
      <c r="E23" s="1816">
        <v>1777</v>
      </c>
      <c r="F23" s="1816">
        <v>1777</v>
      </c>
      <c r="G23" s="1816">
        <v>1777</v>
      </c>
      <c r="H23" s="1816">
        <v>1777</v>
      </c>
      <c r="I23" s="1816">
        <v>1777</v>
      </c>
      <c r="J23" s="1816">
        <v>1777</v>
      </c>
      <c r="K23" s="1816">
        <v>1777</v>
      </c>
      <c r="L23" s="1816">
        <v>1777</v>
      </c>
      <c r="M23" s="1816">
        <v>1777</v>
      </c>
      <c r="N23" s="1816">
        <v>1777</v>
      </c>
      <c r="O23" s="1816">
        <v>1777</v>
      </c>
      <c r="P23" s="838">
        <f t="shared" si="0"/>
        <v>21324</v>
      </c>
      <c r="Q23" s="849"/>
    </row>
    <row r="24" spans="1:18">
      <c r="A24" s="176" t="s">
        <v>1000</v>
      </c>
      <c r="B24" t="s">
        <v>32</v>
      </c>
      <c r="C24" s="1498"/>
      <c r="D24" s="1816">
        <v>18137432.5</v>
      </c>
      <c r="E24" s="1816">
        <v>18137432.5</v>
      </c>
      <c r="F24" s="1816">
        <v>18137432.5</v>
      </c>
      <c r="G24" s="1816">
        <v>18137432.5</v>
      </c>
      <c r="H24" s="1816">
        <v>18137432.5</v>
      </c>
      <c r="I24" s="1816">
        <v>18137432.5</v>
      </c>
      <c r="J24" s="1816">
        <v>18137432.5</v>
      </c>
      <c r="K24" s="1816">
        <v>18137432.5</v>
      </c>
      <c r="L24" s="1816">
        <v>18137432.5</v>
      </c>
      <c r="M24" s="1816">
        <v>18137432.5</v>
      </c>
      <c r="N24" s="1816">
        <v>18137432.5</v>
      </c>
      <c r="O24" s="1816">
        <v>18137432.5</v>
      </c>
      <c r="P24" s="107">
        <f>SUM(C24:O24)</f>
        <v>217649190</v>
      </c>
      <c r="Q24" s="125"/>
      <c r="R24" s="838"/>
    </row>
    <row r="25" spans="1:18">
      <c r="A25" t="s">
        <v>804</v>
      </c>
      <c r="B25" t="s">
        <v>39</v>
      </c>
      <c r="C25" s="1498"/>
      <c r="D25" s="1816">
        <v>246267.51</v>
      </c>
      <c r="E25" s="1816">
        <v>246267.51</v>
      </c>
      <c r="F25" s="1816">
        <v>246267.51</v>
      </c>
      <c r="G25" s="1816">
        <v>246267.51</v>
      </c>
      <c r="H25" s="1816">
        <v>246271.45</v>
      </c>
      <c r="I25" s="1816">
        <v>246271.45</v>
      </c>
      <c r="J25" s="1816">
        <v>246271.45</v>
      </c>
      <c r="K25" s="1816">
        <v>246271.45</v>
      </c>
      <c r="L25" s="1816">
        <v>246271.45</v>
      </c>
      <c r="M25" s="1816">
        <v>246271.45</v>
      </c>
      <c r="N25" s="1816">
        <v>246271.45</v>
      </c>
      <c r="O25" s="1816">
        <v>246271.45</v>
      </c>
      <c r="P25" s="107">
        <f>SUM(C25:O25)</f>
        <v>2955241.6400000006</v>
      </c>
      <c r="Q25" s="838"/>
    </row>
    <row r="26" spans="1:18">
      <c r="A26" t="s">
        <v>805</v>
      </c>
      <c r="B26" t="s">
        <v>40</v>
      </c>
      <c r="C26" s="1498"/>
      <c r="D26" s="1816">
        <v>232512.36</v>
      </c>
      <c r="E26" s="1816">
        <v>232512.36</v>
      </c>
      <c r="F26" s="1816">
        <v>232512.36</v>
      </c>
      <c r="G26" s="1816">
        <v>232512.36</v>
      </c>
      <c r="H26" s="1816">
        <v>232512.36</v>
      </c>
      <c r="I26" s="1816">
        <v>232512.36</v>
      </c>
      <c r="J26" s="1816">
        <v>232512.36</v>
      </c>
      <c r="K26" s="1816">
        <v>232512.36</v>
      </c>
      <c r="L26" s="1816">
        <v>232512.36</v>
      </c>
      <c r="M26" s="1816">
        <v>232512.36</v>
      </c>
      <c r="N26" s="1816">
        <v>231774.36</v>
      </c>
      <c r="O26" s="1816">
        <v>230984.36</v>
      </c>
      <c r="P26" s="107">
        <f t="shared" si="0"/>
        <v>2787882.3199999989</v>
      </c>
      <c r="Q26" s="451"/>
    </row>
    <row r="27" spans="1:18">
      <c r="A27" t="s">
        <v>807</v>
      </c>
      <c r="B27" t="s">
        <v>41</v>
      </c>
      <c r="C27" s="1498"/>
      <c r="D27" s="1816">
        <v>0</v>
      </c>
      <c r="E27" s="1816">
        <v>0</v>
      </c>
      <c r="F27" s="1816">
        <v>0</v>
      </c>
      <c r="G27" s="1816">
        <v>0</v>
      </c>
      <c r="H27" s="1816">
        <v>0</v>
      </c>
      <c r="I27" s="1816">
        <v>0</v>
      </c>
      <c r="J27" s="1816">
        <v>0</v>
      </c>
      <c r="K27" s="1816">
        <v>0</v>
      </c>
      <c r="L27" s="1816">
        <v>0</v>
      </c>
      <c r="M27" s="1816">
        <v>0</v>
      </c>
      <c r="N27" s="1816">
        <v>0</v>
      </c>
      <c r="O27" s="1816">
        <v>0</v>
      </c>
      <c r="P27" s="838">
        <f t="shared" si="0"/>
        <v>0</v>
      </c>
    </row>
    <row r="28" spans="1:18">
      <c r="A28" t="s">
        <v>808</v>
      </c>
      <c r="B28" t="s">
        <v>42</v>
      </c>
      <c r="C28" s="1498"/>
      <c r="D28" s="1817">
        <v>0</v>
      </c>
      <c r="E28" s="1817">
        <v>0</v>
      </c>
      <c r="F28" s="1817">
        <v>0</v>
      </c>
      <c r="G28" s="1817">
        <v>0</v>
      </c>
      <c r="H28" s="1817">
        <v>0</v>
      </c>
      <c r="I28" s="1817">
        <v>0</v>
      </c>
      <c r="J28" s="1817">
        <v>0</v>
      </c>
      <c r="K28" s="1817">
        <v>0</v>
      </c>
      <c r="L28" s="1817">
        <v>0</v>
      </c>
      <c r="M28" s="1817">
        <v>0</v>
      </c>
      <c r="N28" s="1817">
        <v>0</v>
      </c>
      <c r="O28" s="1817">
        <v>0</v>
      </c>
      <c r="P28" s="838">
        <f t="shared" si="0"/>
        <v>0</v>
      </c>
    </row>
    <row r="29" spans="1:18">
      <c r="A29" s="144" t="s">
        <v>791</v>
      </c>
      <c r="C29" s="107"/>
      <c r="D29" s="1818"/>
      <c r="E29" s="1818"/>
      <c r="F29" s="1818"/>
      <c r="G29" s="1818"/>
      <c r="H29" s="1818"/>
      <c r="I29" s="1818"/>
      <c r="J29" s="1818"/>
      <c r="K29" s="1818"/>
      <c r="L29" s="1818"/>
      <c r="M29" s="1818"/>
      <c r="N29" s="1818"/>
      <c r="O29" s="1818"/>
      <c r="P29" s="839">
        <f>SUM(P24:P28)</f>
        <v>223392313.95999998</v>
      </c>
    </row>
    <row r="30" spans="1:18">
      <c r="C30" s="107"/>
      <c r="D30" s="146"/>
      <c r="E30" s="146"/>
      <c r="F30" s="146"/>
      <c r="G30" s="146"/>
      <c r="H30" s="146"/>
      <c r="I30" s="146"/>
      <c r="J30" s="146"/>
      <c r="K30" s="146"/>
      <c r="L30" s="146"/>
      <c r="M30" s="146"/>
      <c r="N30" s="146"/>
      <c r="O30" s="146"/>
      <c r="P30" s="838"/>
    </row>
    <row r="31" spans="1:18">
      <c r="A31" s="837" t="s">
        <v>809</v>
      </c>
      <c r="C31" s="107"/>
      <c r="D31" s="146"/>
      <c r="E31" s="146"/>
      <c r="F31" s="146"/>
      <c r="G31" s="146"/>
      <c r="H31" s="146"/>
      <c r="I31" s="146"/>
      <c r="J31" s="146"/>
      <c r="K31" s="146"/>
      <c r="L31" s="146"/>
      <c r="M31" s="146"/>
      <c r="N31" s="146"/>
      <c r="O31" s="146"/>
      <c r="P31" s="838"/>
    </row>
    <row r="32" spans="1:18">
      <c r="A32" t="s">
        <v>810</v>
      </c>
      <c r="B32" t="s">
        <v>43</v>
      </c>
      <c r="C32" s="1816">
        <v>0</v>
      </c>
      <c r="D32" s="1816">
        <v>0</v>
      </c>
      <c r="E32" s="1816">
        <v>0</v>
      </c>
      <c r="F32" s="1816">
        <v>0</v>
      </c>
      <c r="G32" s="1816">
        <v>0</v>
      </c>
      <c r="H32" s="1816">
        <v>0</v>
      </c>
      <c r="I32" s="1816">
        <v>0</v>
      </c>
      <c r="J32" s="1816">
        <v>0</v>
      </c>
      <c r="K32" s="1816">
        <v>0</v>
      </c>
      <c r="L32" s="1816">
        <v>0</v>
      </c>
      <c r="M32" s="1816">
        <v>0</v>
      </c>
      <c r="N32" s="1816">
        <v>0</v>
      </c>
      <c r="O32" s="1816">
        <v>0</v>
      </c>
      <c r="P32" s="838">
        <f>AVERAGE(C32:O32)</f>
        <v>0</v>
      </c>
    </row>
    <row r="33" spans="1:16">
      <c r="A33" t="s">
        <v>811</v>
      </c>
      <c r="B33" t="s">
        <v>44</v>
      </c>
      <c r="C33" s="1816">
        <v>0</v>
      </c>
      <c r="D33" s="1816">
        <v>0</v>
      </c>
      <c r="E33" s="1816">
        <v>0</v>
      </c>
      <c r="F33" s="1816">
        <v>0</v>
      </c>
      <c r="G33" s="1816">
        <v>0</v>
      </c>
      <c r="H33" s="1816">
        <v>0</v>
      </c>
      <c r="I33" s="1816">
        <v>0</v>
      </c>
      <c r="J33" s="1816">
        <v>0</v>
      </c>
      <c r="K33" s="1816">
        <v>0</v>
      </c>
      <c r="L33" s="1816">
        <v>0</v>
      </c>
      <c r="M33" s="1816">
        <v>0</v>
      </c>
      <c r="N33" s="1816">
        <v>0</v>
      </c>
      <c r="O33" s="1816">
        <v>0</v>
      </c>
      <c r="P33" s="838">
        <f>AVERAGE(C33:O33)</f>
        <v>0</v>
      </c>
    </row>
    <row r="34" spans="1:16">
      <c r="A34" t="s">
        <v>812</v>
      </c>
      <c r="B34" t="s">
        <v>45</v>
      </c>
      <c r="C34" s="1816">
        <v>0</v>
      </c>
      <c r="D34" s="1816">
        <v>0</v>
      </c>
      <c r="E34" s="1816">
        <v>0</v>
      </c>
      <c r="F34" s="1816">
        <v>0</v>
      </c>
      <c r="G34" s="1816">
        <v>0</v>
      </c>
      <c r="H34" s="1816">
        <v>0</v>
      </c>
      <c r="I34" s="1816">
        <v>0</v>
      </c>
      <c r="J34" s="1816">
        <v>0</v>
      </c>
      <c r="K34" s="1816">
        <v>0</v>
      </c>
      <c r="L34" s="1816">
        <v>0</v>
      </c>
      <c r="M34" s="1816">
        <v>0</v>
      </c>
      <c r="N34" s="1816">
        <v>0</v>
      </c>
      <c r="O34" s="1816">
        <v>0</v>
      </c>
      <c r="P34" s="838">
        <f t="shared" ref="P34:P39" si="1">AVERAGE(C34:O34)</f>
        <v>0</v>
      </c>
    </row>
    <row r="35" spans="1:16">
      <c r="A35" t="s">
        <v>53</v>
      </c>
      <c r="B35" t="s">
        <v>46</v>
      </c>
      <c r="C35" s="1816">
        <v>0</v>
      </c>
      <c r="D35" s="1816">
        <v>0</v>
      </c>
      <c r="E35" s="1816">
        <v>0</v>
      </c>
      <c r="F35" s="1816">
        <v>0</v>
      </c>
      <c r="G35" s="1816">
        <v>0</v>
      </c>
      <c r="H35" s="1816">
        <v>0</v>
      </c>
      <c r="I35" s="1816">
        <v>0</v>
      </c>
      <c r="J35" s="1816">
        <v>0</v>
      </c>
      <c r="K35" s="1816">
        <v>0</v>
      </c>
      <c r="L35" s="1816">
        <v>0</v>
      </c>
      <c r="M35" s="1816">
        <v>0</v>
      </c>
      <c r="N35" s="1816">
        <v>0</v>
      </c>
      <c r="O35" s="1816">
        <v>0</v>
      </c>
      <c r="P35" s="838">
        <f t="shared" si="1"/>
        <v>0</v>
      </c>
    </row>
    <row r="36" spans="1:16">
      <c r="A36" t="s">
        <v>813</v>
      </c>
      <c r="B36" t="s">
        <v>47</v>
      </c>
      <c r="C36" s="1816">
        <v>0</v>
      </c>
      <c r="D36" s="1816">
        <v>0</v>
      </c>
      <c r="E36" s="1816">
        <v>0</v>
      </c>
      <c r="F36" s="1816">
        <v>0</v>
      </c>
      <c r="G36" s="1816">
        <v>0</v>
      </c>
      <c r="H36" s="1816">
        <v>0</v>
      </c>
      <c r="I36" s="1816">
        <v>0</v>
      </c>
      <c r="J36" s="1816">
        <v>0</v>
      </c>
      <c r="K36" s="1816">
        <v>0</v>
      </c>
      <c r="L36" s="1816">
        <v>0</v>
      </c>
      <c r="M36" s="1816">
        <v>0</v>
      </c>
      <c r="N36" s="1816">
        <v>0</v>
      </c>
      <c r="O36" s="1816">
        <v>0</v>
      </c>
      <c r="P36" s="838">
        <f t="shared" si="1"/>
        <v>0</v>
      </c>
    </row>
    <row r="37" spans="1:16">
      <c r="A37" t="s">
        <v>814</v>
      </c>
      <c r="B37" s="2" t="s">
        <v>52</v>
      </c>
      <c r="C37" s="1817">
        <v>0</v>
      </c>
      <c r="D37" s="1817">
        <v>0</v>
      </c>
      <c r="E37" s="1817">
        <v>0</v>
      </c>
      <c r="F37" s="1817">
        <v>0</v>
      </c>
      <c r="G37" s="1817">
        <v>0</v>
      </c>
      <c r="H37" s="1817">
        <v>0</v>
      </c>
      <c r="I37" s="1817">
        <v>0</v>
      </c>
      <c r="J37" s="1817">
        <v>0</v>
      </c>
      <c r="K37" s="1817">
        <v>0</v>
      </c>
      <c r="L37" s="1817">
        <v>0</v>
      </c>
      <c r="M37" s="1817">
        <v>0</v>
      </c>
      <c r="N37" s="1817">
        <v>0</v>
      </c>
      <c r="O37" s="1817">
        <v>0</v>
      </c>
      <c r="P37" s="1866">
        <f t="shared" si="1"/>
        <v>0</v>
      </c>
    </row>
    <row r="38" spans="1:16">
      <c r="A38" s="144" t="s">
        <v>815</v>
      </c>
      <c r="C38" s="107"/>
      <c r="D38" s="107"/>
      <c r="E38" s="107"/>
      <c r="F38" s="107"/>
      <c r="G38" s="107"/>
      <c r="H38" s="107"/>
      <c r="I38" s="107"/>
      <c r="J38" s="107"/>
      <c r="K38" s="107"/>
      <c r="L38" s="107"/>
      <c r="M38" s="107"/>
      <c r="N38" s="107"/>
      <c r="O38" s="107"/>
      <c r="P38" s="838"/>
    </row>
    <row r="39" spans="1:16">
      <c r="A39" s="104" t="s">
        <v>792</v>
      </c>
      <c r="B39" t="s">
        <v>48</v>
      </c>
      <c r="C39" s="1771">
        <v>0</v>
      </c>
      <c r="D39" s="1771">
        <v>0</v>
      </c>
      <c r="E39" s="1771">
        <v>0</v>
      </c>
      <c r="F39" s="1771">
        <v>0</v>
      </c>
      <c r="G39" s="1771">
        <v>0</v>
      </c>
      <c r="H39" s="1771">
        <v>0</v>
      </c>
      <c r="I39" s="1771">
        <v>0</v>
      </c>
      <c r="J39" s="1771">
        <v>0</v>
      </c>
      <c r="K39" s="1771">
        <v>0</v>
      </c>
      <c r="L39" s="1771">
        <v>0</v>
      </c>
      <c r="M39" s="1771">
        <v>0</v>
      </c>
      <c r="N39" s="1771">
        <v>0</v>
      </c>
      <c r="O39" s="1771">
        <v>0</v>
      </c>
      <c r="P39" s="838">
        <f t="shared" si="1"/>
        <v>0</v>
      </c>
    </row>
    <row r="40" spans="1:16">
      <c r="C40" s="107"/>
      <c r="D40" s="107"/>
      <c r="E40" s="107"/>
      <c r="F40" s="107"/>
      <c r="G40" s="107"/>
      <c r="H40" s="107"/>
      <c r="I40" s="107"/>
      <c r="J40" s="107"/>
      <c r="K40" s="107"/>
      <c r="L40" s="107"/>
      <c r="M40" s="107"/>
      <c r="N40" s="107"/>
      <c r="O40" s="107"/>
      <c r="P40" s="838"/>
    </row>
    <row r="41" spans="1:16">
      <c r="A41" s="837" t="s">
        <v>856</v>
      </c>
      <c r="C41" s="107"/>
      <c r="D41" s="107"/>
      <c r="E41" s="107"/>
      <c r="F41" s="107"/>
      <c r="G41" s="107"/>
      <c r="H41" s="107"/>
      <c r="I41" s="107"/>
      <c r="J41" s="107"/>
      <c r="K41" s="107"/>
      <c r="L41" s="107"/>
      <c r="M41" s="107"/>
      <c r="N41" s="107"/>
      <c r="O41" s="107"/>
      <c r="P41" s="838"/>
    </row>
    <row r="42" spans="1:16">
      <c r="A42" t="s">
        <v>974</v>
      </c>
      <c r="B42" t="s">
        <v>49</v>
      </c>
      <c r="C42" s="125">
        <v>3362991533.9299994</v>
      </c>
      <c r="D42" s="125">
        <v>3417149763.2099996</v>
      </c>
      <c r="E42" s="125">
        <v>3452649773.2899995</v>
      </c>
      <c r="F42" s="125">
        <v>3454569110.9899993</v>
      </c>
      <c r="G42" s="125">
        <v>3490110249.0899997</v>
      </c>
      <c r="H42" s="125">
        <v>3502087819.3699994</v>
      </c>
      <c r="I42" s="125">
        <v>3476562281.3199997</v>
      </c>
      <c r="J42" s="125">
        <v>3478929474.2399998</v>
      </c>
      <c r="K42" s="125">
        <v>3484969439.5799994</v>
      </c>
      <c r="L42" s="125">
        <v>3431067745.8999996</v>
      </c>
      <c r="M42" s="125">
        <v>3456387937.9899998</v>
      </c>
      <c r="N42" s="125">
        <v>3483806426.9999995</v>
      </c>
      <c r="O42" s="125">
        <v>3490247850</v>
      </c>
      <c r="P42" s="838">
        <f>AVERAGE(C42:O42)</f>
        <v>3460117646.6084604</v>
      </c>
    </row>
    <row r="43" spans="1:16">
      <c r="A43" t="s">
        <v>816</v>
      </c>
      <c r="B43" t="s">
        <v>43</v>
      </c>
      <c r="C43" s="1771">
        <v>0</v>
      </c>
      <c r="D43" s="1771">
        <v>0</v>
      </c>
      <c r="E43" s="1771">
        <v>0</v>
      </c>
      <c r="F43" s="1771">
        <v>0</v>
      </c>
      <c r="G43" s="1771">
        <v>0</v>
      </c>
      <c r="H43" s="1771">
        <v>0</v>
      </c>
      <c r="I43" s="1771">
        <v>0</v>
      </c>
      <c r="J43" s="1771">
        <v>0</v>
      </c>
      <c r="K43" s="1771">
        <v>0</v>
      </c>
      <c r="L43" s="1771">
        <v>0</v>
      </c>
      <c r="M43" s="1771">
        <v>0</v>
      </c>
      <c r="N43" s="1771">
        <v>0</v>
      </c>
      <c r="O43" s="1771">
        <v>0</v>
      </c>
      <c r="P43" s="838">
        <f>AVERAGE(C43:O43)</f>
        <v>0</v>
      </c>
    </row>
    <row r="44" spans="1:16">
      <c r="A44" t="s">
        <v>817</v>
      </c>
      <c r="B44" t="s">
        <v>50</v>
      </c>
      <c r="C44" s="1771">
        <v>-14599821</v>
      </c>
      <c r="D44" s="1771">
        <v>-14599821</v>
      </c>
      <c r="E44" s="1771">
        <v>-14599821</v>
      </c>
      <c r="F44" s="1771">
        <v>-14756651</v>
      </c>
      <c r="G44" s="1771">
        <v>-14756651</v>
      </c>
      <c r="H44" s="1771">
        <v>-14756651</v>
      </c>
      <c r="I44" s="1771">
        <v>-14764536</v>
      </c>
      <c r="J44" s="1771">
        <v>-14764536</v>
      </c>
      <c r="K44" s="1771">
        <v>-14764536</v>
      </c>
      <c r="L44" s="1771">
        <v>-14852840</v>
      </c>
      <c r="M44" s="1771">
        <v>-14852840</v>
      </c>
      <c r="N44" s="1771">
        <v>-14852840</v>
      </c>
      <c r="O44" s="1771">
        <v>-14969706</v>
      </c>
      <c r="P44" s="838">
        <f>AVERAGE(C44:O44)</f>
        <v>-14760865.384615384</v>
      </c>
    </row>
    <row r="45" spans="1:16">
      <c r="A45" t="s">
        <v>818</v>
      </c>
      <c r="B45" t="s">
        <v>51</v>
      </c>
      <c r="C45" s="107">
        <v>-149548979.40000001</v>
      </c>
      <c r="D45" s="107">
        <v>-148742517.41</v>
      </c>
      <c r="E45" s="107">
        <v>-147936055.43000001</v>
      </c>
      <c r="F45" s="107">
        <v>-147129593.44</v>
      </c>
      <c r="G45" s="107">
        <v>-146323131.44999999</v>
      </c>
      <c r="H45" s="107">
        <v>-145516669.46000001</v>
      </c>
      <c r="I45" s="107">
        <v>-144710207.47999999</v>
      </c>
      <c r="J45" s="107">
        <v>-143903745.49000001</v>
      </c>
      <c r="K45" s="107">
        <v>-143097283.5</v>
      </c>
      <c r="L45" s="107">
        <v>-141989923.13</v>
      </c>
      <c r="M45" s="107">
        <v>-141182085.63999999</v>
      </c>
      <c r="N45" s="107">
        <v>-140374248.13</v>
      </c>
      <c r="O45" s="107">
        <v>-145509910.59999999</v>
      </c>
      <c r="P45" s="838">
        <f>AVERAGE(C45:O45)</f>
        <v>-145074180.81230769</v>
      </c>
    </row>
    <row r="46" spans="1:16">
      <c r="A46" s="144" t="s">
        <v>793</v>
      </c>
      <c r="C46" s="1104">
        <f>C42-C43-C44-C45</f>
        <v>3527140334.3299994</v>
      </c>
      <c r="D46" s="1104">
        <f t="shared" ref="D46:O46" si="2">D42-D43-D44-D45</f>
        <v>3580492101.6199994</v>
      </c>
      <c r="E46" s="1104">
        <f t="shared" si="2"/>
        <v>3615185649.7199993</v>
      </c>
      <c r="F46" s="1104">
        <f t="shared" si="2"/>
        <v>3616455355.4299994</v>
      </c>
      <c r="G46" s="1104">
        <f t="shared" si="2"/>
        <v>3651190031.5399995</v>
      </c>
      <c r="H46" s="1104">
        <f t="shared" si="2"/>
        <v>3662361139.8299994</v>
      </c>
      <c r="I46" s="1104">
        <f t="shared" si="2"/>
        <v>3636037024.7999997</v>
      </c>
      <c r="J46" s="1104">
        <f t="shared" si="2"/>
        <v>3637597755.7299995</v>
      </c>
      <c r="K46" s="1104">
        <f t="shared" si="2"/>
        <v>3642831259.0799994</v>
      </c>
      <c r="L46" s="1104">
        <f t="shared" si="2"/>
        <v>3587910509.0299997</v>
      </c>
      <c r="M46" s="1104">
        <f t="shared" si="2"/>
        <v>3612422863.6299996</v>
      </c>
      <c r="N46" s="1104">
        <f t="shared" si="2"/>
        <v>3639033515.1299996</v>
      </c>
      <c r="O46" s="1104">
        <f t="shared" si="2"/>
        <v>3650727466.5999999</v>
      </c>
      <c r="P46" s="839">
        <f>P42-P43-P44-P45</f>
        <v>3619952692.8053837</v>
      </c>
    </row>
    <row r="47" spans="1:16">
      <c r="C47" s="107"/>
      <c r="D47" s="107"/>
      <c r="E47" s="107"/>
      <c r="F47" s="107"/>
      <c r="G47" s="107"/>
      <c r="H47" s="107"/>
      <c r="I47" s="107"/>
      <c r="J47" s="107"/>
      <c r="K47" s="107"/>
      <c r="L47" s="107"/>
      <c r="M47" s="107"/>
      <c r="N47" s="107"/>
      <c r="O47" s="107"/>
      <c r="P47" s="838"/>
    </row>
    <row r="48" spans="1:16">
      <c r="C48" s="107"/>
      <c r="D48" s="107"/>
      <c r="E48" s="107"/>
      <c r="F48" s="107"/>
      <c r="G48" s="107"/>
      <c r="H48" s="107"/>
      <c r="I48" s="107"/>
      <c r="J48" s="107"/>
      <c r="K48" s="107"/>
      <c r="L48" s="107"/>
      <c r="M48" s="107"/>
      <c r="N48" s="107"/>
      <c r="O48" s="107"/>
      <c r="P48" s="838"/>
    </row>
    <row r="49" spans="1:17">
      <c r="A49" t="s">
        <v>974</v>
      </c>
      <c r="C49" s="107"/>
      <c r="D49" s="107"/>
      <c r="E49" s="107"/>
      <c r="F49" s="107"/>
      <c r="G49" s="107"/>
      <c r="H49" s="107"/>
      <c r="I49" s="107"/>
      <c r="J49" s="107"/>
      <c r="K49" s="107"/>
      <c r="L49" s="107"/>
      <c r="M49" s="107"/>
      <c r="N49" s="107"/>
      <c r="O49" s="107"/>
      <c r="P49" s="838"/>
    </row>
    <row r="50" spans="1:17">
      <c r="A50" t="s">
        <v>819</v>
      </c>
      <c r="B50" t="s">
        <v>54</v>
      </c>
      <c r="C50" s="1771">
        <v>859037.91</v>
      </c>
      <c r="D50" s="1770">
        <v>859037.91</v>
      </c>
      <c r="E50" s="1770">
        <v>859037.91</v>
      </c>
      <c r="F50" s="1770">
        <v>859037.91</v>
      </c>
      <c r="G50" s="1770">
        <v>859037.91</v>
      </c>
      <c r="H50" s="1770">
        <v>859037.91</v>
      </c>
      <c r="I50" s="1770">
        <v>859037.91</v>
      </c>
      <c r="J50" s="1770">
        <v>859037.91</v>
      </c>
      <c r="K50" s="1770">
        <v>859037.91</v>
      </c>
      <c r="L50" s="1770">
        <v>859037.91</v>
      </c>
      <c r="M50" s="1770">
        <v>859037.91</v>
      </c>
      <c r="N50" s="1770">
        <v>859037.91</v>
      </c>
      <c r="O50" s="1770">
        <v>859037.91</v>
      </c>
      <c r="P50" s="838">
        <f>AVERAGE(C50:O50)</f>
        <v>859037.91</v>
      </c>
    </row>
    <row r="51" spans="1:17">
      <c r="A51" t="s">
        <v>820</v>
      </c>
      <c r="B51" t="s">
        <v>56</v>
      </c>
      <c r="C51" s="1771">
        <v>478145250</v>
      </c>
      <c r="D51" s="1770">
        <v>478145250</v>
      </c>
      <c r="E51" s="1770">
        <v>478145250</v>
      </c>
      <c r="F51" s="1770">
        <v>478145250</v>
      </c>
      <c r="G51" s="1770">
        <v>478145250</v>
      </c>
      <c r="H51" s="1770">
        <v>478145250</v>
      </c>
      <c r="I51" s="1770">
        <v>478145250</v>
      </c>
      <c r="J51" s="1770">
        <v>478145250</v>
      </c>
      <c r="K51" s="1770">
        <v>478145250</v>
      </c>
      <c r="L51" s="1770">
        <v>478145250</v>
      </c>
      <c r="M51" s="1770">
        <v>478145250</v>
      </c>
      <c r="N51" s="1770">
        <v>478145250</v>
      </c>
      <c r="O51" s="1770">
        <v>478145250</v>
      </c>
      <c r="P51" s="838">
        <f>AVERAGE(C51:O51)</f>
        <v>478145250</v>
      </c>
    </row>
    <row r="52" spans="1:17">
      <c r="A52" t="s">
        <v>821</v>
      </c>
      <c r="B52" t="s">
        <v>46</v>
      </c>
      <c r="C52" s="1771">
        <v>2804096691.4699998</v>
      </c>
      <c r="D52" s="1770">
        <v>2804096691.4699998</v>
      </c>
      <c r="E52" s="1770">
        <v>2804096691.4699998</v>
      </c>
      <c r="F52" s="1770">
        <v>2804096691.4699998</v>
      </c>
      <c r="G52" s="1770">
        <v>2804096691.4699998</v>
      </c>
      <c r="H52" s="1770">
        <v>2804096691.4699998</v>
      </c>
      <c r="I52" s="1770">
        <v>2804096691.4699998</v>
      </c>
      <c r="J52" s="1770">
        <v>2804096691.4699998</v>
      </c>
      <c r="K52" s="1770">
        <v>2804096691.4699998</v>
      </c>
      <c r="L52" s="1770">
        <v>2804096691.4699998</v>
      </c>
      <c r="M52" s="1770">
        <v>2804096691.4699998</v>
      </c>
      <c r="N52" s="1770">
        <v>2804096691.4699998</v>
      </c>
      <c r="O52" s="1770">
        <v>2804096691.4699998</v>
      </c>
      <c r="P52" s="838">
        <f>AVERAGE(C52:O52)</f>
        <v>2804096691.4700003</v>
      </c>
    </row>
    <row r="53" spans="1:17">
      <c r="A53" t="s">
        <v>538</v>
      </c>
      <c r="B53" t="s">
        <v>47</v>
      </c>
      <c r="C53" s="107">
        <v>0</v>
      </c>
      <c r="D53" s="107">
        <v>0</v>
      </c>
      <c r="E53" s="107">
        <v>0</v>
      </c>
      <c r="F53" s="107">
        <v>0</v>
      </c>
      <c r="G53" s="107">
        <v>0</v>
      </c>
      <c r="H53" s="107">
        <v>0</v>
      </c>
      <c r="I53" s="107">
        <v>0</v>
      </c>
      <c r="J53" s="107">
        <v>0</v>
      </c>
      <c r="K53" s="107">
        <v>0</v>
      </c>
      <c r="L53" s="107">
        <v>0</v>
      </c>
      <c r="M53" s="107">
        <v>0</v>
      </c>
      <c r="N53" s="107">
        <v>0</v>
      </c>
      <c r="O53" s="107">
        <v>0</v>
      </c>
      <c r="P53" s="838">
        <v>0</v>
      </c>
    </row>
    <row r="54" spans="1:17">
      <c r="A54" t="s">
        <v>822</v>
      </c>
      <c r="B54" t="s">
        <v>52</v>
      </c>
      <c r="C54" s="1771">
        <v>-7133879.4000000004</v>
      </c>
      <c r="D54" s="107">
        <v>-7133879.4000000004</v>
      </c>
      <c r="E54" s="107">
        <v>-7133879.4000000004</v>
      </c>
      <c r="F54" s="107">
        <v>-7133879.4000000004</v>
      </c>
      <c r="G54" s="107">
        <v>-7133879.4000000004</v>
      </c>
      <c r="H54" s="107">
        <v>-7133879.4000000004</v>
      </c>
      <c r="I54" s="107">
        <v>-7133879.4000000004</v>
      </c>
      <c r="J54" s="107">
        <v>-7133879.4000000004</v>
      </c>
      <c r="K54" s="107">
        <v>-7133879.4000000004</v>
      </c>
      <c r="L54" s="107">
        <v>-7133879.4000000004</v>
      </c>
      <c r="M54" s="107">
        <v>-7133879.4000000004</v>
      </c>
      <c r="N54" s="107">
        <v>-7133879.4000000004</v>
      </c>
      <c r="O54" s="107">
        <v>-7133879.4000000004</v>
      </c>
      <c r="P54" s="107">
        <f>AVERAGE(C54:O54)</f>
        <v>-7133879.4000000013</v>
      </c>
    </row>
    <row r="55" spans="1:17">
      <c r="A55" t="s">
        <v>823</v>
      </c>
      <c r="B55" t="s">
        <v>55</v>
      </c>
      <c r="C55" s="1772">
        <v>251173234.34999999</v>
      </c>
      <c r="D55" s="1771">
        <v>304525001.63999999</v>
      </c>
      <c r="E55" s="1771">
        <v>339218549.74000001</v>
      </c>
      <c r="F55" s="1771">
        <v>340488255.44999999</v>
      </c>
      <c r="G55" s="1771">
        <v>375222931.56</v>
      </c>
      <c r="H55" s="1771">
        <v>386394039.85000002</v>
      </c>
      <c r="I55" s="1771">
        <v>360069924.81999999</v>
      </c>
      <c r="J55" s="1771">
        <v>361630655.75</v>
      </c>
      <c r="K55" s="1771">
        <v>366864159.10000002</v>
      </c>
      <c r="L55" s="1771">
        <v>311943409.05000001</v>
      </c>
      <c r="M55" s="1771">
        <v>336455763.64999998</v>
      </c>
      <c r="N55" s="1771">
        <v>363066415.14999998</v>
      </c>
      <c r="O55" s="1771">
        <v>374760367.23000002</v>
      </c>
      <c r="P55" s="107">
        <f>AVERAGE(C55:O55)</f>
        <v>343985592.87230772</v>
      </c>
    </row>
    <row r="56" spans="1:17">
      <c r="A56" t="s">
        <v>824</v>
      </c>
      <c r="B56" t="s">
        <v>50</v>
      </c>
      <c r="C56" s="1771">
        <v>-14599821</v>
      </c>
      <c r="D56" s="1771">
        <v>-14599821</v>
      </c>
      <c r="E56" s="1771">
        <v>-14599821</v>
      </c>
      <c r="F56" s="1771">
        <v>-14756651</v>
      </c>
      <c r="G56" s="1771">
        <v>-14756651</v>
      </c>
      <c r="H56" s="1771">
        <v>-14756651</v>
      </c>
      <c r="I56" s="1771">
        <v>-14764536</v>
      </c>
      <c r="J56" s="1771">
        <v>-14764536</v>
      </c>
      <c r="K56" s="1771">
        <v>-14764536</v>
      </c>
      <c r="L56" s="1771">
        <v>-14852840</v>
      </c>
      <c r="M56" s="1771">
        <v>-14852840</v>
      </c>
      <c r="N56" s="1771">
        <v>-14852840</v>
      </c>
      <c r="O56" s="1772">
        <v>-14969706</v>
      </c>
      <c r="P56" s="107">
        <f>AVERAGE(C56:O56)</f>
        <v>-14760865.384615384</v>
      </c>
    </row>
    <row r="57" spans="1:17">
      <c r="A57" t="s">
        <v>825</v>
      </c>
      <c r="B57" t="s">
        <v>51</v>
      </c>
      <c r="C57" s="1771">
        <v>-149548979.40000001</v>
      </c>
      <c r="D57" s="1771">
        <v>-148742517.41</v>
      </c>
      <c r="E57" s="1771">
        <v>-147936055.43000001</v>
      </c>
      <c r="F57" s="1771">
        <v>-147129593.44</v>
      </c>
      <c r="G57" s="1771">
        <v>-146323131.44999999</v>
      </c>
      <c r="H57" s="1771">
        <v>-145516669.46000001</v>
      </c>
      <c r="I57" s="1771">
        <v>-144710207.47999999</v>
      </c>
      <c r="J57" s="1771">
        <v>-143903745.49000001</v>
      </c>
      <c r="K57" s="1771">
        <v>-143097283.5</v>
      </c>
      <c r="L57" s="1771">
        <v>-141989923.13</v>
      </c>
      <c r="M57" s="1771">
        <v>-141182085.63999999</v>
      </c>
      <c r="N57" s="1771">
        <v>-140374248.13</v>
      </c>
      <c r="O57" s="1771">
        <v>-145509910.59999999</v>
      </c>
      <c r="P57" s="107">
        <f>AVERAGE(C57:O57)</f>
        <v>-145074180.81230769</v>
      </c>
      <c r="Q57" s="2"/>
    </row>
    <row r="58" spans="1:17">
      <c r="C58" s="1104">
        <f>SUM(C50:C57)</f>
        <v>3362991533.9299994</v>
      </c>
      <c r="D58" s="1104">
        <f t="shared" ref="D58:P58" si="3">SUM(D50:D57)</f>
        <v>3417149763.2099996</v>
      </c>
      <c r="E58" s="1104">
        <f t="shared" si="3"/>
        <v>3452649773.2899995</v>
      </c>
      <c r="F58" s="1104">
        <f t="shared" si="3"/>
        <v>3454569110.9899993</v>
      </c>
      <c r="G58" s="1104">
        <f t="shared" si="3"/>
        <v>3490110249.0899997</v>
      </c>
      <c r="H58" s="1104">
        <f t="shared" si="3"/>
        <v>3502087819.3699994</v>
      </c>
      <c r="I58" s="1104">
        <f t="shared" si="3"/>
        <v>3476562281.3199997</v>
      </c>
      <c r="J58" s="1104">
        <f t="shared" si="3"/>
        <v>3478929474.2399998</v>
      </c>
      <c r="K58" s="1104">
        <f t="shared" si="3"/>
        <v>3484969439.5799994</v>
      </c>
      <c r="L58" s="1104">
        <f t="shared" si="3"/>
        <v>3431067745.8999996</v>
      </c>
      <c r="M58" s="1104">
        <f t="shared" si="3"/>
        <v>3456387937.9899998</v>
      </c>
      <c r="N58" s="1104">
        <f t="shared" si="3"/>
        <v>3483806426.9999995</v>
      </c>
      <c r="O58" s="1104">
        <f t="shared" si="3"/>
        <v>3490247850.6099997</v>
      </c>
      <c r="P58" s="1104">
        <f t="shared" si="3"/>
        <v>3460117646.6553845</v>
      </c>
      <c r="Q58" s="2"/>
    </row>
    <row r="59" spans="1:17">
      <c r="C59" s="107"/>
      <c r="D59" s="107"/>
      <c r="E59" s="107"/>
      <c r="F59" s="107"/>
      <c r="G59" s="107"/>
      <c r="H59" s="107"/>
      <c r="I59" s="107"/>
      <c r="J59" s="107"/>
      <c r="K59" s="107"/>
      <c r="L59" s="107"/>
      <c r="M59" s="107"/>
      <c r="N59" s="107"/>
      <c r="O59" s="107"/>
      <c r="P59" s="107"/>
      <c r="Q59" s="2"/>
    </row>
    <row r="60" spans="1:17">
      <c r="C60" s="838"/>
      <c r="D60" s="838"/>
      <c r="E60" s="838"/>
      <c r="F60" s="838"/>
      <c r="G60" s="838"/>
      <c r="H60" s="838"/>
      <c r="I60" s="838"/>
      <c r="J60" s="838"/>
      <c r="K60" s="838"/>
      <c r="L60" s="838"/>
      <c r="M60" s="838"/>
      <c r="N60" s="838"/>
      <c r="O60" s="838"/>
      <c r="P60" s="838"/>
    </row>
    <row r="61" spans="1:17">
      <c r="C61" s="838"/>
      <c r="D61" s="838"/>
      <c r="E61" s="838"/>
      <c r="F61" s="838"/>
      <c r="G61" s="838"/>
      <c r="H61" s="838"/>
      <c r="I61" s="838"/>
      <c r="J61" s="838"/>
      <c r="K61" s="838"/>
      <c r="L61" s="838"/>
      <c r="M61" s="838"/>
      <c r="N61" s="838"/>
      <c r="O61" s="838"/>
      <c r="P61" s="838"/>
    </row>
    <row r="62" spans="1:17">
      <c r="C62" s="838"/>
      <c r="D62" s="838"/>
      <c r="E62" s="838"/>
      <c r="F62" s="838"/>
      <c r="G62" s="838"/>
      <c r="H62" s="838"/>
      <c r="I62" s="838"/>
      <c r="J62" s="838"/>
      <c r="K62" s="838"/>
      <c r="L62" s="838"/>
      <c r="M62" s="838"/>
      <c r="N62" s="838"/>
      <c r="O62" s="838"/>
      <c r="P62" s="838"/>
    </row>
    <row r="63" spans="1:17">
      <c r="C63" s="838"/>
      <c r="D63" s="838"/>
      <c r="E63" s="838"/>
      <c r="F63" s="838"/>
      <c r="G63" s="838"/>
      <c r="H63" s="838"/>
      <c r="I63" s="838"/>
      <c r="J63" s="838"/>
      <c r="K63" s="838"/>
      <c r="L63" s="838"/>
      <c r="M63" s="838"/>
      <c r="N63" s="838"/>
      <c r="O63" s="838"/>
      <c r="P63" s="838"/>
    </row>
    <row r="64" spans="1:17">
      <c r="C64" s="838"/>
      <c r="D64" s="838"/>
      <c r="E64" s="838"/>
      <c r="F64" s="838"/>
      <c r="G64" s="838"/>
      <c r="H64" s="838"/>
      <c r="I64" s="838"/>
      <c r="J64" s="838"/>
      <c r="K64" s="838"/>
      <c r="L64" s="838"/>
      <c r="M64" s="838"/>
      <c r="N64" s="838"/>
      <c r="O64" s="838"/>
      <c r="P64" s="838"/>
    </row>
    <row r="65" spans="3:16">
      <c r="C65" s="838"/>
      <c r="D65" s="838"/>
      <c r="E65" s="838"/>
      <c r="F65" s="838"/>
      <c r="G65" s="838"/>
      <c r="H65" s="838"/>
      <c r="I65" s="838"/>
      <c r="J65" s="838"/>
      <c r="K65" s="838"/>
      <c r="L65" s="838"/>
      <c r="M65" s="838"/>
      <c r="N65" s="838"/>
      <c r="O65" s="838"/>
      <c r="P65" s="838"/>
    </row>
    <row r="66" spans="3:16">
      <c r="C66" s="838"/>
      <c r="D66" s="838"/>
      <c r="E66" s="838"/>
      <c r="F66" s="838"/>
      <c r="G66" s="838"/>
      <c r="H66" s="838"/>
      <c r="I66" s="838"/>
      <c r="J66" s="838"/>
      <c r="K66" s="838"/>
      <c r="L66" s="838"/>
      <c r="M66" s="838"/>
      <c r="N66" s="838"/>
      <c r="O66" s="838"/>
      <c r="P66" s="838"/>
    </row>
    <row r="67" spans="3:16">
      <c r="C67" s="838"/>
      <c r="D67" s="838"/>
      <c r="E67" s="838"/>
      <c r="F67" s="838"/>
      <c r="G67" s="838"/>
      <c r="H67" s="838"/>
      <c r="I67" s="838"/>
      <c r="J67" s="838"/>
      <c r="K67" s="838"/>
      <c r="L67" s="838"/>
      <c r="M67" s="838"/>
      <c r="N67" s="838"/>
      <c r="O67" s="838"/>
      <c r="P67" s="838"/>
    </row>
    <row r="68" spans="3:16">
      <c r="G68" s="838"/>
      <c r="I68" s="838"/>
      <c r="J68" s="838"/>
      <c r="K68" s="838"/>
      <c r="L68" s="838"/>
    </row>
    <row r="69" spans="3:16">
      <c r="G69" s="838"/>
      <c r="I69" s="838"/>
      <c r="J69" s="838"/>
      <c r="K69" s="838"/>
    </row>
    <row r="70" spans="3:16">
      <c r="G70" s="838"/>
      <c r="I70" s="838"/>
      <c r="J70" s="838"/>
      <c r="K70" s="838"/>
      <c r="N70" s="838"/>
    </row>
    <row r="71" spans="3:16">
      <c r="G71" s="838"/>
      <c r="I71" s="838"/>
      <c r="J71" s="838"/>
      <c r="K71" s="838"/>
      <c r="N71" s="838"/>
    </row>
    <row r="72" spans="3:16">
      <c r="G72" s="838"/>
      <c r="I72" s="838"/>
      <c r="J72" s="838"/>
      <c r="K72" s="838"/>
      <c r="N72" s="838"/>
    </row>
    <row r="73" spans="3:16">
      <c r="G73" s="838"/>
      <c r="I73" s="838"/>
      <c r="J73" s="838"/>
      <c r="K73" s="838"/>
    </row>
    <row r="74" spans="3:16">
      <c r="G74" s="838"/>
      <c r="I74" s="838"/>
      <c r="J74" s="838"/>
      <c r="K74" s="838"/>
    </row>
    <row r="75" spans="3:16">
      <c r="G75" s="838"/>
      <c r="I75" s="838"/>
      <c r="J75" s="838"/>
      <c r="K75" s="838"/>
    </row>
    <row r="76" spans="3:16">
      <c r="G76" s="838"/>
      <c r="I76" s="838"/>
      <c r="J76" s="838"/>
      <c r="K76" s="838"/>
    </row>
    <row r="77" spans="3:16">
      <c r="C77" s="838"/>
      <c r="D77" s="838"/>
      <c r="E77" s="838"/>
      <c r="F77" s="838"/>
      <c r="G77" s="838"/>
      <c r="H77" s="838"/>
      <c r="I77" s="838"/>
      <c r="J77" s="838"/>
      <c r="K77" s="838"/>
      <c r="L77" s="838"/>
      <c r="M77" s="838"/>
      <c r="N77" s="838"/>
      <c r="O77" s="838"/>
      <c r="P77" s="838"/>
    </row>
    <row r="78" spans="3:16">
      <c r="J78" s="838"/>
      <c r="K78" s="838"/>
    </row>
    <row r="79" spans="3:16">
      <c r="J79" s="838"/>
      <c r="K79" s="838"/>
    </row>
    <row r="80" spans="3:16">
      <c r="G80" s="838"/>
      <c r="I80" s="838"/>
      <c r="J80" s="838"/>
      <c r="K80" s="838"/>
    </row>
    <row r="81" spans="1:25">
      <c r="A81" s="837"/>
      <c r="C81" s="838"/>
      <c r="D81" s="838"/>
      <c r="E81" s="838"/>
      <c r="F81" s="838"/>
      <c r="G81" s="838"/>
      <c r="H81" s="838"/>
      <c r="I81" s="838"/>
      <c r="J81" s="838"/>
      <c r="K81" s="838"/>
      <c r="L81" s="838"/>
      <c r="M81" s="838"/>
      <c r="N81" s="838"/>
      <c r="O81" s="838"/>
      <c r="P81" s="838"/>
    </row>
    <row r="82" spans="1:25">
      <c r="A82" s="97"/>
      <c r="B82" s="97"/>
      <c r="C82" s="905"/>
      <c r="D82" s="905"/>
      <c r="E82" s="905"/>
      <c r="F82" s="905"/>
      <c r="G82" s="905"/>
      <c r="H82" s="905"/>
      <c r="I82" s="905"/>
      <c r="J82" s="905"/>
      <c r="K82" s="905"/>
      <c r="L82" s="905"/>
      <c r="M82" s="905"/>
      <c r="N82" s="905"/>
      <c r="O82" s="905"/>
      <c r="P82" s="905"/>
      <c r="Q82" s="97"/>
      <c r="R82" s="97"/>
      <c r="S82" s="97"/>
      <c r="T82" s="97"/>
      <c r="U82" s="97"/>
      <c r="V82" s="97"/>
      <c r="W82" s="97"/>
      <c r="X82" s="97"/>
      <c r="Y82" s="97"/>
    </row>
    <row r="83" spans="1:25">
      <c r="A83" s="97"/>
      <c r="B83" s="97"/>
      <c r="C83" s="905"/>
      <c r="D83" s="905"/>
      <c r="E83" s="905"/>
      <c r="F83" s="905"/>
      <c r="G83" s="905"/>
      <c r="H83" s="905"/>
      <c r="I83" s="905"/>
      <c r="J83" s="905"/>
      <c r="K83" s="905"/>
      <c r="L83" s="905"/>
      <c r="M83" s="905"/>
      <c r="N83" s="905"/>
      <c r="O83" s="905"/>
      <c r="P83" s="905"/>
      <c r="Q83" s="97"/>
      <c r="R83" s="97"/>
      <c r="S83" s="97"/>
      <c r="T83" s="97"/>
      <c r="U83" s="97"/>
      <c r="V83" s="97"/>
      <c r="W83" s="97"/>
      <c r="X83" s="97"/>
      <c r="Y83" s="97"/>
    </row>
    <row r="84" spans="1:25">
      <c r="A84" s="97"/>
      <c r="B84" s="97"/>
      <c r="C84" s="905"/>
      <c r="D84" s="905"/>
      <c r="E84" s="905"/>
      <c r="F84" s="905"/>
      <c r="G84" s="905"/>
      <c r="H84" s="905"/>
      <c r="I84" s="905"/>
      <c r="J84" s="905"/>
      <c r="K84" s="905"/>
      <c r="L84" s="905"/>
      <c r="M84" s="905"/>
      <c r="N84" s="905"/>
      <c r="O84" s="905"/>
      <c r="P84" s="905"/>
      <c r="Q84" s="97"/>
      <c r="R84" s="97"/>
      <c r="S84" s="97"/>
      <c r="T84" s="97"/>
      <c r="U84" s="97"/>
      <c r="V84" s="97"/>
      <c r="W84" s="97"/>
      <c r="X84" s="97"/>
      <c r="Y84" s="97"/>
    </row>
    <row r="85" spans="1:25">
      <c r="A85" s="97"/>
      <c r="B85" s="97"/>
      <c r="C85" s="905"/>
      <c r="D85" s="905"/>
      <c r="E85" s="905"/>
      <c r="F85" s="905"/>
      <c r="G85" s="905"/>
      <c r="H85" s="905"/>
      <c r="I85" s="905"/>
      <c r="J85" s="905"/>
      <c r="K85" s="905"/>
      <c r="L85" s="905"/>
      <c r="M85" s="905"/>
      <c r="N85" s="905"/>
      <c r="O85" s="905"/>
      <c r="P85" s="905"/>
      <c r="Q85" s="97"/>
      <c r="R85" s="97"/>
      <c r="S85" s="97"/>
      <c r="T85" s="97"/>
      <c r="U85" s="97"/>
      <c r="V85" s="97"/>
      <c r="W85" s="97"/>
      <c r="X85" s="97"/>
      <c r="Y85" s="97"/>
    </row>
    <row r="86" spans="1:25">
      <c r="A86" s="97"/>
      <c r="B86" s="97"/>
      <c r="C86" s="905"/>
      <c r="D86" s="905"/>
      <c r="E86" s="905"/>
      <c r="F86" s="905"/>
      <c r="G86" s="905"/>
      <c r="H86" s="905"/>
      <c r="I86" s="905"/>
      <c r="J86" s="905"/>
      <c r="K86" s="905"/>
      <c r="L86" s="905"/>
      <c r="M86" s="905"/>
      <c r="N86" s="905"/>
      <c r="O86" s="905"/>
      <c r="P86" s="905"/>
      <c r="Q86" s="97"/>
      <c r="R86" s="97"/>
      <c r="S86" s="97"/>
      <c r="T86" s="97"/>
      <c r="U86" s="97"/>
      <c r="V86" s="97"/>
      <c r="W86" s="97"/>
      <c r="X86" s="97"/>
      <c r="Y86" s="97"/>
    </row>
    <row r="87" spans="1:25">
      <c r="A87" s="97"/>
      <c r="B87" s="97"/>
      <c r="C87" s="905"/>
      <c r="D87" s="905"/>
      <c r="E87" s="905"/>
      <c r="F87" s="905"/>
      <c r="G87" s="905"/>
      <c r="H87" s="905"/>
      <c r="I87" s="905"/>
      <c r="J87" s="905"/>
      <c r="K87" s="905"/>
      <c r="L87" s="905"/>
      <c r="M87" s="905"/>
      <c r="N87" s="905"/>
      <c r="O87" s="905"/>
      <c r="P87" s="905"/>
      <c r="Q87" s="97"/>
      <c r="R87" s="97"/>
      <c r="S87" s="97"/>
      <c r="T87" s="97"/>
      <c r="U87" s="97"/>
      <c r="V87" s="97"/>
      <c r="W87" s="97"/>
      <c r="X87" s="97"/>
      <c r="Y87" s="97"/>
    </row>
    <row r="88" spans="1:25">
      <c r="A88" s="97"/>
      <c r="B88" s="97"/>
      <c r="C88" s="905"/>
      <c r="D88" s="905"/>
      <c r="E88" s="905"/>
      <c r="F88" s="905"/>
      <c r="G88" s="905"/>
      <c r="H88" s="905"/>
      <c r="I88" s="905"/>
      <c r="J88" s="905"/>
      <c r="K88" s="905"/>
      <c r="L88" s="905"/>
      <c r="M88" s="905"/>
      <c r="N88" s="905"/>
      <c r="O88" s="905"/>
      <c r="P88" s="905"/>
      <c r="Q88" s="97"/>
      <c r="R88" s="97"/>
      <c r="S88" s="97"/>
      <c r="T88" s="97"/>
      <c r="U88" s="97"/>
      <c r="V88" s="97"/>
      <c r="W88" s="97"/>
      <c r="X88" s="97"/>
      <c r="Y88" s="97"/>
    </row>
    <row r="89" spans="1:25">
      <c r="A89" s="97"/>
      <c r="B89" s="97"/>
      <c r="C89" s="905"/>
      <c r="D89" s="905"/>
      <c r="E89" s="905"/>
      <c r="F89" s="905"/>
      <c r="G89" s="905"/>
      <c r="H89" s="905"/>
      <c r="I89" s="905"/>
      <c r="J89" s="905"/>
      <c r="K89" s="905"/>
      <c r="L89" s="905"/>
      <c r="M89" s="905"/>
      <c r="N89" s="905"/>
      <c r="O89" s="905"/>
      <c r="P89" s="905"/>
      <c r="Q89" s="97"/>
      <c r="R89" s="97"/>
      <c r="S89" s="97"/>
      <c r="T89" s="97"/>
      <c r="U89" s="97"/>
      <c r="V89" s="97"/>
      <c r="W89" s="97"/>
      <c r="X89" s="97"/>
      <c r="Y89" s="97"/>
    </row>
    <row r="90" spans="1:25">
      <c r="A90" s="97"/>
      <c r="B90" s="97"/>
      <c r="C90" s="905"/>
      <c r="D90" s="905"/>
      <c r="E90" s="905"/>
      <c r="F90" s="905"/>
      <c r="G90" s="905"/>
      <c r="H90" s="905"/>
      <c r="I90" s="905"/>
      <c r="J90" s="905"/>
      <c r="K90" s="905"/>
      <c r="L90" s="905"/>
      <c r="M90" s="905"/>
      <c r="N90" s="905"/>
      <c r="O90" s="905"/>
      <c r="P90" s="905"/>
      <c r="Q90" s="97"/>
      <c r="R90" s="97"/>
      <c r="S90" s="97"/>
      <c r="T90" s="97"/>
      <c r="U90" s="97"/>
      <c r="V90" s="97"/>
      <c r="W90" s="97"/>
      <c r="X90" s="97"/>
      <c r="Y90" s="97"/>
    </row>
    <row r="91" spans="1:25">
      <c r="A91" s="97"/>
      <c r="B91" s="97"/>
      <c r="C91" s="905"/>
      <c r="D91" s="905"/>
      <c r="E91" s="905"/>
      <c r="F91" s="905"/>
      <c r="G91" s="905"/>
      <c r="H91" s="905"/>
      <c r="I91" s="905"/>
      <c r="J91" s="905"/>
      <c r="K91" s="905"/>
      <c r="L91" s="905"/>
      <c r="M91" s="905"/>
      <c r="N91" s="905"/>
      <c r="O91" s="905"/>
      <c r="P91" s="905"/>
      <c r="Q91" s="97"/>
      <c r="R91" s="97"/>
      <c r="S91" s="97"/>
      <c r="T91" s="97"/>
      <c r="U91" s="97"/>
      <c r="V91" s="97"/>
      <c r="W91" s="97"/>
      <c r="X91" s="97"/>
      <c r="Y91" s="97"/>
    </row>
    <row r="92" spans="1:25">
      <c r="A92" s="97"/>
      <c r="B92" s="97"/>
      <c r="C92" s="905"/>
      <c r="D92" s="905"/>
      <c r="E92" s="905"/>
      <c r="F92" s="905"/>
      <c r="G92" s="905"/>
      <c r="H92" s="905"/>
      <c r="I92" s="905"/>
      <c r="J92" s="905"/>
      <c r="K92" s="905"/>
      <c r="L92" s="905"/>
      <c r="M92" s="905"/>
      <c r="N92" s="905"/>
      <c r="O92" s="905"/>
      <c r="P92" s="905"/>
      <c r="Q92" s="97"/>
      <c r="R92" s="97"/>
      <c r="S92" s="97"/>
      <c r="T92" s="97"/>
      <c r="U92" s="97"/>
      <c r="V92" s="97"/>
      <c r="W92" s="97"/>
      <c r="X92" s="97"/>
      <c r="Y92" s="97"/>
    </row>
    <row r="93" spans="1:25">
      <c r="A93" s="97"/>
      <c r="B93" s="97"/>
      <c r="C93" s="905"/>
      <c r="D93" s="905"/>
      <c r="E93" s="905"/>
      <c r="F93" s="905"/>
      <c r="G93" s="905"/>
      <c r="H93" s="905"/>
      <c r="I93" s="905"/>
      <c r="J93" s="905"/>
      <c r="K93" s="905"/>
      <c r="L93" s="905"/>
      <c r="M93" s="905"/>
      <c r="N93" s="905"/>
      <c r="O93" s="905"/>
      <c r="P93" s="905"/>
      <c r="Q93" s="97"/>
      <c r="R93" s="97"/>
      <c r="S93" s="97"/>
      <c r="T93" s="97"/>
      <c r="U93" s="97"/>
      <c r="V93" s="97"/>
      <c r="W93" s="97"/>
      <c r="X93" s="97"/>
      <c r="Y93" s="97"/>
    </row>
    <row r="94" spans="1:25">
      <c r="A94" s="97"/>
      <c r="B94" s="97"/>
      <c r="C94" s="905"/>
      <c r="D94" s="905"/>
      <c r="E94" s="905"/>
      <c r="F94" s="905"/>
      <c r="G94" s="905"/>
      <c r="H94" s="905"/>
      <c r="I94" s="905"/>
      <c r="J94" s="905"/>
      <c r="K94" s="905"/>
      <c r="L94" s="905"/>
      <c r="M94" s="905"/>
      <c r="N94" s="905"/>
      <c r="O94" s="905"/>
      <c r="P94" s="905"/>
      <c r="Q94" s="97"/>
      <c r="R94" s="97"/>
      <c r="S94" s="97"/>
      <c r="T94" s="97"/>
      <c r="U94" s="97"/>
      <c r="V94" s="97"/>
      <c r="W94" s="97"/>
      <c r="X94" s="97"/>
      <c r="Y94" s="97"/>
    </row>
    <row r="95" spans="1:25">
      <c r="A95" s="97"/>
      <c r="B95" s="97"/>
      <c r="C95" s="905"/>
      <c r="D95" s="905"/>
      <c r="E95" s="905"/>
      <c r="F95" s="905"/>
      <c r="G95" s="905"/>
      <c r="H95" s="905"/>
      <c r="I95" s="905"/>
      <c r="J95" s="905"/>
      <c r="K95" s="905"/>
      <c r="L95" s="905"/>
      <c r="M95" s="905"/>
      <c r="N95" s="905"/>
      <c r="O95" s="905"/>
      <c r="P95" s="905"/>
      <c r="Q95" s="97"/>
      <c r="R95" s="97"/>
      <c r="S95" s="97"/>
      <c r="T95" s="97"/>
      <c r="U95" s="97"/>
      <c r="V95" s="97"/>
      <c r="W95" s="97"/>
      <c r="X95" s="97"/>
      <c r="Y95" s="97"/>
    </row>
    <row r="96" spans="1:25">
      <c r="A96" s="97"/>
      <c r="B96" s="97"/>
      <c r="C96" s="905"/>
      <c r="D96" s="905"/>
      <c r="E96" s="905"/>
      <c r="F96" s="905"/>
      <c r="G96" s="905"/>
      <c r="H96" s="905"/>
      <c r="I96" s="905"/>
      <c r="J96" s="905"/>
      <c r="K96" s="905"/>
      <c r="L96" s="905"/>
      <c r="M96" s="905"/>
      <c r="N96" s="905"/>
      <c r="O96" s="905"/>
      <c r="P96" s="905"/>
      <c r="Q96" s="97"/>
      <c r="R96" s="97"/>
      <c r="S96" s="97"/>
      <c r="T96" s="97"/>
      <c r="U96" s="97"/>
      <c r="V96" s="97"/>
      <c r="W96" s="97"/>
      <c r="X96" s="97"/>
      <c r="Y96" s="97"/>
    </row>
    <row r="97" spans="1:25">
      <c r="A97" s="97"/>
      <c r="B97" s="97"/>
      <c r="C97" s="905"/>
      <c r="D97" s="905"/>
      <c r="E97" s="905"/>
      <c r="F97" s="905"/>
      <c r="G97" s="905"/>
      <c r="H97" s="905"/>
      <c r="I97" s="905"/>
      <c r="J97" s="905"/>
      <c r="K97" s="905"/>
      <c r="L97" s="905"/>
      <c r="M97" s="905"/>
      <c r="N97" s="905"/>
      <c r="O97" s="905"/>
      <c r="P97" s="905"/>
      <c r="Q97" s="97"/>
      <c r="R97" s="97"/>
      <c r="S97" s="97"/>
      <c r="T97" s="97"/>
      <c r="U97" s="97"/>
      <c r="V97" s="97"/>
      <c r="W97" s="97"/>
      <c r="X97" s="97"/>
      <c r="Y97" s="97"/>
    </row>
    <row r="98" spans="1:25">
      <c r="A98" s="97"/>
      <c r="B98" s="97"/>
      <c r="C98" s="905"/>
      <c r="D98" s="905"/>
      <c r="E98" s="905"/>
      <c r="F98" s="905"/>
      <c r="G98" s="905"/>
      <c r="H98" s="905"/>
      <c r="I98" s="905"/>
      <c r="J98" s="905"/>
      <c r="K98" s="905"/>
      <c r="L98" s="905"/>
      <c r="M98" s="905"/>
      <c r="N98" s="905"/>
      <c r="O98" s="905"/>
      <c r="P98" s="905"/>
      <c r="Q98" s="97"/>
      <c r="R98" s="97"/>
      <c r="S98" s="97"/>
      <c r="T98" s="97"/>
      <c r="U98" s="97"/>
      <c r="V98" s="97"/>
      <c r="W98" s="97"/>
      <c r="X98" s="97"/>
      <c r="Y98" s="97"/>
    </row>
    <row r="99" spans="1:25">
      <c r="A99" s="97"/>
      <c r="B99" s="97"/>
      <c r="C99" s="905"/>
      <c r="D99" s="905"/>
      <c r="E99" s="905"/>
      <c r="F99" s="905"/>
      <c r="G99" s="905"/>
      <c r="H99" s="905"/>
      <c r="I99" s="905"/>
      <c r="J99" s="905"/>
      <c r="K99" s="905"/>
      <c r="L99" s="905"/>
      <c r="M99" s="905"/>
      <c r="N99" s="905"/>
      <c r="O99" s="905"/>
      <c r="P99" s="905"/>
      <c r="Q99" s="97"/>
      <c r="R99" s="97"/>
      <c r="S99" s="97"/>
      <c r="T99" s="97"/>
      <c r="U99" s="97"/>
      <c r="V99" s="97"/>
      <c r="W99" s="97"/>
      <c r="X99" s="97"/>
      <c r="Y99" s="97"/>
    </row>
    <row r="100" spans="1: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ht="15.75">
      <c r="A103" s="97"/>
      <c r="B103" s="97"/>
      <c r="C103" s="376"/>
      <c r="D103" s="665"/>
      <c r="E103" s="665"/>
      <c r="F103" s="665"/>
      <c r="G103" s="915"/>
      <c r="H103" s="665"/>
      <c r="I103" s="664"/>
      <c r="J103" s="663"/>
      <c r="K103" s="663"/>
      <c r="L103" s="663"/>
      <c r="M103" s="846"/>
      <c r="N103" s="97"/>
      <c r="O103" s="97"/>
      <c r="P103" s="97"/>
      <c r="Q103" s="97"/>
      <c r="R103" s="97"/>
      <c r="S103" s="97"/>
      <c r="T103" s="97"/>
      <c r="U103" s="97"/>
      <c r="V103" s="97"/>
      <c r="W103" s="97"/>
      <c r="X103" s="97"/>
      <c r="Y103" s="97"/>
    </row>
    <row r="104" spans="1:25" ht="15.75">
      <c r="A104" s="97"/>
      <c r="B104" s="97"/>
      <c r="C104" s="377"/>
      <c r="D104" s="23"/>
      <c r="E104" s="69"/>
      <c r="F104" s="69"/>
      <c r="G104" s="916"/>
      <c r="H104" s="661"/>
      <c r="I104" s="346"/>
      <c r="J104" s="345"/>
      <c r="K104" s="678"/>
      <c r="L104" s="88"/>
      <c r="M104" s="88"/>
      <c r="N104" s="97"/>
      <c r="O104" s="97"/>
      <c r="P104" s="97"/>
      <c r="Q104" s="97"/>
      <c r="R104" s="97"/>
      <c r="S104" s="97"/>
      <c r="T104" s="97"/>
      <c r="U104" s="97"/>
      <c r="V104" s="97"/>
      <c r="W104" s="97"/>
      <c r="X104" s="97"/>
      <c r="Y104" s="97"/>
    </row>
    <row r="105" spans="1:25" ht="15.75">
      <c r="A105" s="905"/>
      <c r="B105" s="97"/>
      <c r="C105" s="432"/>
      <c r="D105" s="100"/>
      <c r="E105" s="847"/>
      <c r="F105" s="683"/>
      <c r="G105" s="916"/>
      <c r="H105" s="397"/>
      <c r="I105" s="331"/>
      <c r="J105" s="397"/>
      <c r="K105" s="25"/>
      <c r="L105" s="331"/>
      <c r="M105" s="88"/>
      <c r="N105" s="97"/>
      <c r="O105" s="97"/>
      <c r="P105" s="97"/>
      <c r="Q105" s="97"/>
      <c r="R105" s="97"/>
      <c r="S105" s="97"/>
      <c r="T105" s="97"/>
      <c r="U105" s="97"/>
      <c r="V105" s="97"/>
      <c r="W105" s="97"/>
      <c r="X105" s="97"/>
      <c r="Y105" s="97"/>
    </row>
    <row r="106" spans="1:25" ht="15.75">
      <c r="A106" s="905"/>
      <c r="B106" s="97"/>
      <c r="C106" s="415"/>
      <c r="D106" s="721"/>
      <c r="E106" s="721"/>
      <c r="F106" s="721"/>
      <c r="G106" s="662"/>
      <c r="H106" s="721"/>
      <c r="I106" s="721"/>
      <c r="J106" s="721"/>
      <c r="K106" s="721"/>
      <c r="L106" s="721"/>
      <c r="M106" s="742"/>
      <c r="N106" s="97"/>
      <c r="O106" s="97"/>
      <c r="P106" s="97"/>
      <c r="Q106" s="97"/>
      <c r="R106" s="97"/>
      <c r="S106" s="97"/>
      <c r="T106" s="97"/>
      <c r="U106" s="97"/>
      <c r="V106" s="97"/>
      <c r="W106" s="97"/>
      <c r="X106" s="97"/>
      <c r="Y106" s="97"/>
    </row>
    <row r="107" spans="1:25" ht="15.75">
      <c r="A107" s="905"/>
      <c r="B107" s="97"/>
      <c r="C107" s="415"/>
      <c r="D107" s="917"/>
      <c r="E107" s="721"/>
      <c r="F107" s="721"/>
      <c r="G107" s="662"/>
      <c r="H107" s="721"/>
      <c r="I107" s="721"/>
      <c r="J107" s="721"/>
      <c r="K107" s="721"/>
      <c r="L107" s="721"/>
      <c r="M107" s="742"/>
      <c r="N107" s="97"/>
      <c r="O107" s="97"/>
      <c r="P107" s="97"/>
      <c r="Q107" s="97"/>
      <c r="R107" s="97"/>
      <c r="S107" s="97"/>
      <c r="T107" s="97"/>
      <c r="U107" s="97"/>
      <c r="V107" s="97"/>
      <c r="W107" s="97"/>
      <c r="X107" s="97"/>
      <c r="Y107" s="97"/>
    </row>
    <row r="108" spans="1:25" ht="15.75">
      <c r="A108" s="905"/>
      <c r="B108" s="97"/>
      <c r="C108" s="415"/>
      <c r="D108" s="918"/>
      <c r="E108" s="721"/>
      <c r="F108" s="721"/>
      <c r="G108" s="662"/>
      <c r="H108" s="721"/>
      <c r="I108" s="721"/>
      <c r="J108" s="721"/>
      <c r="K108" s="721"/>
      <c r="L108" s="721"/>
      <c r="M108" s="742"/>
      <c r="N108" s="97"/>
      <c r="O108" s="97"/>
      <c r="P108" s="97"/>
      <c r="Q108" s="97"/>
      <c r="R108" s="97"/>
      <c r="S108" s="97"/>
      <c r="T108" s="97"/>
      <c r="U108" s="97"/>
      <c r="V108" s="97"/>
      <c r="W108" s="97"/>
      <c r="X108" s="97"/>
      <c r="Y108" s="97"/>
    </row>
    <row r="109" spans="1:25" ht="15.75">
      <c r="A109" s="905"/>
      <c r="B109" s="97"/>
      <c r="C109" s="415"/>
      <c r="D109" s="917"/>
      <c r="E109" s="721"/>
      <c r="F109" s="721"/>
      <c r="G109" s="662"/>
      <c r="H109" s="721"/>
      <c r="I109" s="721"/>
      <c r="J109" s="721"/>
      <c r="K109" s="721"/>
      <c r="L109" s="721"/>
      <c r="M109" s="742"/>
      <c r="N109" s="97"/>
      <c r="O109" s="97"/>
      <c r="P109" s="97"/>
      <c r="Q109" s="97"/>
      <c r="R109" s="97"/>
      <c r="S109" s="97"/>
      <c r="T109" s="97"/>
      <c r="U109" s="97"/>
      <c r="V109" s="97"/>
      <c r="W109" s="97"/>
      <c r="X109" s="97"/>
      <c r="Y109" s="97"/>
    </row>
    <row r="110" spans="1:25" ht="15.75">
      <c r="A110" s="905"/>
      <c r="B110" s="97"/>
      <c r="C110" s="415"/>
      <c r="D110" s="917"/>
      <c r="E110" s="721"/>
      <c r="F110" s="721"/>
      <c r="G110" s="662"/>
      <c r="H110" s="721"/>
      <c r="I110" s="721"/>
      <c r="J110" s="721"/>
      <c r="K110" s="721"/>
      <c r="L110" s="721"/>
      <c r="M110" s="742"/>
      <c r="N110" s="97"/>
      <c r="O110" s="97"/>
      <c r="P110" s="97"/>
      <c r="Q110" s="97"/>
      <c r="R110" s="97"/>
      <c r="S110" s="97"/>
      <c r="T110" s="97"/>
      <c r="U110" s="97"/>
      <c r="V110" s="97"/>
      <c r="W110" s="97"/>
      <c r="X110" s="97"/>
      <c r="Y110" s="97"/>
    </row>
    <row r="111" spans="1:25" ht="15.75">
      <c r="A111" s="905"/>
      <c r="B111" s="97"/>
      <c r="C111" s="415"/>
      <c r="D111" s="917"/>
      <c r="E111" s="721"/>
      <c r="F111" s="721"/>
      <c r="G111" s="662"/>
      <c r="H111" s="721"/>
      <c r="I111" s="721"/>
      <c r="J111" s="721"/>
      <c r="K111" s="721"/>
      <c r="L111" s="721"/>
      <c r="M111" s="742"/>
      <c r="N111" s="97"/>
      <c r="O111" s="97"/>
      <c r="P111" s="97"/>
      <c r="Q111" s="97"/>
      <c r="R111" s="97"/>
      <c r="S111" s="97"/>
      <c r="T111" s="97"/>
      <c r="U111" s="97"/>
      <c r="V111" s="97"/>
      <c r="W111" s="97"/>
      <c r="X111" s="97"/>
      <c r="Y111" s="97"/>
    </row>
    <row r="112" spans="1:25" ht="15.75">
      <c r="A112" s="905"/>
      <c r="B112" s="97"/>
      <c r="C112" s="415"/>
      <c r="D112" s="721"/>
      <c r="E112" s="721"/>
      <c r="F112" s="721"/>
      <c r="G112" s="662"/>
      <c r="H112" s="721"/>
      <c r="I112" s="721"/>
      <c r="J112" s="721"/>
      <c r="K112" s="721"/>
      <c r="L112" s="721"/>
      <c r="M112" s="742"/>
      <c r="N112" s="97"/>
      <c r="O112" s="97"/>
      <c r="P112" s="97"/>
      <c r="Q112" s="97"/>
      <c r="R112" s="97"/>
      <c r="S112" s="97"/>
      <c r="T112" s="97"/>
      <c r="U112" s="97"/>
      <c r="V112" s="97"/>
      <c r="W112" s="97"/>
      <c r="X112" s="97"/>
      <c r="Y112" s="97"/>
    </row>
    <row r="113" spans="1:25" ht="15.75">
      <c r="A113" s="905"/>
      <c r="B113" s="97"/>
      <c r="C113" s="415"/>
      <c r="D113" s="721"/>
      <c r="E113" s="721"/>
      <c r="F113" s="721"/>
      <c r="G113" s="662"/>
      <c r="H113" s="721"/>
      <c r="I113" s="721"/>
      <c r="J113" s="721"/>
      <c r="K113" s="721"/>
      <c r="L113" s="721"/>
      <c r="M113" s="742"/>
      <c r="N113" s="97"/>
      <c r="O113" s="97"/>
      <c r="P113" s="97"/>
      <c r="Q113" s="97"/>
      <c r="R113" s="97"/>
      <c r="S113" s="97"/>
      <c r="T113" s="97"/>
      <c r="U113" s="97"/>
      <c r="V113" s="97"/>
      <c r="W113" s="97"/>
      <c r="X113" s="97"/>
      <c r="Y113" s="97"/>
    </row>
    <row r="114" spans="1:25" ht="15.75">
      <c r="A114" s="905"/>
      <c r="B114" s="97"/>
      <c r="C114" s="415"/>
      <c r="D114" s="918"/>
      <c r="E114" s="721"/>
      <c r="F114" s="721"/>
      <c r="G114" s="662"/>
      <c r="H114" s="721"/>
      <c r="I114" s="721"/>
      <c r="J114" s="721"/>
      <c r="K114" s="721"/>
      <c r="L114" s="721"/>
      <c r="M114" s="742"/>
      <c r="N114" s="97"/>
      <c r="O114" s="97"/>
      <c r="P114" s="97"/>
      <c r="Q114" s="97"/>
      <c r="R114" s="97"/>
      <c r="S114" s="97"/>
      <c r="T114" s="97"/>
      <c r="U114" s="97"/>
      <c r="V114" s="97"/>
      <c r="W114" s="97"/>
      <c r="X114" s="97"/>
      <c r="Y114" s="97"/>
    </row>
    <row r="115" spans="1:25" ht="15.75">
      <c r="A115" s="905"/>
      <c r="B115" s="97"/>
      <c r="C115" s="415"/>
      <c r="D115" s="721"/>
      <c r="E115" s="721"/>
      <c r="F115" s="721"/>
      <c r="G115" s="662"/>
      <c r="H115" s="721"/>
      <c r="I115" s="721"/>
      <c r="J115" s="721"/>
      <c r="K115" s="721"/>
      <c r="L115" s="721"/>
      <c r="M115" s="742"/>
      <c r="N115" s="97"/>
      <c r="O115" s="97"/>
      <c r="P115" s="97"/>
      <c r="Q115" s="97"/>
      <c r="R115" s="97"/>
      <c r="S115" s="97"/>
      <c r="T115" s="97"/>
      <c r="U115" s="97"/>
      <c r="V115" s="97"/>
      <c r="W115" s="97"/>
      <c r="X115" s="97"/>
      <c r="Y115" s="97"/>
    </row>
    <row r="116" spans="1:25" ht="15.75">
      <c r="A116" s="905"/>
      <c r="B116" s="97"/>
      <c r="C116" s="415"/>
      <c r="D116" s="721"/>
      <c r="E116" s="721"/>
      <c r="F116" s="721"/>
      <c r="G116" s="662"/>
      <c r="H116" s="721"/>
      <c r="I116" s="721"/>
      <c r="J116" s="721"/>
      <c r="K116" s="721"/>
      <c r="L116" s="721"/>
      <c r="M116" s="742"/>
      <c r="N116" s="97"/>
      <c r="O116" s="97"/>
      <c r="P116" s="97"/>
      <c r="Q116" s="97"/>
      <c r="R116" s="97"/>
      <c r="S116" s="97"/>
      <c r="T116" s="97"/>
      <c r="U116" s="97"/>
      <c r="V116" s="97"/>
      <c r="W116" s="97"/>
      <c r="X116" s="97"/>
      <c r="Y116" s="97"/>
    </row>
    <row r="117" spans="1:25" ht="15.75">
      <c r="A117" s="905"/>
      <c r="B117" s="97"/>
      <c r="C117" s="415"/>
      <c r="D117" s="848"/>
      <c r="E117" s="848"/>
      <c r="F117" s="848"/>
      <c r="G117" s="662"/>
      <c r="H117" s="848"/>
      <c r="I117" s="848"/>
      <c r="J117" s="848"/>
      <c r="K117" s="848"/>
      <c r="L117" s="848"/>
      <c r="M117" s="742"/>
      <c r="N117" s="97"/>
      <c r="O117" s="97"/>
      <c r="P117" s="97"/>
      <c r="Q117" s="97"/>
      <c r="R117" s="97"/>
      <c r="S117" s="97"/>
      <c r="T117" s="97"/>
      <c r="U117" s="97"/>
      <c r="V117" s="97"/>
      <c r="W117" s="97"/>
      <c r="X117" s="97"/>
      <c r="Y117" s="97"/>
    </row>
    <row r="118" spans="1:25" ht="15.75">
      <c r="A118" s="97"/>
      <c r="B118" s="97"/>
      <c r="C118" s="415"/>
      <c r="D118" s="919"/>
      <c r="E118" s="741"/>
      <c r="F118" s="741"/>
      <c r="G118" s="741"/>
      <c r="H118" s="666"/>
      <c r="I118" s="662"/>
      <c r="J118" s="667"/>
      <c r="K118" s="742"/>
      <c r="L118" s="742"/>
      <c r="M118" s="742"/>
      <c r="N118" s="97"/>
      <c r="O118" s="97"/>
      <c r="P118" s="97"/>
      <c r="Q118" s="97"/>
      <c r="R118" s="97"/>
      <c r="S118" s="97"/>
      <c r="T118" s="97"/>
      <c r="U118" s="97"/>
      <c r="V118" s="97"/>
      <c r="W118" s="97"/>
      <c r="X118" s="97"/>
      <c r="Y118" s="97"/>
    </row>
    <row r="119" spans="1:25" ht="15.75">
      <c r="A119" s="741"/>
      <c r="B119" s="97"/>
      <c r="C119" s="415"/>
      <c r="D119" s="741"/>
      <c r="E119" s="741"/>
      <c r="F119" s="741"/>
      <c r="G119" s="741"/>
      <c r="H119" s="741"/>
      <c r="I119" s="741"/>
      <c r="J119" s="741"/>
      <c r="K119" s="741"/>
      <c r="L119" s="741"/>
      <c r="M119" s="741"/>
      <c r="N119" s="97"/>
      <c r="O119" s="97"/>
      <c r="P119" s="97"/>
      <c r="Q119" s="97"/>
      <c r="R119" s="97"/>
      <c r="S119" s="97"/>
      <c r="T119" s="97"/>
      <c r="U119" s="97"/>
      <c r="V119" s="97"/>
      <c r="W119" s="97"/>
      <c r="X119" s="97"/>
      <c r="Y119" s="97"/>
    </row>
    <row r="120" spans="1:25">
      <c r="A120" s="741"/>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sheetData>
  <phoneticPr fontId="74" type="noConversion"/>
  <pageMargins left="0.25" right="0.25" top="0.5" bottom="0.5" header="0.25" footer="0.25"/>
  <pageSetup paperSize="5" scale="6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23"/>
  <sheetViews>
    <sheetView topLeftCell="A2" zoomScale="59" zoomScaleNormal="59" zoomScaleSheetLayoutView="50" workbookViewId="0">
      <pane xSplit="7" ySplit="5" topLeftCell="H97" activePane="bottomRight" state="frozen"/>
      <selection activeCell="A2" sqref="A2"/>
      <selection pane="topRight" activeCell="H2" sqref="H2"/>
      <selection pane="bottomLeft" activeCell="A7" sqref="A7"/>
      <selection pane="bottomRight" activeCell="H125" sqref="H125"/>
    </sheetView>
  </sheetViews>
  <sheetFormatPr defaultColWidth="11.5703125" defaultRowHeight="15"/>
  <cols>
    <col min="1" max="1" width="10" style="5" customWidth="1"/>
    <col min="2" max="2" width="5.28515625" style="5" customWidth="1"/>
    <col min="3" max="3" width="54.42578125" style="31" customWidth="1"/>
    <col min="4" max="4" width="27.28515625" style="12" customWidth="1"/>
    <col min="5" max="5" width="22.7109375" style="12" customWidth="1"/>
    <col min="6" max="6" width="34.5703125" style="12" customWidth="1"/>
    <col min="7" max="7" width="3" customWidth="1"/>
    <col min="8" max="8" width="26.140625" style="12" customWidth="1"/>
    <col min="9" max="9" width="2.42578125" style="12" customWidth="1"/>
    <col min="10" max="10" width="22.7109375" style="12" customWidth="1"/>
    <col min="11" max="11" width="24.7109375" style="429" customWidth="1"/>
    <col min="12" max="12" width="22.42578125" style="12" customWidth="1"/>
    <col min="13" max="13" width="8.28515625" style="15" customWidth="1"/>
    <col min="14" max="14" width="19.5703125" style="12" bestFit="1" customWidth="1"/>
    <col min="15" max="15" width="11.5703125" style="12"/>
    <col min="16" max="16" width="12.85546875" style="12" bestFit="1" customWidth="1"/>
    <col min="17" max="16384" width="11.5703125" style="12"/>
  </cols>
  <sheetData>
    <row r="1" spans="1:13" ht="23.25" customHeight="1">
      <c r="A1" s="443" t="s">
        <v>984</v>
      </c>
      <c r="C1" s="5"/>
      <c r="K1" s="26"/>
    </row>
    <row r="2" spans="1:13" ht="24" customHeight="1" thickBot="1">
      <c r="A2" s="92"/>
      <c r="C2" s="5"/>
      <c r="J2" s="872"/>
      <c r="K2" s="872"/>
      <c r="L2" s="872"/>
    </row>
    <row r="3" spans="1:13" ht="68.25" customHeight="1">
      <c r="A3" s="818" t="s">
        <v>513</v>
      </c>
      <c r="B3" s="819"/>
      <c r="C3" s="819"/>
      <c r="D3" s="819"/>
      <c r="E3" s="820"/>
      <c r="F3" s="821" t="s">
        <v>172</v>
      </c>
      <c r="H3" s="1073" t="s">
        <v>542</v>
      </c>
      <c r="I3" s="826"/>
      <c r="J3" s="826" t="s">
        <v>1096</v>
      </c>
      <c r="K3" s="826" t="s">
        <v>503</v>
      </c>
      <c r="L3" s="827" t="s">
        <v>504</v>
      </c>
      <c r="M3" s="1606"/>
    </row>
    <row r="4" spans="1:13" s="1" customFormat="1" ht="42" customHeight="1" thickBot="1">
      <c r="A4" s="822" t="s">
        <v>1285</v>
      </c>
      <c r="B4" s="823"/>
      <c r="C4" s="823"/>
      <c r="D4" s="823"/>
      <c r="E4" s="824" t="s">
        <v>1011</v>
      </c>
      <c r="F4" s="825"/>
      <c r="H4" s="828">
        <v>2016</v>
      </c>
      <c r="I4" s="1074"/>
      <c r="J4" s="829"/>
      <c r="K4" s="829"/>
      <c r="L4" s="830"/>
      <c r="M4" s="77"/>
    </row>
    <row r="5" spans="1:13" s="76" customFormat="1" ht="0.75" customHeight="1">
      <c r="A5" s="94" t="s">
        <v>779</v>
      </c>
      <c r="B5" s="380"/>
      <c r="C5" s="380"/>
      <c r="D5" s="380"/>
      <c r="E5" s="381"/>
      <c r="F5" s="95"/>
      <c r="H5" s="95"/>
      <c r="J5" s="509"/>
      <c r="M5" s="882"/>
    </row>
    <row r="6" spans="1:13" s="15" customFormat="1" ht="15.75" customHeight="1" thickBot="1">
      <c r="A6" s="30" t="s">
        <v>916</v>
      </c>
      <c r="B6" s="29"/>
      <c r="C6" s="40"/>
      <c r="D6" s="40"/>
      <c r="E6" s="382"/>
      <c r="F6" s="41"/>
      <c r="G6" s="45"/>
      <c r="H6" s="46"/>
      <c r="I6" s="45"/>
      <c r="J6" s="928"/>
      <c r="K6" s="45"/>
      <c r="L6" s="45"/>
      <c r="M6" s="883"/>
    </row>
    <row r="7" spans="1:13" s="15" customFormat="1" ht="15.75" customHeight="1">
      <c r="A7" s="960"/>
      <c r="B7" s="961"/>
      <c r="C7" s="961"/>
      <c r="D7" s="961"/>
      <c r="E7" s="962"/>
      <c r="F7" s="1038"/>
      <c r="G7" s="963"/>
      <c r="H7" s="964"/>
      <c r="I7" s="965"/>
      <c r="J7" s="966"/>
      <c r="K7" s="966"/>
      <c r="L7" s="967"/>
      <c r="M7" s="431"/>
    </row>
    <row r="8" spans="1:13" ht="15.75" customHeight="1">
      <c r="A8" s="968"/>
      <c r="B8" s="11" t="s">
        <v>922</v>
      </c>
      <c r="C8" s="21"/>
      <c r="D8" s="21"/>
      <c r="E8" s="386"/>
      <c r="F8" s="1039"/>
      <c r="G8" s="97"/>
      <c r="H8" s="920"/>
      <c r="I8" s="431"/>
      <c r="J8" s="511"/>
      <c r="K8" s="511"/>
      <c r="L8" s="969"/>
      <c r="M8" s="431"/>
    </row>
    <row r="9" spans="1:13" ht="15.75" customHeight="1">
      <c r="A9" s="970">
        <v>1</v>
      </c>
      <c r="B9" s="23"/>
      <c r="C9" s="36" t="s">
        <v>874</v>
      </c>
      <c r="D9" s="971"/>
      <c r="E9" s="74"/>
      <c r="F9" s="1039" t="s">
        <v>720</v>
      </c>
      <c r="G9" s="97"/>
      <c r="H9" s="1466">
        <v>9087814</v>
      </c>
      <c r="I9" s="679"/>
      <c r="J9" s="1467">
        <f>H9</f>
        <v>9087814</v>
      </c>
      <c r="K9" s="1467">
        <v>0</v>
      </c>
      <c r="L9" s="1468">
        <v>0</v>
      </c>
      <c r="M9" s="431"/>
    </row>
    <row r="10" spans="1:13">
      <c r="A10" s="970">
        <f>+A9+1</f>
        <v>2</v>
      </c>
      <c r="B10" s="23"/>
      <c r="C10" s="36" t="s">
        <v>875</v>
      </c>
      <c r="D10" s="36"/>
      <c r="E10" s="74"/>
      <c r="F10" s="1040" t="s">
        <v>721</v>
      </c>
      <c r="G10" s="97"/>
      <c r="H10" s="1466">
        <v>99721525</v>
      </c>
      <c r="I10" s="431"/>
      <c r="J10" s="1467">
        <f>$H$10</f>
        <v>99721525</v>
      </c>
      <c r="K10" s="1467">
        <f>$H$10</f>
        <v>99721525</v>
      </c>
      <c r="L10" s="1468">
        <f>$H$10</f>
        <v>99721525</v>
      </c>
      <c r="M10" s="431"/>
    </row>
    <row r="11" spans="1:13" ht="15.75" customHeight="1">
      <c r="A11" s="970">
        <f>+A10+1</f>
        <v>3</v>
      </c>
      <c r="B11" s="23"/>
      <c r="C11" s="36" t="s">
        <v>917</v>
      </c>
      <c r="D11" s="36"/>
      <c r="E11" s="74"/>
      <c r="F11" s="1040" t="s">
        <v>722</v>
      </c>
      <c r="G11" s="97"/>
      <c r="H11" s="1466">
        <v>27894099</v>
      </c>
      <c r="I11" s="431"/>
      <c r="J11" s="1467">
        <f>$H$11</f>
        <v>27894099</v>
      </c>
      <c r="K11" s="1467">
        <f>$H$11</f>
        <v>27894099</v>
      </c>
      <c r="L11" s="1468">
        <f>$H$11</f>
        <v>27894099</v>
      </c>
      <c r="M11" s="431"/>
    </row>
    <row r="12" spans="1:13" ht="15.75" customHeight="1">
      <c r="A12" s="970">
        <f>+A11+1</f>
        <v>4</v>
      </c>
      <c r="B12" s="23"/>
      <c r="C12" s="440" t="s">
        <v>972</v>
      </c>
      <c r="D12" s="384"/>
      <c r="E12" s="392"/>
      <c r="F12" s="1077" t="str">
        <f>"(Line "&amp;A10&amp;" - "&amp;A11&amp;")"</f>
        <v>(Line 2 - 3)</v>
      </c>
      <c r="G12" s="1036"/>
      <c r="H12" s="1078">
        <f>+H10-H11</f>
        <v>71827426</v>
      </c>
      <c r="I12" s="1079"/>
      <c r="J12" s="1078">
        <f>+J10-J11</f>
        <v>71827426</v>
      </c>
      <c r="K12" s="1078">
        <f>+K10-K11</f>
        <v>71827426</v>
      </c>
      <c r="L12" s="972">
        <f>+L10-L11</f>
        <v>71827426</v>
      </c>
      <c r="M12" s="431"/>
    </row>
    <row r="13" spans="1:13" ht="32.25" customHeight="1" thickBot="1">
      <c r="A13" s="970">
        <v>5</v>
      </c>
      <c r="B13" s="9" t="s">
        <v>943</v>
      </c>
      <c r="C13" s="9"/>
      <c r="D13" s="42"/>
      <c r="E13" s="383"/>
      <c r="F13" s="1075" t="str">
        <f>"(Line "&amp;A9&amp;" / "&amp;A12&amp;")"</f>
        <v>(Line 1 / 4)</v>
      </c>
      <c r="G13" s="1076"/>
      <c r="H13" s="512">
        <f>+H9/H12</f>
        <v>0.12652289669965341</v>
      </c>
      <c r="I13" s="1081"/>
      <c r="J13" s="512">
        <f>+J9/J12</f>
        <v>0.12652289669965341</v>
      </c>
      <c r="K13" s="512">
        <f>+K9/K12</f>
        <v>0</v>
      </c>
      <c r="L13" s="973">
        <f>+L9/L12</f>
        <v>0</v>
      </c>
      <c r="M13" s="431"/>
    </row>
    <row r="14" spans="1:13" ht="16.5" customHeight="1" thickTop="1">
      <c r="A14" s="970"/>
      <c r="B14" s="23"/>
      <c r="C14" s="11"/>
      <c r="D14" s="25"/>
      <c r="E14" s="974"/>
      <c r="F14" s="1042"/>
      <c r="G14" s="97"/>
      <c r="H14" s="921"/>
      <c r="I14" s="431"/>
      <c r="J14" s="511"/>
      <c r="K14" s="511"/>
      <c r="L14" s="969"/>
      <c r="M14" s="431"/>
    </row>
    <row r="15" spans="1:13" ht="15.75" customHeight="1">
      <c r="A15" s="975"/>
      <c r="B15" s="11" t="s">
        <v>963</v>
      </c>
      <c r="C15" s="21"/>
      <c r="D15" s="26"/>
      <c r="E15" s="61"/>
      <c r="F15" s="1043"/>
      <c r="G15" s="97"/>
      <c r="H15" s="922"/>
      <c r="I15" s="431"/>
      <c r="J15" s="511"/>
      <c r="K15" s="511"/>
      <c r="L15" s="969"/>
      <c r="M15" s="431"/>
    </row>
    <row r="16" spans="1:13" ht="15.75" customHeight="1">
      <c r="A16" s="649">
        <f>+A13+1</f>
        <v>6</v>
      </c>
      <c r="B16" s="26"/>
      <c r="C16" s="446" t="s">
        <v>980</v>
      </c>
      <c r="D16" s="35"/>
      <c r="E16" s="73" t="str">
        <f>"(Note "&amp;B$294&amp;")"</f>
        <v>(Note B)</v>
      </c>
      <c r="F16" s="1044" t="s">
        <v>784</v>
      </c>
      <c r="G16" s="145"/>
      <c r="H16" s="925">
        <f>'5 - Cost Support'!F28</f>
        <v>9488423018.8884621</v>
      </c>
      <c r="I16" s="955"/>
      <c r="J16" s="1032">
        <f>H16</f>
        <v>9488423018.8884621</v>
      </c>
      <c r="K16" s="1032">
        <f>J16</f>
        <v>9488423018.8884621</v>
      </c>
      <c r="L16" s="1033">
        <f>K16</f>
        <v>9488423018.8884621</v>
      </c>
      <c r="M16" s="431"/>
    </row>
    <row r="17" spans="1:13" ht="15.75" customHeight="1">
      <c r="A17" s="649">
        <f>+A16+1</f>
        <v>7</v>
      </c>
      <c r="B17" s="26"/>
      <c r="C17" s="36" t="s">
        <v>921</v>
      </c>
      <c r="D17" s="977"/>
      <c r="E17" s="74"/>
      <c r="F17" s="1045" t="str">
        <f>"(Sum Line "&amp;A16&amp;")"</f>
        <v>(Sum Line 6)</v>
      </c>
      <c r="G17" s="97"/>
      <c r="H17" s="517">
        <f>SUM(H16:H16)</f>
        <v>9488423018.8884621</v>
      </c>
      <c r="I17" s="431"/>
      <c r="J17" s="517">
        <f>SUM(J16:J16)</f>
        <v>9488423018.8884621</v>
      </c>
      <c r="K17" s="517">
        <f>SUM(K16:K16)</f>
        <v>9488423018.8884621</v>
      </c>
      <c r="L17" s="991">
        <f>SUM(L16:L16)</f>
        <v>9488423018.8884621</v>
      </c>
      <c r="M17" s="431"/>
    </row>
    <row r="18" spans="1:13" ht="15.75" customHeight="1">
      <c r="A18" s="649">
        <f>+A17+1</f>
        <v>8</v>
      </c>
      <c r="B18" s="26"/>
      <c r="C18" s="36" t="s">
        <v>872</v>
      </c>
      <c r="D18" s="21"/>
      <c r="E18" s="61"/>
      <c r="F18" s="1040" t="s">
        <v>784</v>
      </c>
      <c r="G18" s="97"/>
      <c r="H18" s="517">
        <f>+'5 - Cost Support'!F59</f>
        <v>3579390514.4661255</v>
      </c>
      <c r="I18" s="431"/>
      <c r="J18" s="926">
        <f>H18</f>
        <v>3579390514.4661255</v>
      </c>
      <c r="K18" s="926">
        <f>J18</f>
        <v>3579390514.4661255</v>
      </c>
      <c r="L18" s="976">
        <f>K18</f>
        <v>3579390514.4661255</v>
      </c>
      <c r="M18" s="431"/>
    </row>
    <row r="19" spans="1:13" ht="15.75" customHeight="1">
      <c r="A19" s="649">
        <f>+A18+1</f>
        <v>9</v>
      </c>
      <c r="B19" s="21"/>
      <c r="C19" s="19" t="s">
        <v>920</v>
      </c>
      <c r="D19" s="20"/>
      <c r="E19" s="62"/>
      <c r="F19" s="1046" t="str">
        <f>"(Line "&amp;A18&amp;")"</f>
        <v>(Line 8)</v>
      </c>
      <c r="G19" s="499"/>
      <c r="H19" s="1034">
        <f>SUM(H18:H18)</f>
        <v>3579390514.4661255</v>
      </c>
      <c r="I19" s="1035"/>
      <c r="J19" s="1034">
        <f>SUM(J18:J18)</f>
        <v>3579390514.4661255</v>
      </c>
      <c r="K19" s="1034">
        <f>SUM(K18:K18)</f>
        <v>3579390514.4661255</v>
      </c>
      <c r="L19" s="972">
        <f>SUM(L18:L18)</f>
        <v>3579390514.4661255</v>
      </c>
      <c r="M19" s="1607"/>
    </row>
    <row r="20" spans="1:13" ht="15.75" customHeight="1">
      <c r="A20" s="970">
        <f>+A19+1</f>
        <v>10</v>
      </c>
      <c r="B20" s="26"/>
      <c r="C20" s="18" t="s">
        <v>957</v>
      </c>
      <c r="D20" s="18"/>
      <c r="E20" s="62"/>
      <c r="F20" s="1039" t="str">
        <f>"(Line "&amp;A17&amp;" - "&amp;A19&amp;")"</f>
        <v>(Line 7 - 9)</v>
      </c>
      <c r="G20" s="97"/>
      <c r="H20" s="517">
        <f>+H17-H19</f>
        <v>5909032504.4223366</v>
      </c>
      <c r="I20" s="431"/>
      <c r="J20" s="517">
        <f>+J17-J19</f>
        <v>5909032504.4223366</v>
      </c>
      <c r="K20" s="517">
        <f>+K17-K19</f>
        <v>5909032504.4223366</v>
      </c>
      <c r="L20" s="972">
        <f>+L17-L19</f>
        <v>5909032504.4223366</v>
      </c>
      <c r="M20" s="1607"/>
    </row>
    <row r="21" spans="1:13" ht="15.75" customHeight="1">
      <c r="A21" s="975"/>
      <c r="B21" s="26"/>
      <c r="C21" s="26"/>
      <c r="D21" s="26"/>
      <c r="E21" s="61"/>
      <c r="F21" s="1043"/>
      <c r="G21" s="97"/>
      <c r="H21" s="922"/>
      <c r="I21" s="431"/>
      <c r="J21" s="510"/>
      <c r="K21" s="510"/>
      <c r="L21" s="978"/>
      <c r="M21" s="1607"/>
    </row>
    <row r="22" spans="1:13" ht="15.75" customHeight="1">
      <c r="A22" s="649">
        <f>+A20+1</f>
        <v>11</v>
      </c>
      <c r="B22" s="26"/>
      <c r="C22" s="26" t="s">
        <v>918</v>
      </c>
      <c r="D22" s="977"/>
      <c r="E22" s="61"/>
      <c r="F22" s="1047" t="str">
        <f>"(Line "&amp;A43&amp;")"</f>
        <v>(Line 25)</v>
      </c>
      <c r="G22" s="104"/>
      <c r="H22" s="513">
        <f>+H43</f>
        <v>1500090385.2499223</v>
      </c>
      <c r="I22" s="431"/>
      <c r="J22" s="513">
        <f>+J43-J78</f>
        <v>1298528951.788384</v>
      </c>
      <c r="K22" s="513">
        <f>+K43-K78</f>
        <v>95427304.411538437</v>
      </c>
      <c r="L22" s="979">
        <f>+L43-L78</f>
        <v>88505170.049999997</v>
      </c>
      <c r="M22" s="1607"/>
    </row>
    <row r="23" spans="1:13" ht="16.5" customHeight="1" thickBot="1">
      <c r="A23" s="970">
        <f>+A22+1</f>
        <v>12</v>
      </c>
      <c r="B23" s="10" t="s">
        <v>860</v>
      </c>
      <c r="C23" s="10"/>
      <c r="D23" s="38"/>
      <c r="E23" s="63"/>
      <c r="F23" s="1041" t="str">
        <f>"(Line "&amp;A22&amp;" / "&amp;A17&amp;")"</f>
        <v>(Line 11 / 7)</v>
      </c>
      <c r="G23" s="1037"/>
      <c r="H23" s="512">
        <f>+H22/(H17)</f>
        <v>0.15809691265489689</v>
      </c>
      <c r="I23" s="1081"/>
      <c r="J23" s="512">
        <f>+J22/(J17)</f>
        <v>0.13685403245654434</v>
      </c>
      <c r="K23" s="512">
        <f>+K22/(K17)</f>
        <v>1.0057235456468659E-2</v>
      </c>
      <c r="L23" s="973">
        <f>+L22/(L17)</f>
        <v>9.3277007015616902E-3</v>
      </c>
      <c r="M23" s="1607"/>
    </row>
    <row r="24" spans="1:13" ht="16.5" customHeight="1" thickTop="1">
      <c r="A24" s="975"/>
      <c r="B24" s="21"/>
      <c r="C24" s="21"/>
      <c r="D24" s="21"/>
      <c r="E24" s="61"/>
      <c r="F24" s="1040"/>
      <c r="G24" s="104"/>
      <c r="H24" s="922"/>
      <c r="I24" s="431"/>
      <c r="J24" s="510"/>
      <c r="K24" s="510"/>
      <c r="L24" s="978"/>
      <c r="M24" s="36"/>
    </row>
    <row r="25" spans="1:13" ht="15.75" customHeight="1">
      <c r="A25" s="649">
        <f>+A23+1</f>
        <v>13</v>
      </c>
      <c r="B25" s="23"/>
      <c r="C25" s="397" t="s">
        <v>919</v>
      </c>
      <c r="D25" s="25"/>
      <c r="E25" s="974"/>
      <c r="F25" s="1047" t="str">
        <f>"(Line "&amp;A61&amp;"-44)"</f>
        <v>(Line 37-44)</v>
      </c>
      <c r="G25" s="104"/>
      <c r="H25" s="513">
        <f>+H61-H78</f>
        <v>1002207560.5559937</v>
      </c>
      <c r="I25" s="431"/>
      <c r="J25" s="513">
        <f>+J61-J78</f>
        <v>926067093.12368608</v>
      </c>
      <c r="K25" s="513">
        <f>+K61-K78</f>
        <v>27259691.002307668</v>
      </c>
      <c r="L25" s="979">
        <f>+L61-L78</f>
        <v>48880776.429999992</v>
      </c>
      <c r="M25" s="36"/>
    </row>
    <row r="26" spans="1:13" ht="16.5" customHeight="1" thickBot="1">
      <c r="A26" s="970">
        <f>+A25+1</f>
        <v>14</v>
      </c>
      <c r="B26" s="10" t="s">
        <v>958</v>
      </c>
      <c r="C26" s="10"/>
      <c r="D26" s="38"/>
      <c r="E26" s="63"/>
      <c r="F26" s="1048" t="str">
        <f>"(Line "&amp;A25&amp;" / "&amp;A20&amp;")"</f>
        <v>(Line 13 / 10)</v>
      </c>
      <c r="G26" s="1037"/>
      <c r="H26" s="512">
        <f>+H25/H20</f>
        <v>0.16960603276525196</v>
      </c>
      <c r="I26" s="1081"/>
      <c r="J26" s="512">
        <f>+J25/J20</f>
        <v>0.15672059553414452</v>
      </c>
      <c r="K26" s="512">
        <f>+K25/K20</f>
        <v>4.6132240738067419E-3</v>
      </c>
      <c r="L26" s="973">
        <f>+L25/L20</f>
        <v>8.2722131573007059E-3</v>
      </c>
      <c r="M26" s="36"/>
    </row>
    <row r="27" spans="1:13" ht="16.5" customHeight="1" thickTop="1">
      <c r="A27" s="980"/>
      <c r="B27" s="23"/>
      <c r="C27" s="11"/>
      <c r="D27" s="25"/>
      <c r="E27" s="974"/>
      <c r="F27" s="1042"/>
      <c r="G27" s="97"/>
      <c r="H27" s="530"/>
      <c r="I27" s="431"/>
      <c r="J27" s="1080"/>
      <c r="K27" s="511"/>
      <c r="L27" s="969"/>
      <c r="M27" s="431"/>
    </row>
    <row r="28" spans="1:13" s="15" customFormat="1" ht="15.75" customHeight="1">
      <c r="A28" s="981" t="s">
        <v>956</v>
      </c>
      <c r="B28" s="29"/>
      <c r="C28" s="40"/>
      <c r="D28" s="40"/>
      <c r="E28" s="382"/>
      <c r="F28" s="1049"/>
      <c r="G28" s="41"/>
      <c r="H28" s="923"/>
      <c r="I28" s="982"/>
      <c r="J28" s="514"/>
      <c r="K28" s="514"/>
      <c r="L28" s="983"/>
      <c r="M28" s="431"/>
    </row>
    <row r="29" spans="1:13" s="15" customFormat="1" ht="15.75" customHeight="1">
      <c r="A29" s="984"/>
      <c r="B29" s="43"/>
      <c r="C29" s="25"/>
      <c r="D29" s="25"/>
      <c r="E29" s="381"/>
      <c r="F29" s="1040"/>
      <c r="G29" s="36"/>
      <c r="H29" s="924"/>
      <c r="I29" s="431"/>
      <c r="J29" s="510"/>
      <c r="K29" s="510"/>
      <c r="L29" s="978"/>
      <c r="M29" s="431"/>
    </row>
    <row r="30" spans="1:13" ht="15.75" customHeight="1">
      <c r="A30" s="988"/>
      <c r="B30" s="11" t="str">
        <f>"Plant In Service  (Note "&amp;B307&amp;")"</f>
        <v>Plant In Service  (Note O)</v>
      </c>
      <c r="C30" s="25"/>
      <c r="D30" s="25"/>
      <c r="E30" s="974"/>
      <c r="F30" s="1045"/>
      <c r="G30" s="104"/>
      <c r="H30" s="517"/>
      <c r="I30" s="431"/>
      <c r="J30" s="510"/>
      <c r="K30" s="510"/>
      <c r="L30" s="978"/>
      <c r="M30" s="431"/>
    </row>
    <row r="31" spans="1:13" ht="15.75" customHeight="1">
      <c r="A31" s="649">
        <f>+A26+1</f>
        <v>15</v>
      </c>
      <c r="B31" s="69"/>
      <c r="C31" s="397" t="s">
        <v>947</v>
      </c>
      <c r="D31" s="25"/>
      <c r="E31" s="71" t="str">
        <f>"(Note "&amp;B$294&amp;")"</f>
        <v>(Note B)</v>
      </c>
      <c r="F31" s="1045" t="s">
        <v>784</v>
      </c>
      <c r="G31" s="104"/>
      <c r="H31" s="517">
        <f>'5 - Cost Support'!F9</f>
        <v>1412973432.8884614</v>
      </c>
      <c r="I31" s="431"/>
      <c r="J31" s="510">
        <f>'5 - Cost Support'!G9</f>
        <v>1229040958.426923</v>
      </c>
      <c r="K31" s="510">
        <f>'5 - Cost Support'!H9</f>
        <v>95427304.411538437</v>
      </c>
      <c r="L31" s="978">
        <f>'5 - Cost Support'!I9</f>
        <v>88505170.049999997</v>
      </c>
      <c r="M31" s="431"/>
    </row>
    <row r="32" spans="1:13" ht="15.75" customHeight="1">
      <c r="A32" s="649">
        <f>+A31+1</f>
        <v>16</v>
      </c>
      <c r="B32" s="69"/>
      <c r="C32" s="406" t="s">
        <v>762</v>
      </c>
      <c r="D32" s="447"/>
      <c r="E32" s="647"/>
      <c r="F32" s="1051" t="s">
        <v>782</v>
      </c>
      <c r="G32" s="147"/>
      <c r="H32" s="925">
        <f>J32+K32+L32</f>
        <v>0</v>
      </c>
      <c r="I32" s="955"/>
      <c r="J32" s="538"/>
      <c r="K32" s="538">
        <v>0</v>
      </c>
      <c r="L32" s="985">
        <v>0</v>
      </c>
      <c r="M32" s="959"/>
    </row>
    <row r="33" spans="1:13" ht="15.75" customHeight="1">
      <c r="A33" s="649">
        <f>+A32+1</f>
        <v>17</v>
      </c>
      <c r="B33" s="69"/>
      <c r="C33" s="11" t="s">
        <v>761</v>
      </c>
      <c r="D33" s="25"/>
      <c r="E33" s="71"/>
      <c r="F33" s="1045" t="str">
        <f>"(Line "&amp;A31&amp;" + "&amp;A32&amp;")"</f>
        <v>(Line 15 + 16)</v>
      </c>
      <c r="G33" s="104"/>
      <c r="H33" s="926">
        <f>+H31+H32</f>
        <v>1412973432.8884614</v>
      </c>
      <c r="I33" s="431"/>
      <c r="J33" s="926">
        <f>+J31+J32</f>
        <v>1229040958.426923</v>
      </c>
      <c r="K33" s="926">
        <f>+K31+K32</f>
        <v>95427304.411538437</v>
      </c>
      <c r="L33" s="976">
        <f>+L31+L32</f>
        <v>88505170.049999997</v>
      </c>
      <c r="M33" s="431"/>
    </row>
    <row r="34" spans="1:13" ht="15.75" customHeight="1">
      <c r="A34" s="649"/>
      <c r="B34" s="69"/>
      <c r="C34" s="11"/>
      <c r="D34" s="25"/>
      <c r="E34" s="71"/>
      <c r="F34" s="1045"/>
      <c r="G34" s="104"/>
      <c r="H34" s="926"/>
      <c r="I34" s="431"/>
      <c r="J34" s="510"/>
      <c r="K34" s="510"/>
      <c r="L34" s="978"/>
      <c r="M34" s="431"/>
    </row>
    <row r="35" spans="1:13" ht="15.75" customHeight="1">
      <c r="A35" s="649">
        <f>+A33+1</f>
        <v>18</v>
      </c>
      <c r="B35" s="69"/>
      <c r="C35" s="397" t="s">
        <v>315</v>
      </c>
      <c r="D35" s="25"/>
      <c r="E35" s="71"/>
      <c r="F35" s="1045" t="s">
        <v>784</v>
      </c>
      <c r="G35" s="104"/>
      <c r="H35" s="517">
        <f>J35</f>
        <v>348651218.61299998</v>
      </c>
      <c r="I35" s="431"/>
      <c r="J35" s="510">
        <f>'5 - Cost Support'!H31</f>
        <v>348651218.61299998</v>
      </c>
      <c r="K35" s="510">
        <f>J35</f>
        <v>348651218.61299998</v>
      </c>
      <c r="L35" s="978">
        <f>K35</f>
        <v>348651218.61299998</v>
      </c>
      <c r="M35" s="431"/>
    </row>
    <row r="36" spans="1:13" ht="15.75" customHeight="1">
      <c r="A36" s="649">
        <f>A35+1</f>
        <v>19</v>
      </c>
      <c r="B36" s="69"/>
      <c r="C36" s="406" t="s">
        <v>265</v>
      </c>
      <c r="D36" s="447"/>
      <c r="E36" s="73"/>
      <c r="F36" s="1047"/>
      <c r="G36" s="147"/>
      <c r="H36" s="1783">
        <v>0.1188</v>
      </c>
      <c r="I36" s="955"/>
      <c r="J36" s="1508">
        <f>H36</f>
        <v>0.1188</v>
      </c>
      <c r="K36" s="1207"/>
      <c r="L36" s="1208"/>
      <c r="M36" s="431"/>
    </row>
    <row r="37" spans="1:13" ht="15.75" customHeight="1">
      <c r="A37" s="649">
        <f>A36+1</f>
        <v>20</v>
      </c>
      <c r="B37" s="69"/>
      <c r="C37" s="397" t="s">
        <v>266</v>
      </c>
      <c r="D37" s="25"/>
      <c r="E37" s="71"/>
      <c r="F37" s="1045"/>
      <c r="G37" s="104"/>
      <c r="H37" s="517">
        <f>H35*H36</f>
        <v>41419764.771224394</v>
      </c>
      <c r="I37" s="431"/>
      <c r="J37" s="517">
        <f>J35*J36</f>
        <v>41419764.771224394</v>
      </c>
      <c r="K37" s="517">
        <f>K35*K36</f>
        <v>0</v>
      </c>
      <c r="L37" s="991">
        <f>L35*L36</f>
        <v>0</v>
      </c>
      <c r="M37" s="431"/>
    </row>
    <row r="38" spans="1:13" ht="15.75" customHeight="1">
      <c r="A38" s="649">
        <f>A37+1</f>
        <v>21</v>
      </c>
      <c r="B38" s="69"/>
      <c r="C38" s="397" t="s">
        <v>946</v>
      </c>
      <c r="D38" s="25"/>
      <c r="E38" s="74"/>
      <c r="F38" s="1047" t="s">
        <v>784</v>
      </c>
      <c r="G38" s="147"/>
      <c r="H38" s="925">
        <f>+'5 - Cost Support'!F20+'5 - Cost Support'!F16</f>
        <v>361177216</v>
      </c>
      <c r="I38" s="955"/>
      <c r="J38" s="538">
        <f>$H$38</f>
        <v>361177216</v>
      </c>
      <c r="K38" s="538">
        <f>$H$38</f>
        <v>361177216</v>
      </c>
      <c r="L38" s="985">
        <f>$H$38</f>
        <v>361177216</v>
      </c>
      <c r="M38" s="431"/>
    </row>
    <row r="39" spans="1:13" ht="15.75" customHeight="1">
      <c r="A39" s="649">
        <f>+A38+1</f>
        <v>22</v>
      </c>
      <c r="B39" s="69"/>
      <c r="C39" s="440" t="s">
        <v>417</v>
      </c>
      <c r="D39" s="17"/>
      <c r="E39" s="66"/>
      <c r="F39" s="1045" t="str">
        <f>"(Line"&amp;A38&amp;")"</f>
        <v>(Line21)</v>
      </c>
      <c r="G39" s="104"/>
      <c r="H39" s="517">
        <f>+H38</f>
        <v>361177216</v>
      </c>
      <c r="I39" s="431"/>
      <c r="J39" s="517">
        <f>+J38</f>
        <v>361177216</v>
      </c>
      <c r="K39" s="517">
        <f>+K38</f>
        <v>361177216</v>
      </c>
      <c r="L39" s="991">
        <f>+L38</f>
        <v>361177216</v>
      </c>
      <c r="M39" s="431"/>
    </row>
    <row r="40" spans="1:13" ht="15.75" customHeight="1">
      <c r="A40" s="649">
        <f>+A39+1</f>
        <v>23</v>
      </c>
      <c r="B40" s="69"/>
      <c r="C40" s="394" t="s">
        <v>964</v>
      </c>
      <c r="D40" s="397"/>
      <c r="E40" s="974"/>
      <c r="F40" s="1047" t="str">
        <f>"(Line "&amp;A$13&amp;")"</f>
        <v>(Line 5)</v>
      </c>
      <c r="G40" s="147"/>
      <c r="H40" s="1082">
        <f>+H13</f>
        <v>0.12652289669965341</v>
      </c>
      <c r="I40" s="955"/>
      <c r="J40" s="722">
        <f>+$J$13</f>
        <v>0.12652289669965341</v>
      </c>
      <c r="K40" s="722">
        <f>+$K$13</f>
        <v>0</v>
      </c>
      <c r="L40" s="986">
        <f>+$L$13</f>
        <v>0</v>
      </c>
      <c r="M40" s="431"/>
    </row>
    <row r="41" spans="1:13" ht="15.75" customHeight="1">
      <c r="A41" s="649">
        <f>+A40+1</f>
        <v>24</v>
      </c>
      <c r="B41" s="36"/>
      <c r="C41" s="8" t="s">
        <v>421</v>
      </c>
      <c r="D41" s="19"/>
      <c r="E41" s="392"/>
      <c r="F41" s="1045" t="str">
        <f>"(Line  + ("&amp;A39&amp;" * "&amp;A40&amp;"))"</f>
        <v>(Line  + (22 * 23))</v>
      </c>
      <c r="G41" s="104"/>
      <c r="H41" s="926">
        <f>+H39*H40</f>
        <v>45697187.59023641</v>
      </c>
      <c r="I41" s="431"/>
      <c r="J41" s="926">
        <f>+J39*J40</f>
        <v>45697187.59023641</v>
      </c>
      <c r="K41" s="926">
        <f>+K39*K40</f>
        <v>0</v>
      </c>
      <c r="L41" s="987">
        <f>+L39*L40</f>
        <v>0</v>
      </c>
      <c r="M41" s="431"/>
    </row>
    <row r="42" spans="1:13" ht="15.75" customHeight="1">
      <c r="A42" s="988"/>
      <c r="B42" s="36"/>
      <c r="C42" s="11"/>
      <c r="D42" s="36"/>
      <c r="E42" s="74"/>
      <c r="F42" s="1040"/>
      <c r="G42" s="104"/>
      <c r="H42" s="517"/>
      <c r="I42" s="431"/>
      <c r="J42" s="510"/>
      <c r="K42" s="510"/>
      <c r="L42" s="978"/>
      <c r="M42" s="431"/>
    </row>
    <row r="43" spans="1:13" s="1" customFormat="1" ht="16.5" customHeight="1" thickBot="1">
      <c r="A43" s="649">
        <f>+A41+1</f>
        <v>25</v>
      </c>
      <c r="B43" s="1209" t="s">
        <v>923</v>
      </c>
      <c r="C43" s="1209"/>
      <c r="D43" s="1209"/>
      <c r="E43" s="1210"/>
      <c r="F43" s="1053" t="str">
        <f>"(Line "&amp;A33&amp;" + "&amp;A37&amp;" + "&amp;A41&amp;")"</f>
        <v>(Line 17 + 20 + 24)</v>
      </c>
      <c r="G43" s="1209"/>
      <c r="H43" s="516">
        <f>+H41+H33+H37</f>
        <v>1500090385.2499223</v>
      </c>
      <c r="I43" s="1083"/>
      <c r="J43" s="516">
        <f>+J41+J33+J37</f>
        <v>1316157910.788384</v>
      </c>
      <c r="K43" s="516">
        <f>+K41+K33+K37</f>
        <v>95427304.411538437</v>
      </c>
      <c r="L43" s="990">
        <f>+L41+L33+L37</f>
        <v>88505170.049999997</v>
      </c>
      <c r="M43" s="989"/>
    </row>
    <row r="44" spans="1:13" ht="16.5" customHeight="1" thickTop="1">
      <c r="A44" s="988"/>
      <c r="B44" s="36"/>
      <c r="C44" s="36"/>
      <c r="D44" s="36"/>
      <c r="E44" s="74"/>
      <c r="F44" s="1040"/>
      <c r="G44" s="104"/>
      <c r="H44" s="922"/>
      <c r="I44" s="431"/>
      <c r="J44" s="510"/>
      <c r="K44" s="510"/>
      <c r="L44" s="978"/>
      <c r="M44" s="431"/>
    </row>
    <row r="45" spans="1:13" ht="15.75" customHeight="1">
      <c r="A45" s="649"/>
      <c r="B45" s="11" t="s">
        <v>910</v>
      </c>
      <c r="C45" s="11"/>
      <c r="D45" s="331"/>
      <c r="E45" s="974"/>
      <c r="F45" s="1045"/>
      <c r="G45" s="104"/>
      <c r="H45" s="517"/>
      <c r="I45" s="431"/>
      <c r="J45" s="510"/>
      <c r="K45" s="510"/>
      <c r="L45" s="978"/>
      <c r="M45" s="431"/>
    </row>
    <row r="46" spans="1:13" ht="15.75" customHeight="1">
      <c r="A46" s="988"/>
      <c r="B46" s="25"/>
      <c r="C46" s="25"/>
      <c r="D46" s="25"/>
      <c r="E46" s="74"/>
      <c r="F46" s="1045"/>
      <c r="G46" s="104"/>
      <c r="H46" s="517"/>
      <c r="I46" s="431"/>
      <c r="J46" s="510"/>
      <c r="K46" s="510"/>
      <c r="L46" s="978"/>
      <c r="M46" s="431"/>
    </row>
    <row r="47" spans="1:13" ht="15.75" customHeight="1">
      <c r="A47" s="649">
        <f>+A43+1</f>
        <v>26</v>
      </c>
      <c r="B47" s="69"/>
      <c r="C47" s="406" t="s">
        <v>979</v>
      </c>
      <c r="D47" s="447"/>
      <c r="E47" s="73" t="str">
        <f>"(Note "&amp;B$294&amp;")"</f>
        <v>(Note B)</v>
      </c>
      <c r="F47" s="1047" t="s">
        <v>784</v>
      </c>
      <c r="G47" s="147"/>
      <c r="H47" s="538">
        <f>'5 - Cost Support'!F38</f>
        <v>443108766.46612531</v>
      </c>
      <c r="I47" s="955"/>
      <c r="J47" s="538">
        <f>'5 - Cost Support'!G38</f>
        <v>335316759.43689454</v>
      </c>
      <c r="K47" s="538">
        <f>'5 - Cost Support'!H38</f>
        <v>68167613.409230769</v>
      </c>
      <c r="L47" s="985">
        <f>'5 - Cost Support'!I38</f>
        <v>39624393.620000005</v>
      </c>
      <c r="M47" s="431"/>
    </row>
    <row r="48" spans="1:13" s="15" customFormat="1" ht="15.75" customHeight="1">
      <c r="A48" s="649">
        <f>A47+1</f>
        <v>27</v>
      </c>
      <c r="B48" s="69"/>
      <c r="C48" s="11" t="s">
        <v>341</v>
      </c>
      <c r="D48" s="71"/>
      <c r="E48" s="36"/>
      <c r="F48" s="1050" t="str">
        <f>"(Line "&amp;A47&amp;")"</f>
        <v>(Line 26)</v>
      </c>
      <c r="G48" s="36"/>
      <c r="H48" s="517">
        <f>+H47</f>
        <v>443108766.46612531</v>
      </c>
      <c r="I48" s="431"/>
      <c r="J48" s="517">
        <f>+J47</f>
        <v>335316759.43689454</v>
      </c>
      <c r="K48" s="517">
        <f>+K47</f>
        <v>68167613.409230769</v>
      </c>
      <c r="L48" s="991">
        <f>+L47</f>
        <v>39624393.620000005</v>
      </c>
      <c r="M48" s="431"/>
    </row>
    <row r="49" spans="1:13" s="15" customFormat="1" ht="15.75" customHeight="1">
      <c r="A49" s="649"/>
      <c r="B49" s="69"/>
      <c r="C49" s="397"/>
      <c r="D49" s="71"/>
      <c r="E49" s="36"/>
      <c r="F49" s="1045"/>
      <c r="G49" s="36"/>
      <c r="H49" s="517"/>
      <c r="I49" s="431"/>
      <c r="J49" s="517"/>
      <c r="K49" s="517"/>
      <c r="L49" s="991"/>
      <c r="M49" s="431"/>
    </row>
    <row r="50" spans="1:13" s="15" customFormat="1" ht="15.75" customHeight="1">
      <c r="A50" s="649">
        <f>A48+1</f>
        <v>28</v>
      </c>
      <c r="B50" s="69"/>
      <c r="C50" s="397" t="s">
        <v>316</v>
      </c>
      <c r="D50" s="71"/>
      <c r="E50" s="34"/>
      <c r="F50" s="1045" t="s">
        <v>784</v>
      </c>
      <c r="G50" s="36"/>
      <c r="H50" s="510">
        <f>'5 - Cost Support'!$H$62</f>
        <v>143435799.01350001</v>
      </c>
      <c r="I50" s="431"/>
      <c r="J50" s="510">
        <f>'5 - Cost Support'!$H$62</f>
        <v>143435799.01350001</v>
      </c>
      <c r="K50" s="510"/>
      <c r="L50" s="978"/>
      <c r="M50" s="431"/>
    </row>
    <row r="51" spans="1:13" s="15" customFormat="1" ht="15.75" customHeight="1">
      <c r="A51" s="649">
        <f>A50+1</f>
        <v>29</v>
      </c>
      <c r="B51" s="69"/>
      <c r="C51" s="406" t="s">
        <v>265</v>
      </c>
      <c r="D51" s="73"/>
      <c r="E51" s="32"/>
      <c r="F51" s="1047"/>
      <c r="G51" s="446"/>
      <c r="H51" s="1784">
        <v>0.13539999999999999</v>
      </c>
      <c r="I51" s="955"/>
      <c r="J51" s="1509">
        <f>H51</f>
        <v>0.13539999999999999</v>
      </c>
      <c r="K51" s="538"/>
      <c r="L51" s="985"/>
      <c r="M51" s="431"/>
    </row>
    <row r="52" spans="1:13" s="15" customFormat="1" ht="15.75" customHeight="1">
      <c r="A52" s="649">
        <f>A51+1</f>
        <v>30</v>
      </c>
      <c r="B52" s="69"/>
      <c r="C52" s="397" t="s">
        <v>266</v>
      </c>
      <c r="D52" s="71"/>
      <c r="E52" s="34"/>
      <c r="F52" s="1045"/>
      <c r="G52" s="36"/>
      <c r="H52" s="510">
        <f>H50*H51</f>
        <v>19421207.186427899</v>
      </c>
      <c r="I52" s="431"/>
      <c r="J52" s="510">
        <f>J50*J51</f>
        <v>19421207.186427899</v>
      </c>
      <c r="K52" s="510"/>
      <c r="L52" s="978"/>
      <c r="M52" s="431"/>
    </row>
    <row r="53" spans="1:13" ht="15.75" customHeight="1">
      <c r="A53" s="649">
        <f>+A52+1</f>
        <v>31</v>
      </c>
      <c r="B53" s="69"/>
      <c r="C53" s="397" t="s">
        <v>1036</v>
      </c>
      <c r="D53" s="25"/>
      <c r="E53" s="74"/>
      <c r="F53" s="1045" t="s">
        <v>784</v>
      </c>
      <c r="G53" s="104"/>
      <c r="H53" s="517">
        <f>+'5 - Cost Support'!F51</f>
        <v>102266325</v>
      </c>
      <c r="I53" s="431"/>
      <c r="J53" s="510">
        <f>$H$53</f>
        <v>102266325</v>
      </c>
      <c r="K53" s="510">
        <f>$H$53</f>
        <v>102266325</v>
      </c>
      <c r="L53" s="978">
        <f>$H$53</f>
        <v>102266325</v>
      </c>
      <c r="M53" s="431"/>
    </row>
    <row r="54" spans="1:13" ht="15.75" customHeight="1">
      <c r="A54" s="649">
        <f>+A53+1</f>
        <v>32</v>
      </c>
      <c r="B54" s="69"/>
      <c r="C54" s="406" t="s">
        <v>338</v>
      </c>
      <c r="D54" s="447"/>
      <c r="E54" s="647"/>
      <c r="F54" s="1047" t="s">
        <v>784</v>
      </c>
      <c r="G54" s="147"/>
      <c r="H54" s="925">
        <f>+'5 - Cost Support'!F47</f>
        <v>37818138</v>
      </c>
      <c r="I54" s="955"/>
      <c r="J54" s="538">
        <f>$H$54</f>
        <v>37818138</v>
      </c>
      <c r="K54" s="538">
        <f>$H$54</f>
        <v>37818138</v>
      </c>
      <c r="L54" s="985">
        <f>$H$54</f>
        <v>37818138</v>
      </c>
      <c r="M54" s="431"/>
    </row>
    <row r="55" spans="1:13" ht="15.75" customHeight="1">
      <c r="A55" s="649">
        <f>+A54+1</f>
        <v>33</v>
      </c>
      <c r="B55" s="23"/>
      <c r="C55" s="385" t="s">
        <v>920</v>
      </c>
      <c r="D55" s="21"/>
      <c r="E55" s="386"/>
      <c r="F55" s="1039" t="str">
        <f>"(Sum Lines "&amp;A53&amp;" to "&amp;A54&amp;")"</f>
        <v>(Sum Lines 31 to 32)</v>
      </c>
      <c r="G55" s="97"/>
      <c r="H55" s="517">
        <f>SUM(H53:H54)</f>
        <v>140084463</v>
      </c>
      <c r="I55" s="431"/>
      <c r="J55" s="517">
        <f>SUM(J53:J54)</f>
        <v>140084463</v>
      </c>
      <c r="K55" s="517">
        <f>SUM(K53:K54)</f>
        <v>140084463</v>
      </c>
      <c r="L55" s="991">
        <f>SUM(L53:L54)</f>
        <v>140084463</v>
      </c>
      <c r="M55" s="431"/>
    </row>
    <row r="56" spans="1:13" ht="15.75" customHeight="1">
      <c r="A56" s="649">
        <f>+A55+1</f>
        <v>34</v>
      </c>
      <c r="B56" s="23"/>
      <c r="C56" s="385" t="str">
        <f>+C40</f>
        <v>Wage &amp; Salary Allocation Factor</v>
      </c>
      <c r="D56" s="21"/>
      <c r="E56" s="386"/>
      <c r="F56" s="1052" t="str">
        <f>"(Line "&amp;A$13&amp;")"</f>
        <v>(Line 5)</v>
      </c>
      <c r="G56" s="145"/>
      <c r="H56" s="722">
        <f>+H13</f>
        <v>0.12652289669965341</v>
      </c>
      <c r="I56" s="955"/>
      <c r="J56" s="722">
        <f>+$J$13</f>
        <v>0.12652289669965341</v>
      </c>
      <c r="K56" s="722">
        <f>+$K$13</f>
        <v>0</v>
      </c>
      <c r="L56" s="993">
        <f>+$L$13</f>
        <v>0</v>
      </c>
      <c r="M56" s="431"/>
    </row>
    <row r="57" spans="1:13" ht="15.75" customHeight="1">
      <c r="A57" s="649">
        <f>+A56+1</f>
        <v>35</v>
      </c>
      <c r="B57" s="26"/>
      <c r="C57" s="28" t="s">
        <v>418</v>
      </c>
      <c r="D57" s="18"/>
      <c r="E57" s="62"/>
      <c r="F57" s="1039" t="str">
        <f>"(Line "&amp;A55&amp;" * "&amp;A56&amp;")"</f>
        <v>(Line 33 * 34)</v>
      </c>
      <c r="G57" s="97"/>
      <c r="H57" s="926">
        <f>+H56*H55</f>
        <v>17723892.041375421</v>
      </c>
      <c r="I57" s="431"/>
      <c r="J57" s="926">
        <f>+J56*J55</f>
        <v>17723892.041375421</v>
      </c>
      <c r="K57" s="515">
        <f>+K56*K55</f>
        <v>0</v>
      </c>
      <c r="L57" s="987">
        <f>+L56*L55</f>
        <v>0</v>
      </c>
      <c r="M57" s="431"/>
    </row>
    <row r="58" spans="1:13" ht="15.75" customHeight="1">
      <c r="A58" s="988"/>
      <c r="B58" s="26"/>
      <c r="C58" s="26"/>
      <c r="D58" s="26"/>
      <c r="E58" s="61"/>
      <c r="F58" s="1043"/>
      <c r="G58" s="97"/>
      <c r="H58" s="927"/>
      <c r="I58" s="431"/>
      <c r="J58" s="510"/>
      <c r="K58" s="510"/>
      <c r="L58" s="978"/>
      <c r="M58" s="431"/>
    </row>
    <row r="59" spans="1:13" ht="16.5" customHeight="1" thickBot="1">
      <c r="A59" s="649">
        <f>+A57+1</f>
        <v>36</v>
      </c>
      <c r="B59" s="10" t="s">
        <v>948</v>
      </c>
      <c r="C59" s="10"/>
      <c r="D59" s="10"/>
      <c r="E59" s="64"/>
      <c r="F59" s="1054" t="str">
        <f>"(Line "&amp;A48&amp;" + "&amp;A57&amp;")"</f>
        <v>(Line 27 + 35)</v>
      </c>
      <c r="G59" s="1084"/>
      <c r="H59" s="516">
        <f>+H57+H48+H52</f>
        <v>480253865.6939286</v>
      </c>
      <c r="I59" s="1081"/>
      <c r="J59" s="516">
        <f>+J57+J48+J52</f>
        <v>372461858.66469783</v>
      </c>
      <c r="K59" s="516">
        <f>+K57+K48+K52</f>
        <v>68167613.409230769</v>
      </c>
      <c r="L59" s="990">
        <f>+L57+L48+L52</f>
        <v>39624393.620000005</v>
      </c>
      <c r="M59" s="431"/>
    </row>
    <row r="60" spans="1:13" ht="16.5" customHeight="1" thickTop="1">
      <c r="A60" s="988"/>
      <c r="B60" s="26"/>
      <c r="C60" s="26"/>
      <c r="D60" s="26"/>
      <c r="E60" s="61"/>
      <c r="F60" s="1043"/>
      <c r="G60" s="97"/>
      <c r="H60" s="513"/>
      <c r="I60" s="431"/>
      <c r="J60" s="513"/>
      <c r="K60" s="922"/>
      <c r="L60" s="994"/>
      <c r="M60" s="431"/>
    </row>
    <row r="61" spans="1:13" ht="16.5" customHeight="1" thickBot="1">
      <c r="A61" s="649">
        <f>+A59+1</f>
        <v>37</v>
      </c>
      <c r="B61" s="10" t="s">
        <v>954</v>
      </c>
      <c r="C61" s="10"/>
      <c r="D61" s="10"/>
      <c r="E61" s="64"/>
      <c r="F61" s="1054" t="str">
        <f>"(Line "&amp;A43&amp;" - "&amp;A59&amp;")"</f>
        <v>(Line 25 - 36)</v>
      </c>
      <c r="G61" s="1084"/>
      <c r="H61" s="516">
        <f>+H43-H59</f>
        <v>1019836519.5559937</v>
      </c>
      <c r="I61" s="1081"/>
      <c r="J61" s="516">
        <f>+J43-J59</f>
        <v>943696052.12368608</v>
      </c>
      <c r="K61" s="516">
        <f>+K43-K59</f>
        <v>27259691.002307668</v>
      </c>
      <c r="L61" s="990">
        <f>+L43-L59</f>
        <v>48880776.429999992</v>
      </c>
      <c r="M61" s="431"/>
    </row>
    <row r="62" spans="1:13" ht="16.5" customHeight="1" thickTop="1">
      <c r="A62" s="975"/>
      <c r="B62" s="26"/>
      <c r="C62" s="26"/>
      <c r="D62" s="26"/>
      <c r="E62" s="61"/>
      <c r="F62" s="1043"/>
      <c r="G62" s="97"/>
      <c r="H62" s="524"/>
      <c r="I62" s="431"/>
      <c r="J62" s="511"/>
      <c r="K62" s="511"/>
      <c r="L62" s="969"/>
      <c r="M62" s="431"/>
    </row>
    <row r="63" spans="1:13" ht="16.5" customHeight="1">
      <c r="A63" s="981" t="s">
        <v>924</v>
      </c>
      <c r="B63" s="40"/>
      <c r="C63" s="40"/>
      <c r="D63" s="40"/>
      <c r="E63" s="382"/>
      <c r="F63" s="1049"/>
      <c r="G63" s="995"/>
      <c r="H63" s="928"/>
      <c r="I63" s="982"/>
      <c r="J63" s="514"/>
      <c r="K63" s="514"/>
      <c r="L63" s="983"/>
      <c r="M63" s="431"/>
    </row>
    <row r="64" spans="1:13" ht="15.75" customHeight="1" thickBot="1">
      <c r="A64" s="996"/>
      <c r="B64" s="997"/>
      <c r="C64" s="997"/>
      <c r="D64" s="997"/>
      <c r="E64" s="61"/>
      <c r="F64" s="1043"/>
      <c r="G64" s="97"/>
      <c r="H64" s="843"/>
      <c r="I64" s="431"/>
      <c r="J64" s="511"/>
      <c r="K64" s="511"/>
      <c r="L64" s="969"/>
      <c r="M64" s="431"/>
    </row>
    <row r="65" spans="1:13" ht="15.75" customHeight="1">
      <c r="A65" s="1198"/>
      <c r="B65" s="1199" t="s">
        <v>1070</v>
      </c>
      <c r="C65" s="1200"/>
      <c r="D65" s="963"/>
      <c r="E65" s="1201"/>
      <c r="F65" s="1202"/>
      <c r="G65" s="1203"/>
      <c r="H65" s="1204"/>
      <c r="I65" s="965"/>
      <c r="J65" s="1205"/>
      <c r="K65" s="1205"/>
      <c r="L65" s="1206"/>
      <c r="M65" s="431"/>
    </row>
    <row r="66" spans="1:13" ht="15.75" customHeight="1">
      <c r="A66" s="988">
        <f>+A61+1</f>
        <v>38</v>
      </c>
      <c r="B66" s="102"/>
      <c r="C66" s="21" t="s">
        <v>146</v>
      </c>
      <c r="D66" s="36"/>
      <c r="E66" s="444"/>
      <c r="F66" s="1051" t="s">
        <v>783</v>
      </c>
      <c r="G66" s="804"/>
      <c r="H66" s="925">
        <f>'1 - ADIT'!I16</f>
        <v>-199499381.7247518</v>
      </c>
      <c r="I66" s="955"/>
      <c r="J66" s="925">
        <f>H66</f>
        <v>-199499381.7247518</v>
      </c>
      <c r="K66" s="518"/>
      <c r="L66" s="992"/>
      <c r="M66" s="431"/>
    </row>
    <row r="67" spans="1:13" s="15" customFormat="1" ht="15.75" customHeight="1">
      <c r="A67" s="649">
        <f>+A66+1</f>
        <v>39</v>
      </c>
      <c r="B67" s="36"/>
      <c r="C67" s="387" t="s">
        <v>937</v>
      </c>
      <c r="D67" s="19"/>
      <c r="E67" s="723"/>
      <c r="F67" s="1045" t="str">
        <f>"(Line "&amp;A66&amp;")"</f>
        <v>(Line 38)</v>
      </c>
      <c r="G67" s="36"/>
      <c r="H67" s="930">
        <f>+H66</f>
        <v>-199499381.7247518</v>
      </c>
      <c r="I67" s="431"/>
      <c r="J67" s="930">
        <f>+J66</f>
        <v>-199499381.7247518</v>
      </c>
      <c r="K67" s="510">
        <v>0</v>
      </c>
      <c r="L67" s="978">
        <v>0</v>
      </c>
      <c r="M67" s="431"/>
    </row>
    <row r="68" spans="1:13" ht="16.5" customHeight="1">
      <c r="A68" s="988"/>
      <c r="B68" s="36"/>
      <c r="C68" s="102"/>
      <c r="D68" s="36"/>
      <c r="E68" s="74"/>
      <c r="F68" s="1040"/>
      <c r="G68" s="97"/>
      <c r="H68" s="929"/>
      <c r="I68" s="431"/>
      <c r="J68" s="511"/>
      <c r="K68" s="511"/>
      <c r="L68" s="969"/>
      <c r="M68" s="431"/>
    </row>
    <row r="69" spans="1:13" ht="16.5" customHeight="1">
      <c r="A69" s="988">
        <f>+A67+1</f>
        <v>40</v>
      </c>
      <c r="B69" s="77" t="s">
        <v>885</v>
      </c>
      <c r="C69" s="102"/>
      <c r="D69" s="74" t="s">
        <v>834</v>
      </c>
      <c r="E69" s="25" t="str">
        <f>"(Notes "&amp;$B$293&amp;" &amp; "&amp;B301&amp;")"</f>
        <v>(Notes A &amp; I)</v>
      </c>
      <c r="F69" s="1040" t="s">
        <v>783</v>
      </c>
      <c r="G69" s="104"/>
      <c r="H69" s="1458">
        <f>+'1 - ADIT'!I131</f>
        <v>0</v>
      </c>
      <c r="I69" s="431"/>
      <c r="J69" s="510">
        <v>0</v>
      </c>
      <c r="K69" s="510">
        <v>0</v>
      </c>
      <c r="L69" s="978">
        <v>0</v>
      </c>
      <c r="M69" s="431"/>
    </row>
    <row r="70" spans="1:13" ht="16.5" customHeight="1">
      <c r="A70" s="988"/>
      <c r="B70" s="36"/>
      <c r="C70" s="102"/>
      <c r="D70" s="36"/>
      <c r="E70" s="74"/>
      <c r="F70" s="1040"/>
      <c r="G70" s="97"/>
      <c r="H70" s="929"/>
      <c r="I70" s="431"/>
      <c r="J70" s="511"/>
      <c r="K70" s="511"/>
      <c r="L70" s="969"/>
      <c r="M70" s="431"/>
    </row>
    <row r="71" spans="1:13" s="15" customFormat="1" ht="15.75" customHeight="1">
      <c r="A71" s="649"/>
      <c r="B71" s="77" t="s">
        <v>833</v>
      </c>
      <c r="C71" s="102"/>
      <c r="D71" s="36"/>
      <c r="E71" s="74"/>
      <c r="F71" s="1045"/>
      <c r="G71" s="36"/>
      <c r="H71" s="930"/>
      <c r="I71" s="431"/>
      <c r="J71" s="510"/>
      <c r="K71" s="510"/>
      <c r="L71" s="978"/>
      <c r="M71" s="431"/>
    </row>
    <row r="72" spans="1:13" ht="15.75" customHeight="1">
      <c r="A72" s="988">
        <f>+A69+1</f>
        <v>41</v>
      </c>
      <c r="B72" s="36"/>
      <c r="C72" s="102" t="s">
        <v>983</v>
      </c>
      <c r="D72" s="36"/>
      <c r="E72" s="74" t="s">
        <v>834</v>
      </c>
      <c r="F72" s="1040" t="s">
        <v>784</v>
      </c>
      <c r="G72" s="104"/>
      <c r="H72" s="930">
        <f>-'5 - Cost Support'!L191</f>
        <v>-18866340.171880789</v>
      </c>
      <c r="I72" s="431"/>
      <c r="J72" s="930">
        <f>-'5 - Cost Support'!L191</f>
        <v>-18866340.171880789</v>
      </c>
      <c r="K72" s="510">
        <v>0</v>
      </c>
      <c r="L72" s="978">
        <v>0</v>
      </c>
      <c r="M72" s="25"/>
    </row>
    <row r="73" spans="1:13">
      <c r="A73" s="649"/>
      <c r="B73" s="999"/>
      <c r="C73" s="25"/>
      <c r="D73" s="25"/>
      <c r="E73" s="74"/>
      <c r="F73" s="1055"/>
      <c r="G73" s="104"/>
      <c r="H73" s="922"/>
      <c r="I73" s="431"/>
      <c r="J73" s="510"/>
      <c r="K73" s="510"/>
      <c r="L73" s="978"/>
      <c r="M73" s="431"/>
    </row>
    <row r="74" spans="1:13" ht="15.75">
      <c r="A74" s="649"/>
      <c r="B74" s="102" t="s">
        <v>911</v>
      </c>
      <c r="C74" s="394"/>
      <c r="D74" s="25"/>
      <c r="E74" s="74"/>
      <c r="F74" s="1056"/>
      <c r="G74" s="104"/>
      <c r="H74" s="922"/>
      <c r="I74" s="431"/>
      <c r="J74" s="510"/>
      <c r="K74" s="510"/>
      <c r="L74" s="978"/>
      <c r="M74" s="431"/>
    </row>
    <row r="75" spans="1:13" ht="15.75" customHeight="1">
      <c r="A75" s="649">
        <f>+A72+1</f>
        <v>42</v>
      </c>
      <c r="B75" s="1000"/>
      <c r="C75" s="57" t="s">
        <v>835</v>
      </c>
      <c r="D75" s="73"/>
      <c r="E75" s="1192" t="s">
        <v>122</v>
      </c>
      <c r="F75" s="1058" t="s">
        <v>784</v>
      </c>
      <c r="G75" s="806"/>
      <c r="H75" s="932">
        <f>+'5 - Cost Support'!L201</f>
        <v>2090115.8764600356</v>
      </c>
      <c r="I75" s="955"/>
      <c r="J75" s="932">
        <f>+'5 - Cost Support'!L201</f>
        <v>2090115.8764600356</v>
      </c>
      <c r="K75" s="538"/>
      <c r="L75" s="985"/>
      <c r="M75" s="431"/>
    </row>
    <row r="76" spans="1:13" ht="15.75" customHeight="1">
      <c r="A76" s="649">
        <f>+A75+1</f>
        <v>43</v>
      </c>
      <c r="B76" s="999"/>
      <c r="C76" s="77" t="s">
        <v>884</v>
      </c>
      <c r="D76" s="25"/>
      <c r="E76" s="69"/>
      <c r="F76" s="1045" t="str">
        <f>"(Line "&amp;A75&amp;")"</f>
        <v>(Line 42)</v>
      </c>
      <c r="G76" s="104"/>
      <c r="H76" s="930">
        <f>+H75</f>
        <v>2090115.8764600356</v>
      </c>
      <c r="I76" s="431"/>
      <c r="J76" s="930">
        <f>+J75</f>
        <v>2090115.8764600356</v>
      </c>
      <c r="K76" s="510">
        <v>0</v>
      </c>
      <c r="L76" s="978">
        <v>0</v>
      </c>
      <c r="M76" s="431"/>
    </row>
    <row r="77" spans="1:13" ht="16.5" customHeight="1">
      <c r="A77" s="649"/>
      <c r="B77" s="999"/>
      <c r="C77" s="77"/>
      <c r="D77" s="25"/>
      <c r="E77" s="69"/>
      <c r="F77" s="1045"/>
      <c r="G77" s="104"/>
      <c r="H77" s="930"/>
      <c r="I77" s="431"/>
      <c r="J77" s="510"/>
      <c r="K77" s="510"/>
      <c r="L77" s="978"/>
      <c r="M77" s="431"/>
    </row>
    <row r="78" spans="1:13" ht="15.75">
      <c r="A78" s="649">
        <f>+A76+1</f>
        <v>44</v>
      </c>
      <c r="B78" s="11" t="s">
        <v>344</v>
      </c>
      <c r="C78" s="25"/>
      <c r="D78" s="724"/>
      <c r="E78" s="71" t="str">
        <f>"(Note "&amp;B$295&amp;")"</f>
        <v>(Note C)</v>
      </c>
      <c r="F78" s="1045" t="str">
        <f>+F72</f>
        <v>Attachment 5</v>
      </c>
      <c r="G78" s="104"/>
      <c r="H78" s="926">
        <f>+'5 - Cost Support'!I79</f>
        <v>17628959</v>
      </c>
      <c r="I78" s="36"/>
      <c r="J78" s="528">
        <f>+H78</f>
        <v>17628959</v>
      </c>
      <c r="K78" s="510">
        <v>0</v>
      </c>
      <c r="L78" s="978">
        <v>0</v>
      </c>
      <c r="M78" s="431"/>
    </row>
    <row r="79" spans="1:13" ht="15.75">
      <c r="A79" s="649"/>
      <c r="B79" s="11"/>
      <c r="C79" s="25"/>
      <c r="D79" s="724"/>
      <c r="E79" s="71"/>
      <c r="F79" s="1045"/>
      <c r="G79" s="104"/>
      <c r="H79" s="926"/>
      <c r="I79" s="36"/>
      <c r="J79" s="528"/>
      <c r="K79" s="510"/>
      <c r="L79" s="978"/>
      <c r="M79" s="431"/>
    </row>
    <row r="80" spans="1:13" ht="15.75">
      <c r="A80" s="649">
        <f>+A78+1</f>
        <v>45</v>
      </c>
      <c r="B80" s="11" t="s">
        <v>112</v>
      </c>
      <c r="C80" s="25"/>
      <c r="D80" s="724"/>
      <c r="E80" s="71"/>
      <c r="F80" s="1045"/>
      <c r="G80" s="104"/>
      <c r="H80" s="1145">
        <v>0</v>
      </c>
      <c r="I80" s="1146"/>
      <c r="J80" s="1147">
        <v>0</v>
      </c>
      <c r="K80" s="510"/>
      <c r="L80" s="978"/>
      <c r="M80" s="431"/>
    </row>
    <row r="81" spans="1:13" ht="15.75">
      <c r="A81" s="649">
        <f>+A80+1</f>
        <v>46</v>
      </c>
      <c r="B81" s="11" t="s">
        <v>100</v>
      </c>
      <c r="C81" s="25"/>
      <c r="D81" s="724"/>
      <c r="E81" s="71"/>
      <c r="F81" s="1045"/>
      <c r="G81" s="807"/>
      <c r="H81" s="1195">
        <v>0</v>
      </c>
      <c r="I81" s="1196"/>
      <c r="J81" s="1196">
        <v>0</v>
      </c>
      <c r="K81" s="1197"/>
      <c r="L81" s="1148"/>
      <c r="M81" s="431"/>
    </row>
    <row r="82" spans="1:13" ht="15.75" customHeight="1">
      <c r="A82" s="649"/>
      <c r="B82" s="999"/>
      <c r="C82" s="77"/>
      <c r="D82" s="25"/>
      <c r="E82" s="69"/>
      <c r="F82" s="1045"/>
      <c r="G82" s="104"/>
      <c r="H82" s="930"/>
      <c r="I82" s="431"/>
      <c r="J82" s="510"/>
      <c r="K82" s="510"/>
      <c r="L82" s="978"/>
      <c r="M82" s="431"/>
    </row>
    <row r="83" spans="1:13" ht="15.75" customHeight="1">
      <c r="A83" s="649"/>
      <c r="B83" s="102" t="s">
        <v>909</v>
      </c>
      <c r="C83" s="36"/>
      <c r="D83" s="36"/>
      <c r="E83" s="1001"/>
      <c r="F83" s="1057"/>
      <c r="G83" s="104"/>
      <c r="H83" s="931"/>
      <c r="I83" s="431"/>
      <c r="J83" s="510"/>
      <c r="K83" s="510"/>
      <c r="L83" s="978"/>
      <c r="M83" s="431"/>
    </row>
    <row r="84" spans="1:13" ht="15.75" customHeight="1">
      <c r="A84" s="988">
        <f>+A81+1</f>
        <v>47</v>
      </c>
      <c r="B84" s="36"/>
      <c r="C84" s="36" t="s">
        <v>927</v>
      </c>
      <c r="D84" s="25"/>
      <c r="E84" s="71" t="str">
        <f>"(Note "&amp;B$293&amp;")"</f>
        <v>(Note A)</v>
      </c>
      <c r="F84" s="1064" t="s">
        <v>784</v>
      </c>
      <c r="G84" s="1193"/>
      <c r="H84" s="1055">
        <f>'5 - Cost Support'!Q207</f>
        <v>3215898.6923076925</v>
      </c>
      <c r="I84" s="431"/>
      <c r="J84" s="510">
        <f>H84</f>
        <v>3215898.6923076925</v>
      </c>
      <c r="K84" s="510">
        <f>J84</f>
        <v>3215898.6923076925</v>
      </c>
      <c r="L84" s="978">
        <f>K84</f>
        <v>3215898.6923076925</v>
      </c>
      <c r="M84" s="431"/>
    </row>
    <row r="85" spans="1:13" s="15" customFormat="1" ht="15.75" customHeight="1">
      <c r="A85" s="649">
        <f>+A84+1</f>
        <v>48</v>
      </c>
      <c r="B85" s="999"/>
      <c r="C85" s="57" t="s">
        <v>964</v>
      </c>
      <c r="D85" s="32"/>
      <c r="E85" s="65"/>
      <c r="F85" s="1047" t="str">
        <f>"(Line "&amp;A$13&amp;")"</f>
        <v>(Line 5)</v>
      </c>
      <c r="G85" s="1071"/>
      <c r="H85" s="935">
        <f>+H13</f>
        <v>0.12652289669965341</v>
      </c>
      <c r="I85" s="955"/>
      <c r="J85" s="722">
        <f>+$J$13</f>
        <v>0.12652289669965341</v>
      </c>
      <c r="K85" s="722">
        <f>+$K$13</f>
        <v>0</v>
      </c>
      <c r="L85" s="993">
        <f>+$L$13</f>
        <v>0</v>
      </c>
      <c r="M85" s="431"/>
    </row>
    <row r="86" spans="1:13" ht="15.75" customHeight="1">
      <c r="A86" s="649">
        <f>+A85+1</f>
        <v>49</v>
      </c>
      <c r="B86" s="999"/>
      <c r="C86" s="394" t="s">
        <v>978</v>
      </c>
      <c r="D86" s="25"/>
      <c r="E86" s="74"/>
      <c r="F86" s="1045" t="str">
        <f>"(Line "&amp;A84&amp;" * "&amp;A85&amp;")"</f>
        <v>(Line 47 * 48)</v>
      </c>
      <c r="G86" s="104"/>
      <c r="H86" s="929">
        <f>+H84*H85</f>
        <v>406884.81804339669</v>
      </c>
      <c r="I86" s="431"/>
      <c r="J86" s="929">
        <f>+J84*J85</f>
        <v>406884.81804339669</v>
      </c>
      <c r="K86" s="1427">
        <f>+K84*K85</f>
        <v>0</v>
      </c>
      <c r="L86" s="1428">
        <f>+L84*L85</f>
        <v>0</v>
      </c>
      <c r="M86" s="431"/>
    </row>
    <row r="87" spans="1:13" ht="15.75" customHeight="1">
      <c r="A87" s="649">
        <f>+A86+1</f>
        <v>50</v>
      </c>
      <c r="B87" s="999"/>
      <c r="C87" s="394" t="s">
        <v>900</v>
      </c>
      <c r="D87" s="25"/>
      <c r="E87" s="1002"/>
      <c r="F87" s="1058" t="s">
        <v>784</v>
      </c>
      <c r="G87" s="806"/>
      <c r="H87" s="932">
        <f>'5 - Cost Support'!Q208</f>
        <v>615847.84615384613</v>
      </c>
      <c r="I87" s="955"/>
      <c r="J87" s="932">
        <f>'5 - Cost Support'!Q208</f>
        <v>615847.84615384613</v>
      </c>
      <c r="K87" s="1429">
        <v>0</v>
      </c>
      <c r="L87" s="1430">
        <v>0</v>
      </c>
      <c r="M87" s="431"/>
    </row>
    <row r="88" spans="1:13" ht="18" customHeight="1">
      <c r="A88" s="649">
        <f>+A87+1</f>
        <v>51</v>
      </c>
      <c r="B88" s="999"/>
      <c r="C88" s="388" t="s">
        <v>908</v>
      </c>
      <c r="D88" s="50"/>
      <c r="E88" s="1194"/>
      <c r="F88" s="1045" t="str">
        <f>"(Line "&amp;A86&amp;" + "&amp;A87&amp;")"</f>
        <v>(Line 49 + 50)</v>
      </c>
      <c r="G88" s="104"/>
      <c r="H88" s="528">
        <f>SUM(H86:H87)</f>
        <v>1022732.6641972428</v>
      </c>
      <c r="I88" s="431"/>
      <c r="J88" s="528">
        <f>SUM(J86:J87)</f>
        <v>1022732.6641972428</v>
      </c>
      <c r="K88" s="1431">
        <f>SUM(K86:K87)</f>
        <v>0</v>
      </c>
      <c r="L88" s="1432">
        <f>SUM(L86:L87)</f>
        <v>0</v>
      </c>
      <c r="M88" s="431"/>
    </row>
    <row r="89" spans="1:13" ht="15.75" customHeight="1">
      <c r="A89" s="649"/>
      <c r="B89" s="999"/>
      <c r="C89" s="394"/>
      <c r="D89" s="21"/>
      <c r="E89" s="23"/>
      <c r="F89" s="1059"/>
      <c r="G89" s="97"/>
      <c r="H89" s="843"/>
      <c r="I89" s="431"/>
      <c r="J89" s="511"/>
      <c r="K89" s="1433"/>
      <c r="L89" s="1434"/>
      <c r="M89" s="431"/>
    </row>
    <row r="90" spans="1:13" ht="15.75" customHeight="1">
      <c r="A90" s="649"/>
      <c r="B90" s="102" t="s">
        <v>912</v>
      </c>
      <c r="C90" s="36"/>
      <c r="D90" s="25"/>
      <c r="E90" s="74"/>
      <c r="F90" s="1057"/>
      <c r="G90" s="104"/>
      <c r="H90" s="922"/>
      <c r="I90" s="431"/>
      <c r="J90" s="510"/>
      <c r="K90" s="1147"/>
      <c r="L90" s="1435"/>
      <c r="M90" s="431"/>
    </row>
    <row r="91" spans="1:13" ht="15.75" customHeight="1">
      <c r="A91" s="649">
        <f>+A88+1</f>
        <v>52</v>
      </c>
      <c r="B91" s="999"/>
      <c r="C91" s="394" t="s">
        <v>975</v>
      </c>
      <c r="D91" s="34"/>
      <c r="E91" s="74"/>
      <c r="F91" s="1045" t="str">
        <f>"(Line "&amp;A$135&amp;")"</f>
        <v>(Line 82)</v>
      </c>
      <c r="G91" s="104"/>
      <c r="H91" s="929">
        <f>+H135</f>
        <v>35038431.346541896</v>
      </c>
      <c r="I91" s="431"/>
      <c r="J91" s="929">
        <f>+J135</f>
        <v>32408166.085615359</v>
      </c>
      <c r="K91" s="1147">
        <v>0</v>
      </c>
      <c r="L91" s="1435">
        <v>0</v>
      </c>
      <c r="M91" s="431"/>
    </row>
    <row r="92" spans="1:13" ht="15.75" customHeight="1">
      <c r="A92" s="649">
        <f>+A91+1</f>
        <v>53</v>
      </c>
      <c r="B92" s="999"/>
      <c r="C92" s="34" t="s">
        <v>113</v>
      </c>
      <c r="D92" s="34"/>
      <c r="E92" s="71" t="s">
        <v>590</v>
      </c>
      <c r="F92" s="1058"/>
      <c r="G92" s="806"/>
      <c r="H92" s="1189">
        <v>0</v>
      </c>
      <c r="I92" s="1190">
        <v>0</v>
      </c>
      <c r="J92" s="1191">
        <f>$H$92</f>
        <v>0</v>
      </c>
      <c r="K92" s="1429">
        <f>$H$92</f>
        <v>0</v>
      </c>
      <c r="L92" s="1435">
        <f>$H$92</f>
        <v>0</v>
      </c>
      <c r="M92" s="431"/>
    </row>
    <row r="93" spans="1:13" s="1" customFormat="1" ht="16.5" customHeight="1">
      <c r="A93" s="649">
        <f>+A92+1</f>
        <v>54</v>
      </c>
      <c r="B93" s="1003"/>
      <c r="C93" s="387" t="s">
        <v>899</v>
      </c>
      <c r="D93" s="389"/>
      <c r="E93" s="390"/>
      <c r="F93" s="1045" t="str">
        <f>"(Line "&amp;A91&amp;" * "&amp;A92&amp;")"</f>
        <v>(Line 52 * 53)</v>
      </c>
      <c r="G93" s="449"/>
      <c r="H93" s="1436">
        <f>+H91*H92</f>
        <v>0</v>
      </c>
      <c r="I93" s="1442"/>
      <c r="J93" s="1436">
        <f>+J91*J92</f>
        <v>0</v>
      </c>
      <c r="K93" s="1436">
        <f>+K91*K92</f>
        <v>0</v>
      </c>
      <c r="L93" s="1437">
        <f>+L91*L92</f>
        <v>0</v>
      </c>
      <c r="M93" s="989"/>
    </row>
    <row r="94" spans="1:13" s="1" customFormat="1" ht="15.75" customHeight="1">
      <c r="A94" s="649"/>
      <c r="B94" s="1003"/>
      <c r="C94" s="102"/>
      <c r="D94" s="391"/>
      <c r="E94" s="68"/>
      <c r="F94" s="1039"/>
      <c r="G94" s="449"/>
      <c r="H94" s="930"/>
      <c r="I94" s="989"/>
      <c r="J94" s="519"/>
      <c r="K94" s="1438"/>
      <c r="L94" s="1439"/>
      <c r="M94" s="989"/>
    </row>
    <row r="95" spans="1:13" s="1" customFormat="1" ht="15.75" customHeight="1">
      <c r="A95" s="1004"/>
      <c r="B95" s="102" t="s">
        <v>149</v>
      </c>
      <c r="C95" s="449"/>
      <c r="D95" s="391"/>
      <c r="E95" s="449"/>
      <c r="F95" s="1039"/>
      <c r="G95" s="449"/>
      <c r="H95" s="930"/>
      <c r="I95" s="989"/>
      <c r="J95" s="519"/>
      <c r="K95" s="1438"/>
      <c r="L95" s="1439"/>
      <c r="M95" s="989"/>
    </row>
    <row r="96" spans="1:13" ht="15.75" customHeight="1">
      <c r="A96" s="649">
        <f>+A93+1</f>
        <v>55</v>
      </c>
      <c r="B96" s="26"/>
      <c r="C96" s="36" t="s">
        <v>153</v>
      </c>
      <c r="D96" s="26"/>
      <c r="E96" s="71" t="str">
        <f>"(Note "&amp;B$306&amp;")"</f>
        <v>(Note N)</v>
      </c>
      <c r="F96" s="1040" t="s">
        <v>784</v>
      </c>
      <c r="G96" s="97"/>
      <c r="H96" s="513">
        <f>J96+K96+L96</f>
        <v>0</v>
      </c>
      <c r="I96" s="431"/>
      <c r="J96" s="511">
        <f>'5 - Cost Support'!J217</f>
        <v>0</v>
      </c>
      <c r="K96" s="1433">
        <v>0</v>
      </c>
      <c r="L96" s="1434">
        <v>0</v>
      </c>
      <c r="M96" s="431"/>
    </row>
    <row r="97" spans="1:13" ht="15.75" customHeight="1">
      <c r="A97" s="975">
        <f>+A96+1</f>
        <v>56</v>
      </c>
      <c r="B97" s="26"/>
      <c r="C97" s="446" t="s">
        <v>763</v>
      </c>
      <c r="D97" s="96"/>
      <c r="E97" s="118" t="str">
        <f>+E96</f>
        <v>(Note N)</v>
      </c>
      <c r="F97" s="1044" t="s">
        <v>784</v>
      </c>
      <c r="G97" s="804"/>
      <c r="H97" s="538">
        <f>J97+K97+L97</f>
        <v>0</v>
      </c>
      <c r="I97" s="955"/>
      <c r="J97" s="538">
        <f>'5 - Cost Support'!J222</f>
        <v>0</v>
      </c>
      <c r="K97" s="1429">
        <v>0</v>
      </c>
      <c r="L97" s="1430">
        <v>0</v>
      </c>
      <c r="M97" s="431"/>
    </row>
    <row r="98" spans="1:13" ht="15.75" customHeight="1">
      <c r="A98" s="975">
        <f>+A97+1</f>
        <v>57</v>
      </c>
      <c r="B98" s="26"/>
      <c r="C98" s="26" t="s">
        <v>163</v>
      </c>
      <c r="D98" s="26"/>
      <c r="E98" s="61"/>
      <c r="F98" s="1039" t="str">
        <f>"(Line "&amp;A96&amp;" - "&amp;A97&amp;")"</f>
        <v>(Line 55 - 56)</v>
      </c>
      <c r="G98" s="97"/>
      <c r="H98" s="528">
        <f>+H96-H97</f>
        <v>0</v>
      </c>
      <c r="I98" s="431"/>
      <c r="J98" s="528">
        <f>+J96-J97</f>
        <v>0</v>
      </c>
      <c r="K98" s="1431">
        <f>+K96-K97</f>
        <v>0</v>
      </c>
      <c r="L98" s="1440">
        <f>+L96-L97</f>
        <v>0</v>
      </c>
      <c r="M98" s="431"/>
    </row>
    <row r="99" spans="1:13" ht="15.75" customHeight="1">
      <c r="A99" s="975"/>
      <c r="B99" s="26"/>
      <c r="C99" s="26"/>
      <c r="D99" s="26"/>
      <c r="E99" s="61"/>
      <c r="F99" s="1043"/>
      <c r="G99" s="97"/>
      <c r="H99" s="843"/>
      <c r="I99" s="431"/>
      <c r="J99" s="511"/>
      <c r="K99" s="1433"/>
      <c r="L99" s="1434"/>
      <c r="M99" s="431"/>
    </row>
    <row r="100" spans="1:13" ht="16.5" customHeight="1" thickBot="1">
      <c r="A100" s="975">
        <f>+A98+1</f>
        <v>58</v>
      </c>
      <c r="B100" s="10" t="s">
        <v>965</v>
      </c>
      <c r="C100" s="10"/>
      <c r="D100" s="10"/>
      <c r="E100" s="64"/>
      <c r="F100" s="1060" t="str">
        <f>"(Line "&amp;A67&amp;" + "&amp;A69&amp;" + "&amp;A72&amp;" + "&amp;A76&amp;" + "&amp;A78&amp;" + "&amp;A80&amp;" + "&amp;A81&amp;" + "&amp;A88&amp;" + "&amp;A93&amp;" - "&amp;A98&amp;" )"</f>
        <v>(Line 39 + 40 + 41 + 43 + 44 + 45 + 46 + 51 + 54 - 57 )</v>
      </c>
      <c r="G100" s="1070"/>
      <c r="H100" s="516">
        <f>SUM(H67,H72,H76,H78,H88,H93+H80+H81)-H98+H69</f>
        <v>-197623914.3559753</v>
      </c>
      <c r="I100" s="1081"/>
      <c r="J100" s="516">
        <f>SUM(J67,J72,J76,J78,J88,J93+J80+J81)-J98+J69</f>
        <v>-197623914.3559753</v>
      </c>
      <c r="K100" s="1441">
        <f>SUM(K67,K72,K76,K78,K88,K93+K80+K81)-K98+K69</f>
        <v>0</v>
      </c>
      <c r="L100" s="1441">
        <f>SUM(L67,L72,L76,L78,L88,L93+L80+L81)-L98+L69</f>
        <v>0</v>
      </c>
      <c r="M100" s="431"/>
    </row>
    <row r="101" spans="1:13" ht="16.5" customHeight="1" thickTop="1">
      <c r="A101" s="975"/>
      <c r="B101" s="26"/>
      <c r="C101" s="26"/>
      <c r="D101" s="26"/>
      <c r="E101" s="61"/>
      <c r="F101" s="1043"/>
      <c r="G101" s="97"/>
      <c r="H101" s="843"/>
      <c r="I101" s="431"/>
      <c r="J101" s="511"/>
      <c r="K101" s="511"/>
      <c r="L101" s="969"/>
      <c r="M101" s="431"/>
    </row>
    <row r="102" spans="1:13" ht="16.5" customHeight="1" thickBot="1">
      <c r="A102" s="970">
        <f>+A100+1</f>
        <v>59</v>
      </c>
      <c r="B102" s="10" t="s">
        <v>959</v>
      </c>
      <c r="C102" s="10"/>
      <c r="D102" s="10"/>
      <c r="E102" s="64"/>
      <c r="F102" s="1048" t="str">
        <f>"(Line "&amp;A61&amp;" + "&amp;A100&amp;")"</f>
        <v>(Line 37 + 58)</v>
      </c>
      <c r="G102" s="523"/>
      <c r="H102" s="520">
        <f>+H61+H100</f>
        <v>822212605.20001841</v>
      </c>
      <c r="I102" s="1081"/>
      <c r="J102" s="520">
        <f>+J61+J100</f>
        <v>746072137.7677108</v>
      </c>
      <c r="K102" s="520">
        <f>+K61+K100</f>
        <v>27259691.002307668</v>
      </c>
      <c r="L102" s="1006">
        <f>+L61+L100</f>
        <v>48880776.429999992</v>
      </c>
      <c r="M102" s="431"/>
    </row>
    <row r="103" spans="1:13" ht="16.5" customHeight="1" thickTop="1" thickBot="1">
      <c r="A103" s="1149"/>
      <c r="B103" s="1150"/>
      <c r="C103" s="1150"/>
      <c r="D103" s="1150"/>
      <c r="E103" s="1151"/>
      <c r="F103" s="1152"/>
      <c r="G103" s="906"/>
      <c r="H103" s="1153"/>
      <c r="I103" s="1154"/>
      <c r="J103" s="1155">
        <f>J102/$H$102</f>
        <v>0.90739564566297903</v>
      </c>
      <c r="K103" s="1155">
        <f>K102/$H$102</f>
        <v>3.3154066028550179E-2</v>
      </c>
      <c r="L103" s="1156">
        <f>L102/$H$102</f>
        <v>5.9450288308470822E-2</v>
      </c>
      <c r="M103" s="431"/>
    </row>
    <row r="104" spans="1:13" s="15" customFormat="1" ht="15.75" customHeight="1" thickBot="1">
      <c r="A104" s="981" t="s">
        <v>1017</v>
      </c>
      <c r="B104" s="29"/>
      <c r="C104" s="1008"/>
      <c r="D104" s="40"/>
      <c r="E104" s="382"/>
      <c r="F104" s="1049"/>
      <c r="G104" s="41"/>
      <c r="H104" s="923"/>
      <c r="I104" s="982"/>
      <c r="J104" s="514"/>
      <c r="K104" s="514"/>
      <c r="L104" s="983"/>
      <c r="M104" s="431"/>
    </row>
    <row r="105" spans="1:13" s="15" customFormat="1" ht="15.75" customHeight="1">
      <c r="A105" s="1612"/>
      <c r="B105" s="961"/>
      <c r="C105" s="961"/>
      <c r="D105" s="961"/>
      <c r="E105" s="962"/>
      <c r="F105" s="1038"/>
      <c r="G105" s="963"/>
      <c r="H105" s="964"/>
      <c r="I105" s="965"/>
      <c r="J105" s="966"/>
      <c r="K105" s="966"/>
      <c r="L105" s="967"/>
      <c r="M105" s="431"/>
    </row>
    <row r="106" spans="1:13" ht="15.75" customHeight="1">
      <c r="A106" s="970"/>
      <c r="B106" s="11" t="s">
        <v>942</v>
      </c>
      <c r="C106" s="21"/>
      <c r="D106" s="329"/>
      <c r="E106" s="386"/>
      <c r="F106" s="1043"/>
      <c r="G106" s="97"/>
      <c r="H106" s="920"/>
      <c r="I106" s="431"/>
      <c r="J106" s="511"/>
      <c r="K106" s="511"/>
      <c r="L106" s="969"/>
      <c r="M106" s="431"/>
    </row>
    <row r="107" spans="1:13" ht="15.75" customHeight="1">
      <c r="A107" s="649">
        <f>+A102+1</f>
        <v>60</v>
      </c>
      <c r="B107" s="23"/>
      <c r="C107" s="397" t="s">
        <v>942</v>
      </c>
      <c r="D107" s="25"/>
      <c r="E107" s="74"/>
      <c r="F107" s="1045" t="s">
        <v>723</v>
      </c>
      <c r="G107" s="104"/>
      <c r="H107" s="1466">
        <f>SUM(J107:L107)</f>
        <v>134458083</v>
      </c>
      <c r="I107" s="1009"/>
      <c r="J107" s="1467">
        <f>134458083-K107-L107</f>
        <v>127607074</v>
      </c>
      <c r="K107" s="1467">
        <v>5889894</v>
      </c>
      <c r="L107" s="1467">
        <v>961115</v>
      </c>
      <c r="M107" s="431"/>
    </row>
    <row r="108" spans="1:13" ht="15.75" customHeight="1">
      <c r="A108" s="649">
        <f>+A107+1</f>
        <v>61</v>
      </c>
      <c r="B108" s="69"/>
      <c r="C108" s="397" t="s">
        <v>865</v>
      </c>
      <c r="D108" s="25"/>
      <c r="E108" s="74"/>
      <c r="F108" s="1045" t="s">
        <v>866</v>
      </c>
      <c r="G108" s="104"/>
      <c r="H108" s="1466">
        <f>+J108+K108+L108</f>
        <v>0</v>
      </c>
      <c r="I108" s="1009"/>
      <c r="J108" s="1467">
        <v>0</v>
      </c>
      <c r="K108" s="510"/>
      <c r="L108" s="978"/>
      <c r="M108" s="431"/>
    </row>
    <row r="109" spans="1:13" ht="15.75" customHeight="1">
      <c r="A109" s="649">
        <f>+A108+1</f>
        <v>62</v>
      </c>
      <c r="B109" s="69"/>
      <c r="C109" s="397" t="s">
        <v>360</v>
      </c>
      <c r="D109" s="25"/>
      <c r="E109" s="74"/>
      <c r="F109" s="1045" t="s">
        <v>361</v>
      </c>
      <c r="G109" s="104"/>
      <c r="H109" s="517">
        <f>J109+K109+L109</f>
        <v>4239821</v>
      </c>
      <c r="I109" s="1009"/>
      <c r="J109" s="510">
        <f>+'Sch 1'!E18</f>
        <v>4239821</v>
      </c>
      <c r="K109" s="510"/>
      <c r="L109" s="978"/>
      <c r="M109" s="431"/>
    </row>
    <row r="110" spans="1:13" ht="15.75" customHeight="1">
      <c r="A110" s="649">
        <f>+A109+1</f>
        <v>63</v>
      </c>
      <c r="B110" s="23"/>
      <c r="C110" s="397" t="s">
        <v>1018</v>
      </c>
      <c r="D110" s="21"/>
      <c r="E110" s="998" t="s">
        <v>977</v>
      </c>
      <c r="F110" s="1047" t="s">
        <v>784</v>
      </c>
      <c r="G110" s="806"/>
      <c r="H110" s="925">
        <f>'5 - Cost Support'!K240</f>
        <v>112582965</v>
      </c>
      <c r="I110" s="1072"/>
      <c r="J110" s="538">
        <f>'5 - Cost Support'!K236</f>
        <v>107737120</v>
      </c>
      <c r="K110" s="538">
        <f>'5 - Cost Support'!K237</f>
        <v>4845845</v>
      </c>
      <c r="L110" s="1018">
        <f>'5 - Cost Support'!K238</f>
        <v>0</v>
      </c>
      <c r="M110" s="431"/>
    </row>
    <row r="111" spans="1:13" ht="15.75" customHeight="1">
      <c r="A111" s="649">
        <f>+A110+1</f>
        <v>64</v>
      </c>
      <c r="B111" s="25"/>
      <c r="C111" s="8" t="s">
        <v>942</v>
      </c>
      <c r="D111" s="17"/>
      <c r="E111" s="66"/>
      <c r="F111" s="1045" t="str">
        <f>"(Line "&amp;A107&amp;" - "&amp;A110&amp;")"</f>
        <v>(Line 60 - 63)</v>
      </c>
      <c r="G111" s="104"/>
      <c r="H111" s="926">
        <f>+H107+H108-H110-H109</f>
        <v>17635297</v>
      </c>
      <c r="I111" s="1009"/>
      <c r="J111" s="926">
        <f>+J107+J108-J110-J109</f>
        <v>15630133</v>
      </c>
      <c r="K111" s="926">
        <f>+K107+K108-K110-K109</f>
        <v>1044049</v>
      </c>
      <c r="L111" s="987">
        <f>+L107+L108-L110-L109</f>
        <v>961115</v>
      </c>
      <c r="M111" s="431"/>
    </row>
    <row r="112" spans="1:13" ht="15.75" customHeight="1">
      <c r="A112" s="649"/>
      <c r="B112" s="69"/>
      <c r="C112" s="11"/>
      <c r="D112" s="25"/>
      <c r="E112" s="974"/>
      <c r="F112" s="1061"/>
      <c r="G112" s="104"/>
      <c r="H112" s="921"/>
      <c r="I112" s="1009"/>
      <c r="J112" s="510"/>
      <c r="K112" s="510"/>
      <c r="L112" s="978"/>
      <c r="M112" s="431"/>
    </row>
    <row r="113" spans="1:13" ht="15.75" customHeight="1">
      <c r="A113" s="649"/>
      <c r="B113" s="11" t="s">
        <v>419</v>
      </c>
      <c r="C113" s="25"/>
      <c r="D113" s="25"/>
      <c r="E113" s="974"/>
      <c r="F113" s="1061"/>
      <c r="G113" s="104"/>
      <c r="H113" s="921"/>
      <c r="I113" s="1009"/>
      <c r="J113" s="510"/>
      <c r="K113" s="510"/>
      <c r="L113" s="978"/>
      <c r="M113" s="431"/>
    </row>
    <row r="114" spans="1:13" ht="15.75" customHeight="1">
      <c r="A114" s="649">
        <f>+A111+1</f>
        <v>65</v>
      </c>
      <c r="B114" s="69"/>
      <c r="C114" s="397" t="s">
        <v>945</v>
      </c>
      <c r="D114" s="25"/>
      <c r="E114" s="74"/>
      <c r="F114" s="1045" t="s">
        <v>724</v>
      </c>
      <c r="G114" s="104"/>
      <c r="H114" s="1466">
        <v>120326304</v>
      </c>
      <c r="I114" s="1009"/>
      <c r="J114" s="510"/>
      <c r="K114" s="510"/>
      <c r="L114" s="978"/>
      <c r="M114" s="431"/>
    </row>
    <row r="115" spans="1:13" ht="15.75" customHeight="1">
      <c r="A115" s="649">
        <f>+A114+1</f>
        <v>66</v>
      </c>
      <c r="B115" s="69"/>
      <c r="C115" s="397" t="s">
        <v>531</v>
      </c>
      <c r="D115" s="25"/>
      <c r="E115" s="74"/>
      <c r="F115" s="1045" t="s">
        <v>784</v>
      </c>
      <c r="G115" s="104"/>
      <c r="H115" s="517">
        <f>'5 - Cost Support'!I86</f>
        <v>-296478</v>
      </c>
      <c r="I115" s="1009"/>
      <c r="J115" s="510"/>
      <c r="K115" s="510"/>
      <c r="L115" s="978"/>
      <c r="M115" s="153"/>
    </row>
    <row r="116" spans="1:13" ht="15.75" customHeight="1">
      <c r="A116" s="649">
        <f>+A115+1</f>
        <v>67</v>
      </c>
      <c r="B116" s="69"/>
      <c r="C116" s="397" t="s">
        <v>1023</v>
      </c>
      <c r="D116" s="331"/>
      <c r="E116" s="74"/>
      <c r="F116" s="1062" t="s">
        <v>725</v>
      </c>
      <c r="G116" s="104"/>
      <c r="H116" s="1466">
        <v>5348893</v>
      </c>
      <c r="I116" s="1009"/>
      <c r="J116" s="510"/>
      <c r="K116" s="510"/>
      <c r="L116" s="978"/>
      <c r="M116" s="431"/>
    </row>
    <row r="117" spans="1:13" ht="15.75" customHeight="1">
      <c r="A117" s="649">
        <f t="shared" ref="A117:A122" si="0">+A116+1</f>
        <v>68</v>
      </c>
      <c r="B117" s="69"/>
      <c r="C117" s="397" t="s">
        <v>1024</v>
      </c>
      <c r="D117" s="331"/>
      <c r="E117" s="71" t="str">
        <f>"(Note "&amp;B$297&amp;")"</f>
        <v>(Note E)</v>
      </c>
      <c r="F117" s="1062" t="s">
        <v>726</v>
      </c>
      <c r="G117" s="104"/>
      <c r="H117" s="1466">
        <v>8547801</v>
      </c>
      <c r="I117" s="1009"/>
      <c r="J117" s="510"/>
      <c r="K117" s="510"/>
      <c r="L117" s="978"/>
      <c r="M117" s="431"/>
    </row>
    <row r="118" spans="1:13" ht="15.75" customHeight="1">
      <c r="A118" s="649">
        <f t="shared" si="0"/>
        <v>69</v>
      </c>
      <c r="B118" s="69"/>
      <c r="C118" s="397" t="s">
        <v>1025</v>
      </c>
      <c r="D118" s="331"/>
      <c r="E118" s="74"/>
      <c r="F118" s="1062" t="s">
        <v>727</v>
      </c>
      <c r="G118" s="104"/>
      <c r="H118" s="1466">
        <v>53308</v>
      </c>
      <c r="I118" s="1009"/>
      <c r="J118" s="510"/>
      <c r="K118" s="510"/>
      <c r="L118" s="978"/>
      <c r="M118" s="431"/>
    </row>
    <row r="119" spans="1:13">
      <c r="A119" s="649">
        <f t="shared" si="0"/>
        <v>70</v>
      </c>
      <c r="B119" s="69"/>
      <c r="C119" s="397" t="s">
        <v>1006</v>
      </c>
      <c r="D119" s="26"/>
      <c r="E119" s="71" t="str">
        <f>"(Note "&amp;B$296&amp;")"</f>
        <v>(Note D)</v>
      </c>
      <c r="F119" s="1047" t="s">
        <v>961</v>
      </c>
      <c r="G119" s="806"/>
      <c r="H119" s="1514"/>
      <c r="I119" s="1072"/>
      <c r="J119" s="538"/>
      <c r="K119" s="510"/>
      <c r="L119" s="978"/>
      <c r="M119" s="431"/>
    </row>
    <row r="120" spans="1:13" ht="15.75" customHeight="1">
      <c r="A120" s="649">
        <f t="shared" si="0"/>
        <v>71</v>
      </c>
      <c r="B120" s="69"/>
      <c r="C120" s="8" t="s">
        <v>420</v>
      </c>
      <c r="D120" s="17"/>
      <c r="E120" s="392"/>
      <c r="F120" s="1039" t="str">
        <f>"(Line "&amp;A114&amp;") -  Sum ("&amp;A115&amp;" to "&amp;A119&amp;")"</f>
        <v>(Line 65) -  Sum (66 to 70)</v>
      </c>
      <c r="G120" s="104"/>
      <c r="H120" s="517">
        <f>H114-H116-H117-H118-H119-H115</f>
        <v>106672780</v>
      </c>
      <c r="I120" s="1009"/>
      <c r="J120" s="517">
        <f>$H$120</f>
        <v>106672780</v>
      </c>
      <c r="K120" s="1078">
        <f>$H$120</f>
        <v>106672780</v>
      </c>
      <c r="L120" s="972">
        <f>$H$120</f>
        <v>106672780</v>
      </c>
      <c r="M120" s="431"/>
    </row>
    <row r="121" spans="1:13" ht="15.75" customHeight="1">
      <c r="A121" s="649">
        <f t="shared" si="0"/>
        <v>72</v>
      </c>
      <c r="B121" s="69"/>
      <c r="C121" s="397" t="s">
        <v>964</v>
      </c>
      <c r="D121" s="32"/>
      <c r="E121" s="647"/>
      <c r="F121" s="1063" t="str">
        <f>"(Line "&amp;A$13&amp;")"</f>
        <v>(Line 5)</v>
      </c>
      <c r="G121" s="806"/>
      <c r="H121" s="935">
        <f>+H13</f>
        <v>0.12652289669965341</v>
      </c>
      <c r="I121" s="1072"/>
      <c r="J121" s="722">
        <f>+$J$13</f>
        <v>0.12652289669965341</v>
      </c>
      <c r="K121" s="722">
        <f>+$K$13</f>
        <v>0</v>
      </c>
      <c r="L121" s="993">
        <f>+$L$13</f>
        <v>0</v>
      </c>
      <c r="M121" s="431"/>
    </row>
    <row r="122" spans="1:13" ht="15.75" customHeight="1">
      <c r="A122" s="649">
        <f t="shared" si="0"/>
        <v>73</v>
      </c>
      <c r="B122" s="69"/>
      <c r="C122" s="8" t="s">
        <v>422</v>
      </c>
      <c r="D122" s="25"/>
      <c r="E122" s="724"/>
      <c r="F122" s="1045" t="str">
        <f>"(Line "&amp;A120&amp;" * "&amp;A121&amp;")"</f>
        <v>(Line 71 * 72)</v>
      </c>
      <c r="G122" s="104"/>
      <c r="H122" s="926">
        <f>+H121*H120</f>
        <v>13496549.124604855</v>
      </c>
      <c r="I122" s="431"/>
      <c r="J122" s="926">
        <f>+J121*J120</f>
        <v>13496549.124604855</v>
      </c>
      <c r="K122" s="1443">
        <f>+K121*K120</f>
        <v>0</v>
      </c>
      <c r="L122" s="1444">
        <f>+L121*L120</f>
        <v>0</v>
      </c>
      <c r="M122" s="431"/>
    </row>
    <row r="123" spans="1:13" ht="15.75" customHeight="1">
      <c r="A123" s="649"/>
      <c r="B123" s="69"/>
      <c r="C123" s="11"/>
      <c r="D123" s="25"/>
      <c r="E123" s="974"/>
      <c r="F123" s="1061"/>
      <c r="G123" s="104"/>
      <c r="H123" s="517"/>
      <c r="I123" s="431"/>
      <c r="J123" s="510"/>
      <c r="K123" s="510"/>
      <c r="L123" s="978"/>
      <c r="M123" s="431"/>
    </row>
    <row r="124" spans="1:13" ht="15.75" customHeight="1">
      <c r="A124" s="649"/>
      <c r="B124" s="11" t="s">
        <v>901</v>
      </c>
      <c r="C124" s="36"/>
      <c r="D124" s="25"/>
      <c r="E124" s="974"/>
      <c r="F124" s="1061"/>
      <c r="G124" s="104"/>
      <c r="H124" s="517"/>
      <c r="I124" s="431"/>
      <c r="J124" s="510"/>
      <c r="K124" s="511"/>
      <c r="L124" s="969"/>
      <c r="M124" s="431"/>
    </row>
    <row r="125" spans="1:13" ht="15.75" customHeight="1">
      <c r="A125" s="649">
        <f>+A122+1</f>
        <v>74</v>
      </c>
      <c r="B125" s="999"/>
      <c r="C125" s="394" t="s">
        <v>1026</v>
      </c>
      <c r="D125" s="71"/>
      <c r="E125" s="71" t="str">
        <f>"(Note "&amp;B$299&amp;")"</f>
        <v>(Note G)</v>
      </c>
      <c r="F125" s="1064" t="s">
        <v>784</v>
      </c>
      <c r="G125" s="104"/>
      <c r="H125" s="929">
        <f>+'5 - Cost Support'!H109</f>
        <v>2999380.7005212121</v>
      </c>
      <c r="I125" s="431"/>
      <c r="J125" s="510">
        <f>+'5 - Cost Support'!I109</f>
        <v>2374279.4395946772</v>
      </c>
      <c r="K125" s="510">
        <f>+'5 - Cost Support'!J109</f>
        <v>328141.04195906006</v>
      </c>
      <c r="L125" s="978">
        <f>+'5 - Cost Support'!K109</f>
        <v>296960.21896747517</v>
      </c>
      <c r="M125" s="431"/>
    </row>
    <row r="126" spans="1:13" ht="15.75" customHeight="1">
      <c r="A126" s="649">
        <f>+A125+1</f>
        <v>75</v>
      </c>
      <c r="B126" s="999"/>
      <c r="C126" s="57" t="s">
        <v>1027</v>
      </c>
      <c r="D126" s="72"/>
      <c r="E126" s="73" t="str">
        <f>"(Note "&amp;B$303&amp;")"</f>
        <v>(Note K)</v>
      </c>
      <c r="F126" s="1058" t="s">
        <v>784</v>
      </c>
      <c r="G126" s="806"/>
      <c r="H126" s="932">
        <f>+'5 - Cost Support'!K114</f>
        <v>0</v>
      </c>
      <c r="I126" s="955"/>
      <c r="J126" s="538">
        <f>H126</f>
        <v>0</v>
      </c>
      <c r="K126" s="518">
        <v>0</v>
      </c>
      <c r="L126" s="992">
        <v>0</v>
      </c>
      <c r="M126" s="431"/>
    </row>
    <row r="127" spans="1:13" ht="15.75" customHeight="1">
      <c r="A127" s="649">
        <f>+A126+1</f>
        <v>76</v>
      </c>
      <c r="B127" s="999"/>
      <c r="C127" s="394" t="s">
        <v>1007</v>
      </c>
      <c r="D127" s="1010"/>
      <c r="E127" s="1001"/>
      <c r="F127" s="1045" t="str">
        <f>"(Line "&amp;A125&amp;" + "&amp;A126&amp;")"</f>
        <v>(Line 74 + 75)</v>
      </c>
      <c r="G127" s="104"/>
      <c r="H127" s="930">
        <f>+H126+H125</f>
        <v>2999380.7005212121</v>
      </c>
      <c r="I127" s="431"/>
      <c r="J127" s="521">
        <f>J125</f>
        <v>2374279.4395946772</v>
      </c>
      <c r="K127" s="511">
        <f>SUM(K125:K126)</f>
        <v>328141.04195906006</v>
      </c>
      <c r="L127" s="969">
        <f>SUM(L125:L126)</f>
        <v>296960.21896747517</v>
      </c>
      <c r="M127" s="431"/>
    </row>
    <row r="128" spans="1:13" ht="15.75" customHeight="1">
      <c r="A128" s="649"/>
      <c r="B128" s="999"/>
      <c r="C128" s="394"/>
      <c r="D128" s="1010"/>
      <c r="E128" s="1001"/>
      <c r="F128" s="1064"/>
      <c r="G128" s="104"/>
      <c r="H128" s="933"/>
      <c r="I128" s="431"/>
      <c r="J128" s="510"/>
      <c r="K128" s="511"/>
      <c r="L128" s="969"/>
      <c r="M128" s="431"/>
    </row>
    <row r="129" spans="1:16" ht="15.75" customHeight="1">
      <c r="A129" s="649">
        <f>+A127+1</f>
        <v>77</v>
      </c>
      <c r="B129" s="999"/>
      <c r="C129" s="394" t="s">
        <v>1028</v>
      </c>
      <c r="D129" s="1010"/>
      <c r="E129" s="71" t="str">
        <f>"(Note "&amp;B$298&amp;")"</f>
        <v>(Note F)</v>
      </c>
      <c r="F129" s="1050" t="str">
        <f>"(Line "&amp;A116&amp;")"</f>
        <v>(Line 67)</v>
      </c>
      <c r="G129" s="104"/>
      <c r="H129" s="929">
        <f>+H116</f>
        <v>5348893</v>
      </c>
      <c r="I129" s="431"/>
      <c r="J129" s="510">
        <f>H129</f>
        <v>5348893</v>
      </c>
      <c r="K129" s="511"/>
      <c r="L129" s="969"/>
      <c r="M129" s="431"/>
    </row>
    <row r="130" spans="1:16" ht="16.5" customHeight="1">
      <c r="A130" s="649">
        <f>+A129+1</f>
        <v>78</v>
      </c>
      <c r="B130" s="999"/>
      <c r="C130" s="394" t="s">
        <v>1027</v>
      </c>
      <c r="D130" s="1010"/>
      <c r="E130" s="71"/>
      <c r="F130" s="1058" t="s">
        <v>784</v>
      </c>
      <c r="G130" s="806"/>
      <c r="H130" s="932">
        <f>'5 - Cost Support'!I114</f>
        <v>0</v>
      </c>
      <c r="I130" s="955"/>
      <c r="J130" s="538">
        <f>H130</f>
        <v>0</v>
      </c>
      <c r="K130" s="518"/>
      <c r="L130" s="992"/>
      <c r="M130" s="431"/>
    </row>
    <row r="131" spans="1:16" ht="15.75" customHeight="1">
      <c r="A131" s="649">
        <f>+A130+1</f>
        <v>79</v>
      </c>
      <c r="B131" s="999"/>
      <c r="C131" s="16" t="s">
        <v>972</v>
      </c>
      <c r="D131" s="782"/>
      <c r="E131" s="66"/>
      <c r="F131" s="1045" t="str">
        <f>"(Line "&amp;A129&amp;" + "&amp;A130&amp;")"</f>
        <v>(Line 77 + 78)</v>
      </c>
      <c r="G131" s="104"/>
      <c r="H131" s="929">
        <f>+H129+H130</f>
        <v>5348893</v>
      </c>
      <c r="I131" s="431"/>
      <c r="J131" s="929">
        <f>+J129+J130</f>
        <v>5348893</v>
      </c>
      <c r="K131" s="511"/>
      <c r="L131" s="969"/>
      <c r="M131" s="431"/>
    </row>
    <row r="132" spans="1:16" ht="15.75" customHeight="1">
      <c r="A132" s="649">
        <f>+A131+1</f>
        <v>80</v>
      </c>
      <c r="B132" s="69"/>
      <c r="C132" s="16" t="s">
        <v>925</v>
      </c>
      <c r="D132" s="34"/>
      <c r="E132" s="65"/>
      <c r="F132" s="1047" t="str">
        <f>"(Line "&amp;A$26&amp;")"</f>
        <v>(Line 14)</v>
      </c>
      <c r="G132" s="806"/>
      <c r="H132" s="935">
        <f>+H26</f>
        <v>0.16960603276525196</v>
      </c>
      <c r="I132" s="955"/>
      <c r="J132" s="1188">
        <f>H132</f>
        <v>0.16960603276525196</v>
      </c>
      <c r="K132" s="518"/>
      <c r="L132" s="992"/>
      <c r="M132" s="431"/>
    </row>
    <row r="133" spans="1:16" ht="15.75" customHeight="1">
      <c r="A133" s="649">
        <f>+A132+1</f>
        <v>81</v>
      </c>
      <c r="B133" s="69"/>
      <c r="C133" s="8" t="s">
        <v>902</v>
      </c>
      <c r="D133" s="17"/>
      <c r="E133" s="71" t="s">
        <v>1092</v>
      </c>
      <c r="F133" s="1045" t="str">
        <f>"(Line "&amp;A131&amp;" * "&amp;A132&amp;")"</f>
        <v>(Line 79 * 80)</v>
      </c>
      <c r="G133" s="104"/>
      <c r="H133" s="930">
        <f>+H132*H131</f>
        <v>907204.52141582686</v>
      </c>
      <c r="I133" s="431"/>
      <c r="J133" s="521">
        <f>H133</f>
        <v>907204.52141582686</v>
      </c>
      <c r="K133" s="1445">
        <f>+K132*K131</f>
        <v>0</v>
      </c>
      <c r="L133" s="1437">
        <f>+L132*L131</f>
        <v>0</v>
      </c>
      <c r="M133" s="431"/>
    </row>
    <row r="134" spans="1:16" ht="15.75" customHeight="1">
      <c r="A134" s="970"/>
      <c r="B134" s="23"/>
      <c r="C134" s="11"/>
      <c r="D134" s="25"/>
      <c r="E134" s="386"/>
      <c r="F134" s="1042"/>
      <c r="G134" s="97"/>
      <c r="H134" s="920"/>
      <c r="I134" s="431"/>
      <c r="J134" s="511"/>
      <c r="K134" s="511"/>
      <c r="L134" s="969"/>
      <c r="M134" s="431"/>
    </row>
    <row r="135" spans="1:16" ht="16.5" customHeight="1" thickBot="1">
      <c r="A135" s="970">
        <f>+A133+1</f>
        <v>82</v>
      </c>
      <c r="B135" s="23"/>
      <c r="C135" s="9" t="s">
        <v>944</v>
      </c>
      <c r="D135" s="42"/>
      <c r="E135" s="393"/>
      <c r="F135" s="523" t="str">
        <f>"(Line "&amp;A111&amp;" + "&amp;A122&amp;" + "&amp;A127&amp;" + "&amp;A133&amp;")"</f>
        <v>(Line 64 + 73 + 76 + 81)</v>
      </c>
      <c r="G135" s="523"/>
      <c r="H135" s="522">
        <f>+H111+H122+H127+H133</f>
        <v>35038431.346541896</v>
      </c>
      <c r="I135" s="1081"/>
      <c r="J135" s="522">
        <f>+J111+J122+J127+J133</f>
        <v>32408166.085615359</v>
      </c>
      <c r="K135" s="522">
        <f>+K111+K122+K127+K133</f>
        <v>1372190.0419590601</v>
      </c>
      <c r="L135" s="1011">
        <f>+L111+L122+L127+L133</f>
        <v>1258075.2189674752</v>
      </c>
      <c r="M135" s="431"/>
    </row>
    <row r="136" spans="1:16" ht="16.5" customHeight="1" thickTop="1" thickBot="1">
      <c r="A136" s="1613"/>
      <c r="B136" s="1614"/>
      <c r="C136" s="1615"/>
      <c r="D136" s="1616"/>
      <c r="E136" s="1617"/>
      <c r="F136" s="1618"/>
      <c r="G136" s="906"/>
      <c r="H136" s="1619"/>
      <c r="I136" s="1154"/>
      <c r="J136" s="1620"/>
      <c r="K136" s="1620"/>
      <c r="L136" s="1621"/>
      <c r="M136" s="431"/>
    </row>
    <row r="137" spans="1:16" ht="15.75" customHeight="1">
      <c r="A137" s="981" t="s">
        <v>938</v>
      </c>
      <c r="B137" s="29"/>
      <c r="C137" s="1008"/>
      <c r="D137" s="40"/>
      <c r="E137" s="382"/>
      <c r="F137" s="1049"/>
      <c r="G137" s="995"/>
      <c r="H137" s="923"/>
      <c r="I137" s="982"/>
      <c r="J137" s="514"/>
      <c r="K137" s="514"/>
      <c r="L137" s="983"/>
      <c r="M137" s="431"/>
    </row>
    <row r="138" spans="1:16" ht="15.75" customHeight="1">
      <c r="A138" s="1012"/>
      <c r="B138" s="23"/>
      <c r="C138" s="11"/>
      <c r="D138" s="25"/>
      <c r="E138" s="386"/>
      <c r="F138" s="1042"/>
      <c r="G138" s="97"/>
      <c r="H138" s="530"/>
      <c r="I138" s="431"/>
      <c r="J138" s="511"/>
      <c r="K138" s="511"/>
      <c r="L138" s="969"/>
      <c r="M138" s="431"/>
    </row>
    <row r="139" spans="1:16" ht="15.75" customHeight="1">
      <c r="A139" s="975"/>
      <c r="B139" s="59" t="str">
        <f>"Depreciation Expense  (Note "&amp;B308&amp;")"</f>
        <v>Depreciation Expense  (Note P)</v>
      </c>
      <c r="C139" s="36"/>
      <c r="D139" s="25"/>
      <c r="E139" s="74"/>
      <c r="F139" s="1186"/>
      <c r="G139" s="104"/>
      <c r="H139" s="1187"/>
      <c r="I139" s="431"/>
      <c r="J139" s="510"/>
      <c r="K139" s="510"/>
      <c r="L139" s="969"/>
      <c r="M139" s="431"/>
    </row>
    <row r="140" spans="1:16" ht="15.75" customHeight="1">
      <c r="A140" s="970">
        <f>+A135+1</f>
        <v>83</v>
      </c>
      <c r="B140" s="1013"/>
      <c r="C140" s="57" t="s">
        <v>873</v>
      </c>
      <c r="D140" s="447"/>
      <c r="E140" s="65"/>
      <c r="F140" s="1058" t="s">
        <v>734</v>
      </c>
      <c r="G140" s="147"/>
      <c r="H140" s="1470">
        <f>SUM(J140:L140)</f>
        <v>33549341</v>
      </c>
      <c r="I140" s="1516"/>
      <c r="J140" s="1467">
        <f>33549341-K140-L140</f>
        <v>29972271</v>
      </c>
      <c r="K140" s="1467">
        <v>1851062</v>
      </c>
      <c r="L140" s="1467">
        <v>1726008</v>
      </c>
      <c r="M140" s="431"/>
      <c r="P140" s="1856"/>
    </row>
    <row r="141" spans="1:16" ht="15.75" customHeight="1">
      <c r="A141" s="970">
        <f>A140+1</f>
        <v>84</v>
      </c>
      <c r="B141" s="1013"/>
      <c r="C141" s="11" t="s">
        <v>342</v>
      </c>
      <c r="D141" s="69"/>
      <c r="E141" s="36"/>
      <c r="F141" s="1050" t="str">
        <f>"(Line "&amp;A140&amp;")"</f>
        <v>(Line 83)</v>
      </c>
      <c r="G141" s="104"/>
      <c r="H141" s="930">
        <f>+H140</f>
        <v>33549341</v>
      </c>
      <c r="I141" s="431"/>
      <c r="J141" s="930">
        <f>+J140</f>
        <v>29972271</v>
      </c>
      <c r="K141" s="930">
        <f>+K140</f>
        <v>1851062</v>
      </c>
      <c r="L141" s="1014">
        <f>+L140</f>
        <v>1726008</v>
      </c>
      <c r="M141" s="431"/>
    </row>
    <row r="142" spans="1:16" ht="15.75" customHeight="1">
      <c r="A142" s="970"/>
      <c r="B142" s="1013"/>
      <c r="C142" s="394"/>
      <c r="D142" s="25"/>
      <c r="E142" s="69"/>
      <c r="F142" s="1064"/>
      <c r="G142" s="104"/>
      <c r="H142" s="930"/>
      <c r="I142" s="431"/>
      <c r="J142" s="510"/>
      <c r="K142" s="510"/>
      <c r="L142" s="969"/>
      <c r="M142" s="431"/>
    </row>
    <row r="143" spans="1:16" ht="15.75" customHeight="1">
      <c r="A143" s="970">
        <f>+A140+1</f>
        <v>84</v>
      </c>
      <c r="B143" s="1013"/>
      <c r="C143" s="394" t="s">
        <v>536</v>
      </c>
      <c r="D143" s="25"/>
      <c r="E143" s="69"/>
      <c r="F143" s="1064" t="s">
        <v>537</v>
      </c>
      <c r="G143" s="104"/>
      <c r="H143" s="1469">
        <v>37791396</v>
      </c>
      <c r="I143" s="431"/>
      <c r="J143" s="1467">
        <f>H143</f>
        <v>37791396</v>
      </c>
      <c r="K143" s="510"/>
      <c r="L143" s="969"/>
      <c r="M143" s="431"/>
    </row>
    <row r="144" spans="1:16" ht="15.75" customHeight="1">
      <c r="A144" s="970">
        <f t="shared" ref="A144:A150" si="1">+A143+1</f>
        <v>85</v>
      </c>
      <c r="B144" s="1013"/>
      <c r="C144" s="406" t="s">
        <v>265</v>
      </c>
      <c r="D144" s="447"/>
      <c r="E144" s="65"/>
      <c r="F144" s="1058"/>
      <c r="G144" s="147"/>
      <c r="H144" s="1785">
        <v>0.11502</v>
      </c>
      <c r="I144" s="1516"/>
      <c r="J144" s="1515">
        <f>H144</f>
        <v>0.11502</v>
      </c>
      <c r="K144" s="510"/>
      <c r="L144" s="969"/>
      <c r="M144" s="431"/>
    </row>
    <row r="145" spans="1:13" ht="15.75" customHeight="1">
      <c r="A145" s="970">
        <f t="shared" si="1"/>
        <v>86</v>
      </c>
      <c r="B145" s="26"/>
      <c r="C145" s="397" t="s">
        <v>267</v>
      </c>
      <c r="D145" s="36"/>
      <c r="E145" s="36"/>
      <c r="F145" s="1040"/>
      <c r="G145" s="36"/>
      <c r="H145" s="510">
        <f>H143*H144</f>
        <v>4346766.3679200001</v>
      </c>
      <c r="I145" s="431"/>
      <c r="J145" s="510">
        <f>J143*J144</f>
        <v>4346766.3679200001</v>
      </c>
      <c r="K145" s="510"/>
      <c r="L145" s="969"/>
      <c r="M145" s="431"/>
    </row>
    <row r="146" spans="1:13" s="15" customFormat="1" ht="15.75" customHeight="1">
      <c r="A146" s="970">
        <f t="shared" si="1"/>
        <v>87</v>
      </c>
      <c r="B146" s="1013"/>
      <c r="C146" s="394" t="s">
        <v>971</v>
      </c>
      <c r="D146" s="25"/>
      <c r="E146" s="69"/>
      <c r="F146" s="1064" t="s">
        <v>735</v>
      </c>
      <c r="G146" s="104"/>
      <c r="H146" s="1469">
        <v>16005225</v>
      </c>
      <c r="I146" s="431"/>
      <c r="J146" s="510"/>
      <c r="K146" s="510"/>
      <c r="L146" s="978"/>
      <c r="M146" s="431"/>
    </row>
    <row r="147" spans="1:13" ht="15.75" customHeight="1">
      <c r="A147" s="970">
        <f t="shared" si="1"/>
        <v>88</v>
      </c>
      <c r="B147" s="1013"/>
      <c r="C147" s="57" t="s">
        <v>926</v>
      </c>
      <c r="D147" s="447"/>
      <c r="E147" s="73" t="str">
        <f>"(Note "&amp;B$293&amp;")"</f>
        <v>(Note A)</v>
      </c>
      <c r="F147" s="1058" t="s">
        <v>736</v>
      </c>
      <c r="G147" s="806"/>
      <c r="H147" s="1470">
        <v>9314879</v>
      </c>
      <c r="I147" s="955"/>
      <c r="J147" s="538"/>
      <c r="K147" s="538"/>
      <c r="L147" s="992"/>
      <c r="M147" s="431"/>
    </row>
    <row r="148" spans="1:13" ht="15.75" customHeight="1">
      <c r="A148" s="970">
        <f t="shared" si="1"/>
        <v>89</v>
      </c>
      <c r="B148" s="1013"/>
      <c r="C148" s="394" t="s">
        <v>972</v>
      </c>
      <c r="D148" s="25"/>
      <c r="E148" s="69"/>
      <c r="F148" s="1045" t="str">
        <f>"(Line "&amp;A146&amp;" + "&amp;A147&amp;")"</f>
        <v>(Line 87 + 88)</v>
      </c>
      <c r="G148" s="104"/>
      <c r="H148" s="929">
        <f>SUM(H146:H147)</f>
        <v>25320104</v>
      </c>
      <c r="I148" s="431"/>
      <c r="J148" s="510">
        <f>$H$148</f>
        <v>25320104</v>
      </c>
      <c r="K148" s="510">
        <f>J148</f>
        <v>25320104</v>
      </c>
      <c r="L148" s="969">
        <f>$H$148</f>
        <v>25320104</v>
      </c>
      <c r="M148" s="431"/>
    </row>
    <row r="149" spans="1:13" ht="15.75" customHeight="1">
      <c r="A149" s="970">
        <f t="shared" si="1"/>
        <v>90</v>
      </c>
      <c r="B149" s="1013"/>
      <c r="C149" s="394" t="s">
        <v>964</v>
      </c>
      <c r="D149" s="32"/>
      <c r="E149" s="647"/>
      <c r="F149" s="1063" t="str">
        <f>"(Line "&amp;A$13&amp;")"</f>
        <v>(Line 5)</v>
      </c>
      <c r="G149" s="806"/>
      <c r="H149" s="935">
        <f>+H13</f>
        <v>0.12652289669965341</v>
      </c>
      <c r="I149" s="955"/>
      <c r="J149" s="722">
        <f>+$J$13</f>
        <v>0.12652289669965341</v>
      </c>
      <c r="K149" s="722">
        <f>+$K$13</f>
        <v>0</v>
      </c>
      <c r="L149" s="993">
        <f>+$L$13</f>
        <v>0</v>
      </c>
      <c r="M149" s="431"/>
    </row>
    <row r="150" spans="1:13" ht="15.75" customHeight="1">
      <c r="A150" s="649">
        <f t="shared" si="1"/>
        <v>91</v>
      </c>
      <c r="B150" s="1013"/>
      <c r="C150" s="59" t="s">
        <v>928</v>
      </c>
      <c r="D150" s="25"/>
      <c r="E150" s="724"/>
      <c r="F150" s="1039" t="str">
        <f>"(Line "&amp;A148&amp;" * "&amp;A149&amp;"+"&amp;A145&amp;")"</f>
        <v>(Line 89 * 90+86)</v>
      </c>
      <c r="G150" s="97"/>
      <c r="H150" s="930">
        <f>(+H148*H149)+H145</f>
        <v>7550339.270736482</v>
      </c>
      <c r="I150" s="431"/>
      <c r="J150" s="930">
        <f>(+J148*J149)+J145</f>
        <v>7550339.270736482</v>
      </c>
      <c r="K150" s="1436">
        <f>+K148*K149</f>
        <v>0</v>
      </c>
      <c r="L150" s="1446">
        <f>+L148*L149</f>
        <v>0</v>
      </c>
      <c r="M150" s="431"/>
    </row>
    <row r="151" spans="1:13" ht="15.75" customHeight="1">
      <c r="A151" s="1015"/>
      <c r="B151" s="1016"/>
      <c r="C151" s="394"/>
      <c r="D151" s="25"/>
      <c r="E151" s="69"/>
      <c r="F151" s="1064"/>
      <c r="G151" s="97"/>
      <c r="H151" s="931"/>
      <c r="I151" s="431"/>
      <c r="J151" s="511"/>
      <c r="K151" s="511"/>
      <c r="L151" s="969"/>
      <c r="M151" s="431"/>
    </row>
    <row r="152" spans="1:13" s="1" customFormat="1" ht="16.5" customHeight="1" thickBot="1">
      <c r="A152" s="649">
        <f>+A150+1</f>
        <v>92</v>
      </c>
      <c r="B152" s="395" t="s">
        <v>939</v>
      </c>
      <c r="C152" s="395"/>
      <c r="D152" s="37"/>
      <c r="E152" s="396"/>
      <c r="F152" s="523" t="str">
        <f>"(Line "&amp;A141&amp;" + "&amp;A150&amp;")"</f>
        <v>(Line 84 + 91)</v>
      </c>
      <c r="G152" s="523"/>
      <c r="H152" s="523">
        <f>+H150+H141</f>
        <v>41099680.270736486</v>
      </c>
      <c r="I152" s="1083"/>
      <c r="J152" s="523">
        <f>+J150+J141</f>
        <v>37522610.270736486</v>
      </c>
      <c r="K152" s="523">
        <f>+K150+K141</f>
        <v>1851062</v>
      </c>
      <c r="L152" s="1017">
        <f>+L150+L141</f>
        <v>1726008</v>
      </c>
      <c r="M152" s="989"/>
    </row>
    <row r="153" spans="1:13" ht="16.5" customHeight="1" thickTop="1">
      <c r="A153" s="1007"/>
      <c r="B153" s="21"/>
      <c r="C153" s="21"/>
      <c r="D153" s="21"/>
      <c r="E153" s="61"/>
      <c r="F153" s="1043"/>
      <c r="G153" s="97"/>
      <c r="H153" s="843"/>
      <c r="I153" s="431"/>
      <c r="J153" s="511"/>
      <c r="K153" s="511"/>
      <c r="L153" s="969"/>
      <c r="M153" s="431"/>
    </row>
    <row r="154" spans="1:13" ht="16.5" customHeight="1">
      <c r="A154" s="981" t="s">
        <v>775</v>
      </c>
      <c r="B154" s="29"/>
      <c r="C154" s="1008"/>
      <c r="D154" s="40"/>
      <c r="E154" s="101"/>
      <c r="F154" s="1049"/>
      <c r="G154" s="995"/>
      <c r="H154" s="923"/>
      <c r="I154" s="982"/>
      <c r="J154" s="514"/>
      <c r="K154" s="514"/>
      <c r="L154" s="983"/>
      <c r="M154" s="431"/>
    </row>
    <row r="155" spans="1:13" ht="15.75" customHeight="1">
      <c r="A155" s="996"/>
      <c r="B155" s="23"/>
      <c r="C155" s="11"/>
      <c r="D155" s="25"/>
      <c r="E155" s="386"/>
      <c r="F155" s="1042"/>
      <c r="G155" s="97"/>
      <c r="H155" s="530"/>
      <c r="I155" s="431"/>
      <c r="J155" s="511"/>
      <c r="K155" s="511"/>
      <c r="L155" s="969"/>
      <c r="M155" s="431"/>
    </row>
    <row r="156" spans="1:13" ht="15.75" customHeight="1">
      <c r="A156" s="649">
        <f>+A152+1</f>
        <v>93</v>
      </c>
      <c r="B156" s="102" t="s">
        <v>680</v>
      </c>
      <c r="C156" s="1000"/>
      <c r="D156" s="25"/>
      <c r="E156" s="998"/>
      <c r="F156" s="1040" t="s">
        <v>786</v>
      </c>
      <c r="G156" s="1185"/>
      <c r="H156" s="510">
        <f>SUM(J156:L156)</f>
        <v>20869055.718613442</v>
      </c>
      <c r="I156" s="989"/>
      <c r="J156" s="510">
        <f>'2 - Other Tax'!G52</f>
        <v>8235141.718613442</v>
      </c>
      <c r="K156" s="510">
        <f>'2 - Other Tax'!G49</f>
        <v>12040484</v>
      </c>
      <c r="L156" s="978">
        <f>'2 - Other Tax'!G50</f>
        <v>593430</v>
      </c>
      <c r="M156" s="431"/>
    </row>
    <row r="157" spans="1:13" ht="15.75" customHeight="1">
      <c r="A157" s="988"/>
      <c r="B157" s="25"/>
      <c r="C157" s="21"/>
      <c r="D157" s="21"/>
      <c r="E157" s="23"/>
      <c r="F157" s="1040"/>
      <c r="G157" s="97"/>
      <c r="H157" s="922"/>
      <c r="I157" s="431"/>
      <c r="J157" s="511"/>
      <c r="K157" s="511"/>
      <c r="L157" s="969"/>
      <c r="M157" s="431"/>
    </row>
    <row r="158" spans="1:13" ht="16.5" customHeight="1" thickBot="1">
      <c r="A158" s="649">
        <f>+A156+1</f>
        <v>94</v>
      </c>
      <c r="B158" s="9" t="s">
        <v>867</v>
      </c>
      <c r="C158" s="9"/>
      <c r="D158" s="37"/>
      <c r="E158" s="64"/>
      <c r="F158" s="1054" t="str">
        <f>"(Line "&amp;A156&amp;")"</f>
        <v>(Line 93)</v>
      </c>
      <c r="G158" s="1070"/>
      <c r="H158" s="516">
        <f>+H156</f>
        <v>20869055.718613442</v>
      </c>
      <c r="I158" s="1081"/>
      <c r="J158" s="516">
        <f>+J156</f>
        <v>8235141.718613442</v>
      </c>
      <c r="K158" s="516">
        <f>+K156</f>
        <v>12040484</v>
      </c>
      <c r="L158" s="990">
        <f>+L156</f>
        <v>593430</v>
      </c>
      <c r="M158" s="431"/>
    </row>
    <row r="159" spans="1:13" ht="17.25" customHeight="1" thickTop="1">
      <c r="A159" s="975"/>
      <c r="B159" s="21"/>
      <c r="C159" s="21"/>
      <c r="D159" s="21"/>
      <c r="E159" s="61"/>
      <c r="F159" s="1043"/>
      <c r="G159" s="97"/>
      <c r="H159" s="843"/>
      <c r="I159" s="431"/>
      <c r="J159" s="511"/>
      <c r="K159" s="511"/>
      <c r="L159" s="969"/>
      <c r="M159" s="431"/>
    </row>
    <row r="160" spans="1:13" ht="15.75" customHeight="1">
      <c r="A160" s="981" t="s">
        <v>929</v>
      </c>
      <c r="B160" s="29"/>
      <c r="C160" s="1008"/>
      <c r="D160" s="40"/>
      <c r="E160" s="382"/>
      <c r="F160" s="1049"/>
      <c r="G160" s="995"/>
      <c r="H160" s="923"/>
      <c r="I160" s="982"/>
      <c r="J160" s="514"/>
      <c r="K160" s="514"/>
      <c r="L160" s="983"/>
      <c r="M160" s="431"/>
    </row>
    <row r="161" spans="1:13" ht="15.75" customHeight="1">
      <c r="A161" s="980"/>
      <c r="B161" s="23"/>
      <c r="C161" s="11"/>
      <c r="D161" s="25"/>
      <c r="E161" s="386"/>
      <c r="F161" s="1042"/>
      <c r="G161" s="97"/>
      <c r="H161" s="530"/>
      <c r="I161" s="431"/>
      <c r="J161" s="511"/>
      <c r="K161" s="511"/>
      <c r="L161" s="969"/>
      <c r="M161" s="431"/>
    </row>
    <row r="162" spans="1:13" ht="15.75" customHeight="1">
      <c r="A162" s="649"/>
      <c r="B162" s="1166" t="s">
        <v>404</v>
      </c>
      <c r="C162" s="1167"/>
      <c r="D162" s="1168"/>
      <c r="E162" s="1168"/>
      <c r="F162" s="1169"/>
      <c r="G162" s="1170"/>
      <c r="H162" s="1171"/>
      <c r="I162" s="845"/>
      <c r="J162" s="844"/>
      <c r="K162" s="511"/>
      <c r="L162" s="969"/>
      <c r="M162" s="431"/>
    </row>
    <row r="163" spans="1:13" ht="15.75" customHeight="1">
      <c r="A163" s="649">
        <f>+A158+1</f>
        <v>95</v>
      </c>
      <c r="B163" s="1170"/>
      <c r="C163" s="1170" t="s">
        <v>366</v>
      </c>
      <c r="D163" s="1170" t="s">
        <v>403</v>
      </c>
      <c r="E163" s="1172"/>
      <c r="F163" s="1173"/>
      <c r="G163" s="1170"/>
      <c r="H163" s="1174">
        <f>+'WKSHT6 - Cost of Capital'!P5</f>
        <v>3773860000</v>
      </c>
      <c r="I163" s="26"/>
      <c r="J163" s="843"/>
      <c r="K163" s="511"/>
      <c r="L163" s="969"/>
      <c r="M163" s="431"/>
    </row>
    <row r="164" spans="1:13" ht="15.75" customHeight="1">
      <c r="A164" s="649">
        <f>+A163+1</f>
        <v>96</v>
      </c>
      <c r="B164" s="1170"/>
      <c r="C164" s="1170" t="s">
        <v>367</v>
      </c>
      <c r="D164" s="1170" t="s">
        <v>403</v>
      </c>
      <c r="E164" s="1172"/>
      <c r="F164" s="1173"/>
      <c r="G164" s="1170"/>
      <c r="H164" s="1174">
        <f>+'WKSHT6 - Cost of Capital'!P6</f>
        <v>0</v>
      </c>
      <c r="I164" s="26"/>
      <c r="J164" s="843"/>
      <c r="K164" s="511"/>
      <c r="L164" s="969"/>
      <c r="M164" s="431"/>
    </row>
    <row r="165" spans="1:13" ht="15.75" customHeight="1">
      <c r="A165" s="649">
        <f t="shared" ref="A165:A201" si="2">+A164+1</f>
        <v>97</v>
      </c>
      <c r="B165" s="1170"/>
      <c r="C165" s="1170" t="s">
        <v>368</v>
      </c>
      <c r="D165" s="1170" t="s">
        <v>403</v>
      </c>
      <c r="E165" s="1172"/>
      <c r="F165" s="1173"/>
      <c r="G165" s="1170"/>
      <c r="H165" s="1174">
        <f>+'WKSHT6 - Cost of Capital'!P8</f>
        <v>0</v>
      </c>
      <c r="I165" s="26"/>
      <c r="J165" s="843"/>
      <c r="K165" s="511"/>
      <c r="L165" s="969"/>
      <c r="M165" s="431"/>
    </row>
    <row r="166" spans="1:13" ht="15.75" customHeight="1">
      <c r="A166" s="649">
        <f t="shared" si="2"/>
        <v>98</v>
      </c>
      <c r="B166" s="1170"/>
      <c r="C166" s="1175" t="s">
        <v>369</v>
      </c>
      <c r="D166" s="1175" t="s">
        <v>403</v>
      </c>
      <c r="E166" s="1176"/>
      <c r="F166" s="1177"/>
      <c r="G166" s="1178"/>
      <c r="H166" s="1178">
        <f>+'WKSHT6 - Cost of Capital'!P9</f>
        <v>0</v>
      </c>
      <c r="I166" s="26"/>
      <c r="J166" s="843"/>
      <c r="K166" s="511"/>
      <c r="L166" s="969"/>
      <c r="M166" s="431"/>
    </row>
    <row r="167" spans="1:13" ht="15.75" customHeight="1">
      <c r="A167" s="649">
        <f t="shared" si="2"/>
        <v>99</v>
      </c>
      <c r="B167" s="1170"/>
      <c r="C167" s="1170" t="s">
        <v>789</v>
      </c>
      <c r="D167" s="1170" t="str">
        <f>"(Sum Ln "&amp;A163&amp;" through "&amp;A166&amp;""</f>
        <v>(Sum Ln 95 through 98</v>
      </c>
      <c r="E167" s="1172"/>
      <c r="F167" s="1173"/>
      <c r="G167" s="1170"/>
      <c r="H167" s="1174">
        <f>SUM(H163:H166)</f>
        <v>3773860000</v>
      </c>
      <c r="I167" s="26"/>
      <c r="J167" s="843"/>
      <c r="K167" s="511"/>
      <c r="L167" s="969"/>
      <c r="M167" s="431"/>
    </row>
    <row r="168" spans="1:13" ht="15.75" customHeight="1">
      <c r="A168" s="649"/>
      <c r="B168" s="1170"/>
      <c r="C168" s="1170"/>
      <c r="D168" s="1170"/>
      <c r="E168" s="1172"/>
      <c r="F168" s="1173"/>
      <c r="G168" s="1170"/>
      <c r="H168" s="1174"/>
      <c r="I168" s="26"/>
      <c r="J168" s="843"/>
      <c r="K168" s="511"/>
      <c r="L168" s="969"/>
      <c r="M168" s="431"/>
    </row>
    <row r="169" spans="1:13" ht="15.75" customHeight="1">
      <c r="A169" s="649">
        <f>+A167+1</f>
        <v>100</v>
      </c>
      <c r="B169" s="1170"/>
      <c r="C169" s="1170" t="s">
        <v>370</v>
      </c>
      <c r="D169" s="1170" t="s">
        <v>403</v>
      </c>
      <c r="E169" s="1172"/>
      <c r="F169" s="1173" t="s">
        <v>401</v>
      </c>
      <c r="G169" s="1170"/>
      <c r="H169" s="1174">
        <f>+'WKSHT6 - Cost of Capital'!P12</f>
        <v>-1854938.2999999998</v>
      </c>
      <c r="I169" s="26"/>
      <c r="J169" s="843"/>
      <c r="K169" s="511"/>
      <c r="L169" s="969"/>
      <c r="M169" s="431"/>
    </row>
    <row r="170" spans="1:13" ht="15.75" customHeight="1">
      <c r="A170" s="649">
        <f t="shared" si="2"/>
        <v>101</v>
      </c>
      <c r="B170" s="1170"/>
      <c r="C170" s="1170" t="s">
        <v>371</v>
      </c>
      <c r="D170" s="1170" t="s">
        <v>403</v>
      </c>
      <c r="E170" s="1172"/>
      <c r="F170" s="1173" t="s">
        <v>401</v>
      </c>
      <c r="G170" s="1170"/>
      <c r="H170" s="1174">
        <f>+'WKSHT6 - Cost of Capital'!P13</f>
        <v>-28583398.337692313</v>
      </c>
      <c r="I170" s="26"/>
      <c r="J170" s="843"/>
      <c r="K170" s="511"/>
      <c r="L170" s="969"/>
      <c r="M170" s="431"/>
    </row>
    <row r="171" spans="1:13" ht="15.75" customHeight="1">
      <c r="A171" s="649">
        <f t="shared" si="2"/>
        <v>102</v>
      </c>
      <c r="B171" s="1170"/>
      <c r="C171" s="1170" t="s">
        <v>372</v>
      </c>
      <c r="D171" s="1170" t="s">
        <v>403</v>
      </c>
      <c r="E171" s="1172"/>
      <c r="F171" s="1173" t="s">
        <v>401</v>
      </c>
      <c r="G171" s="1179"/>
      <c r="H171" s="1174">
        <f>+'WKSHT6 - Cost of Capital'!P14</f>
        <v>-43589387.466923073</v>
      </c>
      <c r="I171" s="26"/>
      <c r="J171" s="843"/>
      <c r="K171" s="511"/>
      <c r="L171" s="969"/>
      <c r="M171" s="431"/>
    </row>
    <row r="172" spans="1:13" ht="15.75" customHeight="1">
      <c r="A172" s="649">
        <f t="shared" si="2"/>
        <v>103</v>
      </c>
      <c r="B172" s="1170"/>
      <c r="C172" s="1170" t="s">
        <v>373</v>
      </c>
      <c r="D172" s="1170" t="s">
        <v>403</v>
      </c>
      <c r="E172" s="1172"/>
      <c r="F172" s="1173" t="s">
        <v>401</v>
      </c>
      <c r="G172" s="1179"/>
      <c r="H172" s="1174">
        <f>+'WKSHT6 - Cost of Capital'!P15</f>
        <v>0</v>
      </c>
      <c r="I172" s="26"/>
      <c r="J172" s="843"/>
      <c r="K172" s="511"/>
      <c r="L172" s="969"/>
      <c r="M172" s="431"/>
    </row>
    <row r="173" spans="1:13" ht="15.75" customHeight="1">
      <c r="A173" s="649">
        <f t="shared" si="2"/>
        <v>104</v>
      </c>
      <c r="B173" s="1170"/>
      <c r="C173" s="1175" t="s">
        <v>374</v>
      </c>
      <c r="D173" s="1175" t="s">
        <v>403</v>
      </c>
      <c r="E173" s="1176"/>
      <c r="F173" s="1177" t="s">
        <v>401</v>
      </c>
      <c r="G173" s="1180"/>
      <c r="H173" s="1178">
        <f>+'WKSHT6 - Cost of Capital'!P16</f>
        <v>0</v>
      </c>
      <c r="I173" s="26"/>
      <c r="J173" s="843"/>
      <c r="K173" s="511"/>
      <c r="L173" s="969"/>
      <c r="M173" s="431"/>
    </row>
    <row r="174" spans="1:13" ht="15.75" customHeight="1">
      <c r="A174" s="649">
        <f t="shared" si="2"/>
        <v>105</v>
      </c>
      <c r="B174" s="1170"/>
      <c r="C174" s="1170" t="s">
        <v>790</v>
      </c>
      <c r="D174" s="1170" t="str">
        <f>"(Sum Ln "&amp;A169&amp;" through "&amp;A173&amp;""</f>
        <v>(Sum Ln 100 through 104</v>
      </c>
      <c r="E174" s="1172"/>
      <c r="F174" s="1173"/>
      <c r="G174" s="1179"/>
      <c r="H174" s="1174">
        <f>SUM(H167:H173)</f>
        <v>3699832275.8953843</v>
      </c>
      <c r="I174" s="26"/>
      <c r="J174" s="843"/>
      <c r="K174" s="511"/>
      <c r="L174" s="969"/>
      <c r="M174" s="431"/>
    </row>
    <row r="175" spans="1:13" ht="15.75" customHeight="1">
      <c r="A175" s="649"/>
      <c r="B175" s="1170"/>
      <c r="C175" s="1170"/>
      <c r="D175" s="1170"/>
      <c r="E175" s="1172"/>
      <c r="F175" s="1173"/>
      <c r="G175" s="1179"/>
      <c r="H175" s="1174"/>
      <c r="I175" s="26"/>
      <c r="J175" s="843"/>
      <c r="K175" s="511"/>
      <c r="L175" s="969"/>
      <c r="M175" s="431"/>
    </row>
    <row r="176" spans="1:13" ht="15.75" customHeight="1">
      <c r="A176" s="649"/>
      <c r="B176" s="1166" t="s">
        <v>803</v>
      </c>
      <c r="C176" s="1170"/>
      <c r="D176" s="1170"/>
      <c r="E176" s="1172"/>
      <c r="F176" s="1173"/>
      <c r="G176" s="1170"/>
      <c r="H176" s="1174"/>
      <c r="I176" s="26"/>
      <c r="J176" s="843"/>
      <c r="K176" s="511"/>
      <c r="L176" s="969"/>
      <c r="M176" s="431"/>
    </row>
    <row r="177" spans="1:13" ht="15.75" customHeight="1">
      <c r="A177" s="649">
        <f>+A174+1</f>
        <v>106</v>
      </c>
      <c r="B177" s="1170"/>
      <c r="C177" s="1170" t="s">
        <v>375</v>
      </c>
      <c r="D177" s="1170" t="s">
        <v>403</v>
      </c>
      <c r="E177" s="1172"/>
      <c r="F177" s="1173" t="s">
        <v>401</v>
      </c>
      <c r="G177" s="1170"/>
      <c r="H177" s="1174">
        <f>+'WKSHT6 - Cost of Capital'!P24</f>
        <v>217649190</v>
      </c>
      <c r="I177" s="26"/>
      <c r="J177" s="843"/>
      <c r="K177" s="511"/>
      <c r="L177" s="969"/>
      <c r="M177" s="431"/>
    </row>
    <row r="178" spans="1:13" ht="15.75" customHeight="1">
      <c r="A178" s="649">
        <f t="shared" si="2"/>
        <v>107</v>
      </c>
      <c r="B178" s="1170"/>
      <c r="C178" s="1170" t="s">
        <v>376</v>
      </c>
      <c r="D178" s="1170" t="s">
        <v>403</v>
      </c>
      <c r="E178" s="1172"/>
      <c r="F178" s="1173" t="s">
        <v>401</v>
      </c>
      <c r="G178" s="1170"/>
      <c r="H178" s="1174">
        <f>+'WKSHT6 - Cost of Capital'!P25</f>
        <v>2955241.6400000006</v>
      </c>
      <c r="I178" s="26"/>
      <c r="J178" s="843"/>
      <c r="K178" s="511"/>
      <c r="L178" s="969"/>
      <c r="M178" s="431"/>
    </row>
    <row r="179" spans="1:13" ht="15.75" customHeight="1">
      <c r="A179" s="649">
        <f>+A178+1</f>
        <v>108</v>
      </c>
      <c r="B179" s="1170"/>
      <c r="C179" s="1170" t="s">
        <v>377</v>
      </c>
      <c r="D179" s="1170" t="s">
        <v>403</v>
      </c>
      <c r="E179" s="1172"/>
      <c r="F179" s="1173" t="s">
        <v>401</v>
      </c>
      <c r="G179" s="1170"/>
      <c r="H179" s="1174">
        <f>+'WKSHT6 - Cost of Capital'!P26</f>
        <v>2787882.3199999989</v>
      </c>
      <c r="I179" s="26"/>
      <c r="J179" s="843"/>
      <c r="K179" s="511"/>
      <c r="L179" s="969"/>
      <c r="M179" s="431"/>
    </row>
    <row r="180" spans="1:13" ht="15.75" customHeight="1">
      <c r="A180" s="649">
        <f t="shared" si="2"/>
        <v>109</v>
      </c>
      <c r="B180" s="1170"/>
      <c r="C180" s="1170" t="s">
        <v>378</v>
      </c>
      <c r="D180" s="1170" t="s">
        <v>403</v>
      </c>
      <c r="E180" s="1172"/>
      <c r="F180" s="1173" t="s">
        <v>401</v>
      </c>
      <c r="G180" s="1170"/>
      <c r="H180" s="1174">
        <f>+'WKSHT6 - Cost of Capital'!P27</f>
        <v>0</v>
      </c>
      <c r="I180" s="26"/>
      <c r="J180" s="843"/>
      <c r="K180" s="511"/>
      <c r="L180" s="969"/>
      <c r="M180" s="431"/>
    </row>
    <row r="181" spans="1:13" ht="15.75" customHeight="1">
      <c r="A181" s="649">
        <f>+A180+1</f>
        <v>110</v>
      </c>
      <c r="B181" s="1170"/>
      <c r="C181" s="1170" t="s">
        <v>396</v>
      </c>
      <c r="D181" s="1170" t="s">
        <v>403</v>
      </c>
      <c r="E181" s="1172"/>
      <c r="F181" s="1173" t="s">
        <v>402</v>
      </c>
      <c r="G181" s="1170"/>
      <c r="H181" s="1174">
        <v>0</v>
      </c>
      <c r="I181" s="26"/>
      <c r="J181" s="843"/>
      <c r="K181" s="511"/>
      <c r="L181" s="969"/>
      <c r="M181" s="431"/>
    </row>
    <row r="182" spans="1:13" ht="15.75" customHeight="1">
      <c r="A182" s="649">
        <f>+A181+1</f>
        <v>111</v>
      </c>
      <c r="B182" s="1170"/>
      <c r="C182" s="1175" t="s">
        <v>379</v>
      </c>
      <c r="D182" s="1175" t="s">
        <v>403</v>
      </c>
      <c r="E182" s="1176"/>
      <c r="F182" s="1177" t="s">
        <v>401</v>
      </c>
      <c r="G182" s="1178"/>
      <c r="H182" s="1178">
        <f>+'WKSHT6 - Cost of Capital'!P28</f>
        <v>0</v>
      </c>
      <c r="I182" s="26"/>
      <c r="J182" s="843"/>
      <c r="K182" s="511"/>
      <c r="L182" s="969"/>
      <c r="M182" s="431"/>
    </row>
    <row r="183" spans="1:13" ht="15.75" customHeight="1">
      <c r="A183" s="649">
        <f>+A182+1</f>
        <v>112</v>
      </c>
      <c r="B183" s="1170"/>
      <c r="C183" s="1170" t="s">
        <v>791</v>
      </c>
      <c r="D183" s="1170" t="str">
        <f>"(Sum Ln "&amp;A177&amp;" through "&amp;A183&amp;""</f>
        <v>(Sum Ln 106 through 112</v>
      </c>
      <c r="E183" s="1172"/>
      <c r="F183" s="1173"/>
      <c r="G183" s="1170"/>
      <c r="H183" s="1174">
        <f>SUM(H177:H182)</f>
        <v>223392313.95999998</v>
      </c>
      <c r="I183" s="26"/>
      <c r="J183" s="843"/>
      <c r="K183" s="1419"/>
      <c r="L183" s="969"/>
      <c r="M183" s="431"/>
    </row>
    <row r="184" spans="1:13" ht="15.75" customHeight="1">
      <c r="A184" s="649"/>
      <c r="B184" s="1170"/>
      <c r="C184" s="1170"/>
      <c r="D184" s="1170"/>
      <c r="E184" s="1172"/>
      <c r="F184" s="1173"/>
      <c r="G184" s="1170"/>
      <c r="H184" s="1174"/>
      <c r="I184" s="26"/>
      <c r="J184" s="843"/>
      <c r="K184" s="1419"/>
      <c r="L184" s="969"/>
      <c r="M184" s="431"/>
    </row>
    <row r="185" spans="1:13" ht="15.75" customHeight="1">
      <c r="A185" s="649"/>
      <c r="B185" s="1166" t="s">
        <v>405</v>
      </c>
      <c r="C185" s="1167"/>
      <c r="D185" s="1170"/>
      <c r="E185" s="1172"/>
      <c r="F185" s="1173"/>
      <c r="G185" s="1170"/>
      <c r="H185" s="1181"/>
      <c r="I185" s="26"/>
      <c r="J185" s="843"/>
      <c r="K185" s="1419"/>
      <c r="L185" s="969"/>
      <c r="M185" s="431"/>
    </row>
    <row r="186" spans="1:13" ht="15.75" customHeight="1">
      <c r="A186" s="649">
        <f>+A183+1</f>
        <v>113</v>
      </c>
      <c r="B186" s="1170"/>
      <c r="C186" s="1170" t="s">
        <v>380</v>
      </c>
      <c r="D186" s="1170" t="s">
        <v>403</v>
      </c>
      <c r="E186" s="1172"/>
      <c r="F186" s="1173"/>
      <c r="G186" s="1170"/>
      <c r="H186" s="1174">
        <f>+'WKSHT6 - Cost of Capital'!P32</f>
        <v>0</v>
      </c>
      <c r="I186" s="26"/>
      <c r="J186" s="843"/>
      <c r="K186" s="1419"/>
      <c r="L186" s="969"/>
      <c r="M186" s="431"/>
    </row>
    <row r="187" spans="1:13" ht="15.75" customHeight="1">
      <c r="A187" s="649">
        <f t="shared" si="2"/>
        <v>114</v>
      </c>
      <c r="B187" s="1170"/>
      <c r="C187" s="1170" t="s">
        <v>381</v>
      </c>
      <c r="D187" s="1170" t="s">
        <v>403</v>
      </c>
      <c r="E187" s="1172"/>
      <c r="F187" s="1173"/>
      <c r="G187" s="1170"/>
      <c r="H187" s="1174">
        <f>+'WKSHT6 - Cost of Capital'!P33</f>
        <v>0</v>
      </c>
      <c r="I187" s="26"/>
      <c r="J187" s="843"/>
      <c r="K187" s="1419"/>
      <c r="L187" s="969"/>
      <c r="M187" s="431"/>
    </row>
    <row r="188" spans="1:13" ht="15.75" customHeight="1">
      <c r="A188" s="649">
        <f t="shared" si="2"/>
        <v>115</v>
      </c>
      <c r="B188" s="1170"/>
      <c r="C188" s="1170" t="s">
        <v>382</v>
      </c>
      <c r="D188" s="1170" t="s">
        <v>403</v>
      </c>
      <c r="E188" s="1172"/>
      <c r="F188" s="1173"/>
      <c r="G188" s="1170"/>
      <c r="H188" s="1174">
        <f>+'WKSHT6 - Cost of Capital'!P34</f>
        <v>0</v>
      </c>
      <c r="I188" s="26"/>
      <c r="J188" s="843"/>
      <c r="K188" s="1419"/>
      <c r="L188" s="969"/>
      <c r="M188" s="431"/>
    </row>
    <row r="189" spans="1:13" ht="15.75" customHeight="1">
      <c r="A189" s="649">
        <f t="shared" si="2"/>
        <v>116</v>
      </c>
      <c r="B189" s="1170"/>
      <c r="C189" s="1170" t="s">
        <v>383</v>
      </c>
      <c r="D189" s="1170" t="s">
        <v>403</v>
      </c>
      <c r="E189" s="1172"/>
      <c r="F189" s="1173"/>
      <c r="G189" s="1170"/>
      <c r="H189" s="1174">
        <f>+'WKSHT6 - Cost of Capital'!P35</f>
        <v>0</v>
      </c>
      <c r="I189" s="26"/>
      <c r="J189" s="843"/>
      <c r="K189" s="511"/>
      <c r="L189" s="969"/>
      <c r="M189" s="431"/>
    </row>
    <row r="190" spans="1:13" ht="15.75" customHeight="1">
      <c r="A190" s="649">
        <f t="shared" si="2"/>
        <v>117</v>
      </c>
      <c r="B190" s="1170"/>
      <c r="C190" s="1170" t="s">
        <v>384</v>
      </c>
      <c r="D190" s="1170" t="s">
        <v>403</v>
      </c>
      <c r="E190" s="1172"/>
      <c r="F190" s="1173"/>
      <c r="G190" s="1170"/>
      <c r="H190" s="1174">
        <f>+'WKSHT6 - Cost of Capital'!P36</f>
        <v>0</v>
      </c>
      <c r="I190" s="26"/>
      <c r="J190" s="843"/>
      <c r="K190" s="1419"/>
      <c r="L190" s="969"/>
      <c r="M190" s="431"/>
    </row>
    <row r="191" spans="1:13" ht="15.75" customHeight="1">
      <c r="A191" s="649">
        <f t="shared" si="2"/>
        <v>118</v>
      </c>
      <c r="B191" s="1170"/>
      <c r="C191" s="1175" t="s">
        <v>385</v>
      </c>
      <c r="D191" s="1175" t="s">
        <v>403</v>
      </c>
      <c r="E191" s="1176"/>
      <c r="F191" s="1177"/>
      <c r="G191" s="1178"/>
      <c r="H191" s="1178">
        <f>+'WKSHT6 - Cost of Capital'!P37</f>
        <v>0</v>
      </c>
      <c r="I191" s="26"/>
      <c r="J191" s="843"/>
      <c r="K191" s="1419"/>
      <c r="L191" s="969"/>
      <c r="M191" s="431"/>
    </row>
    <row r="192" spans="1:13" ht="15.75" customHeight="1">
      <c r="A192" s="649">
        <f t="shared" si="2"/>
        <v>119</v>
      </c>
      <c r="B192" s="1170"/>
      <c r="C192" s="1170" t="s">
        <v>386</v>
      </c>
      <c r="D192" s="1170" t="str">
        <f>"(Sum Ln "&amp;A186&amp;" through "&amp;A191&amp;""</f>
        <v>(Sum Ln 113 through 118</v>
      </c>
      <c r="E192" s="1170"/>
      <c r="F192" s="1169"/>
      <c r="G192" s="1170"/>
      <c r="H192" s="1174">
        <f>SUM(H186:H191)</f>
        <v>0</v>
      </c>
      <c r="I192" s="26"/>
      <c r="J192" s="843"/>
      <c r="K192" s="1419"/>
      <c r="L192" s="969"/>
      <c r="M192" s="431"/>
    </row>
    <row r="193" spans="1:13" ht="15.75" customHeight="1">
      <c r="A193" s="649"/>
      <c r="B193" s="1170"/>
      <c r="C193" s="1170"/>
      <c r="D193" s="1170"/>
      <c r="E193" s="1170"/>
      <c r="F193" s="1169"/>
      <c r="G193" s="1170"/>
      <c r="H193" s="1174"/>
      <c r="I193" s="26"/>
      <c r="J193" s="843"/>
      <c r="K193" s="1419"/>
      <c r="L193" s="969"/>
      <c r="M193" s="431"/>
    </row>
    <row r="194" spans="1:13" ht="15.75" customHeight="1">
      <c r="A194" s="649">
        <f>+A192+1</f>
        <v>120</v>
      </c>
      <c r="B194" s="1170"/>
      <c r="C194" s="1170" t="s">
        <v>792</v>
      </c>
      <c r="D194" s="1170" t="s">
        <v>403</v>
      </c>
      <c r="E194" s="1172"/>
      <c r="F194" s="1173" t="s">
        <v>387</v>
      </c>
      <c r="G194" s="1170"/>
      <c r="H194" s="1174">
        <f>+'WKSHT6 - Cost of Capital'!P39</f>
        <v>0</v>
      </c>
      <c r="I194" s="26"/>
      <c r="J194" s="843"/>
      <c r="K194" s="1419"/>
      <c r="L194" s="969"/>
      <c r="M194" s="431"/>
    </row>
    <row r="195" spans="1:13" ht="15.75" customHeight="1">
      <c r="A195" s="649"/>
      <c r="B195" s="1170"/>
      <c r="C195" s="1170"/>
      <c r="D195" s="1170"/>
      <c r="E195" s="1172"/>
      <c r="F195" s="1173"/>
      <c r="G195" s="1170"/>
      <c r="H195" s="1174"/>
      <c r="I195" s="26"/>
      <c r="J195" s="843"/>
      <c r="K195" s="511"/>
      <c r="L195" s="969"/>
      <c r="M195" s="431"/>
    </row>
    <row r="196" spans="1:13" ht="15.75" customHeight="1">
      <c r="A196" s="649"/>
      <c r="B196" s="1166" t="s">
        <v>856</v>
      </c>
      <c r="C196" s="1167"/>
      <c r="D196" s="1170"/>
      <c r="E196" s="1172"/>
      <c r="F196" s="1173"/>
      <c r="G196" s="1170"/>
      <c r="H196" s="1181"/>
      <c r="I196" s="26"/>
      <c r="J196" s="843"/>
      <c r="K196" s="511"/>
      <c r="L196" s="969"/>
      <c r="M196" s="431"/>
    </row>
    <row r="197" spans="1:13" ht="15.75" customHeight="1">
      <c r="A197" s="649">
        <f>+A194+1</f>
        <v>121</v>
      </c>
      <c r="B197" s="1170"/>
      <c r="C197" s="1170" t="s">
        <v>974</v>
      </c>
      <c r="D197" s="1170" t="s">
        <v>403</v>
      </c>
      <c r="E197" s="1172"/>
      <c r="F197" s="1173"/>
      <c r="G197" s="1170"/>
      <c r="H197" s="1174">
        <f>+'WKSHT6 - Cost of Capital'!P42</f>
        <v>3460117646.6084604</v>
      </c>
      <c r="I197" s="26"/>
      <c r="J197" s="843"/>
      <c r="K197" s="511"/>
      <c r="L197" s="969"/>
      <c r="M197" s="431"/>
    </row>
    <row r="198" spans="1:13" ht="15.75" customHeight="1">
      <c r="A198" s="649">
        <f t="shared" si="2"/>
        <v>122</v>
      </c>
      <c r="B198" s="1170"/>
      <c r="C198" s="1170" t="s">
        <v>388</v>
      </c>
      <c r="D198" s="1170" t="s">
        <v>403</v>
      </c>
      <c r="E198" s="1172"/>
      <c r="F198" s="1173"/>
      <c r="G198" s="1170"/>
      <c r="H198" s="1174">
        <f>+'WKSHT6 - Cost of Capital'!P43</f>
        <v>0</v>
      </c>
      <c r="I198" s="26"/>
      <c r="J198" s="843"/>
      <c r="K198" s="511"/>
      <c r="L198" s="969"/>
      <c r="M198" s="431"/>
    </row>
    <row r="199" spans="1:13" ht="15.75" customHeight="1">
      <c r="A199" s="649">
        <f t="shared" si="2"/>
        <v>123</v>
      </c>
      <c r="B199" s="1170"/>
      <c r="C199" s="1170" t="s">
        <v>389</v>
      </c>
      <c r="D199" s="1170" t="s">
        <v>403</v>
      </c>
      <c r="E199" s="1172"/>
      <c r="F199" s="1173"/>
      <c r="G199" s="1170"/>
      <c r="H199" s="1174">
        <f>+'WKSHT6 - Cost of Capital'!P44</f>
        <v>-14760865.384615384</v>
      </c>
      <c r="I199" s="26"/>
      <c r="J199" s="843"/>
      <c r="K199" s="511"/>
      <c r="L199" s="969"/>
      <c r="M199" s="431"/>
    </row>
    <row r="200" spans="1:13" ht="15.75" customHeight="1">
      <c r="A200" s="649">
        <f t="shared" si="2"/>
        <v>124</v>
      </c>
      <c r="B200" s="1170"/>
      <c r="C200" s="1175" t="s">
        <v>390</v>
      </c>
      <c r="D200" s="1175" t="s">
        <v>403</v>
      </c>
      <c r="E200" s="1176"/>
      <c r="F200" s="1177"/>
      <c r="G200" s="1178"/>
      <c r="H200" s="1178">
        <f>+'WKSHT6 - Cost of Capital'!P45</f>
        <v>-145074180.81230769</v>
      </c>
      <c r="I200" s="26"/>
      <c r="J200" s="843"/>
      <c r="K200" s="511"/>
      <c r="L200" s="969"/>
      <c r="M200" s="431"/>
    </row>
    <row r="201" spans="1:13" ht="15.75" customHeight="1">
      <c r="A201" s="649">
        <f t="shared" si="2"/>
        <v>125</v>
      </c>
      <c r="B201" s="1170"/>
      <c r="C201" s="1170" t="s">
        <v>793</v>
      </c>
      <c r="D201" s="1170" t="str">
        <f>"(Sum Ln "&amp;A197&amp;" through "&amp;A200&amp;""</f>
        <v>(Sum Ln 121 through 124</v>
      </c>
      <c r="E201" s="1170"/>
      <c r="F201" s="1169"/>
      <c r="G201" s="1170"/>
      <c r="H201" s="1174">
        <f>+H197-H198-H199-H200</f>
        <v>3619952692.8053837</v>
      </c>
      <c r="I201" s="26"/>
      <c r="J201" s="843"/>
      <c r="K201" s="511"/>
      <c r="L201" s="969"/>
      <c r="M201" s="431"/>
    </row>
    <row r="202" spans="1:13" ht="15.75" customHeight="1">
      <c r="A202" s="649"/>
      <c r="B202" s="1170"/>
      <c r="C202" s="1170"/>
      <c r="D202" s="1170"/>
      <c r="E202" s="1170"/>
      <c r="F202" s="1169"/>
      <c r="G202" s="1170"/>
      <c r="H202" s="1174"/>
      <c r="I202" s="26"/>
      <c r="J202" s="843"/>
      <c r="K202" s="511"/>
      <c r="L202" s="969"/>
      <c r="M202" s="431"/>
    </row>
    <row r="203" spans="1:13" ht="15.75" customHeight="1">
      <c r="A203" s="649">
        <f>+A201+1</f>
        <v>126</v>
      </c>
      <c r="B203" s="36"/>
      <c r="C203" s="394" t="s">
        <v>391</v>
      </c>
      <c r="D203" s="397" t="s">
        <v>861</v>
      </c>
      <c r="E203" s="71" t="s">
        <v>111</v>
      </c>
      <c r="F203" s="1055" t="str">
        <f>"1 minus Sum Lines "&amp;A204&amp;" &amp; "&amp;A205&amp;"))"</f>
        <v>1 minus Sum Lines 127 &amp; 128))</v>
      </c>
      <c r="G203" s="331"/>
      <c r="H203" s="936">
        <f>1-H204-H205</f>
        <v>0.51040784461204813</v>
      </c>
      <c r="I203" s="26"/>
      <c r="J203" s="843"/>
      <c r="K203" s="511"/>
      <c r="L203" s="969"/>
      <c r="M203" s="431"/>
    </row>
    <row r="204" spans="1:13" ht="15.75" customHeight="1">
      <c r="A204" s="649">
        <f>+A203+1</f>
        <v>127</v>
      </c>
      <c r="B204" s="36"/>
      <c r="C204" s="394" t="s">
        <v>392</v>
      </c>
      <c r="D204" s="397" t="s">
        <v>881</v>
      </c>
      <c r="E204" s="71"/>
      <c r="F204" s="1045" t="str">
        <f>"(Line "&amp;A192&amp;" / (Lines "&amp;A$167&amp;" + "&amp;A$192&amp;" +"&amp;A$201&amp;"))"</f>
        <v>(Line 119 / (Lines 99 + 119 +125))</v>
      </c>
      <c r="G204" s="331"/>
      <c r="H204" s="1182">
        <f>H192/(H167+H192+H201)</f>
        <v>0</v>
      </c>
      <c r="I204" s="26"/>
      <c r="J204" s="843"/>
      <c r="K204" s="511"/>
      <c r="L204" s="969"/>
      <c r="M204" s="431"/>
    </row>
    <row r="205" spans="1:13" ht="15.75" customHeight="1">
      <c r="A205" s="649">
        <f>+A204+1</f>
        <v>128</v>
      </c>
      <c r="B205" s="36"/>
      <c r="C205" s="394" t="s">
        <v>393</v>
      </c>
      <c r="D205" s="397" t="s">
        <v>886</v>
      </c>
      <c r="E205" s="71"/>
      <c r="F205" s="1055" t="str">
        <f>"Lesser of 50% or (Line "&amp;A201&amp;" / (Lines "&amp;A$167&amp;" + "&amp;A$192&amp;" +"&amp;A$201&amp;"))"</f>
        <v>Lesser of 50% or (Line 125 / (Lines 99 + 119 +125))</v>
      </c>
      <c r="G205" s="331"/>
      <c r="H205" s="1182">
        <f>IF(H201/(H167+H192+H201)&gt;0.5,0.5,H201/(H167+H192+H201))</f>
        <v>0.48959215538795181</v>
      </c>
      <c r="I205" s="26"/>
      <c r="J205" s="843"/>
      <c r="K205" s="511"/>
      <c r="L205" s="969"/>
      <c r="M205" s="431"/>
    </row>
    <row r="206" spans="1:13" ht="18">
      <c r="A206" s="649"/>
      <c r="B206" s="36"/>
      <c r="C206" s="1183"/>
      <c r="D206" s="25"/>
      <c r="E206" s="74"/>
      <c r="F206" s="1045"/>
      <c r="G206" s="331"/>
      <c r="H206" s="1418"/>
      <c r="I206" s="26"/>
      <c r="J206" s="843"/>
      <c r="K206" s="511"/>
      <c r="L206" s="969"/>
      <c r="M206" s="431"/>
    </row>
    <row r="207" spans="1:13" ht="15.75" customHeight="1">
      <c r="A207" s="649"/>
      <c r="B207" s="36"/>
      <c r="C207" s="1183"/>
      <c r="D207" s="25"/>
      <c r="E207" s="74"/>
      <c r="F207" s="1045"/>
      <c r="G207" s="517"/>
      <c r="H207" s="843"/>
      <c r="I207" s="26"/>
      <c r="J207" s="843"/>
      <c r="K207" s="511"/>
      <c r="L207" s="969"/>
      <c r="M207" s="431"/>
    </row>
    <row r="208" spans="1:13" ht="66.75" customHeight="1">
      <c r="A208" s="649">
        <f>+A205+1</f>
        <v>129</v>
      </c>
      <c r="B208" s="36"/>
      <c r="C208" s="1183" t="s">
        <v>1032</v>
      </c>
      <c r="D208" s="1184" t="s">
        <v>394</v>
      </c>
      <c r="E208" s="74"/>
      <c r="F208" s="1045" t="str">
        <f>"(Line "&amp;A183&amp;" / Line "&amp;A174&amp;")"</f>
        <v>(Line 112 / Line 105)</v>
      </c>
      <c r="G208" s="331"/>
      <c r="H208" s="936">
        <f>H183/H174</f>
        <v>6.0379038102730626E-2</v>
      </c>
      <c r="I208" s="26"/>
      <c r="J208" s="843"/>
      <c r="K208" s="511"/>
      <c r="L208" s="969"/>
      <c r="M208" s="431"/>
    </row>
    <row r="209" spans="1:13" ht="15.75" customHeight="1">
      <c r="A209" s="649">
        <f>+A208+1</f>
        <v>130</v>
      </c>
      <c r="B209" s="36"/>
      <c r="C209" s="1183" t="s">
        <v>1038</v>
      </c>
      <c r="D209" s="1184" t="s">
        <v>395</v>
      </c>
      <c r="E209" s="74"/>
      <c r="F209" s="1045" t="str">
        <f>"(Line "&amp;A194&amp;" / Line "&amp;A192&amp;")"</f>
        <v>(Line 120 / Line 119)</v>
      </c>
      <c r="G209" s="331"/>
      <c r="H209" s="936">
        <f>IF(H194=0,0,H194/H192)</f>
        <v>0</v>
      </c>
      <c r="I209" s="26"/>
      <c r="J209" s="843"/>
      <c r="K209" s="511"/>
      <c r="L209" s="969"/>
      <c r="M209" s="431"/>
    </row>
    <row r="210" spans="1:13" ht="15.75" customHeight="1">
      <c r="A210" s="649">
        <f>+A209+1</f>
        <v>131</v>
      </c>
      <c r="B210" s="36"/>
      <c r="C210" s="1183" t="s">
        <v>1033</v>
      </c>
      <c r="D210" s="397" t="s">
        <v>856</v>
      </c>
      <c r="E210" s="71" t="str">
        <f>"(Note "&amp;B302&amp;")"</f>
        <v>(Note J)</v>
      </c>
      <c r="F210" s="1045" t="s">
        <v>1015</v>
      </c>
      <c r="G210" s="331"/>
      <c r="H210" s="936">
        <v>9.8000000000000004E-2</v>
      </c>
      <c r="I210" s="26"/>
      <c r="J210" s="843"/>
      <c r="K210" s="511"/>
      <c r="L210" s="969"/>
      <c r="M210" s="431"/>
    </row>
    <row r="211" spans="1:13" ht="15.75" customHeight="1">
      <c r="A211" s="649"/>
      <c r="B211" s="36"/>
      <c r="C211" s="1183"/>
      <c r="D211" s="397"/>
      <c r="E211" s="71"/>
      <c r="F211" s="1045"/>
      <c r="G211" s="331"/>
      <c r="H211" s="936"/>
      <c r="I211" s="26"/>
      <c r="J211" s="843"/>
      <c r="K211" s="511"/>
      <c r="L211" s="969"/>
      <c r="M211" s="431"/>
    </row>
    <row r="212" spans="1:13" ht="15.75" customHeight="1">
      <c r="A212" s="649">
        <f>+A210+1</f>
        <v>132</v>
      </c>
      <c r="B212" s="69"/>
      <c r="C212" s="394" t="s">
        <v>1034</v>
      </c>
      <c r="D212" s="397"/>
      <c r="E212" s="74"/>
      <c r="F212" s="1045" t="str">
        <f>"(Line "&amp;A203&amp;" * "&amp;A208&amp;")"</f>
        <v>(Line 126 * 129)</v>
      </c>
      <c r="G212" s="104"/>
      <c r="H212" s="937">
        <f>+H203*H208</f>
        <v>3.0817934697763467E-2</v>
      </c>
      <c r="I212" s="431"/>
      <c r="J212" s="511"/>
      <c r="K212" s="511"/>
      <c r="L212" s="969"/>
      <c r="M212" s="431"/>
    </row>
    <row r="213" spans="1:13" ht="15.75" customHeight="1">
      <c r="A213" s="649">
        <f>+A212+1</f>
        <v>133</v>
      </c>
      <c r="B213" s="69"/>
      <c r="C213" s="394" t="s">
        <v>1064</v>
      </c>
      <c r="D213" s="397"/>
      <c r="E213" s="74"/>
      <c r="F213" s="1045" t="str">
        <f>"(Line "&amp;A204&amp;" * "&amp;A209&amp;")"</f>
        <v>(Line 127 * 130)</v>
      </c>
      <c r="G213" s="104"/>
      <c r="H213" s="937">
        <f>+H204*H209</f>
        <v>0</v>
      </c>
      <c r="I213" s="431"/>
      <c r="J213" s="511"/>
      <c r="K213" s="511"/>
      <c r="L213" s="969"/>
      <c r="M213" s="431"/>
    </row>
    <row r="214" spans="1:13" ht="15.75" customHeight="1">
      <c r="A214" s="649">
        <f>+A213+1</f>
        <v>134</v>
      </c>
      <c r="B214" s="60"/>
      <c r="C214" s="33" t="s">
        <v>1035</v>
      </c>
      <c r="D214" s="325"/>
      <c r="E214" s="67"/>
      <c r="F214" s="1052" t="str">
        <f>"(Line "&amp;A205&amp;" * "&amp;A210&amp;")"</f>
        <v>(Line 128 * 131)</v>
      </c>
      <c r="G214" s="804"/>
      <c r="H214" s="940">
        <f>+H205*H210</f>
        <v>4.7980031228019276E-2</v>
      </c>
      <c r="I214" s="431"/>
      <c r="J214" s="510"/>
      <c r="K214" s="510"/>
      <c r="L214" s="978"/>
      <c r="M214" s="431"/>
    </row>
    <row r="215" spans="1:13" s="1" customFormat="1" ht="15.75" customHeight="1">
      <c r="A215" s="970">
        <f>+A214+1</f>
        <v>135</v>
      </c>
      <c r="B215" s="27" t="s">
        <v>862</v>
      </c>
      <c r="C215" s="27"/>
      <c r="D215" s="47"/>
      <c r="E215" s="68"/>
      <c r="F215" s="1039" t="str">
        <f>"(Sum Lines "&amp;A212&amp;" to "&amp;A214&amp;")"</f>
        <v>(Sum Lines 132 to 134)</v>
      </c>
      <c r="G215" s="449"/>
      <c r="H215" s="941">
        <f>SUM(H212:H214)</f>
        <v>7.879796592578274E-2</v>
      </c>
      <c r="I215" s="989"/>
      <c r="J215" s="521"/>
      <c r="K215" s="521"/>
      <c r="L215" s="1018"/>
      <c r="M215" s="989"/>
    </row>
    <row r="216" spans="1:13" s="1" customFormat="1" ht="15.75" customHeight="1">
      <c r="A216" s="1019"/>
      <c r="B216" s="412"/>
      <c r="C216" s="27"/>
      <c r="D216" s="47"/>
      <c r="E216" s="68"/>
      <c r="F216" s="1065"/>
      <c r="G216" s="449"/>
      <c r="H216" s="942"/>
      <c r="I216" s="989"/>
      <c r="J216" s="521"/>
      <c r="K216" s="521"/>
      <c r="L216" s="1018"/>
      <c r="M216" s="989"/>
    </row>
    <row r="217" spans="1:13" ht="16.5" customHeight="1" thickBot="1">
      <c r="A217" s="970">
        <f>+A215+1</f>
        <v>136</v>
      </c>
      <c r="B217" s="39" t="s">
        <v>934</v>
      </c>
      <c r="C217" s="38"/>
      <c r="D217" s="37"/>
      <c r="E217" s="445"/>
      <c r="F217" s="1054" t="str">
        <f>"(Line "&amp;A102&amp;" * "&amp;A215&amp;")"</f>
        <v>(Line 59 * 135)</v>
      </c>
      <c r="G217" s="1085"/>
      <c r="H217" s="1054">
        <f>+H102*H215</f>
        <v>64788680.848300107</v>
      </c>
      <c r="I217" s="1081"/>
      <c r="J217" s="522">
        <f>$H$217*J103</f>
        <v>58788966.889995962</v>
      </c>
      <c r="K217" s="522">
        <f>+H215*K102</f>
        <v>2148008.2027472062</v>
      </c>
      <c r="L217" s="1011">
        <f>$H$217*L103</f>
        <v>3851705.7555569434</v>
      </c>
      <c r="M217" s="431"/>
    </row>
    <row r="218" spans="1:13" ht="16.5" customHeight="1" thickTop="1">
      <c r="A218" s="970"/>
      <c r="B218" s="23"/>
      <c r="C218" s="385"/>
      <c r="D218" s="21"/>
      <c r="E218" s="61"/>
      <c r="F218" s="1039"/>
      <c r="G218" s="97"/>
      <c r="H218" s="943"/>
      <c r="I218" s="431"/>
      <c r="J218" s="510"/>
      <c r="K218" s="510"/>
      <c r="L218" s="978"/>
      <c r="M218" s="431"/>
    </row>
    <row r="219" spans="1:13" ht="15.75" customHeight="1">
      <c r="A219" s="981" t="s">
        <v>719</v>
      </c>
      <c r="B219" s="29"/>
      <c r="C219" s="1008"/>
      <c r="D219" s="40"/>
      <c r="E219" s="101"/>
      <c r="F219" s="1049"/>
      <c r="G219" s="995"/>
      <c r="H219" s="923"/>
      <c r="I219" s="982"/>
      <c r="J219" s="514"/>
      <c r="K219" s="514"/>
      <c r="L219" s="983"/>
      <c r="M219" s="431"/>
    </row>
    <row r="220" spans="1:13" ht="15.75" customHeight="1">
      <c r="A220" s="1020"/>
      <c r="B220" s="23"/>
      <c r="C220" s="11"/>
      <c r="D220" s="25"/>
      <c r="E220" s="386"/>
      <c r="F220" s="1042"/>
      <c r="G220" s="97"/>
      <c r="H220" s="530"/>
      <c r="I220" s="431"/>
      <c r="J220" s="510"/>
      <c r="K220" s="510"/>
      <c r="L220" s="978"/>
      <c r="M220" s="431"/>
    </row>
    <row r="221" spans="1:13" ht="15.75" customHeight="1">
      <c r="A221" s="970" t="s">
        <v>876</v>
      </c>
      <c r="B221" s="48" t="s">
        <v>935</v>
      </c>
      <c r="C221" s="21"/>
      <c r="D221" s="21"/>
      <c r="E221" s="386"/>
      <c r="F221" s="1039"/>
      <c r="G221" s="97"/>
      <c r="H221" s="944"/>
      <c r="I221" s="431"/>
      <c r="J221" s="510"/>
      <c r="K221" s="510"/>
      <c r="L221" s="978"/>
      <c r="M221" s="431"/>
    </row>
    <row r="222" spans="1:13" ht="15.75" customHeight="1">
      <c r="A222" s="970">
        <f>+A217+1</f>
        <v>137</v>
      </c>
      <c r="B222" s="23"/>
      <c r="C222" s="21" t="s">
        <v>933</v>
      </c>
      <c r="D222" s="21"/>
      <c r="E222" s="61"/>
      <c r="F222" s="1042"/>
      <c r="G222" s="97"/>
      <c r="H222" s="945">
        <v>0.35</v>
      </c>
      <c r="I222" s="431"/>
      <c r="J222" s="510"/>
      <c r="K222" s="510"/>
      <c r="L222" s="978"/>
      <c r="M222" s="431"/>
    </row>
    <row r="223" spans="1:13" ht="15.75" customHeight="1">
      <c r="A223" s="970">
        <f>+A222+1</f>
        <v>138</v>
      </c>
      <c r="B223" s="23"/>
      <c r="C223" s="1021" t="s">
        <v>932</v>
      </c>
      <c r="D223" s="1022"/>
      <c r="E223" s="71" t="str">
        <f>"(Note "&amp;B$301&amp;")"</f>
        <v>(Note I)</v>
      </c>
      <c r="F223" s="1042"/>
      <c r="G223" s="97"/>
      <c r="H223" s="945">
        <v>0</v>
      </c>
      <c r="I223" s="431"/>
      <c r="J223" s="510"/>
      <c r="K223" s="510"/>
      <c r="L223" s="978"/>
      <c r="M223" s="431"/>
    </row>
    <row r="224" spans="1:13" ht="15.75" customHeight="1">
      <c r="A224" s="970">
        <f>+A223+1</f>
        <v>139</v>
      </c>
      <c r="B224" s="23"/>
      <c r="C224" s="1021" t="s">
        <v>1009</v>
      </c>
      <c r="D224" s="1021" t="s">
        <v>1010</v>
      </c>
      <c r="E224" s="61"/>
      <c r="F224" s="1042" t="s">
        <v>843</v>
      </c>
      <c r="G224" s="97"/>
      <c r="H224" s="945">
        <v>0</v>
      </c>
      <c r="I224" s="431"/>
      <c r="J224" s="510"/>
      <c r="K224" s="510"/>
      <c r="L224" s="978"/>
      <c r="M224" s="431"/>
    </row>
    <row r="225" spans="1:13" ht="15.75" customHeight="1">
      <c r="A225" s="970">
        <f>+A224+1</f>
        <v>140</v>
      </c>
      <c r="B225" s="23"/>
      <c r="C225" s="1021" t="s">
        <v>733</v>
      </c>
      <c r="D225" s="398" t="s">
        <v>1029</v>
      </c>
      <c r="E225" s="61"/>
      <c r="F225" s="1042"/>
      <c r="G225" s="97"/>
      <c r="H225" s="946">
        <f>IF(H222&gt;0,1-(((1-H223)*(1-H222))/(1-H223*H222*H224)),0)</f>
        <v>0.35</v>
      </c>
      <c r="I225" s="431"/>
      <c r="J225" s="510"/>
      <c r="K225" s="510"/>
      <c r="L225" s="978"/>
      <c r="M225" s="431"/>
    </row>
    <row r="226" spans="1:13" ht="15.75" customHeight="1">
      <c r="A226" s="970">
        <f>+A225+1</f>
        <v>141</v>
      </c>
      <c r="B226" s="23"/>
      <c r="C226" s="1021" t="s">
        <v>1008</v>
      </c>
      <c r="D226" s="1022"/>
      <c r="E226" s="61"/>
      <c r="F226" s="1042"/>
      <c r="G226" s="97"/>
      <c r="H226" s="945">
        <f>+H225/(1-H225)</f>
        <v>0.53846153846153844</v>
      </c>
      <c r="I226" s="431"/>
      <c r="J226" s="510"/>
      <c r="K226" s="510"/>
      <c r="L226" s="978"/>
      <c r="M226" s="431"/>
    </row>
    <row r="227" spans="1:13" ht="15.75" customHeight="1">
      <c r="A227" s="970"/>
      <c r="B227" s="23"/>
      <c r="C227" s="21"/>
      <c r="D227" s="21"/>
      <c r="E227" s="1023"/>
      <c r="F227" s="1066"/>
      <c r="G227" s="97"/>
      <c r="H227" s="946"/>
      <c r="I227" s="431"/>
      <c r="J227" s="510"/>
      <c r="K227" s="510"/>
      <c r="L227" s="978"/>
      <c r="M227" s="431"/>
    </row>
    <row r="228" spans="1:13" ht="15.75" customHeight="1">
      <c r="A228" s="970"/>
      <c r="B228" s="48" t="s">
        <v>930</v>
      </c>
      <c r="C228" s="385"/>
      <c r="D228" s="21"/>
      <c r="E228" s="71" t="str">
        <f>"(Note "&amp;B$301&amp;")"</f>
        <v>(Note I)</v>
      </c>
      <c r="F228" s="1039"/>
      <c r="G228" s="97"/>
      <c r="H228" s="947"/>
      <c r="I228" s="431"/>
      <c r="J228" s="510"/>
      <c r="K228" s="510"/>
      <c r="L228" s="978"/>
      <c r="M228" s="431"/>
    </row>
    <row r="229" spans="1:13" ht="15.75" customHeight="1">
      <c r="A229" s="970">
        <f>+A226+1</f>
        <v>142</v>
      </c>
      <c r="B229" s="23"/>
      <c r="C229" s="397" t="s">
        <v>551</v>
      </c>
      <c r="D229" s="25" t="str">
        <f>"(Note "&amp;$B$293&amp;")"</f>
        <v>(Note A)</v>
      </c>
      <c r="E229" s="974" t="s">
        <v>1014</v>
      </c>
      <c r="F229" s="1064" t="s">
        <v>783</v>
      </c>
      <c r="G229" s="104"/>
      <c r="H229" s="517">
        <f>+'1 - ADIT'!H134</f>
        <v>0</v>
      </c>
      <c r="I229" s="959"/>
      <c r="J229" s="553"/>
      <c r="K229" s="510"/>
      <c r="L229" s="978"/>
      <c r="M229" s="431"/>
    </row>
    <row r="230" spans="1:13" ht="15.75" customHeight="1">
      <c r="A230" s="970">
        <f>+A229+1</f>
        <v>143</v>
      </c>
      <c r="B230" s="23"/>
      <c r="C230" s="397" t="s">
        <v>337</v>
      </c>
      <c r="D230" s="25"/>
      <c r="E230" s="23"/>
      <c r="F230" s="1045" t="str">
        <f>"(1 / (1-Line "&amp;A225&amp;"))"</f>
        <v>(1 / (1-Line 140))</v>
      </c>
      <c r="G230" s="104"/>
      <c r="H230" s="936">
        <f>1/(1-H225)</f>
        <v>1.5384615384615383</v>
      </c>
      <c r="I230" s="431"/>
      <c r="J230" s="510"/>
      <c r="K230" s="510"/>
      <c r="L230" s="978"/>
      <c r="M230" s="431"/>
    </row>
    <row r="231" spans="1:13" ht="15.75" customHeight="1">
      <c r="A231" s="970">
        <f>+A230+1</f>
        <v>144</v>
      </c>
      <c r="B231" s="23"/>
      <c r="C231" s="385" t="s">
        <v>925</v>
      </c>
      <c r="D231" s="32"/>
      <c r="E231" s="60"/>
      <c r="F231" s="1052" t="str">
        <f>"(Line "&amp;A$26&amp;")"</f>
        <v>(Line 14)</v>
      </c>
      <c r="G231" s="1069"/>
      <c r="H231" s="934">
        <f>+H26</f>
        <v>0.16960603276525196</v>
      </c>
      <c r="I231" s="431"/>
      <c r="J231" s="510"/>
      <c r="K231" s="510"/>
      <c r="L231" s="978"/>
      <c r="M231" s="431"/>
    </row>
    <row r="232" spans="1:13" ht="15.75" customHeight="1">
      <c r="A232" s="970">
        <f>+A231+1</f>
        <v>145</v>
      </c>
      <c r="B232" s="23"/>
      <c r="C232" s="49" t="s">
        <v>931</v>
      </c>
      <c r="D232" s="17"/>
      <c r="E232" s="71"/>
      <c r="F232" s="1039" t="str">
        <f>"(Line "&amp;A229&amp;" *  "&amp;A230&amp;" * "&amp;A231&amp;")"</f>
        <v>(Line 142 *  143 * 144)</v>
      </c>
      <c r="G232" s="97"/>
      <c r="H232" s="948">
        <f>+H229*H230*H231</f>
        <v>0</v>
      </c>
      <c r="I232" s="431"/>
      <c r="J232" s="510"/>
      <c r="K232" s="510"/>
      <c r="L232" s="978"/>
      <c r="M232" s="431"/>
    </row>
    <row r="233" spans="1:13" ht="15.75" customHeight="1">
      <c r="A233" s="970"/>
      <c r="B233" s="23"/>
      <c r="C233" s="59"/>
      <c r="D233" s="25"/>
      <c r="E233" s="79"/>
      <c r="F233" s="1067"/>
      <c r="G233" s="97"/>
      <c r="H233" s="949"/>
      <c r="I233" s="431"/>
      <c r="J233" s="510"/>
      <c r="K233" s="510"/>
      <c r="L233" s="978"/>
      <c r="M233" s="431"/>
    </row>
    <row r="234" spans="1:13" ht="15.75" customHeight="1">
      <c r="A234" s="970">
        <f>+A232+1</f>
        <v>146</v>
      </c>
      <c r="B234" s="449" t="s">
        <v>960</v>
      </c>
      <c r="C234" s="26"/>
      <c r="D234" s="21" t="s">
        <v>962</v>
      </c>
      <c r="E234" s="386"/>
      <c r="F234" s="1039" t="str">
        <f>"[Line "&amp;A226&amp;" * "&amp;A217&amp;" * (1-("&amp;A212&amp;" / "&amp;A215&amp;"))]"</f>
        <v>[Line 141 * 136 * (1-(132 / 135))]</v>
      </c>
      <c r="G234" s="97"/>
      <c r="H234" s="531">
        <f>+H226*(1-H212/H215)*H217</f>
        <v>21242192.716536593</v>
      </c>
      <c r="I234" s="431"/>
      <c r="J234" s="510"/>
      <c r="K234" s="510"/>
      <c r="L234" s="978"/>
      <c r="M234" s="431"/>
    </row>
    <row r="235" spans="1:13" ht="15.75" customHeight="1">
      <c r="A235" s="970"/>
      <c r="B235" s="23"/>
      <c r="C235" s="24"/>
      <c r="D235" s="25"/>
      <c r="E235" s="69"/>
      <c r="F235" s="1059"/>
      <c r="G235" s="97"/>
      <c r="H235" s="950"/>
      <c r="I235" s="431"/>
      <c r="J235" s="510"/>
      <c r="K235" s="510"/>
      <c r="L235" s="978"/>
      <c r="M235" s="431"/>
    </row>
    <row r="236" spans="1:13" ht="16.5" customHeight="1" thickBot="1">
      <c r="A236" s="970">
        <f>+A234+1</f>
        <v>147</v>
      </c>
      <c r="B236" s="39" t="s">
        <v>852</v>
      </c>
      <c r="C236" s="39"/>
      <c r="D236" s="37"/>
      <c r="E236" s="64"/>
      <c r="F236" s="1054" t="str">
        <f>"(Line "&amp;A232&amp;" + "&amp;A234&amp;")"</f>
        <v>(Line 145 + 146)</v>
      </c>
      <c r="G236" s="1054"/>
      <c r="H236" s="951">
        <f>+H234+H232</f>
        <v>21242192.716536593</v>
      </c>
      <c r="I236" s="1081"/>
      <c r="J236" s="522">
        <f>$H236*J$103</f>
        <v>19275073.175319154</v>
      </c>
      <c r="K236" s="522">
        <f>$H$236*K103</f>
        <v>704265.0599152419</v>
      </c>
      <c r="L236" s="1011">
        <f>$H$236*L103</f>
        <v>1262854.4813021994</v>
      </c>
      <c r="M236" s="431"/>
    </row>
    <row r="237" spans="1:13" ht="16.5" customHeight="1" thickTop="1">
      <c r="A237" s="970"/>
      <c r="B237" s="23"/>
      <c r="C237" s="398"/>
      <c r="D237" s="21"/>
      <c r="E237" s="61"/>
      <c r="F237" s="1055"/>
      <c r="G237" s="97"/>
      <c r="H237" s="952"/>
      <c r="I237" s="431"/>
      <c r="J237" s="510"/>
      <c r="K237" s="510"/>
      <c r="L237" s="978"/>
      <c r="M237" s="431"/>
    </row>
    <row r="238" spans="1:13" ht="15.75" customHeight="1">
      <c r="A238" s="981" t="s">
        <v>863</v>
      </c>
      <c r="B238" s="29"/>
      <c r="C238" s="1008"/>
      <c r="D238" s="40"/>
      <c r="E238" s="382"/>
      <c r="F238" s="1049"/>
      <c r="G238" s="995"/>
      <c r="H238" s="923"/>
      <c r="I238" s="982"/>
      <c r="J238" s="514"/>
      <c r="K238" s="514"/>
      <c r="L238" s="983"/>
      <c r="M238" s="431"/>
    </row>
    <row r="239" spans="1:13" ht="15.75" customHeight="1">
      <c r="A239" s="975"/>
      <c r="B239" s="26"/>
      <c r="C239" s="26"/>
      <c r="D239" s="26"/>
      <c r="E239" s="61"/>
      <c r="F239" s="1043"/>
      <c r="G239" s="97"/>
      <c r="H239" s="843"/>
      <c r="I239" s="431"/>
      <c r="J239" s="511"/>
      <c r="K239" s="511"/>
      <c r="L239" s="969"/>
      <c r="M239" s="431"/>
    </row>
    <row r="240" spans="1:13" ht="15.75" customHeight="1">
      <c r="A240" s="975"/>
      <c r="B240" s="449" t="s">
        <v>853</v>
      </c>
      <c r="C240" s="26"/>
      <c r="D240" s="26"/>
      <c r="E240" s="61"/>
      <c r="F240" s="1043"/>
      <c r="G240" s="97"/>
      <c r="H240" s="843"/>
      <c r="I240" s="431"/>
      <c r="J240" s="511"/>
      <c r="K240" s="511"/>
      <c r="L240" s="969"/>
      <c r="M240" s="431"/>
    </row>
    <row r="241" spans="1:15" ht="15.75" customHeight="1">
      <c r="A241" s="975">
        <f>+A236+1</f>
        <v>148</v>
      </c>
      <c r="B241" s="26"/>
      <c r="C241" s="26" t="s">
        <v>854</v>
      </c>
      <c r="D241" s="26"/>
      <c r="E241" s="61"/>
      <c r="F241" s="1039" t="str">
        <f>"(Line "&amp;A61&amp;")"</f>
        <v>(Line 37)</v>
      </c>
      <c r="G241" s="97"/>
      <c r="H241" s="524">
        <f>+H61</f>
        <v>1019836519.5559937</v>
      </c>
      <c r="I241" s="977"/>
      <c r="J241" s="524">
        <f>+J61</f>
        <v>943696052.12368608</v>
      </c>
      <c r="K241" s="524">
        <f>+K61</f>
        <v>27259691.002307668</v>
      </c>
      <c r="L241" s="1024">
        <f>+L61</f>
        <v>48880776.429999992</v>
      </c>
      <c r="M241" s="431"/>
    </row>
    <row r="242" spans="1:15" ht="15.75" customHeight="1">
      <c r="A242" s="970">
        <f>+A241+1</f>
        <v>149</v>
      </c>
      <c r="B242" s="26"/>
      <c r="C242" s="26" t="s">
        <v>955</v>
      </c>
      <c r="D242" s="26"/>
      <c r="E242" s="61"/>
      <c r="F242" s="1052" t="str">
        <f>"(Line "&amp;A100&amp;")"</f>
        <v>(Line 58)</v>
      </c>
      <c r="G242" s="804"/>
      <c r="H242" s="524">
        <f>+H100</f>
        <v>-197623914.3559753</v>
      </c>
      <c r="I242" s="977"/>
      <c r="J242" s="524">
        <f>+J100</f>
        <v>-197623914.3559753</v>
      </c>
      <c r="K242" s="524">
        <f>+K100</f>
        <v>0</v>
      </c>
      <c r="L242" s="1024">
        <f>+L100</f>
        <v>0</v>
      </c>
      <c r="M242" s="431"/>
    </row>
    <row r="243" spans="1:15" ht="15.75" customHeight="1">
      <c r="A243" s="970">
        <f>+A242+1</f>
        <v>150</v>
      </c>
      <c r="B243" s="23"/>
      <c r="C243" s="6" t="s">
        <v>959</v>
      </c>
      <c r="D243" s="50"/>
      <c r="E243" s="70"/>
      <c r="F243" s="1039" t="str">
        <f>"(Line "&amp;A102&amp;")"</f>
        <v>(Line 59)</v>
      </c>
      <c r="G243" s="97"/>
      <c r="H243" s="525">
        <f>+H102</f>
        <v>822212605.20001841</v>
      </c>
      <c r="I243" s="956"/>
      <c r="J243" s="525">
        <f>+J102</f>
        <v>746072137.7677108</v>
      </c>
      <c r="K243" s="525">
        <f>+K102</f>
        <v>27259691.002307668</v>
      </c>
      <c r="L243" s="1025">
        <f>+L102</f>
        <v>48880776.429999992</v>
      </c>
      <c r="M243" s="431"/>
    </row>
    <row r="244" spans="1:15" ht="15.75" customHeight="1">
      <c r="A244" s="970"/>
      <c r="B244" s="23"/>
      <c r="C244" s="397"/>
      <c r="D244" s="25"/>
      <c r="E244" s="386"/>
      <c r="F244" s="1042"/>
      <c r="G244" s="97"/>
      <c r="H244" s="524"/>
      <c r="I244" s="431"/>
      <c r="J244" s="511"/>
      <c r="K244" s="511"/>
      <c r="L244" s="969"/>
      <c r="M244" s="431"/>
    </row>
    <row r="245" spans="1:15" ht="15.75" customHeight="1">
      <c r="A245" s="970">
        <f>+A243+1</f>
        <v>151</v>
      </c>
      <c r="B245" s="21"/>
      <c r="C245" s="397" t="s">
        <v>1017</v>
      </c>
      <c r="D245" s="21"/>
      <c r="E245" s="61"/>
      <c r="F245" s="1039" t="str">
        <f>"(Line "&amp;A135&amp;")"</f>
        <v>(Line 82)</v>
      </c>
      <c r="G245" s="97"/>
      <c r="H245" s="524">
        <f>+H135</f>
        <v>35038431.346541896</v>
      </c>
      <c r="I245" s="977"/>
      <c r="J245" s="524">
        <f>+J135</f>
        <v>32408166.085615359</v>
      </c>
      <c r="K245" s="524">
        <f>+K135</f>
        <v>1372190.0419590601</v>
      </c>
      <c r="L245" s="1024">
        <f>+L135</f>
        <v>1258075.2189674752</v>
      </c>
      <c r="M245" s="408"/>
    </row>
    <row r="246" spans="1:15" ht="15.75" customHeight="1">
      <c r="A246" s="970">
        <f>+A245+1</f>
        <v>152</v>
      </c>
      <c r="B246" s="21"/>
      <c r="C246" s="24" t="s">
        <v>936</v>
      </c>
      <c r="D246" s="21"/>
      <c r="E246" s="61"/>
      <c r="F246" s="1039" t="str">
        <f>"(Line "&amp;A152&amp;")"</f>
        <v>(Line 92)</v>
      </c>
      <c r="G246" s="97"/>
      <c r="H246" s="524">
        <f>+H152</f>
        <v>41099680.270736486</v>
      </c>
      <c r="I246" s="977"/>
      <c r="J246" s="524">
        <f>+J152</f>
        <v>37522610.270736486</v>
      </c>
      <c r="K246" s="524">
        <f>+K152</f>
        <v>1851062</v>
      </c>
      <c r="L246" s="1024">
        <f>+L152</f>
        <v>1726008</v>
      </c>
      <c r="M246" s="408"/>
    </row>
    <row r="247" spans="1:15" ht="15.75" customHeight="1">
      <c r="A247" s="970">
        <f>+A246+1</f>
        <v>153</v>
      </c>
      <c r="B247" s="23"/>
      <c r="C247" s="397" t="s">
        <v>855</v>
      </c>
      <c r="D247" s="25"/>
      <c r="E247" s="386"/>
      <c r="F247" s="1039" t="str">
        <f>"(Line "&amp;A158&amp;")"</f>
        <v>(Line 94)</v>
      </c>
      <c r="G247" s="97"/>
      <c r="H247" s="524">
        <f>+H158</f>
        <v>20869055.718613442</v>
      </c>
      <c r="I247" s="977"/>
      <c r="J247" s="524">
        <f>+J158</f>
        <v>8235141.718613442</v>
      </c>
      <c r="K247" s="524">
        <f>+K158</f>
        <v>12040484</v>
      </c>
      <c r="L247" s="1024">
        <f>+L158</f>
        <v>593430</v>
      </c>
      <c r="M247" s="408"/>
    </row>
    <row r="248" spans="1:15" ht="15.75" customHeight="1">
      <c r="A248" s="970">
        <f>+A247+1</f>
        <v>154</v>
      </c>
      <c r="B248" s="23"/>
      <c r="C248" s="398" t="s">
        <v>981</v>
      </c>
      <c r="D248" s="25"/>
      <c r="E248" s="386"/>
      <c r="F248" s="1039" t="str">
        <f>"(Line "&amp;A217&amp;")"</f>
        <v>(Line 136)</v>
      </c>
      <c r="G248" s="97"/>
      <c r="H248" s="524">
        <f>+H217</f>
        <v>64788680.848300107</v>
      </c>
      <c r="I248" s="977"/>
      <c r="J248" s="524">
        <f>+J217</f>
        <v>58788966.889995962</v>
      </c>
      <c r="K248" s="524">
        <f>+K217</f>
        <v>2148008.2027472062</v>
      </c>
      <c r="L248" s="1024">
        <f>+L217</f>
        <v>3851705.7555569434</v>
      </c>
      <c r="M248" s="408"/>
    </row>
    <row r="249" spans="1:15" ht="15.75" customHeight="1">
      <c r="A249" s="970">
        <f>+A248+1</f>
        <v>155</v>
      </c>
      <c r="B249" s="23"/>
      <c r="C249" s="398" t="s">
        <v>982</v>
      </c>
      <c r="D249" s="25"/>
      <c r="E249" s="386"/>
      <c r="F249" s="1039" t="str">
        <f>"(Line "&amp;A236&amp;")"</f>
        <v>(Line 147)</v>
      </c>
      <c r="G249" s="97"/>
      <c r="H249" s="524">
        <f>+H236</f>
        <v>21242192.716536593</v>
      </c>
      <c r="I249" s="977"/>
      <c r="J249" s="524">
        <f>+J236</f>
        <v>19275073.175319154</v>
      </c>
      <c r="K249" s="524">
        <f>+K236</f>
        <v>704265.0599152419</v>
      </c>
      <c r="L249" s="1024">
        <f>+L236</f>
        <v>1262854.4813021994</v>
      </c>
      <c r="M249" s="408"/>
    </row>
    <row r="250" spans="1:15" ht="16.5" customHeight="1" thickBot="1">
      <c r="A250" s="970"/>
      <c r="B250" s="23"/>
      <c r="C250" s="398"/>
      <c r="D250" s="25"/>
      <c r="E250" s="386"/>
      <c r="F250" s="1042"/>
      <c r="G250" s="97"/>
      <c r="H250" s="524"/>
      <c r="I250" s="977"/>
      <c r="J250" s="524"/>
      <c r="K250" s="524"/>
      <c r="L250" s="1024"/>
      <c r="M250" s="431"/>
    </row>
    <row r="251" spans="1:15" ht="18.75" customHeight="1" thickBot="1">
      <c r="A251" s="55">
        <f>+A249+1</f>
        <v>156</v>
      </c>
      <c r="B251" s="54"/>
      <c r="C251" s="399" t="s">
        <v>1005</v>
      </c>
      <c r="D251" s="400"/>
      <c r="E251" s="401"/>
      <c r="F251" s="526" t="str">
        <f>"(Sum Lines "&amp;A245&amp;" to "&amp;A249&amp;")"</f>
        <v>(Sum Lines 151 to 155)</v>
      </c>
      <c r="G251" s="1086"/>
      <c r="H251" s="526">
        <f>SUM(H249,H248,H247,H246,H245)</f>
        <v>183038040.90072852</v>
      </c>
      <c r="I251" s="957"/>
      <c r="J251" s="526">
        <f>SUM(J249,J248,J247,J246,J245)</f>
        <v>156229958.1402804</v>
      </c>
      <c r="K251" s="526">
        <f>SUM(K249,K248,K247,K246,K245)</f>
        <v>18116009.304621506</v>
      </c>
      <c r="L251" s="1026">
        <f>SUM(L249,L248,L247,L246,L245)</f>
        <v>8692073.4558266178</v>
      </c>
      <c r="M251" s="431"/>
      <c r="O251" s="1857"/>
    </row>
    <row r="252" spans="1:15" ht="18" customHeight="1">
      <c r="A252" s="1027"/>
      <c r="B252" s="75"/>
      <c r="C252" s="402"/>
      <c r="D252" s="403"/>
      <c r="E252" s="404"/>
      <c r="F252" s="1065"/>
      <c r="G252" s="97"/>
      <c r="H252" s="953"/>
      <c r="I252" s="431"/>
      <c r="J252" s="511"/>
      <c r="K252" s="511"/>
      <c r="L252" s="969"/>
      <c r="M252" s="431"/>
    </row>
    <row r="253" spans="1:15" ht="18" customHeight="1">
      <c r="A253" s="1027"/>
      <c r="B253" s="59" t="s">
        <v>903</v>
      </c>
      <c r="C253" s="402"/>
      <c r="D253" s="403"/>
      <c r="E253" s="404"/>
      <c r="F253" s="1065"/>
      <c r="G253" s="97"/>
      <c r="H253" s="953"/>
      <c r="I253" s="431"/>
      <c r="J253" s="511"/>
      <c r="K253" s="511"/>
      <c r="L253" s="969"/>
      <c r="M253" s="431"/>
      <c r="N253" s="1858"/>
    </row>
    <row r="254" spans="1:15" ht="18" customHeight="1">
      <c r="A254" s="649">
        <f>+A251+1</f>
        <v>157</v>
      </c>
      <c r="B254" s="69"/>
      <c r="C254" s="397" t="str">
        <f>+C31</f>
        <v>Transmission Plant In Service</v>
      </c>
      <c r="D254" s="403"/>
      <c r="E254" s="404"/>
      <c r="F254" s="1045" t="str">
        <f>"(Line "&amp;A33&amp;")"</f>
        <v>(Line 17)</v>
      </c>
      <c r="G254" s="97"/>
      <c r="H254" s="513">
        <f>+H33</f>
        <v>1412973432.8884614</v>
      </c>
      <c r="I254" s="405"/>
      <c r="J254" s="513">
        <f>+J33</f>
        <v>1229040958.426923</v>
      </c>
      <c r="K254" s="513">
        <f>+K33</f>
        <v>95427304.411538437</v>
      </c>
      <c r="L254" s="979">
        <f>+L33</f>
        <v>88505170.049999997</v>
      </c>
      <c r="M254" s="431"/>
      <c r="N254" s="1858"/>
    </row>
    <row r="255" spans="1:15" ht="18" customHeight="1">
      <c r="A255" s="649">
        <f>+A254+1</f>
        <v>158</v>
      </c>
      <c r="B255" s="69"/>
      <c r="C255" s="406" t="s">
        <v>904</v>
      </c>
      <c r="D255" s="407"/>
      <c r="E255" s="73" t="str">
        <f>"(Note "&amp;B$305&amp;")"</f>
        <v>(Note M)</v>
      </c>
      <c r="F255" s="1047" t="s">
        <v>784</v>
      </c>
      <c r="G255" s="804"/>
      <c r="H255" s="527">
        <f>+J255+K255+L255</f>
        <v>181954450.89999995</v>
      </c>
      <c r="I255" s="958"/>
      <c r="J255" s="527">
        <f>'5 - Cost Support'!H121</f>
        <v>176454912.23999995</v>
      </c>
      <c r="K255" s="527">
        <f>'5 - Cost Support'!H120</f>
        <v>5499538.6600000001</v>
      </c>
      <c r="L255" s="1028">
        <f>'5 - Cost Support'!H122</f>
        <v>0</v>
      </c>
      <c r="M255" s="431"/>
      <c r="N255" s="1858"/>
    </row>
    <row r="256" spans="1:15" ht="18" customHeight="1">
      <c r="A256" s="649">
        <f>+A255+1</f>
        <v>159</v>
      </c>
      <c r="B256" s="69"/>
      <c r="C256" s="397" t="s">
        <v>905</v>
      </c>
      <c r="D256" s="403"/>
      <c r="E256" s="1599"/>
      <c r="F256" s="1045" t="str">
        <f>"(Line "&amp;A254&amp;" - "&amp;A255&amp;")"</f>
        <v>(Line 157 - 158)</v>
      </c>
      <c r="G256" s="97"/>
      <c r="H256" s="513">
        <f>+H254-H255</f>
        <v>1231018981.9884615</v>
      </c>
      <c r="I256" s="405"/>
      <c r="J256" s="513">
        <f>+J254-J255</f>
        <v>1052586046.186923</v>
      </c>
      <c r="K256" s="513">
        <f>+K254-K255</f>
        <v>89927765.751538441</v>
      </c>
      <c r="L256" s="979">
        <f>+L254-L255</f>
        <v>88505170.049999997</v>
      </c>
      <c r="M256" s="431"/>
      <c r="N256" s="1858"/>
    </row>
    <row r="257" spans="1:16" s="15" customFormat="1" ht="18" customHeight="1">
      <c r="A257" s="649">
        <f>+A256+1</f>
        <v>160</v>
      </c>
      <c r="B257" s="69"/>
      <c r="C257" s="397" t="s">
        <v>906</v>
      </c>
      <c r="D257" s="403"/>
      <c r="E257" s="1599"/>
      <c r="F257" s="1045" t="str">
        <f>"(Line "&amp;A256&amp;" / "&amp;A254&amp;")"</f>
        <v>(Line 159 / 157)</v>
      </c>
      <c r="G257" s="104"/>
      <c r="H257" s="1164">
        <f>+H256/H254</f>
        <v>0.87122585133958197</v>
      </c>
      <c r="I257" s="408"/>
      <c r="J257" s="1164">
        <f>+J256/J254</f>
        <v>0.85642877804019768</v>
      </c>
      <c r="K257" s="1164">
        <f>+K256/K254</f>
        <v>0.9423693386928047</v>
      </c>
      <c r="L257" s="1165">
        <f>+L256/L254</f>
        <v>1</v>
      </c>
      <c r="M257" s="408"/>
      <c r="N257" s="1859"/>
    </row>
    <row r="258" spans="1:16" ht="18" customHeight="1">
      <c r="A258" s="649">
        <f>+A257+1</f>
        <v>161</v>
      </c>
      <c r="B258" s="69"/>
      <c r="C258" s="406" t="s">
        <v>1005</v>
      </c>
      <c r="D258" s="407"/>
      <c r="E258" s="1600"/>
      <c r="F258" s="1047" t="str">
        <f>"(Line "&amp;A251&amp;")"</f>
        <v>(Line 156)</v>
      </c>
      <c r="G258" s="804"/>
      <c r="H258" s="527">
        <f>+H251</f>
        <v>183038040.90072852</v>
      </c>
      <c r="I258" s="958"/>
      <c r="J258" s="527">
        <f>+J251</f>
        <v>156229958.1402804</v>
      </c>
      <c r="K258" s="527">
        <f>+K251</f>
        <v>18116009.304621506</v>
      </c>
      <c r="L258" s="1028">
        <f>+L251</f>
        <v>8692073.4558266178</v>
      </c>
      <c r="M258" s="431"/>
      <c r="N258" s="1858"/>
    </row>
    <row r="259" spans="1:16" ht="18" customHeight="1">
      <c r="A259" s="649">
        <f>+A258+1</f>
        <v>162</v>
      </c>
      <c r="B259" s="69"/>
      <c r="C259" s="11" t="s">
        <v>907</v>
      </c>
      <c r="D259" s="403"/>
      <c r="E259" s="1601"/>
      <c r="F259" s="1045" t="str">
        <f>"(Line "&amp;A257&amp;" * "&amp;A258&amp;")"</f>
        <v>(Line 160 * 161)</v>
      </c>
      <c r="G259" s="97"/>
      <c r="H259" s="528">
        <f>+H258*H257</f>
        <v>159467473.01126644</v>
      </c>
      <c r="I259" s="78"/>
      <c r="J259" s="528">
        <f>+J258*J257</f>
        <v>133799832.14335157</v>
      </c>
      <c r="K259" s="528">
        <f>+K258*K257</f>
        <v>17071971.708148867</v>
      </c>
      <c r="L259" s="1005">
        <f>+L258*L257</f>
        <v>8692073.4558266178</v>
      </c>
      <c r="M259" s="431"/>
    </row>
    <row r="260" spans="1:16" ht="15.75" customHeight="1">
      <c r="A260" s="996"/>
      <c r="B260" s="23"/>
      <c r="C260" s="397"/>
      <c r="D260" s="25"/>
      <c r="E260" s="1602"/>
      <c r="F260" s="1042"/>
      <c r="G260" s="97"/>
      <c r="H260" s="530"/>
      <c r="I260" s="431"/>
      <c r="J260" s="511"/>
      <c r="K260" s="511"/>
      <c r="L260" s="969"/>
      <c r="M260" s="431"/>
    </row>
    <row r="261" spans="1:16" ht="15.75" customHeight="1">
      <c r="A261" s="996"/>
      <c r="B261" s="59" t="s">
        <v>165</v>
      </c>
      <c r="C261" s="397"/>
      <c r="D261" s="25"/>
      <c r="E261" s="1602"/>
      <c r="F261" s="1042"/>
      <c r="G261" s="97"/>
      <c r="H261" s="530"/>
      <c r="I261" s="431"/>
      <c r="J261" s="511"/>
      <c r="K261" s="511"/>
      <c r="L261" s="969"/>
      <c r="M261" s="431"/>
    </row>
    <row r="262" spans="1:16" ht="15.75" customHeight="1">
      <c r="A262" s="649">
        <f>+A259+1</f>
        <v>163</v>
      </c>
      <c r="B262" s="26"/>
      <c r="C262" s="102" t="s">
        <v>858</v>
      </c>
      <c r="D262" s="25"/>
      <c r="E262" s="1603"/>
      <c r="F262" s="1042" t="s">
        <v>785</v>
      </c>
      <c r="G262" s="97"/>
      <c r="H262" s="954">
        <f>+'3 - Revenue Credits'!D22</f>
        <v>22086918.493939236</v>
      </c>
      <c r="I262" s="431"/>
      <c r="J262" s="510">
        <f>+'3 - Revenue Credits'!F22</f>
        <v>21584822.397716362</v>
      </c>
      <c r="K262" s="510">
        <f>+'3 - Revenue Credits'!G22</f>
        <v>25682.053693309899</v>
      </c>
      <c r="L262" s="978">
        <f>+'3 - Revenue Credits'!H22</f>
        <v>476414.04252956406</v>
      </c>
      <c r="M262" s="431"/>
    </row>
    <row r="263" spans="1:16" ht="15.75" customHeight="1">
      <c r="A263" s="649">
        <f>+A262+1</f>
        <v>164</v>
      </c>
      <c r="B263" s="26"/>
      <c r="C263" s="59" t="s">
        <v>164</v>
      </c>
      <c r="D263" s="25"/>
      <c r="E263" s="71" t="str">
        <f>"(Note "&amp;B$306&amp;")"</f>
        <v>(Note N)</v>
      </c>
      <c r="F263" s="1042" t="s">
        <v>784</v>
      </c>
      <c r="G263" s="97"/>
      <c r="H263" s="954">
        <f>J263+K263+L263</f>
        <v>0</v>
      </c>
      <c r="I263" s="431"/>
      <c r="J263" s="511">
        <f>'5 - Cost Support'!H228</f>
        <v>0</v>
      </c>
      <c r="K263" s="511">
        <v>0</v>
      </c>
      <c r="L263" s="969">
        <v>0</v>
      </c>
      <c r="M263" s="431"/>
    </row>
    <row r="264" spans="1:16" ht="16.5" customHeight="1" thickBot="1">
      <c r="A264" s="970"/>
      <c r="B264" s="23"/>
      <c r="C264" s="36"/>
      <c r="D264" s="36"/>
      <c r="E264" s="1604"/>
      <c r="F264" s="1042"/>
      <c r="G264" s="97"/>
      <c r="H264" s="530"/>
      <c r="I264" s="431"/>
      <c r="J264" s="511"/>
      <c r="K264" s="511"/>
      <c r="L264" s="969"/>
      <c r="M264" s="431"/>
    </row>
    <row r="265" spans="1:16" s="1" customFormat="1" ht="18.75" customHeight="1" thickBot="1">
      <c r="A265" s="55">
        <f>+A263+1</f>
        <v>165</v>
      </c>
      <c r="B265" s="1087"/>
      <c r="C265" s="1088" t="s">
        <v>1016</v>
      </c>
      <c r="D265" s="1089"/>
      <c r="E265" s="1090"/>
      <c r="F265" s="1068" t="str">
        <f>"(Line "&amp;A259&amp;" - "&amp;A262&amp;" + "&amp;A263&amp;")"</f>
        <v>(Line 162 - 163 + 164)</v>
      </c>
      <c r="G265" s="1086"/>
      <c r="H265" s="526">
        <f>+H259-H262+H263</f>
        <v>137380554.51732719</v>
      </c>
      <c r="I265" s="957"/>
      <c r="J265" s="526">
        <f>+J259-J262+J263</f>
        <v>112215009.74563521</v>
      </c>
      <c r="K265" s="526">
        <f>+K259-K262+K263</f>
        <v>17046289.654455557</v>
      </c>
      <c r="L265" s="1026">
        <f>+L259-L262+L263</f>
        <v>8215659.4132970534</v>
      </c>
      <c r="M265" s="989"/>
      <c r="P265" s="583"/>
    </row>
    <row r="266" spans="1:16" ht="15.75" customHeight="1">
      <c r="A266" s="996"/>
      <c r="B266" s="23"/>
      <c r="C266" s="36"/>
      <c r="D266" s="36"/>
      <c r="E266" s="61"/>
      <c r="F266" s="1042"/>
      <c r="G266" s="97"/>
      <c r="H266" s="530"/>
      <c r="I266" s="431"/>
      <c r="J266" s="511"/>
      <c r="K266" s="511"/>
      <c r="L266" s="969"/>
      <c r="M266" s="431"/>
    </row>
    <row r="267" spans="1:16" ht="15.75" customHeight="1">
      <c r="A267" s="649"/>
      <c r="B267" s="77" t="s">
        <v>1057</v>
      </c>
      <c r="C267" s="36"/>
      <c r="D267" s="36"/>
      <c r="E267" s="61"/>
      <c r="F267" s="1042"/>
      <c r="G267" s="97"/>
      <c r="H267" s="530"/>
      <c r="I267" s="431"/>
      <c r="J267" s="511"/>
      <c r="K267" s="511"/>
      <c r="L267" s="969"/>
      <c r="M267" s="431"/>
    </row>
    <row r="268" spans="1:16" ht="15.75" customHeight="1">
      <c r="A268" s="649">
        <f>+A265+1</f>
        <v>166</v>
      </c>
      <c r="B268" s="69"/>
      <c r="C268" s="36" t="str">
        <f>+C251</f>
        <v>Gross Revenue Requirement</v>
      </c>
      <c r="D268" s="36"/>
      <c r="E268" s="74"/>
      <c r="F268" s="1061" t="str">
        <f>"(Line "&amp;A251&amp;")"</f>
        <v>(Line 156)</v>
      </c>
      <c r="G268" s="104"/>
      <c r="H268" s="531">
        <f>+H259</f>
        <v>159467473.01126644</v>
      </c>
      <c r="I268" s="651"/>
      <c r="J268" s="529">
        <f>+J259</f>
        <v>133799832.14335157</v>
      </c>
      <c r="K268" s="529">
        <f>+K259</f>
        <v>17071971.708148867</v>
      </c>
      <c r="L268" s="1029">
        <f>+L259</f>
        <v>8692073.4558266178</v>
      </c>
      <c r="M268" s="431"/>
    </row>
    <row r="269" spans="1:16" ht="15.75" customHeight="1">
      <c r="A269" s="649">
        <f>+A268+1</f>
        <v>167</v>
      </c>
      <c r="B269" s="69"/>
      <c r="C269" s="36" t="s">
        <v>147</v>
      </c>
      <c r="D269" s="36"/>
      <c r="E269" s="74"/>
      <c r="F269" s="1061" t="str">
        <f>"(Line "&amp;A31&amp;" - "&amp;A47&amp;")"</f>
        <v>(Line 15 - 26)</v>
      </c>
      <c r="G269" s="104"/>
      <c r="H269" s="531">
        <f>+H31-H47</f>
        <v>969864666.4223361</v>
      </c>
      <c r="I269" s="651"/>
      <c r="J269" s="529">
        <f>+J31-J47</f>
        <v>893724198.9900285</v>
      </c>
      <c r="K269" s="529">
        <f>+K31-K47</f>
        <v>27259691.002307668</v>
      </c>
      <c r="L269" s="1029">
        <f>+L31-L47</f>
        <v>48880776.429999992</v>
      </c>
      <c r="M269" s="431"/>
    </row>
    <row r="270" spans="1:16" ht="15.75" customHeight="1">
      <c r="A270" s="649">
        <f>+A269+1</f>
        <v>168</v>
      </c>
      <c r="B270" s="69"/>
      <c r="C270" s="36" t="s">
        <v>1061</v>
      </c>
      <c r="D270" s="36"/>
      <c r="E270" s="74"/>
      <c r="F270" s="1061" t="str">
        <f>"(Line "&amp;A251&amp;" / "&amp;A269&amp;")"</f>
        <v>(Line 156 / 167)</v>
      </c>
      <c r="G270" s="104"/>
      <c r="H270" s="921">
        <f>+H251/H269</f>
        <v>0.18872534203759</v>
      </c>
      <c r="I270" s="650"/>
      <c r="J270" s="530">
        <f>+J268/J269</f>
        <v>0.14971042777464774</v>
      </c>
      <c r="K270" s="530">
        <f>+K268/K269</f>
        <v>0.62627165167439502</v>
      </c>
      <c r="L270" s="1030">
        <f>+L268/L269</f>
        <v>0.17782191877156767</v>
      </c>
      <c r="M270" s="431"/>
    </row>
    <row r="271" spans="1:16" ht="15.75" customHeight="1">
      <c r="A271" s="649">
        <f>+A270+1</f>
        <v>169</v>
      </c>
      <c r="B271" s="69"/>
      <c r="C271" s="36" t="s">
        <v>1062</v>
      </c>
      <c r="D271" s="36"/>
      <c r="E271" s="74"/>
      <c r="F271" s="1061" t="str">
        <f>"(Line "&amp;A251&amp;" - "&amp;A140&amp;") / "&amp;A269</f>
        <v>(Line 156 - 83) / 167</v>
      </c>
      <c r="G271" s="104"/>
      <c r="H271" s="921">
        <f>(H251-H140)/H269</f>
        <v>0.15413356633783415</v>
      </c>
      <c r="I271" s="650"/>
      <c r="J271" s="530">
        <f>(J268-J140)/J269</f>
        <v>0.1161740515258332</v>
      </c>
      <c r="K271" s="530">
        <f>(K268-K140)/K269</f>
        <v>0.55836692011146938</v>
      </c>
      <c r="L271" s="1030">
        <f>(L268-L140)/L269</f>
        <v>0.14251135036290624</v>
      </c>
      <c r="M271" s="431"/>
    </row>
    <row r="272" spans="1:16" ht="15.75" customHeight="1">
      <c r="A272" s="649">
        <f>+A271+1</f>
        <v>170</v>
      </c>
      <c r="B272" s="69"/>
      <c r="C272" s="36" t="s">
        <v>1063</v>
      </c>
      <c r="D272" s="36"/>
      <c r="E272" s="74"/>
      <c r="F272" s="1061" t="str">
        <f>"(Line "&amp;A251&amp;" - "&amp;A140&amp;" - "&amp;A217&amp;" - "&amp;A236&amp;") / "&amp;A269</f>
        <v>(Line 156 - 83 - 136 - 147) / 167</v>
      </c>
      <c r="G272" s="104"/>
      <c r="H272" s="921">
        <f>(H251-H140-H217-H236)/H269</f>
        <v>6.5429568199423985E-2</v>
      </c>
      <c r="I272" s="650"/>
      <c r="J272" s="530">
        <f>(J268-J140-J217-J236)/J269</f>
        <v>2.8827149479840709E-2</v>
      </c>
      <c r="K272" s="530">
        <f>(K268-K140-K217-K236)/K269</f>
        <v>0.45373355275521465</v>
      </c>
      <c r="L272" s="1030">
        <f>(L268-L140-L217-L236)/L269</f>
        <v>3.7877983006651586E-2</v>
      </c>
      <c r="M272" s="431"/>
    </row>
    <row r="273" spans="1:164" ht="15.75" customHeight="1">
      <c r="A273" s="649"/>
      <c r="B273" s="69"/>
      <c r="C273" s="36"/>
      <c r="D273" s="36"/>
      <c r="E273" s="74"/>
      <c r="F273" s="1061"/>
      <c r="G273" s="104"/>
      <c r="H273" s="921"/>
      <c r="I273" s="431"/>
      <c r="J273" s="511"/>
      <c r="K273" s="511"/>
      <c r="L273" s="969"/>
      <c r="M273" s="431"/>
    </row>
    <row r="274" spans="1:164" ht="15.75" customHeight="1">
      <c r="A274" s="649"/>
      <c r="B274" s="77" t="s">
        <v>1058</v>
      </c>
      <c r="C274" s="36"/>
      <c r="D274" s="36"/>
      <c r="E274" s="74"/>
      <c r="F274" s="1061"/>
      <c r="G274" s="104"/>
      <c r="H274" s="921"/>
      <c r="I274" s="431"/>
      <c r="J274" s="510"/>
      <c r="K274" s="510"/>
      <c r="L274" s="978"/>
      <c r="M274" s="431"/>
    </row>
    <row r="275" spans="1:164" ht="15.75" customHeight="1">
      <c r="A275" s="649">
        <f>+A272+1</f>
        <v>171</v>
      </c>
      <c r="B275" s="69"/>
      <c r="C275" s="36" t="s">
        <v>509</v>
      </c>
      <c r="D275" s="36"/>
      <c r="E275" s="74"/>
      <c r="F275" s="1061" t="str">
        <f>"(Line "&amp;A251&amp;" - "&amp;A248&amp;" - "&amp;A249&amp;")"</f>
        <v>(Line 156 - 154 - 155)</v>
      </c>
      <c r="G275" s="104"/>
      <c r="H275" s="531">
        <f>+H251-H248-H249</f>
        <v>97007167.335891828</v>
      </c>
      <c r="I275" s="651"/>
      <c r="J275" s="529">
        <f>+J259-J248-J249</f>
        <v>55735792.078036457</v>
      </c>
      <c r="K275" s="529">
        <f>+K259-K248-K249</f>
        <v>14219698.445486417</v>
      </c>
      <c r="L275" s="1029">
        <f>+L259-L248-L249</f>
        <v>3577513.2189674755</v>
      </c>
      <c r="M275" s="431"/>
    </row>
    <row r="276" spans="1:164" ht="16.5" customHeight="1">
      <c r="A276" s="649">
        <f>+A275+1</f>
        <v>172</v>
      </c>
      <c r="B276" s="69"/>
      <c r="C276" s="36" t="s">
        <v>428</v>
      </c>
      <c r="D276" s="36"/>
      <c r="E276" s="61"/>
      <c r="F276" s="1061" t="s">
        <v>1121</v>
      </c>
      <c r="G276" s="104"/>
      <c r="H276" s="531">
        <f>+'4 - 100 Basis Pt ROE'!G9</f>
        <v>92223932.665867791</v>
      </c>
      <c r="I276" s="431"/>
      <c r="J276" s="531">
        <f>+$H276*J103</f>
        <v>83683594.926924214</v>
      </c>
      <c r="K276" s="531">
        <f>+$H276*K103</f>
        <v>3057598.3530167462</v>
      </c>
      <c r="L276" s="531">
        <f>+$H276*L103</f>
        <v>5482739.3859268399</v>
      </c>
      <c r="M276" s="431"/>
    </row>
    <row r="277" spans="1:164" ht="16.5" customHeight="1">
      <c r="A277" s="649">
        <f>+A276+1</f>
        <v>173</v>
      </c>
      <c r="B277" s="69"/>
      <c r="C277" s="36" t="s">
        <v>510</v>
      </c>
      <c r="D277" s="36"/>
      <c r="E277" s="61"/>
      <c r="F277" s="1061" t="str">
        <f>"(Line "&amp;A275&amp;" + "&amp;A276&amp;")"</f>
        <v>(Line 171 + 172)</v>
      </c>
      <c r="G277" s="97"/>
      <c r="H277" s="529">
        <f>+H276+H275</f>
        <v>189231100.00175962</v>
      </c>
      <c r="I277" s="651"/>
      <c r="J277" s="529">
        <f>+J276+J275</f>
        <v>139419387.00496066</v>
      </c>
      <c r="K277" s="529">
        <f>+K276+K275</f>
        <v>17277296.798503164</v>
      </c>
      <c r="L277" s="1029">
        <f>+L276+L275</f>
        <v>9060252.6048943158</v>
      </c>
      <c r="M277" s="431"/>
    </row>
    <row r="278" spans="1:164" ht="15.75" customHeight="1">
      <c r="A278" s="649">
        <f>+A277+1</f>
        <v>174</v>
      </c>
      <c r="B278" s="69"/>
      <c r="C278" s="36" t="str">
        <f>+C269</f>
        <v>Net Transmission Plant</v>
      </c>
      <c r="D278" s="36"/>
      <c r="E278" s="61"/>
      <c r="F278" s="1042" t="str">
        <f>"(Line "&amp;A31&amp;" - "&amp;A47&amp;")"</f>
        <v>(Line 15 - 26)</v>
      </c>
      <c r="G278" s="97"/>
      <c r="H278" s="529">
        <f>+H269</f>
        <v>969864666.4223361</v>
      </c>
      <c r="I278" s="651"/>
      <c r="J278" s="529">
        <f>+J269</f>
        <v>893724198.9900285</v>
      </c>
      <c r="K278" s="529">
        <f>+K269</f>
        <v>27259691.002307668</v>
      </c>
      <c r="L278" s="1029">
        <f>+L269</f>
        <v>48880776.429999992</v>
      </c>
      <c r="M278" s="431"/>
    </row>
    <row r="279" spans="1:164" ht="15.75" customHeight="1">
      <c r="A279" s="649">
        <f>+A278+1</f>
        <v>175</v>
      </c>
      <c r="B279" s="69"/>
      <c r="C279" s="36" t="s">
        <v>1059</v>
      </c>
      <c r="D279" s="36"/>
      <c r="E279" s="61"/>
      <c r="F279" s="1042" t="str">
        <f>"(Line "&amp;A277&amp;" / "&amp;A278&amp;")"</f>
        <v>(Line 173 / 174)</v>
      </c>
      <c r="G279" s="97"/>
      <c r="H279" s="530">
        <f>+H277/H278</f>
        <v>0.19511082994682194</v>
      </c>
      <c r="I279" s="650"/>
      <c r="J279" s="530">
        <f>+J277/J278</f>
        <v>0.15599822312354797</v>
      </c>
      <c r="K279" s="530">
        <f>+K277/K278</f>
        <v>0.6338038386803635</v>
      </c>
      <c r="L279" s="1030">
        <f>+L277/L278</f>
        <v>0.18535410577753617</v>
      </c>
      <c r="M279" s="431"/>
    </row>
    <row r="280" spans="1:164" ht="15.75" customHeight="1">
      <c r="A280" s="649">
        <f>+A279+1</f>
        <v>176</v>
      </c>
      <c r="B280" s="69"/>
      <c r="C280" s="36" t="s">
        <v>1060</v>
      </c>
      <c r="D280" s="36"/>
      <c r="E280" s="61"/>
      <c r="F280" s="1042" t="str">
        <f>"(Line "&amp;A277&amp;" - "&amp;A140&amp;") / "&amp;A278</f>
        <v>(Line 173 - 83) / 174</v>
      </c>
      <c r="G280" s="97"/>
      <c r="H280" s="530">
        <f>(H277-H140)/H278</f>
        <v>0.16051905424706608</v>
      </c>
      <c r="I280" s="650"/>
      <c r="J280" s="530">
        <f>(J277-J140)/J278</f>
        <v>0.12246184687473342</v>
      </c>
      <c r="K280" s="530">
        <f>(K277-K140)/K278</f>
        <v>0.56589910711743785</v>
      </c>
      <c r="L280" s="1030">
        <f>(L277-L140)/L278</f>
        <v>0.15004353736887474</v>
      </c>
      <c r="M280" s="431"/>
    </row>
    <row r="281" spans="1:164" ht="15.75" customHeight="1">
      <c r="A281" s="649"/>
      <c r="B281" s="69"/>
      <c r="C281" s="36"/>
      <c r="D281" s="36"/>
      <c r="E281" s="61"/>
      <c r="F281" s="1042"/>
      <c r="G281" s="97"/>
      <c r="H281" s="530"/>
      <c r="I281" s="431"/>
      <c r="J281" s="511"/>
      <c r="K281" s="511"/>
      <c r="L281" s="969"/>
      <c r="M281" s="431"/>
    </row>
    <row r="282" spans="1:164" ht="15.75" customHeight="1">
      <c r="A282" s="649">
        <f>+A280+1</f>
        <v>177</v>
      </c>
      <c r="B282" s="69"/>
      <c r="C282" s="77" t="s">
        <v>1016</v>
      </c>
      <c r="D282" s="36"/>
      <c r="E282" s="74"/>
      <c r="F282" s="1042" t="str">
        <f>"(Line "&amp;A265&amp;")"</f>
        <v>(Line 165)</v>
      </c>
      <c r="G282" s="97"/>
      <c r="H282" s="529">
        <f>+H265</f>
        <v>137380554.51732719</v>
      </c>
      <c r="I282" s="651"/>
      <c r="J282" s="529">
        <f>+J265</f>
        <v>112215009.74563521</v>
      </c>
      <c r="K282" s="529">
        <f>+K265</f>
        <v>17046289.654455557</v>
      </c>
      <c r="L282" s="1029">
        <f>+L265</f>
        <v>8215659.4132970534</v>
      </c>
      <c r="M282" s="431"/>
    </row>
    <row r="283" spans="1:164" ht="15.75" customHeight="1">
      <c r="A283" s="649">
        <f>+A282+1</f>
        <v>178</v>
      </c>
      <c r="B283" s="69"/>
      <c r="C283" s="36" t="s">
        <v>429</v>
      </c>
      <c r="D283" s="36"/>
      <c r="E283" s="386"/>
      <c r="F283" s="1050" t="s">
        <v>782</v>
      </c>
      <c r="G283" s="97"/>
      <c r="H283" s="531"/>
      <c r="I283" s="330"/>
      <c r="J283" s="1786"/>
      <c r="K283" s="531"/>
      <c r="L283" s="1031"/>
      <c r="M283" s="431"/>
    </row>
    <row r="284" spans="1:164" ht="15.75" customHeight="1">
      <c r="A284" s="649">
        <f>+A283+1</f>
        <v>179</v>
      </c>
      <c r="B284" s="69"/>
      <c r="C284" s="154" t="s">
        <v>728</v>
      </c>
      <c r="D284" s="36"/>
      <c r="E284" s="386"/>
      <c r="F284" s="1050" t="s">
        <v>425</v>
      </c>
      <c r="G284" s="97"/>
      <c r="H284" s="531">
        <f>+'7 - Cap Add WS'!M32</f>
        <v>0</v>
      </c>
      <c r="I284" s="330"/>
      <c r="J284" s="531">
        <f>+H284</f>
        <v>0</v>
      </c>
      <c r="K284" s="531">
        <v>0</v>
      </c>
      <c r="L284" s="1031">
        <v>0</v>
      </c>
      <c r="M284" s="431"/>
    </row>
    <row r="285" spans="1:164" ht="15.75" customHeight="1">
      <c r="A285" s="649">
        <f>+A284+1</f>
        <v>180</v>
      </c>
      <c r="B285" s="69"/>
      <c r="C285" s="25" t="s">
        <v>123</v>
      </c>
      <c r="D285" s="150"/>
      <c r="E285" s="71"/>
      <c r="F285" s="1061" t="s">
        <v>836</v>
      </c>
      <c r="G285" s="97"/>
      <c r="H285" s="531">
        <v>0</v>
      </c>
      <c r="I285" s="330"/>
      <c r="J285" s="531">
        <v>0</v>
      </c>
      <c r="K285" s="531">
        <v>0</v>
      </c>
      <c r="L285" s="1031">
        <v>0</v>
      </c>
      <c r="M285" s="431"/>
      <c r="FH285" s="12">
        <f>SUM(A285:FG285)</f>
        <v>180</v>
      </c>
    </row>
    <row r="286" spans="1:164" ht="15.75" customHeight="1">
      <c r="A286" s="649">
        <f>+A285+1</f>
        <v>181</v>
      </c>
      <c r="B286" s="69"/>
      <c r="C286" s="77" t="s">
        <v>732</v>
      </c>
      <c r="D286" s="36"/>
      <c r="E286" s="74"/>
      <c r="F286" s="1042" t="str">
        <f>"(Line "&amp;A282&amp;" - "&amp;A283&amp;" + "&amp;A284&amp;" + "&amp;A285&amp;")"</f>
        <v>(Line 177 - 178 + 179 + 180)</v>
      </c>
      <c r="G286" s="97"/>
      <c r="H286" s="531">
        <f>SUM(H282:H285)</f>
        <v>137380554.51732719</v>
      </c>
      <c r="I286" s="651"/>
      <c r="J286" s="529">
        <f>SUM(J282:J285)</f>
        <v>112215009.74563521</v>
      </c>
      <c r="K286" s="529">
        <f>SUM(K282:K285)</f>
        <v>17046289.654455557</v>
      </c>
      <c r="L286" s="1029">
        <f>SUM(L282:L285)</f>
        <v>8215659.4132970534</v>
      </c>
      <c r="M286" s="431"/>
    </row>
    <row r="287" spans="1:164" ht="15.75" customHeight="1">
      <c r="A287" s="649"/>
      <c r="B287" s="23"/>
      <c r="C287" s="36"/>
      <c r="D287" s="36"/>
      <c r="E287" s="61"/>
      <c r="F287" s="1042"/>
      <c r="G287" s="97"/>
      <c r="H287" s="921"/>
      <c r="I287" s="430"/>
      <c r="J287" s="511"/>
      <c r="K287" s="511"/>
      <c r="L287" s="969"/>
      <c r="M287" s="431"/>
    </row>
    <row r="288" spans="1:164" ht="15.75" customHeight="1">
      <c r="A288" s="649"/>
      <c r="B288" s="102" t="s">
        <v>1284</v>
      </c>
      <c r="C288" s="36"/>
      <c r="D288" s="36"/>
      <c r="E288" s="61"/>
      <c r="F288" s="1042"/>
      <c r="G288" s="97"/>
      <c r="H288" s="921"/>
      <c r="I288" s="430"/>
      <c r="J288" s="511"/>
      <c r="K288" s="511"/>
      <c r="L288" s="969"/>
      <c r="M288" s="431"/>
    </row>
    <row r="289" spans="1:164" ht="15.75" customHeight="1">
      <c r="A289" s="649">
        <f>+A286+1</f>
        <v>182</v>
      </c>
      <c r="B289" s="69"/>
      <c r="C289" s="24" t="s">
        <v>499</v>
      </c>
      <c r="D289" s="652" t="s">
        <v>876</v>
      </c>
      <c r="E289" s="71" t="s">
        <v>871</v>
      </c>
      <c r="F289" s="1040" t="s">
        <v>106</v>
      </c>
      <c r="G289" s="97"/>
      <c r="H289" s="1379">
        <f>+'WKSHT4 - Monthly Tx System Peak'!C26</f>
        <v>4797166.666666667</v>
      </c>
      <c r="I289" s="36"/>
      <c r="J289" s="1379">
        <f>H289</f>
        <v>4797166.666666667</v>
      </c>
      <c r="K289" s="521">
        <f>+'WKSHT4 - Monthly Tx System Peak'!C74</f>
        <v>663000</v>
      </c>
      <c r="L289" s="1018">
        <f>+'WKSHT4 - Monthly Tx System Peak'!C51</f>
        <v>600000</v>
      </c>
      <c r="M289" s="431"/>
    </row>
    <row r="290" spans="1:164" ht="15.75" customHeight="1">
      <c r="A290" s="988">
        <f>+A289+1</f>
        <v>183</v>
      </c>
      <c r="B290" s="25"/>
      <c r="C290" s="24" t="s">
        <v>1284</v>
      </c>
      <c r="D290" s="1093"/>
      <c r="E290" s="409"/>
      <c r="F290" s="1039" t="str">
        <f>"(Line "&amp;A286&amp;" / "&amp;A289&amp;")"</f>
        <v>(Line 181 / 182)</v>
      </c>
      <c r="G290" s="97"/>
      <c r="H290" s="1163"/>
      <c r="I290" s="1091"/>
      <c r="J290" s="1092">
        <f>+J286/J289</f>
        <v>23.391934769614398</v>
      </c>
      <c r="K290" s="1092">
        <f>+K286/K289</f>
        <v>25.710844124367355</v>
      </c>
      <c r="L290" s="1092">
        <f>+L286/L289</f>
        <v>13.692765688828423</v>
      </c>
      <c r="M290" s="431"/>
    </row>
    <row r="291" spans="1:164" ht="15.75" customHeight="1" thickBot="1">
      <c r="A291" s="1094">
        <f>+A290+1</f>
        <v>184</v>
      </c>
      <c r="B291" s="1095"/>
      <c r="C291" s="1096" t="s">
        <v>483</v>
      </c>
      <c r="D291" s="1097"/>
      <c r="E291" s="1098"/>
      <c r="F291" s="1099" t="str">
        <f>"(Line "&amp;A289&amp;" / 12)"</f>
        <v>(Line 182 / 12)</v>
      </c>
      <c r="G291" s="1100"/>
      <c r="H291" s="1101"/>
      <c r="I291" s="1102"/>
      <c r="J291" s="1808">
        <f>J290/12</f>
        <v>1.9493278974678665</v>
      </c>
      <c r="K291" s="1103">
        <f>K290/12</f>
        <v>2.1425703436972796</v>
      </c>
      <c r="L291" s="1103">
        <f>L290/12</f>
        <v>1.1410638074023687</v>
      </c>
      <c r="M291" s="431"/>
    </row>
    <row r="292" spans="1:164" s="26" customFormat="1" ht="15.75" customHeight="1">
      <c r="A292" s="58"/>
      <c r="B292" s="59" t="s">
        <v>1011</v>
      </c>
      <c r="C292" s="21"/>
      <c r="D292" s="21"/>
      <c r="E292" s="411"/>
      <c r="F292" s="410"/>
      <c r="H292" s="188"/>
      <c r="I292" s="430"/>
      <c r="J292" s="836"/>
      <c r="K292" s="836"/>
      <c r="L292" s="836"/>
      <c r="M292" s="431"/>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row>
    <row r="293" spans="1:164" ht="15.75" customHeight="1">
      <c r="A293" s="412"/>
      <c r="B293" s="69" t="s">
        <v>878</v>
      </c>
      <c r="C293" s="766" t="s">
        <v>1021</v>
      </c>
      <c r="D293" s="767"/>
      <c r="E293" s="768"/>
      <c r="F293" s="769"/>
      <c r="G293" s="770"/>
      <c r="H293" s="771"/>
      <c r="I293" s="430"/>
      <c r="J293" s="430"/>
      <c r="K293" s="430"/>
      <c r="L293" s="430"/>
      <c r="M293" s="1611"/>
    </row>
    <row r="294" spans="1:164" ht="59.25" customHeight="1">
      <c r="A294" s="381"/>
      <c r="B294" s="1366" t="s">
        <v>973</v>
      </c>
      <c r="C294" s="1902" t="s">
        <v>586</v>
      </c>
      <c r="D294" s="1902"/>
      <c r="E294" s="1902"/>
      <c r="F294" s="1902"/>
      <c r="G294" s="1902"/>
      <c r="H294" s="1902"/>
      <c r="I294" s="1902"/>
      <c r="J294" s="1902"/>
      <c r="K294" s="1902"/>
      <c r="L294" s="1902"/>
      <c r="M294" s="431"/>
    </row>
    <row r="295" spans="1:164" ht="15.75" customHeight="1">
      <c r="A295" s="381"/>
      <c r="B295" s="69" t="s">
        <v>859</v>
      </c>
      <c r="C295" s="772" t="s">
        <v>1022</v>
      </c>
      <c r="D295" s="766"/>
      <c r="E295" s="773"/>
      <c r="F295" s="774"/>
      <c r="G295" s="1157"/>
      <c r="H295" s="1158"/>
      <c r="I295" s="431"/>
      <c r="J295" s="431"/>
      <c r="K295" s="430"/>
      <c r="L295" s="430"/>
      <c r="M295" s="431"/>
    </row>
    <row r="296" spans="1:164" ht="15.75" customHeight="1">
      <c r="A296" s="381"/>
      <c r="B296" s="69" t="s">
        <v>879</v>
      </c>
      <c r="C296" s="764" t="s">
        <v>505</v>
      </c>
      <c r="D296" s="766"/>
      <c r="E296" s="773"/>
      <c r="F296" s="774"/>
      <c r="G296" s="1157"/>
      <c r="H296" s="1158"/>
      <c r="I296" s="431"/>
      <c r="J296" s="431"/>
      <c r="K296" s="430"/>
      <c r="L296" s="430"/>
      <c r="M296" s="431"/>
    </row>
    <row r="297" spans="1:164" ht="15.75" customHeight="1">
      <c r="A297" s="381"/>
      <c r="B297" s="69" t="s">
        <v>877</v>
      </c>
      <c r="C297" s="765" t="s">
        <v>507</v>
      </c>
      <c r="D297" s="766"/>
      <c r="E297" s="773"/>
      <c r="F297" s="774"/>
      <c r="G297" s="1157"/>
      <c r="H297" s="1158"/>
      <c r="I297" s="431"/>
      <c r="J297" s="431"/>
      <c r="K297" s="430"/>
      <c r="L297" s="430"/>
      <c r="M297" s="431"/>
    </row>
    <row r="298" spans="1:164" ht="15.75" customHeight="1">
      <c r="A298" s="381"/>
      <c r="B298" s="69" t="s">
        <v>185</v>
      </c>
      <c r="C298" s="766" t="s">
        <v>506</v>
      </c>
      <c r="D298" s="766"/>
      <c r="E298" s="773"/>
      <c r="F298" s="774"/>
      <c r="G298" s="1157"/>
      <c r="H298" s="1158"/>
      <c r="I298" s="431"/>
      <c r="J298" s="431"/>
      <c r="K298" s="430"/>
      <c r="L298" s="430"/>
      <c r="M298" s="431"/>
    </row>
    <row r="299" spans="1:164" ht="18">
      <c r="A299" s="381"/>
      <c r="B299" s="1366" t="s">
        <v>880</v>
      </c>
      <c r="C299" s="1905" t="s">
        <v>491</v>
      </c>
      <c r="D299" s="1905"/>
      <c r="E299" s="1905"/>
      <c r="F299" s="1905"/>
      <c r="G299" s="1905"/>
      <c r="H299" s="1905"/>
      <c r="I299" s="1905"/>
      <c r="J299" s="1905"/>
      <c r="K299" s="1905"/>
      <c r="L299" s="1905"/>
      <c r="M299" s="431"/>
    </row>
    <row r="300" spans="1:164" ht="18">
      <c r="A300" s="381"/>
      <c r="B300" s="69" t="s">
        <v>589</v>
      </c>
      <c r="C300" s="12" t="s">
        <v>114</v>
      </c>
      <c r="D300" s="1356"/>
      <c r="E300" s="1356"/>
      <c r="F300" s="1356"/>
      <c r="G300" s="1356"/>
      <c r="H300" s="1356"/>
      <c r="I300" s="1356"/>
      <c r="J300" s="1356"/>
      <c r="K300" s="1356"/>
      <c r="L300" s="1356"/>
      <c r="M300" s="431"/>
    </row>
    <row r="301" spans="1:164" ht="85.5" customHeight="1">
      <c r="A301" s="381"/>
      <c r="B301" s="1366" t="s">
        <v>864</v>
      </c>
      <c r="C301" s="1905" t="s">
        <v>587</v>
      </c>
      <c r="D301" s="1905"/>
      <c r="E301" s="1905"/>
      <c r="F301" s="1905"/>
      <c r="G301" s="1905"/>
      <c r="H301" s="1905"/>
      <c r="I301" s="1905"/>
      <c r="J301" s="1905"/>
      <c r="K301" s="1905"/>
      <c r="L301" s="1905"/>
      <c r="M301" s="431"/>
    </row>
    <row r="302" spans="1:164" ht="32.25" customHeight="1">
      <c r="A302" s="381"/>
      <c r="B302" s="1366" t="s">
        <v>868</v>
      </c>
      <c r="C302" s="1905" t="s">
        <v>27</v>
      </c>
      <c r="D302" s="1905"/>
      <c r="E302" s="1905"/>
      <c r="F302" s="1905"/>
      <c r="G302" s="1905"/>
      <c r="H302" s="1905"/>
      <c r="I302" s="1905"/>
      <c r="J302" s="1905"/>
      <c r="K302" s="1905"/>
      <c r="L302" s="1905"/>
      <c r="M302" s="431"/>
    </row>
    <row r="303" spans="1:164" ht="18">
      <c r="A303" s="381"/>
      <c r="B303" s="69" t="s">
        <v>882</v>
      </c>
      <c r="C303" s="1904" t="s">
        <v>508</v>
      </c>
      <c r="D303" s="1904"/>
      <c r="E303" s="1904"/>
      <c r="F303" s="1904"/>
      <c r="G303" s="1904"/>
      <c r="H303" s="1904"/>
      <c r="I303" s="1904"/>
      <c r="J303" s="1904"/>
      <c r="K303" s="1904"/>
      <c r="L303" s="1904"/>
      <c r="M303" s="431"/>
    </row>
    <row r="304" spans="1:164" ht="15.75" customHeight="1">
      <c r="A304" s="381"/>
      <c r="B304" s="69" t="s">
        <v>940</v>
      </c>
      <c r="C304" s="1907" t="s">
        <v>588</v>
      </c>
      <c r="D304" s="1907"/>
      <c r="E304" s="1907"/>
      <c r="F304" s="1907"/>
      <c r="G304" s="1907"/>
      <c r="H304" s="1907"/>
      <c r="I304" s="1907"/>
      <c r="J304" s="1907"/>
      <c r="K304" s="1907"/>
      <c r="L304" s="1907"/>
      <c r="M304" s="431"/>
    </row>
    <row r="305" spans="1:13" ht="15.75" customHeight="1">
      <c r="A305" s="22"/>
      <c r="B305" s="22" t="s">
        <v>941</v>
      </c>
      <c r="C305" s="765" t="s">
        <v>1055</v>
      </c>
      <c r="D305" s="765"/>
      <c r="E305" s="773"/>
      <c r="F305" s="774"/>
      <c r="G305" s="1159"/>
      <c r="H305" s="1158"/>
      <c r="I305" s="153"/>
      <c r="J305" s="431"/>
      <c r="K305" s="430"/>
      <c r="L305" s="430"/>
      <c r="M305" s="431"/>
    </row>
    <row r="306" spans="1:13" ht="35.25" customHeight="1">
      <c r="A306" s="22"/>
      <c r="B306" s="1366" t="s">
        <v>186</v>
      </c>
      <c r="C306" s="1906" t="s">
        <v>1119</v>
      </c>
      <c r="D306" s="1906"/>
      <c r="E306" s="1906"/>
      <c r="F306" s="1906"/>
      <c r="G306" s="1906"/>
      <c r="H306" s="1906"/>
      <c r="I306" s="1906"/>
      <c r="J306" s="1906"/>
      <c r="K306" s="1906"/>
      <c r="L306" s="1906"/>
      <c r="M306" s="431"/>
    </row>
    <row r="307" spans="1:13" ht="15.75" customHeight="1">
      <c r="A307" s="69"/>
      <c r="B307" s="69" t="s">
        <v>343</v>
      </c>
      <c r="C307" s="766" t="s">
        <v>363</v>
      </c>
      <c r="D307" s="766"/>
      <c r="E307" s="773"/>
      <c r="F307" s="774"/>
      <c r="G307" s="1159"/>
      <c r="H307" s="1158"/>
      <c r="I307" s="153"/>
      <c r="J307" s="431"/>
      <c r="K307" s="430"/>
      <c r="L307" s="430"/>
      <c r="M307" s="431"/>
    </row>
    <row r="308" spans="1:13" ht="15.75" customHeight="1">
      <c r="A308" s="69"/>
      <c r="B308" s="69" t="s">
        <v>365</v>
      </c>
      <c r="C308" s="766" t="s">
        <v>364</v>
      </c>
      <c r="D308" s="766"/>
      <c r="E308" s="773"/>
      <c r="F308" s="774"/>
      <c r="G308" s="1159"/>
      <c r="H308" s="1158"/>
      <c r="I308" s="153"/>
      <c r="J308" s="431"/>
      <c r="K308" s="430"/>
      <c r="L308" s="430"/>
      <c r="M308" s="431"/>
    </row>
    <row r="309" spans="1:13" ht="18">
      <c r="A309" s="69"/>
      <c r="B309" s="69" t="s">
        <v>397</v>
      </c>
      <c r="C309" s="1903" t="s">
        <v>400</v>
      </c>
      <c r="D309" s="1903"/>
      <c r="E309" s="1903"/>
      <c r="F309" s="1903"/>
      <c r="G309" s="1903"/>
      <c r="H309" s="1903"/>
      <c r="I309" s="153"/>
      <c r="J309" s="431"/>
      <c r="K309" s="430"/>
      <c r="L309" s="430"/>
      <c r="M309" s="431"/>
    </row>
    <row r="310" spans="1:13" ht="18">
      <c r="A310" s="69"/>
      <c r="B310" s="69" t="s">
        <v>399</v>
      </c>
      <c r="C310" s="1160" t="s">
        <v>398</v>
      </c>
      <c r="D310" s="1161"/>
      <c r="E310" s="1161"/>
      <c r="F310" s="1161"/>
      <c r="G310" s="1161"/>
      <c r="H310" s="1161"/>
      <c r="I310" s="153"/>
      <c r="J310" s="431"/>
      <c r="K310" s="430"/>
      <c r="L310" s="430"/>
      <c r="M310" s="431"/>
    </row>
    <row r="311" spans="1:13" ht="15" customHeight="1">
      <c r="A311" s="69"/>
      <c r="B311" s="69" t="s">
        <v>1093</v>
      </c>
      <c r="C311" s="25" t="s">
        <v>1120</v>
      </c>
      <c r="D311" s="25"/>
      <c r="E311" s="409"/>
      <c r="F311" s="413"/>
      <c r="G311" s="2"/>
      <c r="H311" s="1162"/>
      <c r="I311" s="153"/>
      <c r="J311" s="431"/>
      <c r="K311" s="430"/>
      <c r="L311" s="430"/>
      <c r="M311" s="431"/>
    </row>
    <row r="312" spans="1:13" ht="15.75">
      <c r="A312" s="69"/>
      <c r="B312" s="12"/>
      <c r="C312" s="12"/>
      <c r="D312" s="25"/>
      <c r="E312" s="409"/>
      <c r="F312" s="413"/>
      <c r="H312" s="188"/>
      <c r="I312" s="56"/>
      <c r="J312" s="56"/>
      <c r="K312" s="56"/>
      <c r="L312" s="56"/>
    </row>
    <row r="313" spans="1:13" ht="15.75">
      <c r="A313" s="69"/>
      <c r="B313" s="69"/>
      <c r="C313" s="12"/>
      <c r="D313" s="25"/>
      <c r="E313" s="409"/>
      <c r="F313" s="413"/>
      <c r="H313" s="188"/>
      <c r="I313" s="56"/>
      <c r="J313" s="56"/>
      <c r="K313" s="56"/>
      <c r="L313" s="56"/>
    </row>
    <row r="314" spans="1:13" ht="15.75">
      <c r="A314" s="69"/>
      <c r="B314" s="69"/>
      <c r="C314" s="25"/>
      <c r="D314" s="25"/>
      <c r="E314" s="409"/>
      <c r="F314" s="413"/>
      <c r="H314" s="188"/>
      <c r="I314" s="56"/>
      <c r="J314" s="56"/>
      <c r="K314" s="56"/>
      <c r="L314" s="56"/>
    </row>
    <row r="315" spans="1:13" ht="15.75">
      <c r="A315" s="13"/>
      <c r="B315" s="4"/>
      <c r="C315" s="3"/>
      <c r="D315" s="14"/>
      <c r="E315" s="105"/>
      <c r="F315" s="5"/>
      <c r="H315" s="7"/>
      <c r="I315" s="56"/>
      <c r="J315" s="56"/>
      <c r="K315" s="56"/>
      <c r="L315" s="56"/>
    </row>
    <row r="316" spans="1:13" ht="15.75">
      <c r="A316" s="52" t="s">
        <v>857</v>
      </c>
      <c r="B316" s="51"/>
      <c r="C316" s="45"/>
      <c r="D316" s="44"/>
      <c r="E316" s="414"/>
      <c r="F316" s="44"/>
      <c r="G316" s="448"/>
      <c r="H316" s="45"/>
      <c r="I316" s="441"/>
      <c r="J316" s="441"/>
      <c r="K316" s="441"/>
      <c r="L316" s="441"/>
    </row>
    <row r="323" spans="3:3" ht="23.25">
      <c r="C323" s="1860" t="s">
        <v>1342</v>
      </c>
    </row>
  </sheetData>
  <mergeCells count="8">
    <mergeCell ref="C294:L294"/>
    <mergeCell ref="C309:H309"/>
    <mergeCell ref="C303:L303"/>
    <mergeCell ref="C302:L302"/>
    <mergeCell ref="C299:L299"/>
    <mergeCell ref="C301:L301"/>
    <mergeCell ref="C306:L306"/>
    <mergeCell ref="C304:L304"/>
  </mergeCells>
  <phoneticPr fontId="65" type="noConversion"/>
  <pageMargins left="0.25" right="0.25" top="0.25" bottom="0.25" header="0.5" footer="0.5"/>
  <pageSetup scale="45" fitToHeight="4" orientation="landscape" r:id="rId1"/>
  <headerFooter alignWithMargins="0"/>
  <rowBreaks count="5" manualBreakCount="5">
    <brk id="62" max="11" man="1"/>
    <brk id="136" max="11" man="1"/>
    <brk id="159" max="11" man="1"/>
    <brk id="237" max="11" man="1"/>
    <brk id="29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2"/>
  <sheetViews>
    <sheetView zoomScale="75" zoomScaleNormal="75" zoomScaleSheetLayoutView="65" workbookViewId="0">
      <selection activeCell="J22" sqref="J22"/>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2.85546875" bestFit="1" customWidth="1"/>
    <col min="14" max="14" width="14.140625" customWidth="1"/>
    <col min="15" max="15" width="10.28515625" bestFit="1" customWidth="1"/>
  </cols>
  <sheetData>
    <row r="1" spans="1:12" ht="18">
      <c r="A1" s="1914" t="str">
        <f>+'ATT H-1 '!A3</f>
        <v xml:space="preserve">Puget Sound Energy </v>
      </c>
      <c r="B1" s="1914"/>
      <c r="C1" s="1914"/>
      <c r="D1" s="1915"/>
      <c r="E1" s="1915"/>
      <c r="F1" s="1915"/>
      <c r="G1" s="1915"/>
      <c r="H1" s="1915"/>
      <c r="I1" s="1915"/>
      <c r="J1" s="1916"/>
    </row>
    <row r="2" spans="1:12" ht="18">
      <c r="A2" s="106"/>
      <c r="B2" s="106"/>
      <c r="C2" s="106"/>
      <c r="D2" s="168"/>
      <c r="E2" s="168"/>
      <c r="F2" s="168"/>
      <c r="G2" s="168"/>
      <c r="H2" s="168"/>
      <c r="I2" s="168"/>
      <c r="J2" s="85"/>
    </row>
    <row r="3" spans="1:12" ht="15.75">
      <c r="A3" s="1215" t="s">
        <v>780</v>
      </c>
      <c r="B3" s="171"/>
      <c r="C3" s="171"/>
      <c r="D3" s="172"/>
      <c r="E3" s="172"/>
      <c r="F3" s="172"/>
      <c r="G3" s="172"/>
      <c r="H3" s="172"/>
      <c r="I3" s="172"/>
      <c r="J3" s="172"/>
    </row>
    <row r="4" spans="1:12" ht="15">
      <c r="A4" s="167"/>
      <c r="B4" s="167"/>
      <c r="C4" s="167"/>
      <c r="D4" s="149"/>
      <c r="E4" s="149"/>
      <c r="F4" s="149"/>
      <c r="G4" s="149"/>
      <c r="H4" s="149"/>
      <c r="I4" s="149"/>
      <c r="J4" s="149"/>
    </row>
    <row r="5" spans="1:12">
      <c r="A5" s="126"/>
      <c r="B5" s="126"/>
      <c r="C5" s="126"/>
      <c r="D5" s="2"/>
      <c r="E5" s="2"/>
      <c r="F5" s="87" t="s">
        <v>876</v>
      </c>
      <c r="G5" s="87"/>
      <c r="H5" s="2"/>
      <c r="I5" s="87"/>
      <c r="J5" s="2"/>
    </row>
    <row r="6" spans="1:12">
      <c r="A6" s="126"/>
      <c r="B6" s="126"/>
      <c r="C6" s="126"/>
      <c r="D6" s="2"/>
      <c r="E6" s="176"/>
      <c r="F6" s="127" t="s">
        <v>1065</v>
      </c>
      <c r="G6" s="127" t="s">
        <v>124</v>
      </c>
      <c r="H6" s="127" t="s">
        <v>126</v>
      </c>
      <c r="I6" s="127" t="s">
        <v>972</v>
      </c>
      <c r="J6" s="2"/>
    </row>
    <row r="7" spans="1:12">
      <c r="A7" s="126"/>
      <c r="B7" s="126"/>
      <c r="C7" s="126"/>
      <c r="D7" s="2"/>
      <c r="E7" s="84"/>
      <c r="F7" s="127" t="s">
        <v>125</v>
      </c>
      <c r="G7" s="127" t="s">
        <v>125</v>
      </c>
      <c r="H7" s="127" t="s">
        <v>125</v>
      </c>
      <c r="I7" s="127" t="s">
        <v>134</v>
      </c>
      <c r="J7" s="2"/>
    </row>
    <row r="8" spans="1:12">
      <c r="A8" s="126"/>
      <c r="B8" s="126"/>
      <c r="C8" s="126"/>
      <c r="D8" s="2"/>
      <c r="E8" s="2"/>
      <c r="F8" s="2"/>
      <c r="G8" s="2"/>
      <c r="H8" s="2"/>
      <c r="I8" s="2"/>
      <c r="J8" s="2"/>
      <c r="L8" s="183"/>
    </row>
    <row r="9" spans="1:12">
      <c r="A9" s="126"/>
      <c r="B9" s="126"/>
      <c r="C9" s="126"/>
      <c r="D9" s="2"/>
      <c r="E9" s="2"/>
      <c r="F9" s="2"/>
      <c r="G9" s="2"/>
      <c r="H9" s="2"/>
      <c r="I9" s="2"/>
      <c r="J9" s="2"/>
    </row>
    <row r="10" spans="1:12">
      <c r="A10" s="126"/>
      <c r="B10" s="126"/>
      <c r="C10" s="126"/>
      <c r="D10" s="180" t="s">
        <v>1067</v>
      </c>
      <c r="E10" s="2"/>
      <c r="F10" s="107">
        <f>+G73</f>
        <v>0</v>
      </c>
      <c r="G10" s="107">
        <f>+H73</f>
        <v>-1311830131</v>
      </c>
      <c r="H10" s="107">
        <f>+I73</f>
        <v>0</v>
      </c>
      <c r="I10" s="107">
        <f>SUM(F10:H10)</f>
        <v>-1311830131</v>
      </c>
      <c r="J10" s="2"/>
    </row>
    <row r="11" spans="1:12">
      <c r="A11" s="126"/>
      <c r="B11" s="126"/>
      <c r="C11" s="126"/>
      <c r="D11" s="180" t="s">
        <v>1068</v>
      </c>
      <c r="E11" s="2"/>
      <c r="F11" s="107">
        <f>+G111</f>
        <v>0</v>
      </c>
      <c r="G11" s="107">
        <f>+H111</f>
        <v>2008234</v>
      </c>
      <c r="H11" s="107">
        <f>+I111</f>
        <v>-66161859</v>
      </c>
      <c r="I11" s="107">
        <f>SUM(F11:H11)</f>
        <v>-64153625</v>
      </c>
      <c r="J11" s="181"/>
    </row>
    <row r="12" spans="1:12">
      <c r="A12" s="126"/>
      <c r="B12" s="126"/>
      <c r="C12" s="126"/>
      <c r="D12" s="180" t="s">
        <v>1066</v>
      </c>
      <c r="E12" s="2"/>
      <c r="F12" s="107">
        <f>+G49</f>
        <v>0</v>
      </c>
      <c r="G12" s="107">
        <f>+H49</f>
        <v>20517562.5</v>
      </c>
      <c r="H12" s="107">
        <f>+I49</f>
        <v>100429593.5</v>
      </c>
      <c r="I12" s="107">
        <f>SUM(F12:H12)</f>
        <v>120947156</v>
      </c>
      <c r="J12" s="181"/>
    </row>
    <row r="13" spans="1:12">
      <c r="A13" s="126"/>
      <c r="B13" s="126"/>
      <c r="C13" s="126"/>
      <c r="D13" s="180" t="s">
        <v>1020</v>
      </c>
      <c r="E13" s="2"/>
      <c r="F13" s="107">
        <f>SUM(F10:F12)</f>
        <v>0</v>
      </c>
      <c r="G13" s="107">
        <f>SUM(G10:G12)</f>
        <v>-1289304334.5</v>
      </c>
      <c r="H13" s="107">
        <f>SUM(H10:H12)</f>
        <v>34267734.5</v>
      </c>
      <c r="I13" s="107">
        <f>SUM(F13:H13)</f>
        <v>-1255036600</v>
      </c>
      <c r="J13" s="107"/>
      <c r="K13" s="1809"/>
      <c r="L13" s="1809"/>
    </row>
    <row r="14" spans="1:12">
      <c r="A14" s="126"/>
      <c r="B14" s="126"/>
      <c r="C14" s="126"/>
      <c r="D14" s="180" t="s">
        <v>943</v>
      </c>
      <c r="E14" s="2"/>
      <c r="F14" s="2"/>
      <c r="G14" s="2"/>
      <c r="H14" s="1214">
        <f>+'ATT H-1 '!H13</f>
        <v>0.12652289669965341</v>
      </c>
      <c r="I14" s="2"/>
      <c r="J14" s="2"/>
    </row>
    <row r="15" spans="1:12">
      <c r="A15" s="126"/>
      <c r="B15" s="126"/>
      <c r="C15" s="126"/>
      <c r="D15" s="180" t="s">
        <v>860</v>
      </c>
      <c r="E15" s="2"/>
      <c r="F15" s="2"/>
      <c r="G15" s="1214">
        <f>+'ATT H-1 '!H23</f>
        <v>0.15809691265489689</v>
      </c>
      <c r="H15" s="2"/>
      <c r="I15" s="2"/>
      <c r="J15" s="2"/>
    </row>
    <row r="16" spans="1:12">
      <c r="A16" s="126"/>
      <c r="B16" s="126"/>
      <c r="C16" s="126"/>
      <c r="D16" s="180" t="s">
        <v>134</v>
      </c>
      <c r="E16" s="2"/>
      <c r="F16" s="107">
        <f>+F13</f>
        <v>0</v>
      </c>
      <c r="G16" s="107">
        <f>+G15*G13</f>
        <v>-203835034.75702646</v>
      </c>
      <c r="H16" s="107">
        <f>+H14*H13</f>
        <v>4335653.0322746495</v>
      </c>
      <c r="I16" s="107">
        <f>SUM(F16:H16)</f>
        <v>-199499381.7247518</v>
      </c>
      <c r="J16" s="2"/>
    </row>
    <row r="17" spans="1:11">
      <c r="A17" s="126"/>
      <c r="B17" s="126"/>
      <c r="C17" s="126"/>
      <c r="D17" s="2"/>
      <c r="E17" s="2"/>
      <c r="F17" s="2"/>
      <c r="G17" s="2"/>
      <c r="H17" s="2"/>
      <c r="I17" s="2"/>
      <c r="J17" s="2"/>
    </row>
    <row r="18" spans="1:11">
      <c r="A18" s="1218"/>
      <c r="B18" s="1218"/>
      <c r="C18" s="1218"/>
      <c r="D18" s="1218"/>
      <c r="E18" s="1218"/>
      <c r="F18" s="1218"/>
      <c r="G18" s="1218"/>
      <c r="H18" s="1218"/>
      <c r="I18" s="1218"/>
      <c r="J18" s="1218"/>
    </row>
    <row r="19" spans="1:11">
      <c r="A19" s="1519"/>
      <c r="B19" s="1519"/>
      <c r="C19" s="1519"/>
      <c r="D19" s="1218"/>
      <c r="E19" s="1218"/>
      <c r="F19" s="1218"/>
      <c r="G19" s="1218"/>
      <c r="H19" s="1218"/>
      <c r="I19" s="1218"/>
      <c r="J19" s="1218"/>
    </row>
    <row r="20" spans="1:11">
      <c r="A20" s="1623" t="s">
        <v>190</v>
      </c>
      <c r="B20" s="1519"/>
      <c r="C20" s="1519"/>
      <c r="D20" s="1218"/>
      <c r="E20" s="1218"/>
      <c r="F20" s="1218"/>
      <c r="G20" s="1218"/>
      <c r="H20" s="1218"/>
      <c r="I20" s="1218"/>
      <c r="J20" s="1218"/>
    </row>
    <row r="21" spans="1:11">
      <c r="A21" s="1623" t="s">
        <v>985</v>
      </c>
      <c r="B21" s="1519"/>
      <c r="C21" s="1519"/>
      <c r="D21" s="1218"/>
      <c r="E21" s="1218"/>
      <c r="F21" s="1218"/>
      <c r="G21" s="1218"/>
      <c r="H21" s="1218"/>
      <c r="I21" s="1218"/>
      <c r="J21" s="1218"/>
    </row>
    <row r="22" spans="1:11" ht="15">
      <c r="A22" s="1519"/>
      <c r="B22" s="1519"/>
      <c r="C22" s="1519"/>
      <c r="D22" s="1520"/>
      <c r="E22" s="1520"/>
      <c r="F22" s="1520"/>
      <c r="G22" s="1520"/>
      <c r="H22" s="1520"/>
      <c r="I22" s="1520"/>
      <c r="J22" s="1521"/>
    </row>
    <row r="23" spans="1:11">
      <c r="A23" s="126"/>
      <c r="B23" s="126"/>
      <c r="C23" s="126"/>
      <c r="D23" s="2"/>
      <c r="E23" s="2"/>
      <c r="F23" s="2"/>
      <c r="G23" s="2"/>
      <c r="H23" s="2"/>
      <c r="I23" s="119"/>
      <c r="J23" s="2"/>
    </row>
    <row r="24" spans="1:11">
      <c r="A24" s="127" t="s">
        <v>878</v>
      </c>
      <c r="B24" s="127"/>
      <c r="C24" s="127"/>
      <c r="D24" s="127"/>
      <c r="E24" s="157" t="s">
        <v>973</v>
      </c>
      <c r="F24" s="157" t="s">
        <v>859</v>
      </c>
      <c r="G24" s="157" t="s">
        <v>879</v>
      </c>
      <c r="H24" s="157" t="s">
        <v>877</v>
      </c>
      <c r="I24" s="157" t="s">
        <v>185</v>
      </c>
      <c r="J24" s="157" t="s">
        <v>880</v>
      </c>
    </row>
    <row r="25" spans="1:11">
      <c r="A25" s="126"/>
      <c r="B25" s="126"/>
      <c r="C25" s="850" t="s">
        <v>972</v>
      </c>
      <c r="D25" s="180" t="s">
        <v>972</v>
      </c>
      <c r="E25" s="127" t="s">
        <v>972</v>
      </c>
      <c r="F25" s="127" t="s">
        <v>127</v>
      </c>
      <c r="G25" s="127" t="s">
        <v>129</v>
      </c>
      <c r="H25" s="87"/>
      <c r="I25" s="87"/>
      <c r="J25" s="2"/>
    </row>
    <row r="26" spans="1:11">
      <c r="A26" s="180" t="s">
        <v>1066</v>
      </c>
      <c r="B26" s="180"/>
      <c r="C26" s="180" t="s">
        <v>406</v>
      </c>
      <c r="D26" s="180" t="s">
        <v>295</v>
      </c>
      <c r="E26" s="127" t="s">
        <v>407</v>
      </c>
      <c r="F26" s="127" t="s">
        <v>128</v>
      </c>
      <c r="G26" s="127" t="s">
        <v>1065</v>
      </c>
      <c r="H26" s="127" t="s">
        <v>124</v>
      </c>
      <c r="I26" s="127" t="s">
        <v>126</v>
      </c>
      <c r="J26" s="2"/>
    </row>
    <row r="27" spans="1:11">
      <c r="A27" s="126"/>
      <c r="B27" s="126"/>
      <c r="C27" s="126"/>
      <c r="D27" s="2"/>
      <c r="E27" s="87"/>
      <c r="F27" s="127" t="s">
        <v>125</v>
      </c>
      <c r="G27" s="127" t="s">
        <v>125</v>
      </c>
      <c r="H27" s="127" t="s">
        <v>125</v>
      </c>
      <c r="I27" s="127" t="s">
        <v>125</v>
      </c>
      <c r="J27" s="127" t="s">
        <v>851</v>
      </c>
    </row>
    <row r="28" spans="1:11">
      <c r="A28" s="126"/>
      <c r="B28" s="126"/>
      <c r="C28" s="126"/>
      <c r="D28" s="1211"/>
      <c r="E28" s="1211"/>
      <c r="F28" s="2"/>
      <c r="G28" s="2"/>
      <c r="H28" s="2"/>
      <c r="I28" s="2"/>
      <c r="J28" s="2"/>
    </row>
    <row r="29" spans="1:11">
      <c r="A29" s="1624" t="s">
        <v>115</v>
      </c>
      <c r="B29" s="1625"/>
      <c r="C29" s="1626">
        <v>0</v>
      </c>
      <c r="D29" s="1626">
        <v>0</v>
      </c>
      <c r="E29" s="1626">
        <f>AVERAGE(C29,D29)</f>
        <v>0</v>
      </c>
      <c r="F29" s="1626">
        <f>E29</f>
        <v>0</v>
      </c>
      <c r="G29" s="1626"/>
      <c r="H29" s="1626"/>
      <c r="I29" s="1626"/>
      <c r="J29" s="1627"/>
      <c r="K29" s="97"/>
    </row>
    <row r="30" spans="1:11">
      <c r="A30" s="1628" t="s">
        <v>92</v>
      </c>
      <c r="B30" s="1629"/>
      <c r="C30" s="1626">
        <v>101354076</v>
      </c>
      <c r="D30" s="1626">
        <v>99505111</v>
      </c>
      <c r="E30" s="1626">
        <f>AVERAGE(C30,D30)</f>
        <v>100429593.5</v>
      </c>
      <c r="F30" s="1626"/>
      <c r="G30" s="1626"/>
      <c r="H30" s="1626"/>
      <c r="I30" s="1626">
        <f>E30</f>
        <v>100429593.5</v>
      </c>
      <c r="J30" s="1627" t="s">
        <v>116</v>
      </c>
      <c r="K30" s="97"/>
    </row>
    <row r="31" spans="1:11">
      <c r="A31" s="1628" t="s">
        <v>93</v>
      </c>
      <c r="B31" s="1629"/>
      <c r="C31" s="1626">
        <v>47390710</v>
      </c>
      <c r="D31" s="1626">
        <v>22199437</v>
      </c>
      <c r="E31" s="1626">
        <f t="shared" ref="E31:E39" si="0">AVERAGE(C31,D31)</f>
        <v>34795073.5</v>
      </c>
      <c r="F31" s="1626">
        <f t="shared" ref="F31:F37" si="1">E31</f>
        <v>34795073.5</v>
      </c>
      <c r="G31" s="1626"/>
      <c r="H31" s="1626"/>
      <c r="I31" s="1626"/>
      <c r="J31" s="1627" t="s">
        <v>731</v>
      </c>
      <c r="K31" s="97"/>
    </row>
    <row r="32" spans="1:11">
      <c r="A32" s="1624" t="s">
        <v>94</v>
      </c>
      <c r="B32" s="1625"/>
      <c r="C32" s="1626">
        <v>178074520</v>
      </c>
      <c r="D32" s="1626">
        <v>190999129</v>
      </c>
      <c r="E32" s="1626">
        <f t="shared" si="0"/>
        <v>184536824.5</v>
      </c>
      <c r="F32" s="1626">
        <f t="shared" si="1"/>
        <v>184536824.5</v>
      </c>
      <c r="G32" s="1626"/>
      <c r="H32" s="1626"/>
      <c r="I32" s="1626"/>
      <c r="J32" s="1627" t="s">
        <v>731</v>
      </c>
      <c r="K32" s="97"/>
    </row>
    <row r="33" spans="1:11">
      <c r="A33" s="1624" t="s">
        <v>95</v>
      </c>
      <c r="B33" s="1625"/>
      <c r="C33" s="1626">
        <v>105513170</v>
      </c>
      <c r="D33" s="1626">
        <v>110150957</v>
      </c>
      <c r="E33" s="1626">
        <f t="shared" si="0"/>
        <v>107832063.5</v>
      </c>
      <c r="F33" s="1626">
        <f t="shared" si="1"/>
        <v>107832063.5</v>
      </c>
      <c r="G33" s="1626"/>
      <c r="H33" s="1626"/>
      <c r="I33" s="1626"/>
      <c r="J33" s="1627" t="s">
        <v>117</v>
      </c>
      <c r="K33" s="97"/>
    </row>
    <row r="34" spans="1:11">
      <c r="A34" s="1630" t="s">
        <v>90</v>
      </c>
      <c r="B34" s="1631"/>
      <c r="C34" s="1626">
        <v>0</v>
      </c>
      <c r="D34" s="1626">
        <v>0</v>
      </c>
      <c r="E34" s="1626">
        <f t="shared" si="0"/>
        <v>0</v>
      </c>
      <c r="F34" s="1626">
        <f t="shared" si="1"/>
        <v>0</v>
      </c>
      <c r="G34" s="1626"/>
      <c r="H34" s="1626"/>
      <c r="I34" s="1626"/>
      <c r="J34" s="1627" t="s">
        <v>731</v>
      </c>
      <c r="K34" s="97"/>
    </row>
    <row r="35" spans="1:11">
      <c r="A35" s="1630" t="s">
        <v>96</v>
      </c>
      <c r="B35" s="1631"/>
      <c r="C35" s="1626">
        <v>0</v>
      </c>
      <c r="D35" s="1626">
        <v>0</v>
      </c>
      <c r="E35" s="1626">
        <f>AVERAGE(C35,D35)</f>
        <v>0</v>
      </c>
      <c r="F35" s="1626">
        <f t="shared" si="1"/>
        <v>0</v>
      </c>
      <c r="G35" s="1626"/>
      <c r="H35" s="1626"/>
      <c r="I35" s="1626"/>
      <c r="J35" s="1627" t="s">
        <v>118</v>
      </c>
      <c r="K35" s="97"/>
    </row>
    <row r="36" spans="1:11">
      <c r="A36" s="1630" t="s">
        <v>1079</v>
      </c>
      <c r="B36" s="1631"/>
      <c r="C36" s="1626">
        <v>0</v>
      </c>
      <c r="D36" s="1626">
        <v>0</v>
      </c>
      <c r="E36" s="1626">
        <f t="shared" si="0"/>
        <v>0</v>
      </c>
      <c r="F36" s="1626">
        <f t="shared" si="1"/>
        <v>0</v>
      </c>
      <c r="G36" s="1626"/>
      <c r="H36" s="1626">
        <f>E36</f>
        <v>0</v>
      </c>
      <c r="I36" s="1626"/>
      <c r="J36" s="1632" t="s">
        <v>529</v>
      </c>
      <c r="K36" s="97"/>
    </row>
    <row r="37" spans="1:11">
      <c r="A37" s="1630" t="s">
        <v>842</v>
      </c>
      <c r="B37" s="1631"/>
      <c r="C37" s="1626">
        <v>94895713</v>
      </c>
      <c r="D37" s="1626">
        <v>29590193</v>
      </c>
      <c r="E37" s="1626">
        <f t="shared" si="0"/>
        <v>62242953</v>
      </c>
      <c r="F37" s="1626">
        <f t="shared" si="1"/>
        <v>62242953</v>
      </c>
      <c r="G37" s="1626"/>
      <c r="H37" s="1633"/>
      <c r="I37" s="1626"/>
      <c r="J37" s="1627" t="s">
        <v>119</v>
      </c>
      <c r="K37" s="1794"/>
    </row>
    <row r="38" spans="1:11">
      <c r="A38" s="1624" t="s">
        <v>179</v>
      </c>
      <c r="B38" s="1625"/>
      <c r="C38" s="1626">
        <v>24670015</v>
      </c>
      <c r="D38" s="1626">
        <v>25600148</v>
      </c>
      <c r="E38" s="1626">
        <f t="shared" si="0"/>
        <v>25135081.5</v>
      </c>
      <c r="F38" s="1626">
        <v>4617519</v>
      </c>
      <c r="G38" s="1626"/>
      <c r="H38" s="1626">
        <f>E38-F38</f>
        <v>20517562.5</v>
      </c>
      <c r="I38" s="1626"/>
      <c r="J38" s="1627" t="s">
        <v>529</v>
      </c>
      <c r="K38" s="1794"/>
    </row>
    <row r="39" spans="1:11">
      <c r="A39" s="1624" t="s">
        <v>91</v>
      </c>
      <c r="B39" s="1625"/>
      <c r="C39" s="1626">
        <v>57294934</v>
      </c>
      <c r="D39" s="1626">
        <v>37847771</v>
      </c>
      <c r="E39" s="1626">
        <f t="shared" si="0"/>
        <v>47571352.5</v>
      </c>
      <c r="F39" s="1626">
        <f>E39</f>
        <v>47571352.5</v>
      </c>
      <c r="G39" s="1626"/>
      <c r="H39" s="1626"/>
      <c r="I39" s="1626"/>
      <c r="J39" s="1627" t="s">
        <v>120</v>
      </c>
      <c r="K39" s="97"/>
    </row>
    <row r="40" spans="1:11">
      <c r="A40" s="1624"/>
      <c r="B40" s="1625"/>
      <c r="C40" s="1625"/>
      <c r="D40" s="1626"/>
      <c r="E40" s="1626"/>
      <c r="F40" s="1626"/>
      <c r="G40" s="1626"/>
      <c r="H40" s="1626"/>
      <c r="I40" s="1626"/>
      <c r="J40" s="1627"/>
      <c r="K40" s="97"/>
    </row>
    <row r="41" spans="1:11">
      <c r="A41" s="1630"/>
      <c r="B41" s="1631"/>
      <c r="C41" s="1631"/>
      <c r="D41" s="1634"/>
      <c r="E41" s="1626"/>
      <c r="F41" s="1626"/>
      <c r="G41" s="1626"/>
      <c r="H41" s="1626"/>
      <c r="I41" s="1626"/>
      <c r="J41" s="1627"/>
      <c r="K41" s="97"/>
    </row>
    <row r="42" spans="1:11">
      <c r="A42" s="1630"/>
      <c r="B42" s="1631"/>
      <c r="C42" s="1631"/>
      <c r="D42" s="1634"/>
      <c r="E42" s="1633"/>
      <c r="F42" s="1633"/>
      <c r="G42" s="1633"/>
      <c r="H42" s="1633"/>
      <c r="I42" s="1633"/>
      <c r="J42" s="1627"/>
      <c r="K42" s="97"/>
    </row>
    <row r="43" spans="1:11">
      <c r="A43" s="1630"/>
      <c r="B43" s="1631"/>
      <c r="C43" s="1631"/>
      <c r="D43" s="1635"/>
      <c r="E43" s="1626"/>
      <c r="F43" s="1626"/>
      <c r="G43" s="1626"/>
      <c r="H43" s="1626"/>
      <c r="I43" s="1626"/>
      <c r="J43" s="1627"/>
      <c r="K43" s="97"/>
    </row>
    <row r="44" spans="1:11">
      <c r="A44" s="1630"/>
      <c r="B44" s="1631"/>
      <c r="C44" s="1631"/>
      <c r="D44" s="1635"/>
      <c r="E44" s="1626"/>
      <c r="F44" s="1626"/>
      <c r="G44" s="1626"/>
      <c r="H44" s="1626"/>
      <c r="I44" s="1626"/>
      <c r="J44" s="1627"/>
      <c r="K44" s="97"/>
    </row>
    <row r="45" spans="1:11">
      <c r="A45" s="1630"/>
      <c r="B45" s="1631"/>
      <c r="C45" s="1631"/>
      <c r="D45" s="1635"/>
      <c r="E45" s="1633"/>
      <c r="F45" s="1633"/>
      <c r="G45" s="1633"/>
      <c r="H45" s="1633"/>
      <c r="I45" s="1633"/>
      <c r="J45" s="1627"/>
      <c r="K45" s="97"/>
    </row>
    <row r="46" spans="1:11">
      <c r="A46" s="1636" t="s">
        <v>133</v>
      </c>
      <c r="B46" s="1522"/>
      <c r="C46" s="1522"/>
      <c r="D46" s="1523"/>
      <c r="E46" s="1524">
        <f>SUM(E29:E45)</f>
        <v>562542942</v>
      </c>
      <c r="F46" s="1524">
        <f>SUM(F29:F45)</f>
        <v>441595786</v>
      </c>
      <c r="G46" s="130">
        <f>SUM(G29:G45)</f>
        <v>0</v>
      </c>
      <c r="H46" s="130">
        <f>SUM(H29:H45)</f>
        <v>20517562.5</v>
      </c>
      <c r="I46" s="130">
        <f>SUM(I29:I45)</f>
        <v>100429593.5</v>
      </c>
      <c r="J46" s="160"/>
      <c r="K46" s="97"/>
    </row>
    <row r="47" spans="1:11">
      <c r="A47" s="1637" t="s">
        <v>787</v>
      </c>
      <c r="B47" s="1525"/>
      <c r="C47" s="1525"/>
      <c r="D47" s="1526"/>
      <c r="E47" s="1524">
        <v>0</v>
      </c>
      <c r="F47" s="1524">
        <v>0</v>
      </c>
      <c r="G47" s="130">
        <v>0</v>
      </c>
      <c r="H47" s="1213">
        <v>0</v>
      </c>
      <c r="I47" s="130">
        <f>E47</f>
        <v>0</v>
      </c>
      <c r="J47" s="162"/>
      <c r="K47" s="97"/>
    </row>
    <row r="48" spans="1:11">
      <c r="A48" s="1638" t="s">
        <v>788</v>
      </c>
      <c r="B48" s="1527"/>
      <c r="C48" s="1527"/>
      <c r="D48" s="1528"/>
      <c r="E48" s="1524">
        <v>0</v>
      </c>
      <c r="F48" s="1524">
        <v>0</v>
      </c>
      <c r="G48" s="130">
        <v>0</v>
      </c>
      <c r="H48" s="130">
        <v>0</v>
      </c>
      <c r="I48" s="130">
        <f>E48</f>
        <v>0</v>
      </c>
      <c r="J48" s="162"/>
      <c r="K48" s="97"/>
    </row>
    <row r="49" spans="1:11">
      <c r="A49" s="1636" t="s">
        <v>972</v>
      </c>
      <c r="B49" s="1522"/>
      <c r="C49" s="1572">
        <f>SUM(C29:C48)</f>
        <v>609193138</v>
      </c>
      <c r="D49" s="1572">
        <f>SUM(D29:D48)</f>
        <v>515892746</v>
      </c>
      <c r="E49" s="1524">
        <f>+E46-E47-E48</f>
        <v>562542942</v>
      </c>
      <c r="F49" s="1524">
        <f>+F46-F47-F48</f>
        <v>441595786</v>
      </c>
      <c r="G49" s="130">
        <f>+G46-G47-G48</f>
        <v>0</v>
      </c>
      <c r="H49" s="130">
        <f>+H46-H47-H48</f>
        <v>20517562.5</v>
      </c>
      <c r="I49" s="130">
        <f>+I46-I47-I48</f>
        <v>100429593.5</v>
      </c>
      <c r="J49" s="160"/>
      <c r="K49" s="97"/>
    </row>
    <row r="50" spans="1:11">
      <c r="A50" s="1639"/>
      <c r="B50" s="1529"/>
      <c r="C50" s="1529"/>
      <c r="D50" s="1530"/>
      <c r="E50" s="1531"/>
      <c r="F50" s="1532"/>
      <c r="G50" s="104"/>
      <c r="H50" s="148"/>
      <c r="I50" s="103"/>
      <c r="J50" s="138"/>
      <c r="K50" s="97"/>
    </row>
    <row r="51" spans="1:11">
      <c r="A51" s="1640" t="s">
        <v>130</v>
      </c>
      <c r="B51" s="1641"/>
      <c r="C51" s="1642"/>
      <c r="D51" s="1643"/>
      <c r="E51" s="1644"/>
      <c r="F51" s="1645"/>
      <c r="G51" s="97"/>
      <c r="H51" s="97"/>
      <c r="I51" s="138"/>
      <c r="J51" s="97"/>
    </row>
    <row r="52" spans="1:11" ht="25.5" customHeight="1">
      <c r="A52" s="1908" t="s">
        <v>681</v>
      </c>
      <c r="B52" s="1909"/>
      <c r="C52" s="1909"/>
      <c r="D52" s="1909"/>
      <c r="E52" s="1909"/>
      <c r="F52" s="1910"/>
      <c r="G52" s="97"/>
      <c r="H52" s="97"/>
      <c r="I52" s="169"/>
      <c r="J52" s="97"/>
    </row>
    <row r="53" spans="1:11">
      <c r="A53" s="1646" t="s">
        <v>682</v>
      </c>
      <c r="B53" s="1647"/>
      <c r="C53" s="1648"/>
      <c r="D53" s="1648"/>
      <c r="E53" s="1649"/>
      <c r="F53" s="1650"/>
      <c r="G53" s="97"/>
      <c r="H53" s="97"/>
      <c r="I53" s="138"/>
      <c r="J53" s="97"/>
    </row>
    <row r="54" spans="1:11">
      <c r="A54" s="1646" t="s">
        <v>1042</v>
      </c>
      <c r="B54" s="1647"/>
      <c r="C54" s="1648"/>
      <c r="D54" s="1648"/>
      <c r="E54" s="1649"/>
      <c r="F54" s="1650"/>
      <c r="G54" s="97"/>
      <c r="H54" s="97"/>
      <c r="I54" s="169"/>
      <c r="J54" s="97"/>
    </row>
    <row r="55" spans="1:11">
      <c r="A55" s="1646" t="s">
        <v>1043</v>
      </c>
      <c r="B55" s="1647"/>
      <c r="C55" s="1648"/>
      <c r="D55" s="1648"/>
      <c r="E55" s="1649"/>
      <c r="F55" s="1650"/>
      <c r="G55" s="97"/>
      <c r="H55" s="97"/>
      <c r="I55" s="138"/>
      <c r="J55" s="97"/>
    </row>
    <row r="56" spans="1:11" ht="42" customHeight="1">
      <c r="A56" s="1911" t="s">
        <v>695</v>
      </c>
      <c r="B56" s="1912"/>
      <c r="C56" s="1912"/>
      <c r="D56" s="1912"/>
      <c r="E56" s="1912"/>
      <c r="F56" s="1913"/>
      <c r="G56" s="97"/>
      <c r="H56" s="97"/>
      <c r="I56" s="97"/>
      <c r="J56" s="142"/>
    </row>
    <row r="57" spans="1:11">
      <c r="A57" s="1651" t="s">
        <v>830</v>
      </c>
      <c r="B57" s="1652"/>
      <c r="C57" s="1652"/>
      <c r="D57" s="1652"/>
      <c r="E57" s="1652"/>
      <c r="F57" s="1653"/>
      <c r="G57" s="97"/>
      <c r="H57" s="97"/>
      <c r="I57" s="138"/>
      <c r="J57" s="97"/>
    </row>
    <row r="58" spans="1:11">
      <c r="A58" s="136"/>
      <c r="B58" s="136"/>
      <c r="C58" s="97"/>
      <c r="D58" s="104"/>
      <c r="E58" s="104"/>
      <c r="F58" s="103"/>
      <c r="G58" s="103"/>
      <c r="H58" s="97"/>
      <c r="J58" s="138"/>
      <c r="K58" s="97"/>
    </row>
    <row r="59" spans="1:11" ht="15">
      <c r="A59" s="136"/>
      <c r="B59" s="136"/>
      <c r="C59" s="136"/>
      <c r="D59" s="134"/>
      <c r="E59" s="134"/>
      <c r="F59" s="134"/>
      <c r="G59" s="134"/>
      <c r="H59" s="134"/>
      <c r="I59" s="134"/>
      <c r="J59" s="138"/>
      <c r="K59" s="97"/>
    </row>
    <row r="60" spans="1:11">
      <c r="A60" s="132"/>
      <c r="B60" s="132"/>
      <c r="C60" s="132"/>
      <c r="D60" s="133"/>
      <c r="E60" s="97"/>
      <c r="F60" s="97"/>
      <c r="G60" s="97"/>
      <c r="H60" s="97"/>
      <c r="I60" s="97"/>
      <c r="J60" s="104"/>
      <c r="K60" s="97"/>
    </row>
    <row r="61" spans="1:11" ht="15.75">
      <c r="A61" s="391" t="s">
        <v>780</v>
      </c>
      <c r="B61" s="186"/>
      <c r="C61" s="186"/>
      <c r="D61" s="135"/>
      <c r="E61" s="135"/>
      <c r="F61" s="135"/>
      <c r="G61" s="135"/>
      <c r="H61" s="135"/>
      <c r="I61" s="135"/>
      <c r="J61" s="135"/>
      <c r="K61" s="97"/>
    </row>
    <row r="62" spans="1:11" ht="15">
      <c r="A62" s="134"/>
      <c r="B62" s="134"/>
      <c r="C62" s="134"/>
      <c r="D62" s="135"/>
      <c r="E62" s="135"/>
      <c r="F62" s="135"/>
      <c r="G62" s="135"/>
      <c r="H62" s="135"/>
      <c r="I62" s="135"/>
      <c r="J62" s="135"/>
      <c r="K62" s="97"/>
    </row>
    <row r="63" spans="1:11">
      <c r="A63" s="157" t="s">
        <v>878</v>
      </c>
      <c r="B63" s="136"/>
      <c r="C63" s="136"/>
      <c r="E63" s="157" t="s">
        <v>973</v>
      </c>
      <c r="F63" s="157" t="s">
        <v>859</v>
      </c>
      <c r="G63" s="157" t="s">
        <v>879</v>
      </c>
      <c r="H63" s="157" t="s">
        <v>877</v>
      </c>
      <c r="I63" s="157" t="s">
        <v>185</v>
      </c>
      <c r="J63" s="157" t="s">
        <v>880</v>
      </c>
      <c r="K63" s="97"/>
    </row>
    <row r="64" spans="1:11">
      <c r="A64" s="2"/>
      <c r="B64" s="1216"/>
      <c r="C64" s="850" t="s">
        <v>972</v>
      </c>
      <c r="D64" s="180" t="s">
        <v>972</v>
      </c>
      <c r="E64" s="87" t="s">
        <v>972</v>
      </c>
      <c r="F64" s="87" t="s">
        <v>127</v>
      </c>
      <c r="G64" s="87" t="s">
        <v>129</v>
      </c>
      <c r="H64" s="87"/>
      <c r="I64" s="87"/>
      <c r="J64" s="2"/>
      <c r="K64" s="97"/>
    </row>
    <row r="65" spans="1:15">
      <c r="A65" s="642" t="s">
        <v>1067</v>
      </c>
      <c r="B65" s="1217"/>
      <c r="C65" s="180" t="s">
        <v>406</v>
      </c>
      <c r="D65" s="180" t="s">
        <v>295</v>
      </c>
      <c r="E65" s="127" t="s">
        <v>407</v>
      </c>
      <c r="F65" s="127" t="s">
        <v>128</v>
      </c>
      <c r="G65" s="127" t="s">
        <v>1065</v>
      </c>
      <c r="H65" s="127" t="s">
        <v>124</v>
      </c>
      <c r="I65" s="127" t="s">
        <v>126</v>
      </c>
      <c r="J65" s="1218"/>
      <c r="K65" s="97"/>
    </row>
    <row r="66" spans="1:15">
      <c r="A66" s="1217"/>
      <c r="B66" s="1217"/>
      <c r="C66" s="1217"/>
      <c r="D66" s="1219"/>
      <c r="E66" s="127"/>
      <c r="F66" s="127" t="s">
        <v>125</v>
      </c>
      <c r="G66" s="127" t="s">
        <v>125</v>
      </c>
      <c r="H66" s="127" t="s">
        <v>125</v>
      </c>
      <c r="I66" s="127" t="s">
        <v>125</v>
      </c>
      <c r="J66" s="127" t="s">
        <v>851</v>
      </c>
      <c r="K66" s="97"/>
    </row>
    <row r="67" spans="1:15">
      <c r="A67" s="1654" t="s">
        <v>1071</v>
      </c>
      <c r="B67" s="1655"/>
      <c r="C67" s="1626">
        <v>-516089750</v>
      </c>
      <c r="D67" s="1626">
        <v>-550179287</v>
      </c>
      <c r="E67" s="1626">
        <f>AVERAGE(C67,D67)</f>
        <v>-533134518.5</v>
      </c>
      <c r="F67" s="1626">
        <f>E67</f>
        <v>-533134518.5</v>
      </c>
      <c r="G67" s="1626"/>
      <c r="H67" s="1626"/>
      <c r="I67" s="1626"/>
      <c r="J67" s="1632" t="s">
        <v>120</v>
      </c>
      <c r="K67" s="97"/>
    </row>
    <row r="68" spans="1:15">
      <c r="A68" s="1654" t="s">
        <v>1072</v>
      </c>
      <c r="B68" s="1655"/>
      <c r="C68" s="1626">
        <v>-1281431951</v>
      </c>
      <c r="D68" s="1626">
        <v>-1342228311</v>
      </c>
      <c r="E68" s="1626">
        <f>AVERAGE(C68,D68)</f>
        <v>-1311830131</v>
      </c>
      <c r="F68" s="1626"/>
      <c r="G68" s="1626"/>
      <c r="H68" s="1626">
        <f>E68</f>
        <v>-1311830131</v>
      </c>
      <c r="I68" s="1626"/>
      <c r="J68" s="1632" t="s">
        <v>529</v>
      </c>
      <c r="K68" s="97"/>
    </row>
    <row r="69" spans="1:15">
      <c r="A69" s="1534"/>
      <c r="B69" s="1535"/>
      <c r="C69" s="1535"/>
      <c r="D69" s="161"/>
      <c r="E69" s="130"/>
      <c r="F69" s="130"/>
      <c r="G69" s="130"/>
      <c r="H69" s="130"/>
      <c r="I69" s="130"/>
      <c r="J69" s="160"/>
      <c r="K69" s="97"/>
      <c r="O69" s="1573"/>
    </row>
    <row r="70" spans="1:15">
      <c r="A70" s="1656" t="s">
        <v>831</v>
      </c>
      <c r="B70" s="1536"/>
      <c r="C70" s="1536"/>
      <c r="D70" s="161"/>
      <c r="E70" s="1524">
        <f>SUM(E67:E69)</f>
        <v>-1844964649.5</v>
      </c>
      <c r="F70" s="1524">
        <f>SUM(F67:F69)</f>
        <v>-533134518.5</v>
      </c>
      <c r="G70" s="130">
        <f>SUM(G67:G69)</f>
        <v>0</v>
      </c>
      <c r="H70" s="130">
        <f>SUM(H67:H69)</f>
        <v>-1311830131</v>
      </c>
      <c r="I70" s="130">
        <f>SUM(I67:I69)</f>
        <v>0</v>
      </c>
      <c r="J70" s="160"/>
      <c r="K70" s="97"/>
    </row>
    <row r="71" spans="1:15">
      <c r="A71" s="1657" t="s">
        <v>787</v>
      </c>
      <c r="B71" s="1537"/>
      <c r="C71" s="1537"/>
      <c r="D71" s="161"/>
      <c r="E71" s="1524">
        <f>SUM(F71:I71)</f>
        <v>0</v>
      </c>
      <c r="F71" s="1524"/>
      <c r="G71" s="130"/>
      <c r="H71" s="130">
        <v>0</v>
      </c>
      <c r="I71" s="130"/>
      <c r="J71" s="162"/>
      <c r="K71" s="97"/>
      <c r="O71" s="1574"/>
    </row>
    <row r="72" spans="1:15">
      <c r="A72" s="1658" t="s">
        <v>788</v>
      </c>
      <c r="B72" s="1538"/>
      <c r="C72" s="1892"/>
      <c r="D72" s="1892"/>
      <c r="E72" s="1524">
        <f>SUM(F72:I72)</f>
        <v>0</v>
      </c>
      <c r="F72" s="1524"/>
      <c r="G72" s="130"/>
      <c r="H72" s="130"/>
      <c r="I72" s="130"/>
      <c r="J72" s="162"/>
      <c r="K72" s="97"/>
    </row>
    <row r="73" spans="1:15">
      <c r="A73" s="1659" t="s">
        <v>972</v>
      </c>
      <c r="B73" s="1364"/>
      <c r="C73" s="1893">
        <f>SUM(C67:C72)</f>
        <v>-1797521701</v>
      </c>
      <c r="D73" s="1893">
        <f>SUM(D67:D72)</f>
        <v>-1892407598</v>
      </c>
      <c r="E73" s="1524">
        <f>+E70-E71-E72</f>
        <v>-1844964649.5</v>
      </c>
      <c r="F73" s="1524">
        <f>+F70-F71-F72</f>
        <v>-533134518.5</v>
      </c>
      <c r="G73" s="130">
        <f>+G70-G71-G72</f>
        <v>0</v>
      </c>
      <c r="H73" s="130">
        <f>+H70-H71-H72</f>
        <v>-1311830131</v>
      </c>
      <c r="I73" s="130">
        <f>+I70-I71-I72</f>
        <v>0</v>
      </c>
      <c r="J73" s="160"/>
      <c r="K73" s="97"/>
    </row>
    <row r="74" spans="1:15">
      <c r="A74" s="1217"/>
      <c r="B74" s="1217"/>
      <c r="C74" s="1217"/>
      <c r="D74" s="1539"/>
      <c r="E74" s="1533"/>
      <c r="F74" s="1533"/>
      <c r="G74" s="146"/>
      <c r="H74" s="103"/>
      <c r="I74" s="103"/>
      <c r="J74" s="138"/>
      <c r="K74" s="97"/>
    </row>
    <row r="75" spans="1:15">
      <c r="A75" s="1640" t="s">
        <v>132</v>
      </c>
      <c r="B75" s="1642"/>
      <c r="C75" s="1642"/>
      <c r="D75" s="1642"/>
      <c r="E75" s="1660"/>
      <c r="F75" s="1645"/>
      <c r="G75" s="138"/>
      <c r="H75" s="104"/>
      <c r="I75" s="2"/>
      <c r="J75" s="2"/>
    </row>
    <row r="76" spans="1:15">
      <c r="A76" s="1908" t="s">
        <v>681</v>
      </c>
      <c r="B76" s="1909"/>
      <c r="C76" s="1909"/>
      <c r="D76" s="1909"/>
      <c r="E76" s="1909"/>
      <c r="F76" s="1910"/>
      <c r="G76" s="138"/>
      <c r="H76" s="104"/>
      <c r="I76" s="2"/>
      <c r="J76" s="2"/>
    </row>
    <row r="77" spans="1:15">
      <c r="A77" s="1646" t="s">
        <v>682</v>
      </c>
      <c r="B77" s="1648"/>
      <c r="C77" s="1648"/>
      <c r="D77" s="1648"/>
      <c r="E77" s="1649"/>
      <c r="F77" s="1650"/>
      <c r="G77" s="138"/>
      <c r="H77" s="104"/>
      <c r="I77" s="2"/>
      <c r="J77" s="2"/>
      <c r="O77" s="1574"/>
    </row>
    <row r="78" spans="1:15">
      <c r="A78" s="1646" t="s">
        <v>1042</v>
      </c>
      <c r="B78" s="1648"/>
      <c r="C78" s="1648"/>
      <c r="D78" s="1648"/>
      <c r="E78" s="1649"/>
      <c r="F78" s="1650"/>
      <c r="G78" s="138"/>
      <c r="H78" s="104"/>
      <c r="I78" s="2"/>
      <c r="J78" s="2"/>
    </row>
    <row r="79" spans="1:15">
      <c r="A79" s="1646" t="s">
        <v>1043</v>
      </c>
      <c r="B79" s="1648"/>
      <c r="C79" s="1648"/>
      <c r="D79" s="1648"/>
      <c r="E79" s="1649"/>
      <c r="F79" s="1650"/>
      <c r="G79" s="138"/>
      <c r="H79" s="104"/>
      <c r="I79" s="2"/>
      <c r="J79" s="2"/>
    </row>
    <row r="80" spans="1:15" ht="39" customHeight="1">
      <c r="A80" s="1908" t="s">
        <v>695</v>
      </c>
      <c r="B80" s="1909"/>
      <c r="C80" s="1909"/>
      <c r="D80" s="1909"/>
      <c r="E80" s="1909"/>
      <c r="F80" s="1910"/>
      <c r="G80" s="104"/>
      <c r="H80" s="142"/>
      <c r="I80" s="2"/>
      <c r="J80" s="2"/>
    </row>
    <row r="81" spans="1:11">
      <c r="A81" s="1651" t="s">
        <v>830</v>
      </c>
      <c r="B81" s="1661"/>
      <c r="C81" s="1661"/>
      <c r="D81" s="1661"/>
      <c r="E81" s="1662"/>
      <c r="F81" s="1663"/>
      <c r="G81" s="138"/>
      <c r="H81" s="104"/>
      <c r="I81" s="2"/>
      <c r="J81" s="2"/>
    </row>
    <row r="82" spans="1:11">
      <c r="A82" s="1216"/>
      <c r="B82" s="1216"/>
      <c r="C82" s="1216"/>
      <c r="D82" s="143"/>
      <c r="E82" s="104"/>
      <c r="F82" s="104"/>
      <c r="G82" s="104"/>
      <c r="H82" s="103"/>
      <c r="I82" s="103"/>
      <c r="J82" s="138"/>
      <c r="K82" s="97"/>
    </row>
    <row r="83" spans="1:11" ht="18">
      <c r="A83" s="1220"/>
      <c r="B83" s="1220"/>
      <c r="C83" s="1220"/>
      <c r="D83" s="1221"/>
      <c r="E83" s="1221"/>
      <c r="F83" s="1221"/>
      <c r="G83" s="1221"/>
      <c r="H83" s="1221"/>
      <c r="I83" s="1221"/>
      <c r="J83" s="1222"/>
      <c r="K83" s="97"/>
    </row>
    <row r="84" spans="1:11" ht="18">
      <c r="A84" s="1223"/>
      <c r="B84" s="1223"/>
      <c r="C84" s="1223"/>
      <c r="D84" s="1224"/>
      <c r="E84" s="165"/>
      <c r="F84" s="165"/>
      <c r="G84" s="165"/>
      <c r="H84" s="165"/>
      <c r="I84" s="165"/>
      <c r="J84" s="165"/>
      <c r="K84" s="97"/>
    </row>
    <row r="85" spans="1:11" ht="15.75">
      <c r="A85" s="1459" t="s">
        <v>780</v>
      </c>
      <c r="B85" s="1225"/>
      <c r="C85" s="1225"/>
      <c r="D85" s="1222"/>
      <c r="E85" s="1222"/>
      <c r="F85" s="1222"/>
      <c r="G85" s="1222"/>
      <c r="H85" s="1222"/>
      <c r="I85" s="1222"/>
      <c r="J85" s="1222"/>
      <c r="K85" s="97"/>
    </row>
    <row r="86" spans="1:11">
      <c r="A86" s="1216"/>
      <c r="B86" s="1216"/>
      <c r="C86" s="1216"/>
      <c r="D86" s="104"/>
      <c r="E86" s="104"/>
      <c r="F86" s="104"/>
      <c r="G86" s="104"/>
      <c r="H86" s="104"/>
      <c r="I86" s="1226"/>
      <c r="J86" s="138"/>
      <c r="K86" s="97"/>
    </row>
    <row r="87" spans="1:11">
      <c r="A87" s="127" t="s">
        <v>878</v>
      </c>
      <c r="B87" s="1216"/>
      <c r="C87" s="1216"/>
      <c r="D87" s="2"/>
      <c r="E87" s="127" t="s">
        <v>973</v>
      </c>
      <c r="F87" s="127" t="s">
        <v>859</v>
      </c>
      <c r="G87" s="127" t="s">
        <v>879</v>
      </c>
      <c r="H87" s="127" t="s">
        <v>877</v>
      </c>
      <c r="I87" s="127" t="s">
        <v>185</v>
      </c>
      <c r="J87" s="127" t="s">
        <v>880</v>
      </c>
      <c r="K87" s="97"/>
    </row>
    <row r="88" spans="1:11">
      <c r="A88" s="185"/>
      <c r="B88" s="1227"/>
      <c r="C88" s="850" t="s">
        <v>972</v>
      </c>
      <c r="D88" s="180" t="s">
        <v>972</v>
      </c>
      <c r="E88" s="127" t="s">
        <v>972</v>
      </c>
      <c r="F88" s="127" t="s">
        <v>127</v>
      </c>
      <c r="G88" s="127" t="s">
        <v>129</v>
      </c>
      <c r="H88" s="127"/>
      <c r="I88" s="127"/>
      <c r="J88" s="84"/>
      <c r="K88" s="97"/>
    </row>
    <row r="89" spans="1:11">
      <c r="A89" s="642" t="s">
        <v>1068</v>
      </c>
      <c r="B89" s="1228"/>
      <c r="C89" s="180" t="s">
        <v>406</v>
      </c>
      <c r="D89" s="180" t="s">
        <v>295</v>
      </c>
      <c r="E89" s="127" t="s">
        <v>407</v>
      </c>
      <c r="F89" s="127" t="s">
        <v>128</v>
      </c>
      <c r="G89" s="127" t="s">
        <v>1065</v>
      </c>
      <c r="H89" s="127" t="s">
        <v>124</v>
      </c>
      <c r="I89" s="127" t="s">
        <v>126</v>
      </c>
      <c r="J89" s="84"/>
      <c r="K89" s="97"/>
    </row>
    <row r="90" spans="1:11">
      <c r="A90" s="1228"/>
      <c r="B90" s="1228"/>
      <c r="C90" s="1228"/>
      <c r="D90" s="1185"/>
      <c r="E90" s="127"/>
      <c r="F90" s="127" t="s">
        <v>125</v>
      </c>
      <c r="G90" s="127" t="s">
        <v>125</v>
      </c>
      <c r="H90" s="127" t="s">
        <v>125</v>
      </c>
      <c r="I90" s="127" t="s">
        <v>125</v>
      </c>
      <c r="J90" s="127" t="s">
        <v>851</v>
      </c>
      <c r="K90" s="97"/>
    </row>
    <row r="91" spans="1:11">
      <c r="A91" s="1654" t="s">
        <v>1077</v>
      </c>
      <c r="B91" s="1655"/>
      <c r="C91" s="1626">
        <v>-62749126</v>
      </c>
      <c r="D91" s="1626">
        <v>-61712010</v>
      </c>
      <c r="E91" s="1626">
        <f t="shared" ref="E91:E98" si="2">AVERAGE(C91,D91)</f>
        <v>-62230568</v>
      </c>
      <c r="F91" s="1626">
        <f>E91</f>
        <v>-62230568</v>
      </c>
      <c r="G91" s="1626"/>
      <c r="H91" s="1633"/>
      <c r="I91" s="1626"/>
      <c r="J91" s="1632" t="s">
        <v>530</v>
      </c>
      <c r="K91" s="97"/>
    </row>
    <row r="92" spans="1:11">
      <c r="A92" s="1654" t="s">
        <v>1073</v>
      </c>
      <c r="B92" s="1655"/>
      <c r="C92" s="1626">
        <v>-64466753</v>
      </c>
      <c r="D92" s="1626">
        <v>-67856965</v>
      </c>
      <c r="E92" s="1626">
        <f t="shared" si="2"/>
        <v>-66161859</v>
      </c>
      <c r="F92" s="1626"/>
      <c r="G92" s="1626"/>
      <c r="H92" s="1664"/>
      <c r="I92" s="1626">
        <f>E92</f>
        <v>-66161859</v>
      </c>
      <c r="J92" s="1632" t="s">
        <v>121</v>
      </c>
      <c r="K92" s="97"/>
    </row>
    <row r="93" spans="1:11">
      <c r="A93" s="1654" t="s">
        <v>1078</v>
      </c>
      <c r="B93" s="1655"/>
      <c r="C93" s="1626">
        <v>-44021817</v>
      </c>
      <c r="D93" s="1626">
        <v>-42948019</v>
      </c>
      <c r="E93" s="1626">
        <f t="shared" si="2"/>
        <v>-43484918</v>
      </c>
      <c r="F93" s="1626">
        <f>E93</f>
        <v>-43484918</v>
      </c>
      <c r="G93" s="1626"/>
      <c r="H93" s="1626"/>
      <c r="I93" s="1626"/>
      <c r="J93" s="1627" t="s">
        <v>844</v>
      </c>
      <c r="K93" s="97"/>
    </row>
    <row r="94" spans="1:11">
      <c r="A94" s="1654" t="s">
        <v>1080</v>
      </c>
      <c r="B94" s="1655"/>
      <c r="C94" s="1626">
        <v>-100937112</v>
      </c>
      <c r="D94" s="1626">
        <v>-88897518</v>
      </c>
      <c r="E94" s="1626">
        <f t="shared" si="2"/>
        <v>-94917315</v>
      </c>
      <c r="F94" s="1626">
        <f>E94</f>
        <v>-94917315</v>
      </c>
      <c r="G94" s="1626"/>
      <c r="H94" s="1626"/>
      <c r="I94" s="1626"/>
      <c r="J94" s="1627" t="s">
        <v>844</v>
      </c>
      <c r="K94" s="97"/>
    </row>
    <row r="95" spans="1:11">
      <c r="A95" s="1665" t="s">
        <v>1081</v>
      </c>
      <c r="B95" s="1666"/>
      <c r="C95" s="1626">
        <v>-13304233</v>
      </c>
      <c r="D95" s="1626">
        <v>-17611747</v>
      </c>
      <c r="E95" s="1626">
        <f t="shared" si="2"/>
        <v>-15457990</v>
      </c>
      <c r="F95" s="1626">
        <f>E95</f>
        <v>-15457990</v>
      </c>
      <c r="G95" s="1626"/>
      <c r="H95" s="1626"/>
      <c r="I95" s="1626"/>
      <c r="J95" s="1627" t="s">
        <v>731</v>
      </c>
      <c r="K95" s="97"/>
    </row>
    <row r="96" spans="1:11">
      <c r="A96" s="1665" t="s">
        <v>89</v>
      </c>
      <c r="B96" s="1666"/>
      <c r="C96" s="1626">
        <v>0</v>
      </c>
      <c r="D96" s="1626">
        <v>0</v>
      </c>
      <c r="E96" s="1626">
        <f t="shared" si="2"/>
        <v>0</v>
      </c>
      <c r="F96" s="1626">
        <f>E96</f>
        <v>0</v>
      </c>
      <c r="G96" s="1626"/>
      <c r="H96" s="1626"/>
      <c r="I96" s="1626"/>
      <c r="J96" s="1627" t="s">
        <v>844</v>
      </c>
      <c r="K96" s="97"/>
    </row>
    <row r="97" spans="1:11">
      <c r="A97" s="1665" t="s">
        <v>179</v>
      </c>
      <c r="B97" s="1666"/>
      <c r="C97" s="1626">
        <v>2088253</v>
      </c>
      <c r="D97" s="1626">
        <v>1928215</v>
      </c>
      <c r="E97" s="1626">
        <f t="shared" si="2"/>
        <v>2008234</v>
      </c>
      <c r="F97" s="1626">
        <v>0</v>
      </c>
      <c r="G97" s="1626"/>
      <c r="H97" s="1626">
        <f>E97</f>
        <v>2008234</v>
      </c>
      <c r="I97" s="1626"/>
      <c r="J97" s="1627" t="s">
        <v>529</v>
      </c>
      <c r="K97" s="1794"/>
    </row>
    <row r="98" spans="1:11">
      <c r="A98" s="1665" t="s">
        <v>91</v>
      </c>
      <c r="B98" s="1666"/>
      <c r="C98" s="1626">
        <v>-86437867</v>
      </c>
      <c r="D98" s="1626">
        <v>-81074845</v>
      </c>
      <c r="E98" s="1626">
        <f t="shared" si="2"/>
        <v>-83756356</v>
      </c>
      <c r="F98" s="1626">
        <f>E98</f>
        <v>-83756356</v>
      </c>
      <c r="G98" s="1626"/>
      <c r="H98" s="1626"/>
      <c r="I98" s="1626"/>
      <c r="J98" s="1627"/>
      <c r="K98" s="97"/>
    </row>
    <row r="99" spans="1:11">
      <c r="A99" s="1665"/>
      <c r="B99" s="1666"/>
      <c r="C99" s="1666"/>
      <c r="D99" s="1626"/>
      <c r="E99" s="1626"/>
      <c r="F99" s="1626"/>
      <c r="G99" s="1626"/>
      <c r="H99" s="1626"/>
      <c r="I99" s="1626"/>
      <c r="J99" s="1627"/>
      <c r="K99" s="97"/>
    </row>
    <row r="100" spans="1:11">
      <c r="A100" s="1667"/>
      <c r="B100" s="1668"/>
      <c r="C100" s="1668"/>
      <c r="D100" s="1669"/>
      <c r="E100" s="1626"/>
      <c r="F100" s="1633"/>
      <c r="G100" s="1633"/>
      <c r="H100" s="1633"/>
      <c r="I100" s="1633"/>
      <c r="J100" s="1627"/>
      <c r="K100" s="97"/>
    </row>
    <row r="101" spans="1:11">
      <c r="A101" s="1654"/>
      <c r="B101" s="1666"/>
      <c r="C101" s="1666"/>
      <c r="D101" s="1670"/>
      <c r="E101" s="1626"/>
      <c r="F101" s="1626"/>
      <c r="G101" s="1626"/>
      <c r="H101" s="1633"/>
      <c r="I101" s="1626"/>
      <c r="J101" s="1632"/>
      <c r="K101" s="97"/>
    </row>
    <row r="102" spans="1:11">
      <c r="A102" s="1654"/>
      <c r="B102" s="1655"/>
      <c r="C102" s="1655"/>
      <c r="D102" s="1671"/>
      <c r="E102" s="1626"/>
      <c r="F102" s="1626"/>
      <c r="G102" s="1626"/>
      <c r="H102" s="1626"/>
      <c r="I102" s="1626"/>
      <c r="J102" s="1627"/>
      <c r="K102" s="97"/>
    </row>
    <row r="103" spans="1:11">
      <c r="A103" s="1667"/>
      <c r="B103" s="1668"/>
      <c r="C103" s="1668"/>
      <c r="D103" s="1671"/>
      <c r="E103" s="1626"/>
      <c r="F103" s="1626"/>
      <c r="G103" s="1633"/>
      <c r="H103" s="1626"/>
      <c r="I103" s="1626"/>
      <c r="J103" s="1627"/>
      <c r="K103" s="97"/>
    </row>
    <row r="104" spans="1:11">
      <c r="A104" s="1628"/>
      <c r="B104" s="1668"/>
      <c r="C104" s="1668"/>
      <c r="D104" s="1670"/>
      <c r="E104" s="1626"/>
      <c r="F104" s="1626"/>
      <c r="G104" s="1626"/>
      <c r="H104" s="1626"/>
      <c r="I104" s="1626"/>
      <c r="J104" s="1627"/>
      <c r="K104" s="97"/>
    </row>
    <row r="105" spans="1:11">
      <c r="A105" s="1628"/>
      <c r="B105" s="1629"/>
      <c r="C105" s="1629"/>
      <c r="D105" s="1670"/>
      <c r="E105" s="1626"/>
      <c r="F105" s="1626"/>
      <c r="G105" s="1626"/>
      <c r="H105" s="1626"/>
      <c r="I105" s="1626"/>
      <c r="J105" s="1627"/>
      <c r="K105" s="97"/>
    </row>
    <row r="106" spans="1:11">
      <c r="A106" s="1672"/>
      <c r="B106" s="1673"/>
      <c r="C106" s="1673"/>
      <c r="D106" s="1670"/>
      <c r="E106" s="1626"/>
      <c r="F106" s="1626"/>
      <c r="G106" s="1626"/>
      <c r="H106" s="1626"/>
      <c r="I106" s="1626"/>
      <c r="J106" s="1627"/>
      <c r="K106" s="97"/>
    </row>
    <row r="107" spans="1:11">
      <c r="A107" s="1674"/>
      <c r="B107" s="1675"/>
      <c r="C107" s="1675"/>
      <c r="D107" s="1670"/>
      <c r="E107" s="1626"/>
      <c r="F107" s="1633"/>
      <c r="G107" s="1633"/>
      <c r="H107" s="1633"/>
      <c r="I107" s="1633"/>
      <c r="J107" s="1627"/>
      <c r="K107" s="97"/>
    </row>
    <row r="108" spans="1:11">
      <c r="A108" s="1676" t="s">
        <v>832</v>
      </c>
      <c r="B108" s="1540"/>
      <c r="C108" s="1540"/>
      <c r="D108" s="161"/>
      <c r="E108" s="1524">
        <f>SUM(E91:E107)</f>
        <v>-364000772</v>
      </c>
      <c r="F108" s="1524">
        <f>SUM(F91:F107)</f>
        <v>-299847147</v>
      </c>
      <c r="G108" s="130">
        <f>SUM(G91:G107)</f>
        <v>0</v>
      </c>
      <c r="H108" s="130">
        <f>SUM(H91:H107)</f>
        <v>2008234</v>
      </c>
      <c r="I108" s="130">
        <f>SUM(I91:I107)</f>
        <v>-66161859</v>
      </c>
      <c r="J108" s="162"/>
      <c r="K108" s="97"/>
    </row>
    <row r="109" spans="1:11">
      <c r="A109" s="1659" t="s">
        <v>787</v>
      </c>
      <c r="B109" s="1364"/>
      <c r="C109" s="1364"/>
      <c r="D109" s="161"/>
      <c r="E109" s="1541">
        <f>+E92+E98</f>
        <v>-149918215</v>
      </c>
      <c r="F109" s="1541">
        <f>+E109</f>
        <v>-149918215</v>
      </c>
      <c r="G109" s="131">
        <v>0</v>
      </c>
      <c r="H109" s="131">
        <v>0</v>
      </c>
      <c r="I109" s="131">
        <v>0</v>
      </c>
      <c r="J109" s="162"/>
      <c r="K109" s="97"/>
    </row>
    <row r="110" spans="1:11">
      <c r="A110" s="1659" t="s">
        <v>788</v>
      </c>
      <c r="B110" s="1364"/>
      <c r="C110" s="1364"/>
      <c r="D110" s="161"/>
      <c r="E110" s="1541">
        <v>0</v>
      </c>
      <c r="F110" s="1541">
        <v>0</v>
      </c>
      <c r="G110" s="131">
        <v>0</v>
      </c>
      <c r="H110" s="131">
        <v>0</v>
      </c>
      <c r="I110" s="131">
        <f>+E110</f>
        <v>0</v>
      </c>
      <c r="J110" s="160"/>
      <c r="K110" s="97"/>
    </row>
    <row r="111" spans="1:11">
      <c r="A111" s="1677" t="s">
        <v>972</v>
      </c>
      <c r="B111" s="1542"/>
      <c r="C111" s="1894">
        <f>SUM(C91:C110)</f>
        <v>-369828655</v>
      </c>
      <c r="D111" s="1894">
        <f>SUM(D91:D110)</f>
        <v>-358172889</v>
      </c>
      <c r="E111" s="1541">
        <f>+E108-E109-E110</f>
        <v>-214082557</v>
      </c>
      <c r="F111" s="1541">
        <f>+F108-F109-F110</f>
        <v>-149928932</v>
      </c>
      <c r="G111" s="131">
        <f>+G108-G109-G110</f>
        <v>0</v>
      </c>
      <c r="H111" s="131">
        <f>+H108-H109-H110</f>
        <v>2008234</v>
      </c>
      <c r="I111" s="131">
        <f>+I108-I109-I110</f>
        <v>-66161859</v>
      </c>
      <c r="J111" s="160"/>
      <c r="K111" s="97"/>
    </row>
    <row r="112" spans="1:11">
      <c r="A112" s="1217"/>
      <c r="B112" s="1217"/>
      <c r="C112" s="1217"/>
      <c r="D112" s="1539"/>
      <c r="E112" s="1533"/>
      <c r="F112" s="1543"/>
      <c r="G112" s="146"/>
      <c r="H112" s="146"/>
      <c r="I112" s="146"/>
      <c r="J112" s="138"/>
      <c r="K112" s="97"/>
    </row>
    <row r="113" spans="1:11">
      <c r="A113" s="1640" t="s">
        <v>131</v>
      </c>
      <c r="B113" s="1641"/>
      <c r="C113" s="1642"/>
      <c r="D113" s="1642"/>
      <c r="E113" s="1660"/>
      <c r="F113" s="1645"/>
      <c r="G113" s="170"/>
      <c r="H113" s="326"/>
    </row>
    <row r="114" spans="1:11">
      <c r="A114" s="1908" t="s">
        <v>681</v>
      </c>
      <c r="B114" s="1909"/>
      <c r="C114" s="1909"/>
      <c r="D114" s="1909"/>
      <c r="E114" s="1909"/>
      <c r="F114" s="1910"/>
      <c r="G114" s="138"/>
      <c r="H114" s="327"/>
    </row>
    <row r="115" spans="1:11">
      <c r="A115" s="1646" t="s">
        <v>682</v>
      </c>
      <c r="B115" s="1647"/>
      <c r="C115" s="1648"/>
      <c r="D115" s="1648"/>
      <c r="E115" s="1649"/>
      <c r="F115" s="1650"/>
      <c r="G115" s="170"/>
      <c r="H115" s="97"/>
    </row>
    <row r="116" spans="1:11">
      <c r="A116" s="1646" t="s">
        <v>1042</v>
      </c>
      <c r="B116" s="1647"/>
      <c r="C116" s="1648"/>
      <c r="D116" s="1648"/>
      <c r="E116" s="1649"/>
      <c r="F116" s="1650"/>
      <c r="G116" s="138"/>
      <c r="H116" s="328"/>
    </row>
    <row r="117" spans="1:11">
      <c r="A117" s="1646" t="s">
        <v>1043</v>
      </c>
      <c r="B117" s="1647"/>
      <c r="C117" s="1647"/>
      <c r="D117" s="1647"/>
      <c r="E117" s="1647"/>
      <c r="F117" s="1678"/>
      <c r="G117" s="142"/>
      <c r="H117" s="97"/>
    </row>
    <row r="118" spans="1:11" ht="38.25" customHeight="1">
      <c r="A118" s="1911" t="str">
        <f>+A80</f>
        <v>5. Deferred income taxes arise when items are included in taxable income in different periods than they are included in rates, therefore if the item giving rise to the ADIT is not included in the formula, the associated ADIT amount shall be excluded</v>
      </c>
      <c r="B118" s="1912"/>
      <c r="C118" s="1912"/>
      <c r="D118" s="1912"/>
      <c r="E118" s="1912"/>
      <c r="F118" s="1913"/>
      <c r="G118" s="138"/>
      <c r="H118" s="97"/>
    </row>
    <row r="119" spans="1:11">
      <c r="A119" s="1651" t="s">
        <v>830</v>
      </c>
      <c r="B119" s="1679"/>
      <c r="C119" s="1679"/>
      <c r="D119" s="1679"/>
      <c r="E119" s="1679"/>
      <c r="F119" s="1680"/>
      <c r="G119" s="138"/>
      <c r="H119" s="97"/>
    </row>
    <row r="120" spans="1:11">
      <c r="A120" s="136"/>
      <c r="B120" s="136"/>
      <c r="C120" s="136"/>
      <c r="D120" s="97"/>
      <c r="E120" s="97"/>
      <c r="F120" s="97"/>
      <c r="G120" s="97"/>
      <c r="H120" s="97"/>
      <c r="I120" s="97"/>
      <c r="J120" s="97"/>
      <c r="K120" s="97"/>
    </row>
    <row r="121" spans="1:11" ht="18">
      <c r="A121" s="163"/>
      <c r="B121" s="163"/>
      <c r="C121" s="163"/>
      <c r="D121" s="164"/>
      <c r="E121" s="164"/>
      <c r="F121" s="164"/>
      <c r="G121" s="164"/>
      <c r="H121" s="164"/>
      <c r="I121" s="164"/>
      <c r="J121" s="164"/>
      <c r="K121" s="97"/>
    </row>
    <row r="122" spans="1:11">
      <c r="A122" s="187" t="s">
        <v>986</v>
      </c>
      <c r="B122" s="187"/>
      <c r="C122" s="187"/>
      <c r="D122" s="135"/>
      <c r="E122" s="135"/>
      <c r="F122" s="135"/>
      <c r="G122" s="135"/>
      <c r="H122" s="135"/>
      <c r="I122" s="135"/>
      <c r="J122" s="135"/>
      <c r="K122" s="135"/>
    </row>
    <row r="123" spans="1:11">
      <c r="A123" s="97"/>
      <c r="B123" s="97"/>
      <c r="C123" s="97"/>
      <c r="D123" s="97"/>
      <c r="E123" s="97"/>
      <c r="F123" s="97"/>
      <c r="G123" s="97"/>
      <c r="H123" s="97"/>
      <c r="I123" s="97"/>
      <c r="J123" s="97"/>
      <c r="K123" s="97"/>
    </row>
    <row r="124" spans="1:11">
      <c r="A124" s="97"/>
      <c r="B124" s="97"/>
      <c r="C124" s="97"/>
      <c r="D124" s="97"/>
      <c r="E124" s="97"/>
      <c r="F124" s="97"/>
      <c r="G124" s="97"/>
      <c r="H124" s="97"/>
      <c r="I124" s="97"/>
      <c r="J124" s="97"/>
      <c r="K124" s="97"/>
    </row>
    <row r="125" spans="1:11">
      <c r="A125" s="97"/>
      <c r="B125" s="97"/>
      <c r="C125" s="97"/>
      <c r="D125" s="97"/>
      <c r="E125" s="97"/>
      <c r="F125" s="97"/>
      <c r="G125" s="97"/>
      <c r="H125" s="97"/>
      <c r="I125" s="97"/>
      <c r="J125" s="97"/>
      <c r="K125" s="97"/>
    </row>
    <row r="126" spans="1:11" ht="15">
      <c r="A126" s="139" t="s">
        <v>987</v>
      </c>
      <c r="B126" s="139"/>
      <c r="C126" s="139"/>
      <c r="D126" s="97"/>
      <c r="E126" s="97"/>
      <c r="F126" s="140"/>
      <c r="G126" s="140"/>
      <c r="H126" s="140"/>
      <c r="I126" s="140"/>
      <c r="J126" s="140"/>
      <c r="K126" s="140"/>
    </row>
    <row r="127" spans="1:11" ht="15">
      <c r="A127" s="139"/>
      <c r="B127" s="139"/>
      <c r="C127" s="139"/>
      <c r="D127" s="669"/>
      <c r="E127" s="97"/>
      <c r="F127" s="141"/>
      <c r="G127" s="141"/>
      <c r="H127" s="140"/>
      <c r="I127" s="140"/>
      <c r="J127" s="140"/>
      <c r="K127" s="140"/>
    </row>
    <row r="128" spans="1:11">
      <c r="A128" s="128"/>
      <c r="B128" s="1229"/>
      <c r="C128" s="1230" t="s">
        <v>511</v>
      </c>
      <c r="D128" s="1230" t="s">
        <v>511</v>
      </c>
      <c r="E128" s="1230" t="s">
        <v>511</v>
      </c>
      <c r="F128" s="2"/>
      <c r="G128" s="1230" t="s">
        <v>512</v>
      </c>
      <c r="H128" s="1230" t="s">
        <v>512</v>
      </c>
      <c r="I128" s="1230" t="s">
        <v>512</v>
      </c>
      <c r="J128" s="104"/>
      <c r="K128" s="97"/>
    </row>
    <row r="129" spans="1:11">
      <c r="A129" s="128"/>
      <c r="B129" s="1229"/>
      <c r="F129" s="2"/>
      <c r="J129" s="104"/>
      <c r="K129" s="97"/>
    </row>
    <row r="130" spans="1:11">
      <c r="A130" s="128">
        <v>1</v>
      </c>
      <c r="B130" s="1212" t="s">
        <v>989</v>
      </c>
      <c r="C130" s="1229" t="s">
        <v>408</v>
      </c>
      <c r="D130" s="1229" t="s">
        <v>409</v>
      </c>
      <c r="E130" s="1231" t="s">
        <v>410</v>
      </c>
      <c r="F130" s="2"/>
      <c r="G130" s="1229" t="s">
        <v>408</v>
      </c>
      <c r="H130" s="1229" t="s">
        <v>409</v>
      </c>
      <c r="I130" s="1231" t="s">
        <v>410</v>
      </c>
      <c r="J130" s="104"/>
      <c r="K130" s="97"/>
    </row>
    <row r="131" spans="1:11">
      <c r="A131" s="128">
        <v>2</v>
      </c>
      <c r="B131" s="1230" t="s">
        <v>1311</v>
      </c>
      <c r="C131" s="1681">
        <v>0</v>
      </c>
      <c r="D131" s="1681">
        <v>0</v>
      </c>
      <c r="E131" s="1232">
        <f>+C131/2+D131/2</f>
        <v>0</v>
      </c>
      <c r="F131" s="2"/>
      <c r="G131" s="1682"/>
      <c r="H131" s="1682"/>
      <c r="I131" s="1232">
        <f>+G131+H131</f>
        <v>0</v>
      </c>
      <c r="J131" s="104"/>
      <c r="K131" s="97"/>
    </row>
    <row r="132" spans="1:11">
      <c r="A132" s="128"/>
      <c r="B132" s="1212"/>
      <c r="C132" s="1231"/>
      <c r="D132" s="1232"/>
      <c r="E132" s="1232"/>
      <c r="F132" s="2"/>
      <c r="G132" s="1232"/>
      <c r="H132" s="1232"/>
      <c r="I132" s="1232"/>
      <c r="J132" s="104"/>
      <c r="K132" s="97"/>
    </row>
    <row r="133" spans="1:11">
      <c r="A133" s="128">
        <v>3</v>
      </c>
      <c r="B133" s="1212" t="s">
        <v>988</v>
      </c>
      <c r="C133" s="1231"/>
      <c r="D133" s="1232" t="s">
        <v>988</v>
      </c>
      <c r="E133" s="1232"/>
      <c r="F133" s="2"/>
      <c r="G133" s="1232"/>
      <c r="H133" s="1232" t="str">
        <f>+D133</f>
        <v>Amortization</v>
      </c>
      <c r="I133" s="1232"/>
      <c r="J133" s="104"/>
      <c r="K133" s="97"/>
    </row>
    <row r="134" spans="1:11">
      <c r="A134" s="128">
        <v>4</v>
      </c>
      <c r="B134" s="1230" t="s">
        <v>1312</v>
      </c>
      <c r="C134" s="1682"/>
      <c r="D134" s="1681"/>
      <c r="E134" s="130"/>
      <c r="F134" s="2"/>
      <c r="G134" s="1682">
        <v>0</v>
      </c>
      <c r="H134" s="1682">
        <v>0</v>
      </c>
      <c r="I134" s="1373">
        <f>AVERAGE(G134,H134)</f>
        <v>0</v>
      </c>
      <c r="J134" s="104"/>
      <c r="K134" s="97"/>
    </row>
    <row r="135" spans="1:11">
      <c r="A135" s="128"/>
      <c r="B135" s="1212"/>
      <c r="C135" s="1231"/>
      <c r="D135" s="1232"/>
      <c r="E135" s="1232"/>
      <c r="F135" s="2"/>
      <c r="G135" s="1232"/>
      <c r="H135" s="1232"/>
      <c r="I135" s="1232"/>
      <c r="J135" s="104"/>
      <c r="K135" s="97"/>
    </row>
    <row r="136" spans="1:11">
      <c r="A136" s="128">
        <v>5</v>
      </c>
      <c r="B136" s="1212" t="s">
        <v>972</v>
      </c>
      <c r="C136" s="1231"/>
      <c r="D136" s="1232">
        <f>+D134+D131</f>
        <v>0</v>
      </c>
      <c r="E136" s="1232"/>
      <c r="F136" s="2"/>
      <c r="G136" s="1232">
        <f>+G134+G131</f>
        <v>0</v>
      </c>
      <c r="H136" s="1232">
        <f>+H134+H131</f>
        <v>0</v>
      </c>
      <c r="I136" s="1232">
        <f>+I134+I131</f>
        <v>0</v>
      </c>
      <c r="J136" s="104"/>
      <c r="K136" s="97"/>
    </row>
    <row r="137" spans="1:11">
      <c r="A137" s="128"/>
      <c r="B137" s="1212"/>
      <c r="C137" s="1231"/>
      <c r="D137" s="1232"/>
      <c r="E137" s="1232"/>
      <c r="F137" s="2"/>
      <c r="G137" s="1232"/>
      <c r="H137" s="1232"/>
      <c r="I137" s="1232"/>
      <c r="J137" s="104"/>
      <c r="K137" s="97"/>
    </row>
    <row r="138" spans="1:11">
      <c r="A138" s="128">
        <v>6</v>
      </c>
      <c r="B138" s="1212" t="s">
        <v>1056</v>
      </c>
      <c r="C138" s="1231"/>
      <c r="D138" s="1232">
        <f>D136</f>
        <v>0</v>
      </c>
      <c r="E138" s="1232"/>
      <c r="F138" s="2"/>
      <c r="G138" s="1232">
        <f>G136</f>
        <v>0</v>
      </c>
      <c r="H138" s="1232">
        <f>H136</f>
        <v>0</v>
      </c>
      <c r="I138" s="1232">
        <f>I136</f>
        <v>0</v>
      </c>
      <c r="J138" s="104"/>
      <c r="K138" s="97"/>
    </row>
    <row r="139" spans="1:11">
      <c r="A139" s="129"/>
      <c r="B139" s="1212"/>
      <c r="C139" s="1212"/>
      <c r="D139" s="1212"/>
      <c r="E139" s="1232"/>
      <c r="F139" s="2"/>
      <c r="G139" s="1232"/>
      <c r="H139" s="1232"/>
      <c r="I139" s="1232"/>
      <c r="J139" s="104"/>
      <c r="K139" s="97"/>
    </row>
    <row r="140" spans="1:11">
      <c r="A140" s="128">
        <v>7</v>
      </c>
      <c r="B140" s="129" t="s">
        <v>990</v>
      </c>
      <c r="C140" s="128"/>
      <c r="D140" s="1212"/>
      <c r="E140" s="159">
        <f>+E136-E138</f>
        <v>0</v>
      </c>
      <c r="G140" s="159">
        <f>+G136-G138</f>
        <v>0</v>
      </c>
      <c r="H140" s="159">
        <f>+H136-H138</f>
        <v>0</v>
      </c>
      <c r="I140" s="159">
        <f>+I136-I138</f>
        <v>0</v>
      </c>
      <c r="J140" s="97"/>
      <c r="K140" s="97"/>
    </row>
    <row r="141" spans="1:11">
      <c r="A141" s="97"/>
      <c r="B141" s="97"/>
      <c r="C141" s="97"/>
      <c r="D141" s="97"/>
      <c r="E141" s="97"/>
      <c r="F141" s="156"/>
      <c r="G141" s="156"/>
      <c r="I141" s="97"/>
      <c r="J141" s="97"/>
      <c r="K141" s="97"/>
    </row>
    <row r="142" spans="1:11">
      <c r="A142" s="136"/>
      <c r="B142" s="136"/>
      <c r="C142" s="136"/>
      <c r="D142" s="97" t="s">
        <v>991</v>
      </c>
      <c r="E142" s="97"/>
      <c r="F142" s="97"/>
      <c r="G142" s="97"/>
      <c r="I142" s="97"/>
      <c r="J142" s="97"/>
      <c r="K142" s="97"/>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7">
    <mergeCell ref="A114:F114"/>
    <mergeCell ref="A118:F118"/>
    <mergeCell ref="A56:F56"/>
    <mergeCell ref="A1:J1"/>
    <mergeCell ref="A76:F76"/>
    <mergeCell ref="A52:F52"/>
    <mergeCell ref="A80:F80"/>
  </mergeCells>
  <phoneticPr fontId="0" type="noConversion"/>
  <printOptions horizontalCentered="1"/>
  <pageMargins left="0.5" right="0.5" top="1" bottom="0.5" header="0.5" footer="0.5"/>
  <pageSetup scale="54" fitToHeight="5" orientation="landscape" r:id="rId10"/>
  <headerFooter alignWithMargins="0"/>
  <rowBreaks count="4" manualBreakCount="4">
    <brk id="58" max="8" man="1"/>
    <brk id="119" max="8" man="1"/>
    <brk id="148"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16"/>
  <sheetViews>
    <sheetView tabSelected="1" topLeftCell="A28" zoomScale="75" zoomScaleNormal="75" workbookViewId="0">
      <selection activeCell="G55" sqref="G55"/>
    </sheetView>
  </sheetViews>
  <sheetFormatPr defaultRowHeight="12.75"/>
  <cols>
    <col min="1" max="2" width="4.7109375" customWidth="1"/>
    <col min="3" max="3" width="63" customWidth="1"/>
    <col min="4" max="4" width="3.140625" customWidth="1"/>
    <col min="5" max="5" width="14.42578125" style="90" customWidth="1"/>
    <col min="6" max="6" width="15.28515625" customWidth="1"/>
    <col min="7" max="7" width="17.42578125" customWidth="1"/>
    <col min="8" max="8" width="10.85546875" customWidth="1"/>
    <col min="9" max="9" width="4" customWidth="1"/>
    <col min="12" max="12" width="15.28515625" customWidth="1"/>
  </cols>
  <sheetData>
    <row r="1" spans="1:8" ht="18">
      <c r="A1" s="1914" t="str">
        <f>+'ATT H-1 '!A3</f>
        <v xml:space="preserve">Puget Sound Energy </v>
      </c>
      <c r="B1" s="1914"/>
      <c r="C1" s="1914"/>
      <c r="D1" s="1914"/>
      <c r="E1" s="1914"/>
      <c r="F1" s="1914"/>
      <c r="G1" s="1914"/>
      <c r="H1" s="1916"/>
    </row>
    <row r="2" spans="1:8">
      <c r="A2" s="92"/>
    </row>
    <row r="3" spans="1:8" ht="15.75">
      <c r="A3" s="1917" t="s">
        <v>781</v>
      </c>
      <c r="B3" s="1918"/>
      <c r="C3" s="1918"/>
      <c r="D3" s="1918"/>
      <c r="E3" s="1918"/>
      <c r="F3" s="1919"/>
      <c r="G3" s="1919"/>
      <c r="H3" s="1919"/>
    </row>
    <row r="5" spans="1:8">
      <c r="D5" s="93"/>
    </row>
    <row r="7" spans="1:8">
      <c r="D7" s="87"/>
      <c r="E7" s="127" t="s">
        <v>136</v>
      </c>
      <c r="F7" s="127"/>
      <c r="G7" s="127" t="s">
        <v>144</v>
      </c>
      <c r="H7" s="87"/>
    </row>
    <row r="8" spans="1:8">
      <c r="A8" s="788" t="s">
        <v>883</v>
      </c>
      <c r="B8" s="80"/>
      <c r="D8" s="87"/>
      <c r="E8" s="127" t="s">
        <v>137</v>
      </c>
      <c r="F8" s="127" t="s">
        <v>1012</v>
      </c>
      <c r="G8" s="127" t="s">
        <v>145</v>
      </c>
      <c r="H8" s="87"/>
    </row>
    <row r="9" spans="1:8">
      <c r="A9" s="80"/>
      <c r="B9" s="80"/>
      <c r="D9" s="87"/>
      <c r="E9" s="98"/>
      <c r="F9" s="87"/>
      <c r="G9" s="87"/>
      <c r="H9" s="87"/>
    </row>
    <row r="10" spans="1:8">
      <c r="A10" s="119"/>
      <c r="B10" s="119"/>
      <c r="C10" s="2"/>
      <c r="D10" s="87"/>
      <c r="E10" s="98"/>
      <c r="F10" s="87"/>
      <c r="G10" s="87"/>
      <c r="H10" s="87"/>
    </row>
    <row r="11" spans="1:8">
      <c r="A11" s="2"/>
      <c r="B11" s="176"/>
      <c r="C11" s="2"/>
      <c r="D11" s="87"/>
      <c r="E11" s="98"/>
      <c r="F11" s="2"/>
      <c r="G11" s="87"/>
      <c r="H11" s="89"/>
    </row>
    <row r="12" spans="1:8">
      <c r="A12" s="2"/>
      <c r="B12" s="180" t="s">
        <v>135</v>
      </c>
      <c r="C12" s="2"/>
      <c r="D12" s="87"/>
      <c r="E12" s="91"/>
      <c r="F12" s="1460" t="s">
        <v>860</v>
      </c>
      <c r="G12" s="87"/>
      <c r="H12" s="89"/>
    </row>
    <row r="13" spans="1:8">
      <c r="A13" s="2"/>
      <c r="B13" s="84"/>
      <c r="C13" s="2"/>
      <c r="D13" s="87"/>
      <c r="E13" s="91"/>
      <c r="F13" s="87"/>
      <c r="G13" s="87"/>
      <c r="H13" s="89"/>
    </row>
    <row r="14" spans="1:8" s="344" customFormat="1" ht="12.75" customHeight="1">
      <c r="A14" s="1233"/>
      <c r="B14" s="1376">
        <v>1</v>
      </c>
      <c r="C14" s="1478" t="s">
        <v>1283</v>
      </c>
      <c r="D14" s="725"/>
      <c r="E14" s="1476">
        <v>44737933</v>
      </c>
      <c r="F14" s="813">
        <f>+'ATT H-1 '!$H$23</f>
        <v>0.15809691265489689</v>
      </c>
      <c r="G14" s="1234">
        <f t="shared" ref="G14:G19" si="0">+F14*E14</f>
        <v>7072929.0858616289</v>
      </c>
      <c r="H14" s="1920"/>
    </row>
    <row r="15" spans="1:8" ht="12.75" customHeight="1">
      <c r="A15" s="2"/>
      <c r="B15" s="1377">
        <v>2</v>
      </c>
      <c r="C15" s="1474"/>
      <c r="D15" s="179"/>
      <c r="E15" s="1476"/>
      <c r="F15" s="813">
        <f>+F16</f>
        <v>0.15809691265489689</v>
      </c>
      <c r="G15" s="1235">
        <f t="shared" si="0"/>
        <v>0</v>
      </c>
      <c r="H15" s="1920"/>
    </row>
    <row r="16" spans="1:8" ht="12.75" customHeight="1">
      <c r="A16" s="2"/>
      <c r="B16" s="1377">
        <v>3</v>
      </c>
      <c r="C16" s="1474"/>
      <c r="D16" s="179"/>
      <c r="E16" s="1476"/>
      <c r="F16" s="813">
        <f>+F17</f>
        <v>0.15809691265489689</v>
      </c>
      <c r="G16" s="1235">
        <f t="shared" si="0"/>
        <v>0</v>
      </c>
      <c r="H16" s="82"/>
    </row>
    <row r="17" spans="1:8" ht="12.75" customHeight="1">
      <c r="A17" s="2"/>
      <c r="B17" s="1377">
        <v>4</v>
      </c>
      <c r="C17" s="1474"/>
      <c r="D17" s="179"/>
      <c r="E17" s="1476"/>
      <c r="F17" s="813">
        <f>+F18</f>
        <v>0.15809691265489689</v>
      </c>
      <c r="G17" s="1235">
        <f t="shared" si="0"/>
        <v>0</v>
      </c>
      <c r="H17" s="82"/>
    </row>
    <row r="18" spans="1:8" ht="12.75" customHeight="1">
      <c r="A18" s="2"/>
      <c r="B18" s="1377">
        <v>5</v>
      </c>
      <c r="C18" s="1474"/>
      <c r="D18" s="179"/>
      <c r="E18" s="1479"/>
      <c r="F18" s="813">
        <f>+F19</f>
        <v>0.15809691265489689</v>
      </c>
      <c r="G18" s="1235">
        <f t="shared" si="0"/>
        <v>0</v>
      </c>
      <c r="H18" s="2" t="s">
        <v>876</v>
      </c>
    </row>
    <row r="19" spans="1:8" ht="12.75" customHeight="1">
      <c r="A19" s="2"/>
      <c r="B19" s="1377"/>
      <c r="C19" s="1475"/>
      <c r="D19" s="179"/>
      <c r="E19" s="1479"/>
      <c r="F19" s="813">
        <f>+'ATT H-1 '!$H$23</f>
        <v>0.15809691265489689</v>
      </c>
      <c r="G19" s="1235">
        <f t="shared" si="0"/>
        <v>0</v>
      </c>
      <c r="H19" s="82"/>
    </row>
    <row r="20" spans="1:8" ht="12.75" customHeight="1">
      <c r="A20" s="2"/>
      <c r="B20" s="180" t="s">
        <v>140</v>
      </c>
      <c r="C20" s="2"/>
      <c r="D20" s="179"/>
      <c r="E20" s="108">
        <f>SUM(E14:E19)</f>
        <v>44737933</v>
      </c>
      <c r="F20" s="2"/>
      <c r="G20" s="108">
        <f>SUM(G14:G19)</f>
        <v>7072929.0858616289</v>
      </c>
      <c r="H20" s="82"/>
    </row>
    <row r="21" spans="1:8" ht="12.75" customHeight="1">
      <c r="A21" s="2"/>
      <c r="B21" s="84"/>
      <c r="C21" s="2"/>
      <c r="D21" s="179"/>
      <c r="E21" s="1236"/>
      <c r="F21" s="179"/>
      <c r="G21" s="179"/>
      <c r="H21" s="82"/>
    </row>
    <row r="22" spans="1:8" ht="12.75" customHeight="1">
      <c r="A22" s="2"/>
      <c r="B22" s="84"/>
      <c r="C22" s="2"/>
      <c r="D22" s="179"/>
      <c r="E22" s="1236"/>
      <c r="F22" s="179"/>
      <c r="G22" s="179"/>
      <c r="H22" s="82"/>
    </row>
    <row r="23" spans="1:8" ht="12.75" customHeight="1">
      <c r="A23" s="2"/>
      <c r="B23" s="180" t="s">
        <v>138</v>
      </c>
      <c r="C23" s="2"/>
      <c r="D23" s="179"/>
      <c r="E23" s="1236"/>
      <c r="F23" s="1461" t="s">
        <v>993</v>
      </c>
      <c r="G23" s="179"/>
      <c r="H23" s="82"/>
    </row>
    <row r="24" spans="1:8" ht="12.75" customHeight="1">
      <c r="A24" s="2"/>
      <c r="B24" s="180"/>
      <c r="C24" s="2"/>
      <c r="D24" s="179"/>
      <c r="E24" s="122"/>
      <c r="F24" s="2"/>
      <c r="G24" s="179"/>
      <c r="H24" s="82"/>
    </row>
    <row r="25" spans="1:8" ht="12.75" customHeight="1">
      <c r="A25" s="2"/>
      <c r="B25" s="84"/>
      <c r="C25" s="2"/>
      <c r="D25" s="179"/>
      <c r="E25" s="1236"/>
      <c r="F25" s="179"/>
      <c r="G25" s="179"/>
      <c r="H25" s="82"/>
    </row>
    <row r="26" spans="1:8" ht="12.75" customHeight="1">
      <c r="A26" s="2"/>
      <c r="B26" s="1374">
        <v>6</v>
      </c>
      <c r="C26" s="1473" t="s">
        <v>1074</v>
      </c>
      <c r="D26" s="726"/>
      <c r="E26" s="1476">
        <v>9185789</v>
      </c>
      <c r="F26" s="726"/>
      <c r="G26" s="726"/>
      <c r="H26" s="83"/>
    </row>
    <row r="27" spans="1:8">
      <c r="A27" s="2"/>
      <c r="B27" s="1374"/>
      <c r="C27" s="1474"/>
      <c r="D27" s="2"/>
      <c r="E27" s="1476"/>
      <c r="F27" s="2"/>
      <c r="G27" s="2"/>
    </row>
    <row r="28" spans="1:8">
      <c r="A28" s="2"/>
      <c r="B28" s="1374"/>
      <c r="C28" s="1475"/>
      <c r="D28" s="2"/>
      <c r="E28" s="1477"/>
      <c r="F28" s="2"/>
      <c r="G28" s="2"/>
    </row>
    <row r="29" spans="1:8">
      <c r="A29" s="2"/>
      <c r="B29" s="1374"/>
      <c r="C29" s="1475"/>
      <c r="D29" s="2"/>
      <c r="E29" s="1477"/>
      <c r="F29" s="2"/>
      <c r="G29" s="2"/>
    </row>
    <row r="30" spans="1:8">
      <c r="A30" s="2"/>
      <c r="B30" s="84"/>
      <c r="C30" s="1475"/>
      <c r="D30" s="2"/>
      <c r="E30" s="1477"/>
      <c r="F30" s="2"/>
      <c r="G30" s="2"/>
    </row>
    <row r="31" spans="1:8">
      <c r="A31" s="2"/>
      <c r="B31" s="180" t="s">
        <v>141</v>
      </c>
      <c r="C31" s="2"/>
      <c r="D31" s="2"/>
      <c r="E31" s="108">
        <f>SUM(E26:E30)</f>
        <v>9185789</v>
      </c>
      <c r="F31" s="813">
        <f>+'ATT H-1 '!H13</f>
        <v>0.12652289669965341</v>
      </c>
      <c r="G31" s="108">
        <f>+F31*E31</f>
        <v>1162212.6327518127</v>
      </c>
    </row>
    <row r="32" spans="1:8">
      <c r="A32" s="2"/>
      <c r="B32" s="180"/>
      <c r="C32" s="1236"/>
      <c r="D32" s="2"/>
      <c r="E32" s="122"/>
      <c r="F32" s="2"/>
      <c r="G32" s="2"/>
    </row>
    <row r="33" spans="1:7">
      <c r="A33" s="2"/>
      <c r="B33" s="84"/>
      <c r="C33" s="2"/>
      <c r="D33" s="2"/>
      <c r="E33" s="122"/>
      <c r="F33" s="2"/>
      <c r="G33" s="2"/>
    </row>
    <row r="34" spans="1:7">
      <c r="A34" s="2"/>
      <c r="B34" s="180" t="s">
        <v>139</v>
      </c>
      <c r="C34" s="2"/>
      <c r="D34" s="2"/>
      <c r="E34" s="122"/>
      <c r="F34" s="1460" t="s">
        <v>860</v>
      </c>
      <c r="G34" s="2"/>
    </row>
    <row r="35" spans="1:7">
      <c r="A35" s="2"/>
      <c r="B35" s="84"/>
      <c r="C35" s="2"/>
      <c r="D35" s="2"/>
      <c r="E35" s="122"/>
      <c r="F35" s="2"/>
      <c r="G35" s="2"/>
    </row>
    <row r="36" spans="1:7">
      <c r="A36" s="2"/>
      <c r="B36" s="84">
        <v>7</v>
      </c>
      <c r="C36" s="726" t="s">
        <v>1069</v>
      </c>
      <c r="D36" s="2"/>
      <c r="E36" s="122">
        <v>0</v>
      </c>
      <c r="F36" s="2"/>
      <c r="G36" s="2"/>
    </row>
    <row r="37" spans="1:7">
      <c r="A37" s="2"/>
      <c r="B37" s="84"/>
      <c r="C37" s="84"/>
      <c r="D37" s="2"/>
      <c r="E37" s="108"/>
      <c r="F37" s="2"/>
      <c r="G37" s="2"/>
    </row>
    <row r="38" spans="1:7">
      <c r="A38" s="2"/>
      <c r="B38" s="84"/>
      <c r="C38" s="2"/>
      <c r="D38" s="2"/>
      <c r="E38" s="122"/>
      <c r="F38" s="2"/>
      <c r="G38" s="2"/>
    </row>
    <row r="39" spans="1:7">
      <c r="A39" s="2"/>
      <c r="B39" s="84"/>
      <c r="C39" s="2"/>
      <c r="D39" s="2"/>
      <c r="E39" s="122"/>
      <c r="F39" s="2"/>
      <c r="G39" s="2"/>
    </row>
    <row r="40" spans="1:7">
      <c r="A40" s="2"/>
      <c r="B40" s="180" t="s">
        <v>142</v>
      </c>
      <c r="C40" s="2"/>
      <c r="D40" s="2"/>
      <c r="E40" s="108">
        <f>SUM(E36:E39)</f>
        <v>0</v>
      </c>
      <c r="F40" s="813">
        <f>+F19</f>
        <v>0.15809691265489689</v>
      </c>
      <c r="G40" s="108">
        <f>+F40*E40</f>
        <v>0</v>
      </c>
    </row>
    <row r="41" spans="1:7">
      <c r="A41" s="2"/>
      <c r="B41" s="180"/>
      <c r="C41" s="2"/>
      <c r="D41" s="2"/>
      <c r="E41" s="108"/>
      <c r="F41" s="813"/>
      <c r="G41" s="108"/>
    </row>
    <row r="42" spans="1:7">
      <c r="A42" s="2"/>
      <c r="B42" s="180" t="s">
        <v>1089</v>
      </c>
      <c r="C42" s="2"/>
      <c r="D42" s="2"/>
      <c r="E42" s="108"/>
      <c r="F42" s="813"/>
      <c r="G42" s="108"/>
    </row>
    <row r="43" spans="1:7">
      <c r="A43" s="2"/>
      <c r="B43" s="1474">
        <v>8</v>
      </c>
      <c r="C43" s="1475" t="s">
        <v>1090</v>
      </c>
      <c r="D43" s="1475"/>
      <c r="E43" s="1476"/>
      <c r="F43" s="813"/>
      <c r="G43" s="108"/>
    </row>
    <row r="44" spans="1:7">
      <c r="A44" s="2"/>
      <c r="B44" s="84"/>
      <c r="C44" s="2"/>
      <c r="D44" s="2"/>
      <c r="E44" s="108"/>
      <c r="F44" s="813"/>
      <c r="G44" s="108"/>
    </row>
    <row r="45" spans="1:7">
      <c r="A45" s="2"/>
      <c r="B45" s="180" t="s">
        <v>1091</v>
      </c>
      <c r="C45" s="2"/>
      <c r="D45" s="2"/>
      <c r="E45" s="108">
        <f>SUM(E43:E44)</f>
        <v>0</v>
      </c>
      <c r="F45" s="813">
        <v>1</v>
      </c>
      <c r="G45" s="108">
        <f>E45*F45</f>
        <v>0</v>
      </c>
    </row>
    <row r="46" spans="1:7">
      <c r="A46" s="2"/>
      <c r="B46" s="84"/>
      <c r="C46" s="2"/>
      <c r="D46" s="2"/>
      <c r="E46" s="122"/>
      <c r="F46" s="2"/>
      <c r="G46" s="2"/>
    </row>
    <row r="47" spans="1:7">
      <c r="A47" s="2"/>
      <c r="B47" s="180" t="s">
        <v>107</v>
      </c>
      <c r="C47" s="2"/>
      <c r="D47" s="2"/>
      <c r="E47" s="122"/>
      <c r="F47" s="2"/>
      <c r="G47" s="1237">
        <f>+G40+G31+G20+G45</f>
        <v>8235141.718613442</v>
      </c>
    </row>
    <row r="48" spans="1:7">
      <c r="A48" s="2"/>
      <c r="B48" s="180"/>
      <c r="C48" s="2"/>
      <c r="D48" s="2"/>
      <c r="E48" s="122"/>
      <c r="F48" s="2"/>
      <c r="G48" s="1237"/>
    </row>
    <row r="49" spans="1:9">
      <c r="A49" s="2"/>
      <c r="B49" s="180" t="s">
        <v>108</v>
      </c>
      <c r="C49" s="2"/>
      <c r="D49" s="2"/>
      <c r="E49" s="1593">
        <v>12040484</v>
      </c>
      <c r="F49" s="2"/>
      <c r="G49" s="1502">
        <v>12040484</v>
      </c>
    </row>
    <row r="50" spans="1:9">
      <c r="A50" s="2"/>
      <c r="B50" s="180" t="s">
        <v>109</v>
      </c>
      <c r="C50" s="99"/>
      <c r="D50" s="2"/>
      <c r="E50" s="1593">
        <f>G50</f>
        <v>593430</v>
      </c>
      <c r="F50" s="2"/>
      <c r="G50" s="1494">
        <v>593430</v>
      </c>
    </row>
    <row r="51" spans="1:9">
      <c r="A51" s="2"/>
      <c r="B51" s="180"/>
      <c r="C51" s="99"/>
      <c r="D51" s="2"/>
      <c r="E51" s="122"/>
      <c r="F51" s="2"/>
      <c r="G51" s="177"/>
    </row>
    <row r="52" spans="1:9">
      <c r="A52" s="2"/>
      <c r="B52" s="180" t="s">
        <v>110</v>
      </c>
      <c r="C52" s="99"/>
      <c r="D52" s="2"/>
      <c r="E52" s="122"/>
      <c r="F52" s="2"/>
      <c r="G52" s="1820">
        <f>G47</f>
        <v>8235141.718613442</v>
      </c>
    </row>
    <row r="53" spans="1:9">
      <c r="A53" s="2"/>
      <c r="B53" s="2"/>
      <c r="C53" s="99"/>
      <c r="D53" s="2"/>
      <c r="E53" s="122"/>
      <c r="F53" s="2"/>
      <c r="G53" s="2"/>
    </row>
    <row r="54" spans="1:9">
      <c r="A54" s="2"/>
      <c r="B54" s="2"/>
      <c r="C54" s="119" t="s">
        <v>143</v>
      </c>
      <c r="D54" s="2"/>
      <c r="E54" s="122"/>
      <c r="F54" s="2"/>
      <c r="G54" s="2"/>
    </row>
    <row r="55" spans="1:9">
      <c r="A55" s="2"/>
      <c r="B55" s="2"/>
      <c r="C55" s="2"/>
      <c r="D55" s="2"/>
      <c r="E55" s="122"/>
      <c r="F55" s="2"/>
      <c r="G55" s="119"/>
      <c r="H55" s="2"/>
      <c r="I55" s="2"/>
    </row>
    <row r="56" spans="1:9">
      <c r="A56" s="2"/>
      <c r="B56" s="1375">
        <f>B43+1</f>
        <v>9</v>
      </c>
      <c r="C56" s="1473" t="s">
        <v>1075</v>
      </c>
      <c r="D56" s="2"/>
      <c r="E56" s="1476">
        <v>83575402</v>
      </c>
      <c r="F56" s="109"/>
      <c r="G56" s="2"/>
      <c r="H56" s="99"/>
      <c r="I56" s="2"/>
    </row>
    <row r="57" spans="1:9">
      <c r="A57" s="2"/>
      <c r="B57" s="1375">
        <f t="shared" ref="B57:B64" si="1">+B56+1</f>
        <v>10</v>
      </c>
      <c r="C57" s="1473" t="s">
        <v>1076</v>
      </c>
      <c r="D57" s="2"/>
      <c r="E57" s="1476">
        <v>80426732</v>
      </c>
      <c r="F57" s="109"/>
      <c r="G57" s="2"/>
      <c r="H57" s="99"/>
      <c r="I57" s="2"/>
    </row>
    <row r="58" spans="1:9">
      <c r="A58" s="2"/>
      <c r="B58" s="1375">
        <f t="shared" si="1"/>
        <v>11</v>
      </c>
      <c r="C58" s="1473" t="s">
        <v>179</v>
      </c>
      <c r="D58" s="2"/>
      <c r="E58" s="1476">
        <v>1539549</v>
      </c>
      <c r="F58" s="2"/>
      <c r="G58" s="2"/>
      <c r="H58" s="99"/>
      <c r="I58" s="2"/>
    </row>
    <row r="59" spans="1:9">
      <c r="A59" s="2"/>
      <c r="B59" s="1375">
        <f t="shared" si="1"/>
        <v>12</v>
      </c>
      <c r="C59" s="1478"/>
      <c r="D59" s="2"/>
      <c r="E59" s="1476"/>
      <c r="F59" s="2"/>
      <c r="G59" s="2"/>
      <c r="H59" s="99"/>
      <c r="I59" s="2"/>
    </row>
    <row r="60" spans="1:9">
      <c r="A60" s="2"/>
      <c r="B60" s="1375">
        <f>+B59+1</f>
        <v>13</v>
      </c>
      <c r="C60" s="1480"/>
      <c r="D60" s="2"/>
      <c r="E60" s="1476"/>
      <c r="F60" s="2"/>
      <c r="G60" s="2"/>
    </row>
    <row r="61" spans="1:9">
      <c r="A61" s="2"/>
      <c r="B61" s="1375">
        <f t="shared" si="1"/>
        <v>14</v>
      </c>
      <c r="C61" s="1480"/>
      <c r="D61" s="2"/>
      <c r="E61" s="1476"/>
      <c r="F61" s="2"/>
      <c r="G61" s="2"/>
    </row>
    <row r="62" spans="1:9">
      <c r="A62" s="2"/>
      <c r="B62" s="1375">
        <f t="shared" si="1"/>
        <v>15</v>
      </c>
      <c r="C62" s="1480"/>
      <c r="D62" s="2"/>
      <c r="E62" s="1476"/>
      <c r="F62" s="2"/>
      <c r="G62" s="2"/>
    </row>
    <row r="63" spans="1:9">
      <c r="A63" s="2"/>
      <c r="B63" s="1375">
        <f t="shared" si="1"/>
        <v>16</v>
      </c>
      <c r="C63" s="1480"/>
      <c r="D63" s="2"/>
      <c r="E63" s="1476"/>
      <c r="F63" s="2"/>
      <c r="G63" s="2"/>
    </row>
    <row r="64" spans="1:9">
      <c r="A64" s="2"/>
      <c r="B64" s="1375">
        <f t="shared" si="1"/>
        <v>17</v>
      </c>
      <c r="C64" s="1480"/>
      <c r="D64" s="2"/>
      <c r="E64" s="1476"/>
      <c r="F64" s="2"/>
      <c r="G64" s="2"/>
    </row>
    <row r="65" spans="1:12">
      <c r="A65" s="2"/>
      <c r="B65" s="1375">
        <f>B64+1</f>
        <v>18</v>
      </c>
      <c r="C65" s="1480"/>
      <c r="D65" s="2"/>
      <c r="E65" s="1476"/>
      <c r="F65" s="2"/>
      <c r="G65" s="2"/>
    </row>
    <row r="66" spans="1:12">
      <c r="A66" s="2"/>
      <c r="B66" s="1375">
        <f>B65+1</f>
        <v>19</v>
      </c>
      <c r="C66" s="1480"/>
      <c r="D66" s="2"/>
      <c r="E66" s="1476"/>
      <c r="F66" s="2"/>
      <c r="G66" s="2"/>
    </row>
    <row r="67" spans="1:12">
      <c r="A67" s="2"/>
      <c r="B67" s="1375">
        <f>B66+1</f>
        <v>20</v>
      </c>
      <c r="C67" s="1480"/>
      <c r="D67" s="2"/>
      <c r="E67" s="1476"/>
      <c r="F67" s="2"/>
      <c r="G67" s="104"/>
      <c r="H67" s="97"/>
      <c r="I67" s="97"/>
      <c r="J67" s="97"/>
    </row>
    <row r="68" spans="1:12">
      <c r="A68" s="2"/>
      <c r="B68" s="1375">
        <f>B67+1</f>
        <v>21</v>
      </c>
      <c r="C68" s="1474"/>
      <c r="D68" s="2"/>
      <c r="E68" s="1476"/>
      <c r="F68" s="2"/>
      <c r="G68" s="146"/>
      <c r="H68" s="97"/>
      <c r="I68" s="97"/>
      <c r="J68" s="97"/>
    </row>
    <row r="69" spans="1:12">
      <c r="A69" s="2"/>
      <c r="B69" s="2"/>
      <c r="C69" s="2"/>
      <c r="D69" s="2"/>
      <c r="F69" s="2"/>
      <c r="G69" s="146"/>
      <c r="H69" s="97"/>
      <c r="I69" s="97"/>
      <c r="J69" s="97"/>
    </row>
    <row r="70" spans="1:12">
      <c r="A70" s="2"/>
      <c r="B70" s="2">
        <f>B68+1</f>
        <v>22</v>
      </c>
      <c r="C70" s="104" t="s">
        <v>999</v>
      </c>
      <c r="D70" s="2"/>
      <c r="E70" s="1594">
        <f>E58+E57+E56+E50+E49+E31+E20+E59</f>
        <v>232099319</v>
      </c>
      <c r="F70" s="2"/>
      <c r="G70" s="1596"/>
      <c r="H70" s="97"/>
      <c r="I70" s="97"/>
      <c r="J70" s="97"/>
      <c r="K70" s="2"/>
      <c r="L70" s="2"/>
    </row>
    <row r="71" spans="1:12">
      <c r="A71" s="2"/>
      <c r="B71" s="2"/>
      <c r="C71" s="1185"/>
      <c r="D71" s="2"/>
      <c r="E71" s="122"/>
      <c r="F71" s="2"/>
      <c r="G71" s="146"/>
      <c r="H71" s="97"/>
      <c r="I71" s="97"/>
      <c r="J71" s="97"/>
      <c r="K71" s="2"/>
      <c r="L71" s="2"/>
    </row>
    <row r="72" spans="1:12">
      <c r="A72" s="2"/>
      <c r="B72" s="2">
        <f>+B70+1</f>
        <v>23</v>
      </c>
      <c r="C72" s="1185" t="s">
        <v>1004</v>
      </c>
      <c r="D72" s="1238"/>
      <c r="E72" s="1622"/>
      <c r="F72" s="1720"/>
      <c r="G72" s="120"/>
      <c r="H72" s="121"/>
      <c r="I72" s="97"/>
      <c r="J72" s="642"/>
      <c r="K72" s="2"/>
      <c r="L72" s="2"/>
    </row>
    <row r="73" spans="1:12">
      <c r="A73" s="2"/>
      <c r="B73" s="2"/>
      <c r="C73" s="107"/>
      <c r="D73" s="107"/>
      <c r="E73" s="124"/>
      <c r="F73" s="120"/>
      <c r="G73" s="120"/>
      <c r="H73" s="121"/>
      <c r="I73" s="97"/>
      <c r="J73" s="97"/>
      <c r="K73" s="2"/>
      <c r="L73" s="2"/>
    </row>
    <row r="74" spans="1:12">
      <c r="B74">
        <f>+B72+1</f>
        <v>24</v>
      </c>
      <c r="C74" s="107" t="s">
        <v>837</v>
      </c>
      <c r="D74" s="151"/>
      <c r="E74" s="123">
        <f>+E70-E72</f>
        <v>232099319</v>
      </c>
      <c r="F74" s="120"/>
      <c r="G74" s="120"/>
      <c r="H74" s="121"/>
      <c r="I74" s="97"/>
      <c r="J74" s="97"/>
    </row>
    <row r="75" spans="1:12">
      <c r="C75" s="107"/>
      <c r="D75" s="151"/>
      <c r="E75" s="123"/>
      <c r="F75" s="120"/>
      <c r="G75" s="120"/>
      <c r="H75" s="121"/>
    </row>
    <row r="76" spans="1:12">
      <c r="B76" s="2" t="s">
        <v>992</v>
      </c>
      <c r="C76" s="84"/>
      <c r="D76" s="2"/>
      <c r="E76" s="108"/>
      <c r="F76" s="109"/>
      <c r="G76" s="109"/>
      <c r="H76" s="109"/>
    </row>
    <row r="77" spans="1:12">
      <c r="B77" s="2" t="s">
        <v>878</v>
      </c>
      <c r="C77" s="84" t="s">
        <v>838</v>
      </c>
      <c r="D77" s="2"/>
      <c r="E77" s="108"/>
      <c r="F77" s="109"/>
      <c r="G77" s="109"/>
      <c r="H77" s="109"/>
    </row>
    <row r="78" spans="1:12">
      <c r="B78" s="2"/>
      <c r="C78" s="126" t="s">
        <v>697</v>
      </c>
      <c r="D78" s="2"/>
      <c r="E78" s="108"/>
      <c r="F78" s="2"/>
      <c r="G78" s="109"/>
      <c r="H78" s="109"/>
    </row>
    <row r="79" spans="1:12">
      <c r="B79" s="2" t="s">
        <v>973</v>
      </c>
      <c r="C79" s="84" t="s">
        <v>839</v>
      </c>
      <c r="D79" s="2"/>
      <c r="E79" s="108"/>
      <c r="F79" s="2"/>
      <c r="G79" s="109"/>
      <c r="H79" s="109"/>
    </row>
    <row r="80" spans="1:12">
      <c r="B80" s="2"/>
      <c r="C80" s="126" t="s">
        <v>697</v>
      </c>
      <c r="D80" s="2"/>
      <c r="E80" s="108"/>
      <c r="F80" s="2"/>
      <c r="G80" s="109"/>
      <c r="H80" s="109"/>
    </row>
    <row r="81" spans="2:8">
      <c r="B81" s="2" t="s">
        <v>859</v>
      </c>
      <c r="C81" s="84" t="s">
        <v>696</v>
      </c>
      <c r="D81" s="2"/>
      <c r="E81" s="108"/>
      <c r="F81" s="2"/>
      <c r="G81" s="109"/>
      <c r="H81" s="109"/>
    </row>
    <row r="82" spans="2:8">
      <c r="B82" s="2" t="s">
        <v>879</v>
      </c>
      <c r="C82" s="126" t="s">
        <v>1039</v>
      </c>
      <c r="D82" s="2"/>
      <c r="E82" s="108"/>
      <c r="F82" s="2"/>
      <c r="G82" s="109"/>
      <c r="H82" s="109"/>
    </row>
    <row r="83" spans="2:8">
      <c r="B83" s="2"/>
      <c r="C83" s="84" t="s">
        <v>1040</v>
      </c>
      <c r="D83" s="2"/>
      <c r="E83" s="108"/>
      <c r="F83" s="2"/>
      <c r="G83" s="2"/>
      <c r="H83" s="2"/>
    </row>
    <row r="84" spans="2:8">
      <c r="B84" s="2"/>
      <c r="C84" s="2" t="s">
        <v>1041</v>
      </c>
    </row>
    <row r="85" spans="2:8">
      <c r="B85" s="176" t="s">
        <v>877</v>
      </c>
      <c r="C85" s="176" t="s">
        <v>191</v>
      </c>
      <c r="D85" s="176"/>
      <c r="E85" s="178"/>
      <c r="F85" s="176"/>
    </row>
    <row r="116" spans="2:5">
      <c r="B116" s="90"/>
      <c r="E116"/>
    </row>
  </sheetData>
  <customSheetViews>
    <customSheetView guid="{16940A0E-2B20-4241-BF05-A4686E5A0274}" scale="75" fitToPage="1" showRuler="0" topLeftCell="A16">
      <selection activeCell="E60" sqref="E60"/>
      <pageMargins left="0.75" right="0.75" top="1" bottom="1" header="0.5" footer="0.5"/>
      <pageSetup scale="48" orientation="portrait" r:id="rId1"/>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2"/>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6"/>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8"/>
      <headerFooter alignWithMargins="0">
        <oddHeader>&amp;R&amp;12Page &amp;P of &amp;N</oddHeader>
      </headerFooter>
    </customSheetView>
    <customSheetView guid="{1155D18F-BFDD-426B-8E78-817CEB25FB23}" scale="75" showPageBreaks="1" fitToPage="1" showRuler="0" topLeftCell="A32">
      <selection activeCell="E62" sqref="E62"/>
      <pageMargins left="0.75" right="0.75" top="1" bottom="1" header="0.5" footer="0.5"/>
      <pageSetup scale="66" orientation="portrait" r:id="rId9"/>
      <headerFooter alignWithMargins="0">
        <oddHeader>&amp;R&amp;12Page &amp;P of &amp;N</oddHeader>
      </headerFooter>
    </customSheetView>
  </customSheetViews>
  <mergeCells count="3">
    <mergeCell ref="A1:H1"/>
    <mergeCell ref="A3:H3"/>
    <mergeCell ref="H14:H15"/>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zoomScale="75" zoomScaleNormal="75" workbookViewId="0">
      <selection activeCell="G27" sqref="G27"/>
    </sheetView>
  </sheetViews>
  <sheetFormatPr defaultRowHeight="12.75"/>
  <cols>
    <col min="1" max="1" width="7.42578125" style="81"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s>
  <sheetData>
    <row r="1" spans="1:9" ht="18">
      <c r="A1" s="1914" t="str">
        <f>+'ATT H-1 '!A3</f>
        <v xml:space="preserve">Puget Sound Energy </v>
      </c>
      <c r="B1" s="1914"/>
      <c r="C1" s="1914"/>
      <c r="D1" s="1914"/>
      <c r="E1" s="2"/>
    </row>
    <row r="2" spans="1:9">
      <c r="A2" s="152"/>
      <c r="E2" s="2"/>
    </row>
    <row r="3" spans="1:9" ht="15.75">
      <c r="A3" s="1917" t="s">
        <v>847</v>
      </c>
      <c r="B3" s="1918"/>
      <c r="C3" s="1918"/>
      <c r="D3" s="1918"/>
      <c r="E3" s="2"/>
    </row>
    <row r="4" spans="1:9" ht="25.5">
      <c r="B4" s="53"/>
      <c r="C4" s="81"/>
      <c r="D4" s="552" t="s">
        <v>542</v>
      </c>
      <c r="E4" s="552"/>
      <c r="F4" s="552" t="s">
        <v>1101</v>
      </c>
      <c r="G4" s="552" t="s">
        <v>503</v>
      </c>
      <c r="H4" s="552" t="s">
        <v>504</v>
      </c>
    </row>
    <row r="5" spans="1:9">
      <c r="B5" s="1239"/>
      <c r="C5" s="174"/>
      <c r="D5" s="116"/>
      <c r="E5" s="174"/>
      <c r="F5" s="2"/>
      <c r="G5" s="2"/>
      <c r="H5" s="2"/>
      <c r="I5" s="2"/>
    </row>
    <row r="6" spans="1:9">
      <c r="A6"/>
      <c r="B6" s="1240" t="s">
        <v>776</v>
      </c>
      <c r="C6" s="2"/>
      <c r="D6" s="116"/>
      <c r="E6" s="2"/>
      <c r="F6" s="2"/>
      <c r="G6" s="2"/>
      <c r="H6" s="2"/>
      <c r="I6" s="2"/>
    </row>
    <row r="7" spans="1:9">
      <c r="A7" s="97">
        <v>1</v>
      </c>
      <c r="B7" s="548" t="s">
        <v>187</v>
      </c>
      <c r="C7" s="112"/>
      <c r="D7" s="454">
        <f>+F7+G7+H7</f>
        <v>3510682.3231407194</v>
      </c>
      <c r="E7" s="182"/>
      <c r="F7" s="1503">
        <f>'WKSHT1 - Rev Credits'!D6</f>
        <v>3510682.3231407194</v>
      </c>
      <c r="G7" s="1503">
        <v>0</v>
      </c>
      <c r="H7" s="1503">
        <v>0</v>
      </c>
      <c r="I7" s="2"/>
    </row>
    <row r="8" spans="1:9">
      <c r="A8" s="97">
        <v>2</v>
      </c>
      <c r="B8" s="185" t="s">
        <v>705</v>
      </c>
      <c r="C8" s="112"/>
      <c r="D8" s="125">
        <f>+F8+G8+H8</f>
        <v>73248.096582394908</v>
      </c>
      <c r="E8" s="182"/>
      <c r="F8" s="1504">
        <f>'WKSHT1 - Rev Credits'!D8</f>
        <v>67683.23703452207</v>
      </c>
      <c r="G8" s="1505">
        <f>'WKSHT1 - Rev Credits'!E8</f>
        <v>1992.3223072030653</v>
      </c>
      <c r="H8" s="1505">
        <f>'WKSHT1 - Rev Credits'!F8</f>
        <v>3572.5372406697707</v>
      </c>
      <c r="I8" s="2"/>
    </row>
    <row r="9" spans="1:9">
      <c r="A9" s="97">
        <v>3</v>
      </c>
      <c r="B9" s="185" t="s">
        <v>188</v>
      </c>
      <c r="C9" s="112"/>
      <c r="D9" s="1108">
        <f>+F9+G9+H9</f>
        <v>870957.3377294339</v>
      </c>
      <c r="E9" s="1107"/>
      <c r="F9" s="1506">
        <f>'WKSHT1 - Rev Credits'!D9</f>
        <v>804788.31105443276</v>
      </c>
      <c r="G9" s="1505">
        <f>'WKSHT1 - Rev Credits'!E9</f>
        <v>23689.731386106832</v>
      </c>
      <c r="H9" s="1505">
        <f>'WKSHT1 - Rev Credits'!F9</f>
        <v>42479.295288894282</v>
      </c>
      <c r="I9" s="2"/>
    </row>
    <row r="10" spans="1:9" s="111" customFormat="1">
      <c r="A10" s="113">
        <v>4</v>
      </c>
      <c r="B10" s="112" t="s">
        <v>777</v>
      </c>
      <c r="C10" s="84" t="s">
        <v>189</v>
      </c>
      <c r="D10" s="1106">
        <f>SUM(D7:D9)</f>
        <v>4454887.7574525485</v>
      </c>
      <c r="E10" s="173"/>
      <c r="F10" s="1106">
        <f>SUM(F7:F9)</f>
        <v>4383153.8712296747</v>
      </c>
      <c r="G10" s="453">
        <f>SUM(G7:G9)</f>
        <v>25682.053693309899</v>
      </c>
      <c r="H10" s="453">
        <f>SUM(H7:H9)</f>
        <v>46051.832529564053</v>
      </c>
      <c r="I10" s="454"/>
    </row>
    <row r="11" spans="1:9">
      <c r="A11"/>
      <c r="B11" s="149"/>
      <c r="C11" s="149"/>
      <c r="D11" s="115"/>
      <c r="E11" s="2"/>
      <c r="F11" s="2"/>
      <c r="G11" s="2"/>
      <c r="H11" s="2"/>
      <c r="I11" s="2"/>
    </row>
    <row r="12" spans="1:9">
      <c r="A12" s="2"/>
      <c r="B12" s="1240" t="s">
        <v>468</v>
      </c>
      <c r="C12" s="149"/>
      <c r="D12" s="116"/>
      <c r="E12" s="2"/>
      <c r="F12" s="2"/>
      <c r="G12" s="2"/>
      <c r="H12" s="2"/>
      <c r="I12" s="2"/>
    </row>
    <row r="13" spans="1:9">
      <c r="A13" s="2">
        <v>5</v>
      </c>
      <c r="B13" s="126" t="s">
        <v>715</v>
      </c>
      <c r="C13" s="149"/>
      <c r="D13" s="454">
        <f>+F13+G13+H13</f>
        <v>129826.15648668796</v>
      </c>
      <c r="E13" s="2"/>
      <c r="F13" s="1683">
        <f>'WKSHT1 - Rev Credits'!D20</f>
        <v>129826.15648668796</v>
      </c>
      <c r="G13" s="1683">
        <f>'WKSHT1 - Rev Credits'!E20</f>
        <v>0</v>
      </c>
      <c r="H13" s="1683">
        <f>'WKSHT1 - Rev Credits'!F20</f>
        <v>0</v>
      </c>
      <c r="I13" s="454"/>
    </row>
    <row r="14" spans="1:9">
      <c r="A14" s="2">
        <v>6</v>
      </c>
      <c r="B14" s="126" t="s">
        <v>845</v>
      </c>
      <c r="C14" s="179"/>
      <c r="D14" s="455">
        <v>0</v>
      </c>
      <c r="E14" s="84"/>
      <c r="F14" s="1375"/>
      <c r="G14" s="1375"/>
      <c r="H14" s="1375"/>
      <c r="I14" s="2"/>
    </row>
    <row r="15" spans="1:9" ht="25.5">
      <c r="A15" s="166">
        <v>7</v>
      </c>
      <c r="B15" s="179" t="s">
        <v>846</v>
      </c>
      <c r="C15" s="179"/>
      <c r="D15" s="455">
        <v>0</v>
      </c>
      <c r="E15" s="2"/>
      <c r="F15" s="1375"/>
      <c r="G15" s="1375"/>
      <c r="H15" s="1375"/>
      <c r="I15" s="2"/>
    </row>
    <row r="16" spans="1:9" ht="25.5">
      <c r="A16" s="2">
        <v>8</v>
      </c>
      <c r="B16" s="660" t="s">
        <v>849</v>
      </c>
      <c r="C16" s="179"/>
      <c r="D16" s="456">
        <f>F16+G16+H16</f>
        <v>3201898.58</v>
      </c>
      <c r="E16" s="109"/>
      <c r="F16" s="1504">
        <f>'WKSHT1 - Rev Credits'!K133</f>
        <v>2771545.37</v>
      </c>
      <c r="G16" s="1550">
        <f>'WKSHT1 - Rev Credits'!K134</f>
        <v>0</v>
      </c>
      <c r="H16" s="1550">
        <f>'WKSHT1 - Rev Credits'!K135</f>
        <v>430353.21</v>
      </c>
      <c r="I16" s="2"/>
    </row>
    <row r="17" spans="1:9">
      <c r="A17" s="166">
        <v>9</v>
      </c>
      <c r="B17" s="660" t="s">
        <v>683</v>
      </c>
      <c r="C17" s="179"/>
      <c r="D17" s="456">
        <f>+F17+G17+H17</f>
        <v>14300306</v>
      </c>
      <c r="E17" s="109"/>
      <c r="F17" s="1504">
        <v>14300297</v>
      </c>
      <c r="G17" s="1550">
        <v>0</v>
      </c>
      <c r="H17" s="1550">
        <v>9</v>
      </c>
      <c r="I17" s="454"/>
    </row>
    <row r="18" spans="1:9">
      <c r="A18" s="2">
        <v>10</v>
      </c>
      <c r="B18" s="660" t="s">
        <v>848</v>
      </c>
      <c r="C18" s="179"/>
      <c r="D18" s="456">
        <f>+F18+G18+H18</f>
        <v>0</v>
      </c>
      <c r="E18" s="109"/>
      <c r="F18" s="2"/>
      <c r="G18" s="2"/>
      <c r="H18" s="2"/>
      <c r="I18" s="2"/>
    </row>
    <row r="19" spans="1:9">
      <c r="A19" s="166">
        <v>11</v>
      </c>
      <c r="B19" s="659" t="s">
        <v>1053</v>
      </c>
      <c r="C19" s="179"/>
      <c r="D19" s="456">
        <f>+F19+G19+H19</f>
        <v>0</v>
      </c>
      <c r="E19" s="109"/>
      <c r="F19" s="2"/>
      <c r="G19" s="2"/>
      <c r="H19" s="2"/>
      <c r="I19" s="2"/>
    </row>
    <row r="20" spans="1:9" ht="25.5">
      <c r="B20" s="659" t="s">
        <v>1054</v>
      </c>
      <c r="C20" s="84"/>
      <c r="D20" s="456">
        <f>+F20+G20+H20</f>
        <v>0</v>
      </c>
      <c r="E20" s="2"/>
      <c r="F20" s="2"/>
      <c r="G20" s="2"/>
      <c r="H20" s="2"/>
      <c r="I20" s="2"/>
    </row>
    <row r="21" spans="1:9">
      <c r="B21" s="659"/>
      <c r="C21" s="84"/>
      <c r="D21" s="455"/>
      <c r="E21" s="2"/>
      <c r="F21" s="2"/>
      <c r="G21" s="2"/>
      <c r="H21" s="2"/>
      <c r="I21" s="2"/>
    </row>
    <row r="22" spans="1:9" ht="13.5" thickBot="1">
      <c r="A22" s="166">
        <v>12</v>
      </c>
      <c r="B22" s="149" t="s">
        <v>841</v>
      </c>
      <c r="C22" s="84" t="s">
        <v>1044</v>
      </c>
      <c r="D22" s="551">
        <f>SUM(D13:D18)+D10</f>
        <v>22086918.493939236</v>
      </c>
      <c r="E22" s="1105"/>
      <c r="F22" s="551">
        <f>SUM(F13:F18)+F10</f>
        <v>21584822.397716362</v>
      </c>
      <c r="G22" s="551">
        <f>SUM(G13:G18)+G10</f>
        <v>25682.053693309899</v>
      </c>
      <c r="H22" s="551">
        <f>SUM(H13:H18)+H10</f>
        <v>476414.04252956406</v>
      </c>
      <c r="I22" s="454"/>
    </row>
    <row r="23" spans="1:9" ht="13.5" thickTop="1">
      <c r="A23"/>
      <c r="B23" s="149"/>
      <c r="C23" s="2"/>
      <c r="D23" s="116"/>
      <c r="E23" s="2"/>
      <c r="F23" s="2"/>
      <c r="G23" s="2"/>
      <c r="H23" s="2"/>
      <c r="I23" s="2"/>
    </row>
    <row r="24" spans="1:9">
      <c r="A24"/>
      <c r="B24" s="149"/>
      <c r="C24" s="2"/>
      <c r="D24" s="116"/>
      <c r="E24" s="2"/>
      <c r="F24" s="2"/>
      <c r="G24" s="2"/>
      <c r="H24" s="2"/>
      <c r="I24" s="2"/>
    </row>
    <row r="25" spans="1:9">
      <c r="A25"/>
      <c r="B25" s="1241"/>
      <c r="C25" s="2"/>
      <c r="D25" s="117"/>
      <c r="E25" s="2"/>
      <c r="F25" s="2"/>
      <c r="G25" s="2"/>
      <c r="H25" s="2"/>
      <c r="I25" s="2"/>
    </row>
    <row r="26" spans="1:9">
      <c r="A26" s="166"/>
      <c r="B26" s="658"/>
      <c r="C26" s="660"/>
      <c r="D26" s="116"/>
      <c r="E26" s="125"/>
      <c r="F26" s="2"/>
      <c r="G26" s="2"/>
      <c r="H26" s="2"/>
      <c r="I26" s="2"/>
    </row>
    <row r="27" spans="1:9">
      <c r="A27" s="155"/>
      <c r="B27" s="149"/>
      <c r="C27" s="2"/>
      <c r="D27" s="116"/>
      <c r="E27" s="2"/>
      <c r="F27" s="2"/>
      <c r="G27" s="2"/>
      <c r="H27" s="2"/>
      <c r="I27" s="2"/>
    </row>
    <row r="28" spans="1:9" ht="51">
      <c r="A28" s="155">
        <f>+A26+1</f>
        <v>1</v>
      </c>
      <c r="B28" s="659" t="s">
        <v>84</v>
      </c>
      <c r="C28" s="2"/>
      <c r="D28" s="86"/>
      <c r="E28" s="2"/>
    </row>
    <row r="29" spans="1:9">
      <c r="A29" s="155"/>
      <c r="B29" s="149"/>
      <c r="C29" s="2"/>
      <c r="E29" s="2"/>
    </row>
    <row r="30" spans="1:9" ht="38.25">
      <c r="A30" s="155">
        <f>+A28+1</f>
        <v>2</v>
      </c>
      <c r="B30" s="659" t="s">
        <v>85</v>
      </c>
      <c r="C30" s="2"/>
      <c r="D30" s="175"/>
      <c r="E30" s="175"/>
    </row>
    <row r="31" spans="1:9">
      <c r="B31" s="84"/>
      <c r="C31" s="2"/>
      <c r="E31" s="2"/>
    </row>
    <row r="32" spans="1:9">
      <c r="A32" s="122">
        <v>3</v>
      </c>
      <c r="B32" s="176" t="s">
        <v>806</v>
      </c>
      <c r="C32" s="2"/>
      <c r="E32" s="2"/>
    </row>
    <row r="33" spans="1:9">
      <c r="A33" s="174"/>
      <c r="B33" s="176"/>
      <c r="E33" s="2"/>
    </row>
    <row r="34" spans="1:9">
      <c r="A34" s="174"/>
      <c r="E34" s="2"/>
    </row>
    <row r="35" spans="1:9">
      <c r="A35" s="180"/>
      <c r="B35" s="2"/>
      <c r="G35" s="2"/>
    </row>
    <row r="36" spans="1:9">
      <c r="A36" s="180"/>
      <c r="B36" s="2"/>
      <c r="I36" s="451"/>
    </row>
  </sheetData>
  <customSheetViews>
    <customSheetView guid="{16940A0E-2B20-4241-BF05-A4686E5A0274}" scale="75" fitToPage="1" showRuler="0">
      <selection activeCell="D15" sqref="D15"/>
      <pageMargins left="0.5" right="0.5" top="1" bottom="1" header="0.5" footer="0.5"/>
      <printOptions horizontalCentered="1"/>
      <pageSetup scale="66" orientation="portrait" r:id="rId1"/>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2"/>
      <headerFooter alignWithMargins="0">
        <oddHeader>&amp;R&amp;12Page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6"/>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8"/>
      <headerFooter alignWithMargins="0">
        <oddHeader>&amp;R&amp;12Page &amp;P of &amp;N</oddHeader>
      </headerFooter>
    </customSheetView>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0"/>
  <sheetViews>
    <sheetView view="pageBreakPreview" zoomScale="66" zoomScaleNormal="65" zoomScaleSheetLayoutView="66" workbookViewId="0">
      <selection activeCell="C16" sqref="C16"/>
    </sheetView>
  </sheetViews>
  <sheetFormatPr defaultRowHeight="12.75"/>
  <cols>
    <col min="1" max="1" width="9.42578125" style="312" bestFit="1" customWidth="1"/>
    <col min="2" max="2" width="3" style="312" customWidth="1"/>
    <col min="3" max="3" width="53.140625" style="312" customWidth="1"/>
    <col min="4" max="4" width="36.5703125" style="312" customWidth="1"/>
    <col min="5" max="5" width="36.140625" style="312" customWidth="1"/>
    <col min="6" max="6" width="3.85546875" style="312" customWidth="1"/>
    <col min="7" max="7" width="20.42578125" style="312" customWidth="1"/>
    <col min="8" max="16384" width="9.140625" style="312"/>
  </cols>
  <sheetData>
    <row r="1" spans="1:7" ht="18">
      <c r="A1" s="1914" t="str">
        <f>+'ATT H-1 '!A3</f>
        <v xml:space="preserve">Puget Sound Energy </v>
      </c>
      <c r="B1" s="1914"/>
      <c r="C1" s="1914"/>
      <c r="D1" s="1914"/>
      <c r="E1" s="1914"/>
      <c r="F1" s="1914"/>
      <c r="G1" s="1914"/>
    </row>
    <row r="2" spans="1:7">
      <c r="A2" s="152"/>
      <c r="B2"/>
      <c r="C2"/>
      <c r="D2" s="114"/>
    </row>
    <row r="3" spans="1:7" ht="15.75">
      <c r="A3" s="1917" t="s">
        <v>411</v>
      </c>
      <c r="B3" s="1917"/>
      <c r="C3" s="1917"/>
      <c r="D3" s="1917"/>
      <c r="E3" s="1917"/>
      <c r="F3" s="1917"/>
      <c r="G3" s="1917"/>
    </row>
    <row r="9" spans="1:7" s="252" customFormat="1" ht="15">
      <c r="A9" s="251" t="s">
        <v>878</v>
      </c>
      <c r="B9" s="251"/>
      <c r="C9" s="252" t="s">
        <v>716</v>
      </c>
      <c r="E9" s="252" t="str">
        <f>"Line "&amp;A29&amp;" + Line "&amp;A47&amp;""</f>
        <v>Line 12 + Line 23</v>
      </c>
      <c r="G9" s="253">
        <f>+G29+G47</f>
        <v>92223932.665867791</v>
      </c>
    </row>
    <row r="10" spans="1:7" s="252" customFormat="1" ht="15">
      <c r="A10" s="251"/>
      <c r="B10" s="251"/>
    </row>
    <row r="11" spans="1:7" s="252" customFormat="1" ht="15">
      <c r="A11" s="251" t="s">
        <v>973</v>
      </c>
      <c r="B11" s="251"/>
      <c r="C11" s="252" t="str">
        <f>G11*10000&amp;" Basis Point increase in ROE"</f>
        <v>100 Basis Point increase in ROE</v>
      </c>
      <c r="G11" s="254">
        <v>0.01</v>
      </c>
    </row>
    <row r="12" spans="1:7" s="252" customFormat="1" ht="15">
      <c r="A12" s="251"/>
      <c r="B12" s="251"/>
      <c r="G12" s="254"/>
    </row>
    <row r="13" spans="1:7" s="252" customFormat="1" ht="15.75">
      <c r="A13" s="335" t="s">
        <v>772</v>
      </c>
      <c r="B13" s="255"/>
      <c r="C13" s="255"/>
      <c r="D13" s="255"/>
      <c r="E13" s="255"/>
      <c r="F13" s="255"/>
      <c r="G13" s="255"/>
    </row>
    <row r="14" spans="1:7" s="252" customFormat="1" ht="15">
      <c r="A14" s="251">
        <v>1</v>
      </c>
      <c r="C14" s="256" t="s">
        <v>959</v>
      </c>
      <c r="E14" s="256" t="str">
        <f>"Attachment H-1, Line "&amp;'ATT H-1 '!A102&amp;""</f>
        <v>Attachment H-1, Line 59</v>
      </c>
      <c r="G14" s="253">
        <f>+'ATT H-1 '!H102</f>
        <v>822212605.20001841</v>
      </c>
    </row>
    <row r="15" spans="1:7" s="252" customFormat="1" ht="15">
      <c r="F15" s="256"/>
      <c r="G15" s="257"/>
    </row>
    <row r="16" spans="1:7" s="252" customFormat="1" ht="15">
      <c r="A16" s="258">
        <f>A14+1</f>
        <v>2</v>
      </c>
      <c r="B16" s="258"/>
      <c r="C16" s="259" t="s">
        <v>1030</v>
      </c>
      <c r="D16" s="194"/>
      <c r="E16" s="260" t="str">
        <f>"Attachment H-1, Line "&amp;'ATT H-1 '!A203&amp;""</f>
        <v>Attachment H-1, Line 126</v>
      </c>
      <c r="F16" s="261"/>
      <c r="G16" s="262">
        <f>+'ATT H-1 '!H203</f>
        <v>0.51040784461204813</v>
      </c>
    </row>
    <row r="17" spans="1:7" s="252" customFormat="1" ht="15">
      <c r="A17" s="258">
        <f>A16+1</f>
        <v>3</v>
      </c>
      <c r="B17" s="258"/>
      <c r="C17" s="259" t="s">
        <v>1037</v>
      </c>
      <c r="D17" s="194"/>
      <c r="E17" s="260" t="str">
        <f>"Attachment H-1, Line "&amp;'ATT H-1 '!A204&amp;""</f>
        <v>Attachment H-1, Line 127</v>
      </c>
      <c r="F17" s="261"/>
      <c r="G17" s="262">
        <f>+'ATT H-1 '!H204</f>
        <v>0</v>
      </c>
    </row>
    <row r="18" spans="1:7" s="252" customFormat="1" ht="15">
      <c r="A18" s="258">
        <f>A17+1</f>
        <v>4</v>
      </c>
      <c r="B18" s="258"/>
      <c r="C18" s="259" t="s">
        <v>1031</v>
      </c>
      <c r="D18" s="194"/>
      <c r="E18" s="260" t="str">
        <f>"Attachment H-1, Line "&amp;'ATT H-1 '!A205&amp;""</f>
        <v>Attachment H-1, Line 128</v>
      </c>
      <c r="F18" s="261"/>
      <c r="G18" s="262">
        <f>+'ATT H-1 '!H205</f>
        <v>0.48959215538795181</v>
      </c>
    </row>
    <row r="19" spans="1:7" s="252" customFormat="1" ht="15">
      <c r="A19" s="258"/>
      <c r="B19" s="258"/>
      <c r="C19" s="263"/>
      <c r="D19" s="261"/>
      <c r="E19" s="260"/>
      <c r="F19" s="261"/>
      <c r="G19" s="264"/>
    </row>
    <row r="20" spans="1:7" s="252" customFormat="1" ht="15">
      <c r="A20" s="258">
        <f>A18+1</f>
        <v>5</v>
      </c>
      <c r="B20" s="258"/>
      <c r="C20" s="263" t="s">
        <v>1032</v>
      </c>
      <c r="D20" s="194"/>
      <c r="E20" s="260" t="str">
        <f>"Attachment H-1, Line "&amp;'ATT H-1 '!A208&amp;""</f>
        <v>Attachment H-1, Line 129</v>
      </c>
      <c r="F20" s="261"/>
      <c r="G20" s="332">
        <f>+'ATT H-1 '!H208</f>
        <v>6.0379038102730626E-2</v>
      </c>
    </row>
    <row r="21" spans="1:7" s="252" customFormat="1" ht="15">
      <c r="A21" s="258">
        <f>A20+1</f>
        <v>6</v>
      </c>
      <c r="B21" s="258"/>
      <c r="C21" s="263" t="s">
        <v>1038</v>
      </c>
      <c r="D21" s="194"/>
      <c r="E21" s="260" t="str">
        <f>"Attachment H-1, Line "&amp;'ATT H-1 '!A209&amp;""</f>
        <v>Attachment H-1, Line 130</v>
      </c>
      <c r="F21" s="261"/>
      <c r="G21" s="332">
        <f>+'ATT H-1 '!H209</f>
        <v>0</v>
      </c>
    </row>
    <row r="22" spans="1:7" s="252" customFormat="1" ht="15">
      <c r="A22" s="258">
        <f>A21+1</f>
        <v>7</v>
      </c>
      <c r="B22" s="258"/>
      <c r="C22" s="263" t="s">
        <v>1033</v>
      </c>
      <c r="D22" s="256" t="s">
        <v>1286</v>
      </c>
      <c r="E22" s="260" t="str">
        <f>"Attachment H-1, Line "&amp;'ATT H-1 '!A210&amp;""</f>
        <v>Attachment H-1, Line 131</v>
      </c>
      <c r="F22" s="261"/>
      <c r="G22" s="332">
        <f>+'ATT H-1 '!H210+0.01</f>
        <v>0.108</v>
      </c>
    </row>
    <row r="23" spans="1:7" s="252" customFormat="1" ht="15">
      <c r="A23" s="258"/>
      <c r="B23" s="258"/>
      <c r="C23" s="263"/>
      <c r="D23" s="265"/>
      <c r="E23" s="261"/>
      <c r="F23" s="261"/>
      <c r="G23" s="266"/>
    </row>
    <row r="24" spans="1:7" s="252" customFormat="1" ht="15">
      <c r="A24" s="258">
        <f>A22+1</f>
        <v>8</v>
      </c>
      <c r="B24" s="258"/>
      <c r="C24" s="259" t="s">
        <v>1034</v>
      </c>
      <c r="D24" s="194"/>
      <c r="E24" s="260" t="str">
        <f>"Attachment H-1, Line "&amp;'ATT H-1 '!A212&amp;""</f>
        <v>Attachment H-1, Line 132</v>
      </c>
      <c r="F24" s="267"/>
      <c r="G24" s="322">
        <f>+'ATT H-1 '!H212</f>
        <v>3.0817934697763467E-2</v>
      </c>
    </row>
    <row r="25" spans="1:7" s="252" customFormat="1" ht="15">
      <c r="A25" s="258">
        <f>A24+1</f>
        <v>9</v>
      </c>
      <c r="B25" s="258"/>
      <c r="C25" s="259" t="s">
        <v>1064</v>
      </c>
      <c r="D25" s="194"/>
      <c r="E25" s="260" t="str">
        <f>"Attachment H-1, Line "&amp;'ATT H-1 '!A213&amp;""</f>
        <v>Attachment H-1, Line 133</v>
      </c>
      <c r="F25" s="268"/>
      <c r="G25" s="323">
        <f>+'ATT H-1 '!H213</f>
        <v>0</v>
      </c>
    </row>
    <row r="26" spans="1:7" s="252" customFormat="1" ht="15">
      <c r="A26" s="258">
        <f>A25+1</f>
        <v>10</v>
      </c>
      <c r="B26" s="269"/>
      <c r="C26" s="270" t="s">
        <v>1035</v>
      </c>
      <c r="D26" s="201"/>
      <c r="E26" s="271" t="str">
        <f>"Line "&amp;A18&amp;" * Line "&amp;A22&amp;""</f>
        <v>Line 4 * Line 7</v>
      </c>
      <c r="F26" s="272"/>
      <c r="G26" s="273">
        <f>G22*G18</f>
        <v>5.2875952781898793E-2</v>
      </c>
    </row>
    <row r="27" spans="1:7" s="252" customFormat="1" ht="15.75">
      <c r="A27" s="258">
        <f>A26+1</f>
        <v>11</v>
      </c>
      <c r="B27" s="274" t="s">
        <v>862</v>
      </c>
      <c r="C27" s="274"/>
      <c r="D27" s="194"/>
      <c r="E27" s="260" t="str">
        <f>"Sum Lines "&amp;A24&amp;" to "&amp;A26&amp;""</f>
        <v>Sum Lines 8 to 10</v>
      </c>
      <c r="F27" s="275"/>
      <c r="G27" s="276">
        <f>SUM(G24:G26)</f>
        <v>8.3693887479662263E-2</v>
      </c>
    </row>
    <row r="28" spans="1:7" s="252" customFormat="1" ht="15.75">
      <c r="A28" s="277"/>
      <c r="B28" s="277"/>
      <c r="C28" s="274"/>
      <c r="D28" s="278"/>
      <c r="E28" s="279"/>
      <c r="F28" s="275"/>
      <c r="G28" s="276"/>
    </row>
    <row r="29" spans="1:7" s="252" customFormat="1" ht="16.5" thickBot="1">
      <c r="A29" s="258">
        <f>A27+1</f>
        <v>12</v>
      </c>
      <c r="B29" s="280" t="s">
        <v>934</v>
      </c>
      <c r="C29" s="281"/>
      <c r="D29" s="282"/>
      <c r="E29" s="281" t="str">
        <f>"Line "&amp;A27&amp;" * Line "&amp;A14&amp;""</f>
        <v>Line 11 * Line 1</v>
      </c>
      <c r="F29" s="283"/>
      <c r="G29" s="282">
        <f>+G27*G14</f>
        <v>68814169.263970315</v>
      </c>
    </row>
    <row r="30" spans="1:7" s="252" customFormat="1" ht="15.75" thickTop="1">
      <c r="A30" s="258"/>
      <c r="B30" s="258"/>
      <c r="C30" s="284"/>
      <c r="D30" s="251"/>
      <c r="E30" s="261"/>
      <c r="F30" s="261"/>
      <c r="G30" s="194"/>
    </row>
    <row r="31" spans="1:7" s="252" customFormat="1" ht="15.75">
      <c r="A31" s="336" t="s">
        <v>719</v>
      </c>
      <c r="B31" s="285"/>
      <c r="C31" s="286"/>
      <c r="D31" s="287"/>
      <c r="E31" s="255"/>
      <c r="F31" s="255"/>
      <c r="G31" s="288"/>
    </row>
    <row r="32" spans="1:7" s="252" customFormat="1" ht="15.75">
      <c r="A32" s="258"/>
      <c r="B32" s="289" t="s">
        <v>935</v>
      </c>
      <c r="C32" s="266"/>
      <c r="D32" s="264"/>
      <c r="E32" s="261"/>
      <c r="F32" s="290"/>
      <c r="G32" s="194"/>
    </row>
    <row r="33" spans="1:7" s="252" customFormat="1" ht="15">
      <c r="A33" s="258">
        <f>A29+1</f>
        <v>13</v>
      </c>
      <c r="B33" s="258"/>
      <c r="C33" s="266" t="s">
        <v>933</v>
      </c>
      <c r="D33" s="251"/>
      <c r="E33" s="252" t="str">
        <f>"Attachment H-1, Line "&amp;'ATT H-1 '!A222&amp;""</f>
        <v>Attachment H-1, Line 137</v>
      </c>
      <c r="F33" s="291"/>
      <c r="G33" s="292">
        <f>+'ATT H-1 '!H222</f>
        <v>0.35</v>
      </c>
    </row>
    <row r="34" spans="1:7" s="252" customFormat="1" ht="15">
      <c r="A34" s="258">
        <f>A33+1</f>
        <v>14</v>
      </c>
      <c r="B34" s="258"/>
      <c r="C34" s="291" t="s">
        <v>932</v>
      </c>
      <c r="D34" s="293"/>
      <c r="E34" s="252" t="str">
        <f>"Attachment H-1, Line "&amp;'ATT H-1 '!A223&amp;""</f>
        <v>Attachment H-1, Line 138</v>
      </c>
      <c r="F34" s="291"/>
      <c r="G34" s="292">
        <f>+'ATT H-1 '!H223</f>
        <v>0</v>
      </c>
    </row>
    <row r="35" spans="1:7" s="252" customFormat="1" ht="15">
      <c r="A35" s="258">
        <f>A34+1</f>
        <v>15</v>
      </c>
      <c r="B35" s="258"/>
      <c r="C35" s="291" t="s">
        <v>335</v>
      </c>
      <c r="D35" s="251"/>
      <c r="E35" s="252" t="str">
        <f>"Attachment H-1, Line "&amp;'ATT H-1 '!A224&amp;""</f>
        <v>Attachment H-1, Line 139</v>
      </c>
      <c r="F35" s="291"/>
      <c r="G35" s="292">
        <f>+'ATT H-1 '!H224</f>
        <v>0</v>
      </c>
    </row>
    <row r="36" spans="1:7" s="252" customFormat="1" ht="15">
      <c r="A36" s="258">
        <f>A35+1</f>
        <v>16</v>
      </c>
      <c r="B36" s="258"/>
      <c r="C36" s="291" t="s">
        <v>336</v>
      </c>
      <c r="D36" s="251"/>
      <c r="E36" s="252" t="str">
        <f>"Attachment H-1, Line "&amp;'ATT H-1 '!A225&amp;""</f>
        <v>Attachment H-1, Line 140</v>
      </c>
      <c r="F36" s="291"/>
      <c r="G36" s="292">
        <f>+'ATT H-1 '!H225</f>
        <v>0.35</v>
      </c>
    </row>
    <row r="37" spans="1:7" s="252" customFormat="1" ht="15">
      <c r="A37" s="258">
        <f>A36+1</f>
        <v>17</v>
      </c>
      <c r="B37" s="258"/>
      <c r="C37" s="291" t="s">
        <v>1008</v>
      </c>
      <c r="D37" s="251"/>
      <c r="E37" s="252" t="str">
        <f>"Attachment H-1, Line "&amp;'ATT H-1 '!A226&amp;""</f>
        <v>Attachment H-1, Line 141</v>
      </c>
      <c r="F37" s="291"/>
      <c r="G37" s="292">
        <f>+'ATT H-1 '!H226</f>
        <v>0.53846153846153844</v>
      </c>
    </row>
    <row r="38" spans="1:7" s="252" customFormat="1" ht="15">
      <c r="A38" s="258"/>
      <c r="B38" s="258"/>
      <c r="C38" s="266"/>
      <c r="D38" s="295"/>
      <c r="E38" s="296"/>
      <c r="F38" s="290"/>
      <c r="G38" s="294"/>
    </row>
    <row r="39" spans="1:7" s="252" customFormat="1" ht="15.75">
      <c r="A39" s="258"/>
      <c r="B39" s="289" t="s">
        <v>930</v>
      </c>
      <c r="C39" s="284"/>
      <c r="D39" s="293"/>
      <c r="E39" s="261"/>
      <c r="F39" s="290"/>
      <c r="G39" s="297"/>
    </row>
    <row r="40" spans="1:7" s="252" customFormat="1" ht="15">
      <c r="A40" s="258">
        <f>A37+1</f>
        <v>18</v>
      </c>
      <c r="B40" s="258"/>
      <c r="C40" s="284" t="s">
        <v>976</v>
      </c>
      <c r="D40" s="298"/>
      <c r="E40" s="252" t="str">
        <f>"Attachment H-1, Line "&amp;'ATT H-1 '!A229&amp;""</f>
        <v>Attachment H-1, Line 142</v>
      </c>
      <c r="G40" s="320">
        <f>+'ATT H-1 '!H229</f>
        <v>0</v>
      </c>
    </row>
    <row r="41" spans="1:7" s="252" customFormat="1" ht="15">
      <c r="A41" s="258">
        <f>A40+1</f>
        <v>19</v>
      </c>
      <c r="B41" s="258"/>
      <c r="C41" s="284" t="s">
        <v>337</v>
      </c>
      <c r="D41" s="194"/>
      <c r="E41" s="252" t="str">
        <f>"Attachment H-1, Line "&amp;'ATT H-1 '!A230&amp;""</f>
        <v>Attachment H-1, Line 143</v>
      </c>
      <c r="F41" s="290"/>
      <c r="G41" s="321">
        <f>+'ATT H-1 '!H230</f>
        <v>1.5384615384615383</v>
      </c>
    </row>
    <row r="42" spans="1:7" s="252" customFormat="1" ht="15.75">
      <c r="A42" s="258">
        <f>A41+1</f>
        <v>20</v>
      </c>
      <c r="B42" s="299"/>
      <c r="C42" s="300" t="s">
        <v>925</v>
      </c>
      <c r="D42" s="201"/>
      <c r="E42" s="271" t="str">
        <f>"Attachment H-1, Line "&amp;'ATT H-1 '!A231&amp;""</f>
        <v>Attachment H-1, Line 144</v>
      </c>
      <c r="F42" s="301"/>
      <c r="G42" s="321">
        <f>+'ATT H-1 '!H231</f>
        <v>0.16960603276525196</v>
      </c>
    </row>
    <row r="43" spans="1:7" s="252" customFormat="1" ht="15.75">
      <c r="A43" s="258">
        <f>A42+1</f>
        <v>21</v>
      </c>
      <c r="B43" s="258"/>
      <c r="C43" s="302" t="s">
        <v>931</v>
      </c>
      <c r="D43" s="303"/>
      <c r="E43" s="252" t="str">
        <f>"Attachment H-1, Line "&amp;'ATT H-1 '!A232&amp;""</f>
        <v>Attachment H-1, Line 145</v>
      </c>
      <c r="F43" s="304"/>
      <c r="G43" s="305">
        <f>+'ATT H-1 '!H232</f>
        <v>0</v>
      </c>
    </row>
    <row r="44" spans="1:7" s="252" customFormat="1" ht="15.75">
      <c r="A44" s="258"/>
      <c r="B44" s="258"/>
      <c r="C44" s="306"/>
      <c r="D44" s="307"/>
      <c r="E44" s="308"/>
      <c r="F44" s="301"/>
      <c r="G44" s="309"/>
    </row>
    <row r="45" spans="1:7" ht="15.75">
      <c r="A45" s="258">
        <f>A43+1</f>
        <v>22</v>
      </c>
      <c r="B45" s="310" t="s">
        <v>327</v>
      </c>
      <c r="C45" s="252"/>
      <c r="D45" s="266"/>
      <c r="E45" s="194" t="str">
        <f>"Line "&amp;A37&amp;"*Line "&amp;A29&amp;"*(1-(Line "&amp;A24&amp;"/Line "&amp;A27&amp;"))"</f>
        <v>Line 17*Line 12*(1-(Line 8/Line 11))</v>
      </c>
      <c r="F45" s="266"/>
      <c r="G45" s="311">
        <f>+G37*G29*(1-(G24/G27))</f>
        <v>23409763.401897475</v>
      </c>
    </row>
    <row r="46" spans="1:7" ht="15.75">
      <c r="A46" s="258"/>
      <c r="B46" s="258"/>
      <c r="C46" s="259"/>
      <c r="D46" s="299"/>
      <c r="E46" s="301"/>
      <c r="F46" s="301"/>
      <c r="G46" s="313"/>
    </row>
    <row r="47" spans="1:7" ht="16.5" thickBot="1">
      <c r="A47" s="258">
        <f>A45+1</f>
        <v>23</v>
      </c>
      <c r="B47" s="280" t="s">
        <v>852</v>
      </c>
      <c r="C47" s="280"/>
      <c r="D47" s="314"/>
      <c r="E47" s="282" t="str">
        <f>"Line "&amp;A43&amp;" + "&amp;A45&amp;""""</f>
        <v>Line 21 + 22"</v>
      </c>
      <c r="F47" s="315"/>
      <c r="G47" s="316">
        <f>+G45+G43</f>
        <v>23409763.401897475</v>
      </c>
    </row>
    <row r="48" spans="1:7" ht="15.75" thickTop="1">
      <c r="A48" s="258"/>
      <c r="B48" s="258"/>
      <c r="C48" s="296"/>
      <c r="D48" s="251"/>
      <c r="E48" s="317"/>
      <c r="F48" s="318"/>
    </row>
    <row r="49" spans="1:1" ht="15">
      <c r="A49" s="258"/>
    </row>
    <row r="50" spans="1:1" ht="15">
      <c r="A50" s="258"/>
    </row>
    <row r="51" spans="1:1" ht="15">
      <c r="A51" s="258"/>
    </row>
    <row r="52" spans="1:1" ht="15">
      <c r="A52" s="258"/>
    </row>
    <row r="53" spans="1:1" ht="15">
      <c r="A53" s="258"/>
    </row>
    <row r="54" spans="1:1" ht="15">
      <c r="A54" s="258"/>
    </row>
    <row r="55" spans="1:1" ht="15">
      <c r="A55" s="258"/>
    </row>
    <row r="56" spans="1:1" ht="15">
      <c r="A56" s="258"/>
    </row>
    <row r="57" spans="1:1" ht="15">
      <c r="A57" s="258"/>
    </row>
    <row r="58" spans="1:1" ht="15">
      <c r="A58" s="258"/>
    </row>
    <row r="59" spans="1:1" ht="15">
      <c r="A59" s="258"/>
    </row>
    <row r="60" spans="1:1" ht="15">
      <c r="A60" s="258"/>
    </row>
    <row r="61" spans="1:1" ht="15">
      <c r="A61" s="258"/>
    </row>
    <row r="62" spans="1:1" ht="15">
      <c r="A62" s="258"/>
    </row>
    <row r="63" spans="1:1" ht="15">
      <c r="A63" s="258"/>
    </row>
    <row r="64" spans="1:1" ht="15">
      <c r="A64" s="258"/>
    </row>
    <row r="65" spans="1:1" ht="15">
      <c r="A65" s="258"/>
    </row>
    <row r="66" spans="1:1" ht="15">
      <c r="A66" s="258"/>
    </row>
    <row r="272" spans="1:5">
      <c r="A272" s="319"/>
      <c r="B272" s="319"/>
      <c r="C272" s="319"/>
      <c r="D272" s="319"/>
      <c r="E272" s="319"/>
    </row>
    <row r="273" spans="1:5">
      <c r="A273" s="319"/>
      <c r="B273" s="319"/>
      <c r="C273" s="319"/>
      <c r="D273" s="319"/>
      <c r="E273" s="319"/>
    </row>
    <row r="274" spans="1:5">
      <c r="A274" s="319"/>
      <c r="B274" s="319"/>
      <c r="C274" s="319"/>
      <c r="D274" s="319"/>
      <c r="E274" s="319"/>
    </row>
    <row r="275" spans="1:5">
      <c r="A275" s="319"/>
      <c r="B275" s="319"/>
      <c r="C275" s="319"/>
      <c r="D275" s="319"/>
      <c r="E275" s="319"/>
    </row>
    <row r="276" spans="1:5">
      <c r="A276" s="319"/>
      <c r="B276" s="319"/>
      <c r="C276" s="319"/>
      <c r="D276" s="319"/>
      <c r="E276" s="319"/>
    </row>
    <row r="277" spans="1:5">
      <c r="A277" s="319"/>
      <c r="B277" s="319"/>
      <c r="C277" s="319"/>
      <c r="D277" s="319"/>
      <c r="E277" s="319"/>
    </row>
    <row r="278" spans="1:5">
      <c r="A278" s="319"/>
      <c r="B278" s="319"/>
      <c r="C278" s="319"/>
      <c r="D278" s="319"/>
      <c r="E278" s="319"/>
    </row>
    <row r="279" spans="1:5">
      <c r="A279" s="319"/>
      <c r="B279" s="319"/>
      <c r="C279" s="319"/>
      <c r="D279" s="319"/>
      <c r="E279" s="319"/>
    </row>
    <row r="280" spans="1:5">
      <c r="A280" s="319"/>
      <c r="B280" s="319"/>
      <c r="C280" s="319"/>
      <c r="D280" s="319"/>
      <c r="E280" s="319"/>
    </row>
  </sheetData>
  <mergeCells count="2">
    <mergeCell ref="A1:G1"/>
    <mergeCell ref="A3:G3"/>
  </mergeCells>
  <phoneticPr fontId="50"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65"/>
  <sheetViews>
    <sheetView topLeftCell="A85" zoomScale="65" zoomScaleNormal="65" zoomScaleSheetLayoutView="75" workbookViewId="0">
      <selection activeCell="C87" sqref="C87"/>
    </sheetView>
  </sheetViews>
  <sheetFormatPr defaultRowHeight="12.75"/>
  <cols>
    <col min="1" max="1" width="6.42578125" style="189" customWidth="1"/>
    <col min="2" max="2" width="4.28515625" style="189" customWidth="1"/>
    <col min="3" max="3" width="52.140625" style="189" customWidth="1"/>
    <col min="4" max="4" width="27.85546875" style="189" customWidth="1"/>
    <col min="5" max="5" width="16" style="189" customWidth="1"/>
    <col min="6" max="6" width="21.28515625" style="189" customWidth="1"/>
    <col min="7" max="7" width="18.140625" style="189" customWidth="1"/>
    <col min="8" max="8" width="18.7109375" style="189" customWidth="1"/>
    <col min="9" max="10" width="17.28515625" style="189" customWidth="1"/>
    <col min="11" max="11" width="18.28515625" style="417" customWidth="1"/>
    <col min="12" max="12" width="18.85546875" style="417" customWidth="1"/>
    <col min="13" max="13" width="16.5703125" style="417" customWidth="1"/>
    <col min="14" max="14" width="15.140625" style="417" customWidth="1"/>
    <col min="15" max="16" width="17.85546875" style="189" customWidth="1"/>
    <col min="17" max="17" width="15.7109375" style="189" customWidth="1"/>
    <col min="18" max="18" width="4.140625" style="189" customWidth="1"/>
    <col min="19" max="19" width="23" style="189" customWidth="1"/>
    <col min="20" max="20" width="9.140625" style="189" customWidth="1"/>
    <col min="21" max="16384" width="9.140625" style="189"/>
  </cols>
  <sheetData>
    <row r="1" spans="1:19" ht="18">
      <c r="A1" s="1914" t="str">
        <f>+'ATT H-1 '!A3</f>
        <v xml:space="preserve">Puget Sound Energy </v>
      </c>
      <c r="B1" s="1914"/>
      <c r="C1" s="1914"/>
      <c r="D1" s="1914"/>
      <c r="E1" s="1914"/>
      <c r="F1" s="1914"/>
      <c r="G1" s="1914"/>
      <c r="H1" s="1914"/>
      <c r="I1" s="1914"/>
      <c r="J1" s="1914"/>
      <c r="K1" s="1914"/>
      <c r="L1" s="1914"/>
      <c r="M1" s="1914"/>
      <c r="N1" s="1914"/>
    </row>
    <row r="2" spans="1:19">
      <c r="A2" s="152"/>
      <c r="B2"/>
      <c r="C2"/>
      <c r="D2" s="114"/>
      <c r="E2" s="312"/>
      <c r="F2" s="312"/>
      <c r="G2" s="312"/>
      <c r="H2" s="312"/>
    </row>
    <row r="3" spans="1:19" ht="15.75">
      <c r="A3" s="1917" t="s">
        <v>412</v>
      </c>
      <c r="B3" s="1917"/>
      <c r="C3" s="1917"/>
      <c r="D3" s="1917"/>
      <c r="E3" s="1917"/>
      <c r="F3" s="1917"/>
      <c r="G3" s="1917"/>
      <c r="H3" s="1917"/>
      <c r="I3" s="1917"/>
      <c r="J3" s="1917"/>
      <c r="K3" s="1917"/>
      <c r="L3" s="1917"/>
      <c r="M3" s="1917"/>
      <c r="N3" s="1917"/>
    </row>
    <row r="6" spans="1:19" s="342" customFormat="1" ht="13.5" thickBot="1">
      <c r="A6" s="368" t="s">
        <v>192</v>
      </c>
      <c r="B6" s="369"/>
      <c r="C6" s="189"/>
      <c r="D6" s="189"/>
      <c r="E6" s="189"/>
      <c r="F6" s="189"/>
      <c r="G6" s="189"/>
      <c r="H6" s="189"/>
      <c r="K6" s="417"/>
      <c r="L6" s="417"/>
      <c r="M6" s="417"/>
      <c r="N6" s="417"/>
    </row>
    <row r="7" spans="1:19" s="342" customFormat="1">
      <c r="A7" s="1929" t="s">
        <v>1287</v>
      </c>
      <c r="B7" s="1930"/>
      <c r="C7" s="1930"/>
      <c r="D7" s="1930"/>
      <c r="E7" s="1930"/>
      <c r="F7" s="1931"/>
      <c r="G7" s="1255"/>
      <c r="H7" s="1256"/>
      <c r="I7" s="1257"/>
      <c r="J7" s="1257"/>
      <c r="K7" s="1932" t="s">
        <v>148</v>
      </c>
      <c r="L7" s="1932"/>
      <c r="M7" s="1932"/>
      <c r="N7" s="1933"/>
      <c r="O7" s="1116"/>
      <c r="P7" s="1935"/>
      <c r="Q7" s="1935"/>
      <c r="R7" s="1116"/>
      <c r="S7" s="1116"/>
    </row>
    <row r="8" spans="1:19" s="342" customFormat="1" ht="31.5">
      <c r="A8" s="352"/>
      <c r="B8" s="190"/>
      <c r="C8" s="1242" t="s">
        <v>711</v>
      </c>
      <c r="D8" s="211" t="s">
        <v>193</v>
      </c>
      <c r="E8" s="250"/>
      <c r="F8" s="1243" t="s">
        <v>542</v>
      </c>
      <c r="G8" s="1244" t="s">
        <v>1096</v>
      </c>
      <c r="H8" s="1243" t="s">
        <v>503</v>
      </c>
      <c r="I8" s="1243" t="s">
        <v>504</v>
      </c>
      <c r="J8" s="1116"/>
      <c r="K8" s="1118"/>
      <c r="L8" s="1116"/>
      <c r="M8" s="1116"/>
      <c r="N8" s="1260"/>
      <c r="O8" s="1116"/>
      <c r="P8" s="95"/>
      <c r="Q8" s="95"/>
      <c r="R8" s="1116"/>
      <c r="S8" s="1116"/>
    </row>
    <row r="9" spans="1:19" s="342" customFormat="1" ht="15">
      <c r="A9" s="196"/>
      <c r="B9" s="190"/>
      <c r="C9" s="202" t="s">
        <v>761</v>
      </c>
      <c r="D9" s="450" t="s">
        <v>502</v>
      </c>
      <c r="E9" s="371">
        <v>2016</v>
      </c>
      <c r="F9" s="436">
        <f>G9+H9+I9</f>
        <v>1412973432.8884614</v>
      </c>
      <c r="G9" s="436">
        <f>'WKSHT5 - Plant in Service 13mo '!O158</f>
        <v>1229040958.426923</v>
      </c>
      <c r="H9" s="1245">
        <f>'WKSHT5 - Plant in Service 13mo '!O159</f>
        <v>95427304.411538437</v>
      </c>
      <c r="I9" s="1246">
        <f>'WKSHT5 - Plant in Service 13mo '!O160</f>
        <v>88505170.049999997</v>
      </c>
      <c r="J9" s="1116"/>
      <c r="K9" s="1119"/>
      <c r="L9" s="1116"/>
      <c r="M9" s="1116"/>
      <c r="N9" s="1260"/>
      <c r="O9" s="1116"/>
      <c r="P9" s="1117"/>
      <c r="Q9" s="1118"/>
      <c r="R9" s="1119"/>
      <c r="S9" s="1116"/>
    </row>
    <row r="10" spans="1:19" s="342" customFormat="1">
      <c r="A10" s="196"/>
      <c r="B10" s="209"/>
      <c r="C10" s="198"/>
      <c r="D10" s="211"/>
      <c r="E10" s="209"/>
      <c r="F10" s="876"/>
      <c r="G10" s="198"/>
      <c r="H10" s="460"/>
      <c r="I10" s="728"/>
      <c r="J10" s="728"/>
      <c r="K10" s="1811"/>
      <c r="L10" s="343"/>
      <c r="M10" s="343"/>
      <c r="N10" s="763"/>
      <c r="O10" s="1116"/>
      <c r="P10" s="428"/>
      <c r="Q10" s="1116"/>
      <c r="R10" s="1116"/>
      <c r="S10" s="1116"/>
    </row>
    <row r="11" spans="1:19" s="342" customFormat="1">
      <c r="A11" s="352"/>
      <c r="B11" s="190"/>
      <c r="C11" s="1242" t="s">
        <v>709</v>
      </c>
      <c r="D11" s="211" t="s">
        <v>193</v>
      </c>
      <c r="E11" s="250"/>
      <c r="F11" s="880"/>
      <c r="G11" s="245"/>
      <c r="H11" s="1116"/>
      <c r="I11" s="463"/>
      <c r="J11" s="728"/>
      <c r="K11" s="727"/>
      <c r="L11" s="343"/>
      <c r="M11" s="343"/>
      <c r="N11" s="763"/>
      <c r="O11" s="1116"/>
      <c r="P11" s="718"/>
      <c r="Q11" s="1116"/>
      <c r="R11" s="1116"/>
      <c r="S11" s="1116"/>
    </row>
    <row r="12" spans="1:19" s="342" customFormat="1" ht="15">
      <c r="A12" s="196"/>
      <c r="B12" s="190"/>
      <c r="C12" s="202" t="s">
        <v>195</v>
      </c>
      <c r="D12" s="450" t="s">
        <v>708</v>
      </c>
      <c r="E12" s="371">
        <f>+E$9</f>
        <v>2016</v>
      </c>
      <c r="F12" s="1481">
        <v>3633994444</v>
      </c>
      <c r="G12" s="1608" t="s">
        <v>1001</v>
      </c>
      <c r="H12" s="1116"/>
      <c r="I12" s="1116"/>
      <c r="J12" s="1247"/>
      <c r="K12" s="748"/>
      <c r="L12" s="343"/>
      <c r="M12" s="343"/>
      <c r="N12" s="763"/>
      <c r="O12" s="1116"/>
      <c r="P12" s="1117"/>
      <c r="Q12" s="428"/>
      <c r="R12" s="1117"/>
      <c r="S12" s="1116"/>
    </row>
    <row r="13" spans="1:19" s="342" customFormat="1">
      <c r="A13" s="196"/>
      <c r="B13" s="211"/>
      <c r="C13" s="1116"/>
      <c r="D13" s="211"/>
      <c r="E13" s="232"/>
      <c r="F13" s="437"/>
      <c r="G13" s="210"/>
      <c r="H13" s="210"/>
      <c r="I13" s="463"/>
      <c r="J13" s="463"/>
      <c r="K13" s="727"/>
      <c r="L13" s="343"/>
      <c r="M13" s="343"/>
      <c r="N13" s="763"/>
      <c r="O13" s="1116"/>
      <c r="P13" s="428"/>
      <c r="Q13" s="428"/>
      <c r="R13" s="428"/>
      <c r="S13" s="1116"/>
    </row>
    <row r="14" spans="1:19" s="342" customFormat="1">
      <c r="A14" s="196"/>
      <c r="B14" s="209"/>
      <c r="C14" s="198"/>
      <c r="D14" s="211"/>
      <c r="E14" s="209"/>
      <c r="F14" s="876"/>
      <c r="G14" s="198"/>
      <c r="H14" s="460"/>
      <c r="I14" s="728"/>
      <c r="J14" s="728"/>
      <c r="K14" s="727"/>
      <c r="L14" s="727"/>
      <c r="M14" s="727"/>
      <c r="N14" s="743"/>
      <c r="O14" s="1116"/>
      <c r="P14" s="428"/>
      <c r="Q14" s="428"/>
      <c r="R14" s="428"/>
      <c r="S14" s="337"/>
    </row>
    <row r="15" spans="1:19" s="342" customFormat="1">
      <c r="A15" s="352"/>
      <c r="B15" s="190"/>
      <c r="C15" s="1242" t="s">
        <v>196</v>
      </c>
      <c r="D15" s="211" t="s">
        <v>193</v>
      </c>
      <c r="E15" s="250"/>
      <c r="F15" s="877"/>
      <c r="G15" s="211"/>
      <c r="H15" s="211"/>
      <c r="I15" s="463"/>
      <c r="J15" s="463"/>
      <c r="K15" s="727"/>
      <c r="L15" s="727"/>
      <c r="M15" s="727"/>
      <c r="N15" s="743"/>
      <c r="O15" s="1116"/>
      <c r="P15" s="428"/>
      <c r="Q15" s="428"/>
      <c r="R15" s="428"/>
      <c r="S15" s="461"/>
    </row>
    <row r="16" spans="1:19" s="342" customFormat="1" ht="15">
      <c r="A16" s="196"/>
      <c r="B16" s="190"/>
      <c r="C16" s="202" t="s">
        <v>280</v>
      </c>
      <c r="D16" s="201" t="s">
        <v>698</v>
      </c>
      <c r="E16" s="371">
        <f>+E$9</f>
        <v>2016</v>
      </c>
      <c r="F16" s="1481">
        <v>136351905</v>
      </c>
      <c r="G16" s="210"/>
      <c r="H16" s="337"/>
      <c r="I16" s="728"/>
      <c r="J16" s="463"/>
      <c r="K16" s="748"/>
      <c r="L16" s="487"/>
      <c r="M16" s="487"/>
      <c r="N16" s="752"/>
      <c r="O16" s="1116"/>
      <c r="P16" s="759"/>
      <c r="Q16" s="727"/>
      <c r="R16" s="727"/>
      <c r="S16" s="753"/>
    </row>
    <row r="17" spans="1:19" s="342" customFormat="1">
      <c r="A17" s="196"/>
      <c r="B17" s="211"/>
      <c r="C17" s="1116"/>
      <c r="D17" s="211"/>
      <c r="E17" s="232"/>
      <c r="F17" s="437"/>
      <c r="G17" s="210"/>
      <c r="H17" s="461"/>
      <c r="I17" s="463"/>
      <c r="J17" s="1248"/>
      <c r="K17" s="727"/>
      <c r="L17" s="487"/>
      <c r="M17" s="487"/>
      <c r="N17" s="752"/>
      <c r="O17" s="1116"/>
      <c r="P17" s="459"/>
      <c r="Q17" s="458"/>
      <c r="R17" s="1945"/>
      <c r="S17" s="1945"/>
    </row>
    <row r="18" spans="1:19" s="342" customFormat="1">
      <c r="A18" s="352"/>
      <c r="B18" s="211"/>
      <c r="C18" s="240"/>
      <c r="D18" s="211"/>
      <c r="E18" s="250"/>
      <c r="F18" s="878"/>
      <c r="G18" s="240"/>
      <c r="H18" s="460"/>
      <c r="I18" s="728"/>
      <c r="J18" s="728"/>
      <c r="K18" s="727"/>
      <c r="L18" s="487"/>
      <c r="M18" s="487"/>
      <c r="N18" s="752"/>
      <c r="O18" s="1116"/>
      <c r="P18" s="459"/>
      <c r="Q18" s="458"/>
      <c r="R18" s="1945"/>
      <c r="S18" s="1945"/>
    </row>
    <row r="19" spans="1:19" s="342" customFormat="1">
      <c r="A19" s="352"/>
      <c r="B19" s="190"/>
      <c r="C19" s="1242" t="s">
        <v>281</v>
      </c>
      <c r="D19" s="211" t="s">
        <v>193</v>
      </c>
      <c r="E19" s="250"/>
      <c r="F19" s="877"/>
      <c r="G19" s="211"/>
      <c r="H19" s="211"/>
      <c r="I19" s="463"/>
      <c r="J19" s="463"/>
      <c r="K19" s="727"/>
      <c r="L19" s="727"/>
      <c r="M19" s="727"/>
      <c r="N19" s="743"/>
      <c r="O19" s="1116"/>
      <c r="P19" s="1114"/>
      <c r="Q19" s="458"/>
      <c r="R19" s="1945"/>
      <c r="S19" s="1945"/>
    </row>
    <row r="20" spans="1:19" s="342" customFormat="1" ht="15">
      <c r="A20" s="196"/>
      <c r="B20" s="190"/>
      <c r="C20" s="202" t="s">
        <v>282</v>
      </c>
      <c r="D20" s="201" t="s">
        <v>699</v>
      </c>
      <c r="E20" s="371">
        <f>+E$9</f>
        <v>2016</v>
      </c>
      <c r="F20" s="1481">
        <v>224825311</v>
      </c>
      <c r="G20" s="210"/>
      <c r="H20" s="337"/>
      <c r="I20" s="729"/>
      <c r="J20" s="463"/>
      <c r="K20" s="748"/>
      <c r="L20" s="490"/>
      <c r="M20" s="490"/>
      <c r="N20" s="744"/>
      <c r="O20" s="1116"/>
      <c r="P20" s="1116"/>
      <c r="Q20" s="1116"/>
      <c r="R20" s="1116"/>
      <c r="S20" s="1116"/>
    </row>
    <row r="21" spans="1:19" s="342" customFormat="1">
      <c r="A21" s="196"/>
      <c r="B21" s="211"/>
      <c r="C21" s="1116"/>
      <c r="D21" s="211"/>
      <c r="E21" s="232"/>
      <c r="F21" s="437"/>
      <c r="G21" s="210"/>
      <c r="H21" s="461"/>
      <c r="I21" s="463"/>
      <c r="J21" s="1248"/>
      <c r="K21" s="727"/>
      <c r="L21" s="727"/>
      <c r="M21" s="727"/>
      <c r="N21" s="743"/>
      <c r="O21" s="1116"/>
      <c r="P21" s="1116"/>
      <c r="Q21" s="1116"/>
      <c r="R21" s="1116"/>
      <c r="S21" s="1116"/>
    </row>
    <row r="22" spans="1:19" s="342" customFormat="1">
      <c r="A22" s="196"/>
      <c r="B22" s="190"/>
      <c r="C22" s="198"/>
      <c r="D22" s="372"/>
      <c r="E22" s="232"/>
      <c r="F22" s="879"/>
      <c r="G22" s="730"/>
      <c r="H22" s="211"/>
      <c r="I22" s="463"/>
      <c r="J22" s="463"/>
      <c r="K22" s="748"/>
      <c r="L22" s="490"/>
      <c r="M22" s="490"/>
      <c r="N22" s="744"/>
      <c r="O22" s="1116"/>
      <c r="P22" s="1116"/>
      <c r="Q22" s="1116"/>
      <c r="R22" s="1116"/>
      <c r="S22" s="1116"/>
    </row>
    <row r="23" spans="1:19" s="342" customFormat="1">
      <c r="A23" s="352"/>
      <c r="B23" s="190"/>
      <c r="C23" s="1242" t="s">
        <v>283</v>
      </c>
      <c r="D23" s="211" t="s">
        <v>193</v>
      </c>
      <c r="E23" s="250"/>
      <c r="F23" s="877"/>
      <c r="G23" s="211"/>
      <c r="H23" s="211"/>
      <c r="I23" s="463"/>
      <c r="J23" s="463"/>
      <c r="K23" s="727"/>
      <c r="L23" s="727"/>
      <c r="M23" s="727"/>
      <c r="N23" s="743"/>
      <c r="O23" s="1116"/>
      <c r="P23" s="1116"/>
      <c r="Q23" s="1116"/>
      <c r="R23" s="1116"/>
      <c r="S23" s="1116"/>
    </row>
    <row r="24" spans="1:19" s="342" customFormat="1" ht="15">
      <c r="A24" s="196"/>
      <c r="B24" s="190"/>
      <c r="C24" s="202" t="s">
        <v>284</v>
      </c>
      <c r="D24" s="450" t="s">
        <v>155</v>
      </c>
      <c r="E24" s="371">
        <f>+E$9</f>
        <v>2016</v>
      </c>
      <c r="F24" s="1482">
        <v>4080277926</v>
      </c>
      <c r="G24" s="210"/>
      <c r="H24" s="337"/>
      <c r="I24" s="729"/>
      <c r="J24" s="463"/>
      <c r="K24" s="748"/>
      <c r="L24" s="490"/>
      <c r="M24" s="487"/>
      <c r="N24" s="743"/>
      <c r="O24" s="1116"/>
      <c r="P24" s="1116"/>
      <c r="Q24" s="1116"/>
      <c r="R24" s="1116"/>
      <c r="S24" s="1116"/>
    </row>
    <row r="25" spans="1:19" s="342" customFormat="1">
      <c r="A25" s="196"/>
      <c r="B25" s="211"/>
      <c r="C25" s="1116"/>
      <c r="D25" s="211"/>
      <c r="E25" s="232"/>
      <c r="F25" s="437"/>
      <c r="G25" s="210"/>
      <c r="H25" s="461"/>
      <c r="I25" s="463"/>
      <c r="J25" s="1248"/>
      <c r="K25" s="727"/>
      <c r="L25" s="727"/>
      <c r="M25" s="487"/>
      <c r="N25" s="743"/>
      <c r="O25" s="1116"/>
      <c r="P25" s="1116"/>
      <c r="Q25" s="1116"/>
      <c r="R25" s="1116"/>
      <c r="S25" s="1116"/>
    </row>
    <row r="26" spans="1:19" s="342" customFormat="1">
      <c r="A26" s="196"/>
      <c r="B26" s="211"/>
      <c r="C26" s="198"/>
      <c r="D26" s="211"/>
      <c r="E26" s="209"/>
      <c r="F26" s="881"/>
      <c r="G26" s="731"/>
      <c r="H26" s="460"/>
      <c r="I26" s="728"/>
      <c r="J26" s="1249"/>
      <c r="K26" s="727"/>
      <c r="L26" s="727"/>
      <c r="M26" s="487"/>
      <c r="N26" s="743"/>
      <c r="O26" s="1116"/>
      <c r="P26" s="1116"/>
      <c r="Q26" s="1116"/>
      <c r="R26" s="1116"/>
      <c r="S26" s="1116"/>
    </row>
    <row r="27" spans="1:19" s="342" customFormat="1">
      <c r="A27" s="352"/>
      <c r="B27" s="211"/>
      <c r="C27" s="1109"/>
      <c r="D27" s="1250"/>
      <c r="E27" s="1110"/>
      <c r="F27" s="1251"/>
      <c r="G27" s="210"/>
      <c r="H27" s="210"/>
      <c r="I27" s="210"/>
      <c r="J27" s="210"/>
      <c r="K27" s="745"/>
      <c r="L27" s="727"/>
      <c r="M27" s="487"/>
      <c r="N27" s="743"/>
      <c r="O27" s="1116"/>
      <c r="P27" s="1116"/>
      <c r="Q27" s="1116"/>
      <c r="R27" s="1116"/>
      <c r="S27" s="1116"/>
    </row>
    <row r="28" spans="1:19" s="342" customFormat="1" ht="13.5" thickBot="1">
      <c r="A28" s="196"/>
      <c r="B28" s="190"/>
      <c r="C28" s="1111" t="s">
        <v>921</v>
      </c>
      <c r="D28" s="1112"/>
      <c r="E28" s="1252"/>
      <c r="F28" s="1113">
        <f>F$24+F$20+F$16+F$12+F$9</f>
        <v>9488423018.8884621</v>
      </c>
      <c r="G28" s="460"/>
      <c r="H28" s="460"/>
      <c r="I28" s="460"/>
      <c r="J28" s="460"/>
      <c r="K28" s="814"/>
      <c r="L28" s="490"/>
      <c r="M28" s="490"/>
      <c r="N28" s="743"/>
      <c r="O28" s="1116"/>
      <c r="P28" s="1116"/>
      <c r="Q28" s="1116"/>
      <c r="R28" s="1116"/>
      <c r="S28" s="1116"/>
    </row>
    <row r="29" spans="1:19" s="342" customFormat="1" ht="13.5" thickTop="1">
      <c r="A29" s="196"/>
      <c r="B29" s="190"/>
      <c r="C29" s="373"/>
      <c r="D29" s="372"/>
      <c r="E29" s="232"/>
      <c r="F29" s="460"/>
      <c r="G29" s="460"/>
      <c r="H29" s="460"/>
      <c r="I29" s="460"/>
      <c r="J29" s="460"/>
      <c r="K29" s="814"/>
      <c r="L29" s="490"/>
      <c r="M29" s="490"/>
      <c r="N29" s="743"/>
      <c r="O29" s="1116"/>
      <c r="P29" s="1116"/>
      <c r="Q29" s="1116"/>
      <c r="R29" s="1116"/>
      <c r="S29" s="1116"/>
    </row>
    <row r="30" spans="1:19" s="342" customFormat="1" ht="25.5">
      <c r="A30" s="196"/>
      <c r="B30" s="190"/>
      <c r="C30" s="373" t="s">
        <v>661</v>
      </c>
      <c r="D30" s="450" t="s">
        <v>662</v>
      </c>
      <c r="E30" s="371">
        <f>E24</f>
        <v>2016</v>
      </c>
      <c r="F30" s="1253" t="s">
        <v>1095</v>
      </c>
      <c r="G30" s="1254" t="s">
        <v>665</v>
      </c>
      <c r="H30" s="1253" t="s">
        <v>1094</v>
      </c>
      <c r="I30" s="460"/>
      <c r="J30" s="460"/>
      <c r="K30" s="814"/>
      <c r="L30" s="490"/>
      <c r="M30" s="490"/>
      <c r="N30" s="743"/>
      <c r="O30" s="1117"/>
      <c r="P30" s="748"/>
      <c r="Q30" s="1116"/>
      <c r="R30" s="1116"/>
      <c r="S30" s="1116"/>
    </row>
    <row r="31" spans="1:19" s="342" customFormat="1">
      <c r="A31" s="196"/>
      <c r="B31" s="190"/>
      <c r="C31" s="731" t="s">
        <v>663</v>
      </c>
      <c r="D31" s="372"/>
      <c r="E31" s="232"/>
      <c r="F31" s="1482">
        <v>507867762</v>
      </c>
      <c r="G31" s="1507">
        <v>0.6865</v>
      </c>
      <c r="H31" s="460">
        <f>F31*G31</f>
        <v>348651218.61299998</v>
      </c>
      <c r="I31" s="460"/>
      <c r="J31" s="460"/>
      <c r="K31" s="814"/>
      <c r="L31" s="490"/>
      <c r="M31" s="490"/>
      <c r="N31" s="743"/>
      <c r="O31" s="428"/>
      <c r="P31" s="727"/>
      <c r="Q31" s="1116"/>
      <c r="R31" s="1116"/>
      <c r="S31" s="1116"/>
    </row>
    <row r="32" spans="1:19" s="342" customFormat="1">
      <c r="A32" s="196"/>
      <c r="B32" s="190"/>
      <c r="C32" s="343"/>
      <c r="D32" s="343"/>
      <c r="E32" s="343"/>
      <c r="F32" s="343"/>
      <c r="G32" s="343"/>
      <c r="H32" s="343"/>
      <c r="I32" s="460"/>
      <c r="J32" s="460"/>
      <c r="K32" s="814"/>
      <c r="L32" s="490"/>
      <c r="M32" s="490"/>
      <c r="N32" s="743"/>
      <c r="O32" s="1115"/>
      <c r="P32" s="727"/>
      <c r="Q32" s="1116"/>
      <c r="R32" s="1116"/>
      <c r="S32" s="1116"/>
    </row>
    <row r="33" spans="1:19" s="342" customFormat="1" ht="13.5" thickBot="1">
      <c r="A33" s="205"/>
      <c r="B33" s="206"/>
      <c r="C33" s="207"/>
      <c r="D33" s="375"/>
      <c r="E33" s="235"/>
      <c r="F33" s="207"/>
      <c r="G33" s="207"/>
      <c r="H33" s="462"/>
      <c r="I33" s="732"/>
      <c r="J33" s="350"/>
      <c r="K33" s="746"/>
      <c r="L33" s="746"/>
      <c r="M33" s="746"/>
      <c r="N33" s="747"/>
      <c r="O33" s="347"/>
      <c r="P33" s="727"/>
      <c r="Q33" s="1116"/>
      <c r="R33" s="1116"/>
      <c r="S33" s="1116"/>
    </row>
    <row r="34" spans="1:19" s="342" customFormat="1">
      <c r="A34" s="209"/>
      <c r="B34" s="197"/>
      <c r="C34" s="198"/>
      <c r="D34" s="191"/>
      <c r="E34" s="209"/>
      <c r="F34" s="198"/>
      <c r="G34" s="198"/>
      <c r="H34" s="374"/>
      <c r="I34" s="442"/>
      <c r="J34" s="442"/>
      <c r="K34" s="727"/>
      <c r="L34" s="727"/>
      <c r="M34" s="727"/>
      <c r="N34" s="727"/>
      <c r="O34" s="1116"/>
      <c r="P34" s="1116"/>
      <c r="Q34" s="1116"/>
      <c r="R34" s="1116"/>
      <c r="S34" s="1116"/>
    </row>
    <row r="35" spans="1:19" s="342" customFormat="1" ht="13.5" thickBot="1">
      <c r="A35" s="368" t="s">
        <v>285</v>
      </c>
      <c r="B35" s="189"/>
      <c r="C35" s="189"/>
      <c r="D35" s="189"/>
      <c r="E35" s="189"/>
      <c r="F35" s="189"/>
      <c r="G35" s="189"/>
      <c r="H35" s="189"/>
      <c r="K35" s="417"/>
      <c r="L35" s="417"/>
      <c r="M35" s="417"/>
      <c r="N35" s="417"/>
      <c r="O35" s="1116"/>
      <c r="P35" s="1116"/>
      <c r="Q35" s="1116"/>
      <c r="R35" s="1116"/>
      <c r="S35" s="1116"/>
    </row>
    <row r="36" spans="1:19" s="342" customFormat="1">
      <c r="A36" s="1929" t="s">
        <v>1287</v>
      </c>
      <c r="B36" s="1930"/>
      <c r="C36" s="1930"/>
      <c r="D36" s="1930"/>
      <c r="E36" s="1930"/>
      <c r="F36" s="1931"/>
      <c r="G36" s="1255"/>
      <c r="H36" s="939"/>
      <c r="I36" s="1257"/>
      <c r="J36" s="1257"/>
      <c r="K36" s="1932" t="s">
        <v>148</v>
      </c>
      <c r="L36" s="1932"/>
      <c r="M36" s="1932"/>
      <c r="N36" s="1933"/>
      <c r="O36" s="1116"/>
      <c r="P36" s="1116"/>
      <c r="Q36" s="1116"/>
      <c r="R36" s="1116"/>
      <c r="S36" s="1116"/>
    </row>
    <row r="37" spans="1:19" s="342" customFormat="1" ht="31.5">
      <c r="A37" s="352"/>
      <c r="B37" s="190"/>
      <c r="C37" s="1242" t="s">
        <v>712</v>
      </c>
      <c r="D37" s="211" t="s">
        <v>193</v>
      </c>
      <c r="E37" s="250"/>
      <c r="F37" s="1243" t="s">
        <v>542</v>
      </c>
      <c r="G37" s="1244" t="s">
        <v>1096</v>
      </c>
      <c r="H37" s="1243" t="s">
        <v>503</v>
      </c>
      <c r="I37" s="1243" t="s">
        <v>504</v>
      </c>
      <c r="J37" s="1116"/>
      <c r="K37" s="1116"/>
      <c r="L37" s="727"/>
      <c r="M37" s="727"/>
      <c r="N37" s="743"/>
      <c r="O37" s="1116"/>
      <c r="P37" s="95"/>
      <c r="Q37" s="95"/>
      <c r="R37" s="1116"/>
      <c r="S37" s="1116"/>
    </row>
    <row r="38" spans="1:19" s="342" customFormat="1" ht="15">
      <c r="A38" s="196"/>
      <c r="B38" s="190"/>
      <c r="C38" s="200" t="s">
        <v>194</v>
      </c>
      <c r="D38" s="450" t="s">
        <v>502</v>
      </c>
      <c r="E38" s="371">
        <f>+E$9</f>
        <v>2016</v>
      </c>
      <c r="F38" s="436">
        <f>G38+H38+I38</f>
        <v>443108766.46612531</v>
      </c>
      <c r="G38" s="436">
        <f>'WKSHT5 - Plant in Service 13mo '!O311</f>
        <v>335316759.43689454</v>
      </c>
      <c r="H38" s="1246">
        <f>'WKSHT5 - Plant in Service 13mo '!O312</f>
        <v>68167613.409230769</v>
      </c>
      <c r="I38" s="1246">
        <f>'WKSHT5 - Plant in Service 13mo '!O313</f>
        <v>39624393.620000005</v>
      </c>
      <c r="J38" s="1116"/>
      <c r="K38" s="1116"/>
      <c r="L38" s="748"/>
      <c r="M38" s="748"/>
      <c r="N38" s="754"/>
      <c r="O38" s="1116"/>
      <c r="P38" s="1117"/>
      <c r="Q38" s="1117"/>
      <c r="R38" s="1116"/>
      <c r="S38" s="1116"/>
    </row>
    <row r="39" spans="1:19" s="342" customFormat="1">
      <c r="A39" s="196"/>
      <c r="B39" s="211"/>
      <c r="C39" s="202" t="s">
        <v>341</v>
      </c>
      <c r="D39" s="211"/>
      <c r="E39" s="232"/>
      <c r="F39" s="437"/>
      <c r="G39" s="210"/>
      <c r="H39" s="210"/>
      <c r="I39" s="210"/>
      <c r="J39" s="210"/>
      <c r="K39" s="745"/>
      <c r="L39" s="727"/>
      <c r="M39" s="727"/>
      <c r="N39" s="743"/>
      <c r="O39" s="1116"/>
      <c r="P39" s="1120"/>
      <c r="Q39" s="1120"/>
      <c r="R39" s="1116"/>
      <c r="S39" s="1116"/>
    </row>
    <row r="40" spans="1:19" s="342" customFormat="1">
      <c r="A40" s="196"/>
      <c r="B40" s="209"/>
      <c r="C40" s="198"/>
      <c r="D40" s="211"/>
      <c r="E40" s="209"/>
      <c r="F40" s="876"/>
      <c r="G40" s="198"/>
      <c r="H40" s="460"/>
      <c r="I40" s="728"/>
      <c r="J40" s="347"/>
      <c r="K40" s="727"/>
      <c r="L40" s="727"/>
      <c r="M40" s="727"/>
      <c r="N40" s="743"/>
      <c r="O40" s="1116"/>
      <c r="P40" s="1116"/>
      <c r="Q40" s="1116"/>
      <c r="R40" s="1116"/>
      <c r="S40" s="1116"/>
    </row>
    <row r="41" spans="1:19" s="342" customFormat="1" ht="15.75">
      <c r="A41" s="196"/>
      <c r="B41" s="209"/>
      <c r="C41" s="198"/>
      <c r="D41" s="211"/>
      <c r="E41" s="209"/>
      <c r="F41" s="876"/>
      <c r="G41" s="198"/>
      <c r="H41" s="460"/>
      <c r="I41" s="728"/>
      <c r="J41" s="347"/>
      <c r="K41" s="727"/>
      <c r="L41" s="727"/>
      <c r="M41" s="727"/>
      <c r="N41" s="743"/>
      <c r="O41" s="1116"/>
      <c r="P41" s="95"/>
      <c r="Q41" s="95"/>
      <c r="R41" s="1116"/>
      <c r="S41" s="1116"/>
    </row>
    <row r="42" spans="1:19" s="342" customFormat="1">
      <c r="A42" s="352"/>
      <c r="B42" s="190"/>
      <c r="C42" s="1242" t="s">
        <v>714</v>
      </c>
      <c r="D42" s="211" t="s">
        <v>193</v>
      </c>
      <c r="E42" s="250"/>
      <c r="F42" s="880"/>
      <c r="G42" s="245"/>
      <c r="H42" s="245"/>
      <c r="I42" s="463"/>
      <c r="J42" s="347"/>
      <c r="K42" s="727"/>
      <c r="L42" s="727"/>
      <c r="M42" s="727"/>
      <c r="N42" s="743"/>
      <c r="O42" s="1116"/>
      <c r="P42" s="428"/>
      <c r="Q42" s="428"/>
      <c r="R42" s="1116"/>
      <c r="S42" s="1116"/>
    </row>
    <row r="43" spans="1:19" s="342" customFormat="1" ht="15">
      <c r="A43" s="196"/>
      <c r="B43" s="190"/>
      <c r="C43" s="200" t="s">
        <v>194</v>
      </c>
      <c r="D43" s="450" t="s">
        <v>713</v>
      </c>
      <c r="E43" s="371">
        <f>+E$9</f>
        <v>2016</v>
      </c>
      <c r="F43" s="1481">
        <v>1362602445</v>
      </c>
      <c r="G43" s="1608" t="s">
        <v>1002</v>
      </c>
      <c r="H43" s="461"/>
      <c r="I43" s="1116"/>
      <c r="J43" s="463"/>
      <c r="K43" s="748"/>
      <c r="L43" s="748"/>
      <c r="M43" s="748"/>
      <c r="N43" s="754"/>
      <c r="O43" s="1116"/>
      <c r="P43" s="1116"/>
      <c r="Q43" s="1116"/>
      <c r="R43" s="1116"/>
      <c r="S43" s="1117"/>
    </row>
    <row r="44" spans="1:19" s="342" customFormat="1">
      <c r="A44" s="196"/>
      <c r="B44" s="211"/>
      <c r="C44" s="202" t="s">
        <v>286</v>
      </c>
      <c r="D44" s="211"/>
      <c r="E44" s="232"/>
      <c r="F44" s="437"/>
      <c r="G44" s="210"/>
      <c r="H44" s="210"/>
      <c r="I44" s="874"/>
      <c r="J44" s="347"/>
      <c r="K44" s="727"/>
      <c r="L44" s="727"/>
      <c r="M44" s="727"/>
      <c r="N44" s="743"/>
      <c r="O44" s="461"/>
      <c r="P44" s="1116"/>
      <c r="Q44" s="1116"/>
      <c r="R44" s="1119"/>
      <c r="S44" s="1116"/>
    </row>
    <row r="45" spans="1:19" s="342" customFormat="1">
      <c r="A45" s="196"/>
      <c r="B45" s="209"/>
      <c r="C45" s="198"/>
      <c r="D45" s="211"/>
      <c r="E45" s="209"/>
      <c r="F45" s="876"/>
      <c r="G45" s="198"/>
      <c r="H45" s="460"/>
      <c r="I45" s="463"/>
      <c r="J45" s="347"/>
      <c r="K45" s="727"/>
      <c r="L45" s="727"/>
      <c r="M45" s="727"/>
      <c r="N45" s="743"/>
      <c r="O45" s="464"/>
      <c r="P45" s="1116"/>
      <c r="Q45" s="1116"/>
      <c r="R45" s="1116"/>
      <c r="S45" s="1116"/>
    </row>
    <row r="46" spans="1:19" s="342" customFormat="1">
      <c r="A46" s="352"/>
      <c r="B46" s="190"/>
      <c r="C46" s="1242" t="s">
        <v>287</v>
      </c>
      <c r="D46" s="211" t="s">
        <v>193</v>
      </c>
      <c r="E46" s="250"/>
      <c r="F46" s="877"/>
      <c r="G46" s="211"/>
      <c r="H46" s="211"/>
      <c r="I46" s="463"/>
      <c r="J46" s="347"/>
      <c r="K46" s="727"/>
      <c r="L46" s="727"/>
      <c r="M46" s="727"/>
      <c r="N46" s="743"/>
      <c r="O46" s="1116"/>
      <c r="P46" s="1116"/>
      <c r="Q46" s="1116"/>
      <c r="R46" s="1116"/>
      <c r="S46" s="1789"/>
    </row>
    <row r="47" spans="1:19" s="342" customFormat="1" ht="15">
      <c r="A47" s="196"/>
      <c r="B47" s="190"/>
      <c r="C47" s="200" t="s">
        <v>194</v>
      </c>
      <c r="D47" s="201" t="s">
        <v>1019</v>
      </c>
      <c r="E47" s="371">
        <f>+E$9</f>
        <v>2016</v>
      </c>
      <c r="F47" s="1481">
        <v>37818138</v>
      </c>
      <c r="G47" s="210"/>
      <c r="H47" s="461"/>
      <c r="I47" s="463"/>
      <c r="J47" s="463"/>
      <c r="K47" s="748"/>
      <c r="L47" s="748"/>
      <c r="M47" s="748"/>
      <c r="N47" s="754"/>
      <c r="O47" s="1116"/>
      <c r="P47" s="1116"/>
      <c r="Q47" s="1116"/>
      <c r="R47" s="1116"/>
      <c r="S47" s="1789"/>
    </row>
    <row r="48" spans="1:19" s="342" customFormat="1">
      <c r="A48" s="196"/>
      <c r="B48" s="211"/>
      <c r="C48" s="202" t="s">
        <v>338</v>
      </c>
      <c r="D48" s="211"/>
      <c r="E48" s="232"/>
      <c r="F48" s="437"/>
      <c r="G48" s="210"/>
      <c r="H48" s="464"/>
      <c r="I48" s="463"/>
      <c r="J48" s="463"/>
      <c r="K48" s="727"/>
      <c r="L48" s="727"/>
      <c r="M48" s="727"/>
      <c r="N48" s="743"/>
      <c r="O48" s="461"/>
      <c r="P48" s="1116"/>
      <c r="Q48" s="1116"/>
      <c r="R48" s="1116"/>
      <c r="S48" s="1789"/>
    </row>
    <row r="49" spans="1:19" s="342" customFormat="1">
      <c r="A49" s="352"/>
      <c r="B49" s="211"/>
      <c r="C49" s="240"/>
      <c r="D49" s="211"/>
      <c r="E49" s="250"/>
      <c r="F49" s="878"/>
      <c r="G49" s="240"/>
      <c r="H49" s="460"/>
      <c r="I49" s="728"/>
      <c r="J49" s="728"/>
      <c r="K49" s="727"/>
      <c r="L49" s="727"/>
      <c r="M49" s="727"/>
      <c r="N49" s="743"/>
      <c r="O49" s="464"/>
      <c r="P49" s="1116"/>
      <c r="Q49" s="1116"/>
      <c r="R49" s="1116"/>
      <c r="S49" s="1789"/>
    </row>
    <row r="50" spans="1:19" s="342" customFormat="1">
      <c r="A50" s="352"/>
      <c r="B50" s="190"/>
      <c r="C50" s="1242" t="s">
        <v>288</v>
      </c>
      <c r="D50" s="211" t="s">
        <v>193</v>
      </c>
      <c r="E50" s="250"/>
      <c r="F50" s="877"/>
      <c r="G50" s="211"/>
      <c r="H50" s="211"/>
      <c r="I50" s="463"/>
      <c r="J50" s="463"/>
      <c r="K50" s="727"/>
      <c r="L50" s="727"/>
      <c r="M50" s="727"/>
      <c r="N50" s="743"/>
      <c r="O50" s="1116"/>
      <c r="P50" s="1116"/>
      <c r="Q50" s="1116"/>
      <c r="R50" s="1116"/>
      <c r="S50" s="1116"/>
    </row>
    <row r="51" spans="1:19" s="342" customFormat="1" ht="15">
      <c r="A51" s="196"/>
      <c r="B51" s="190"/>
      <c r="C51" s="200" t="s">
        <v>194</v>
      </c>
      <c r="D51" s="201" t="s">
        <v>500</v>
      </c>
      <c r="E51" s="371">
        <f>+E$9</f>
        <v>2016</v>
      </c>
      <c r="F51" s="1481">
        <v>102266325</v>
      </c>
      <c r="G51" s="210"/>
      <c r="H51" s="461"/>
      <c r="I51" s="463"/>
      <c r="J51" s="463"/>
      <c r="K51" s="748"/>
      <c r="L51" s="748"/>
      <c r="M51" s="748"/>
      <c r="N51" s="754"/>
      <c r="O51" s="1116"/>
      <c r="P51" s="1116"/>
      <c r="Q51" s="1116"/>
      <c r="R51" s="1116"/>
      <c r="S51" s="1116"/>
    </row>
    <row r="52" spans="1:19" s="342" customFormat="1" ht="15">
      <c r="A52" s="196"/>
      <c r="B52" s="211"/>
      <c r="C52" s="202" t="s">
        <v>1036</v>
      </c>
      <c r="D52" s="211"/>
      <c r="E52" s="232"/>
      <c r="F52" s="437"/>
      <c r="G52" s="210"/>
      <c r="H52" s="464"/>
      <c r="I52" s="463"/>
      <c r="J52" s="463"/>
      <c r="K52" s="727"/>
      <c r="L52" s="727"/>
      <c r="M52" s="727"/>
      <c r="N52" s="743"/>
      <c r="O52" s="1116"/>
      <c r="P52" s="431"/>
      <c r="Q52" s="1116"/>
      <c r="R52" s="1116"/>
      <c r="S52" s="1116"/>
    </row>
    <row r="53" spans="1:19" s="342" customFormat="1">
      <c r="A53" s="196"/>
      <c r="B53" s="190"/>
      <c r="C53" s="198"/>
      <c r="D53" s="372"/>
      <c r="E53" s="232"/>
      <c r="F53" s="879"/>
      <c r="G53" s="730"/>
      <c r="H53" s="211"/>
      <c r="I53" s="463"/>
      <c r="J53" s="463"/>
      <c r="K53" s="748"/>
      <c r="L53" s="748"/>
      <c r="M53" s="748"/>
      <c r="N53" s="754"/>
      <c r="O53" s="1116"/>
      <c r="P53" s="1116"/>
      <c r="Q53" s="1116"/>
      <c r="R53" s="1116"/>
      <c r="S53" s="1116"/>
    </row>
    <row r="54" spans="1:19" s="342" customFormat="1">
      <c r="A54" s="352"/>
      <c r="B54" s="190"/>
      <c r="C54" s="1242" t="s">
        <v>289</v>
      </c>
      <c r="D54" s="211" t="s">
        <v>193</v>
      </c>
      <c r="E54" s="250"/>
      <c r="F54" s="877"/>
      <c r="G54" s="211"/>
      <c r="H54" s="211"/>
      <c r="I54" s="463"/>
      <c r="J54" s="463"/>
      <c r="K54" s="727"/>
      <c r="L54" s="727"/>
      <c r="M54" s="727"/>
      <c r="N54" s="743"/>
      <c r="O54" s="1116"/>
      <c r="P54" s="1116"/>
      <c r="Q54" s="1116"/>
      <c r="R54" s="1116"/>
      <c r="S54" s="1116"/>
    </row>
    <row r="55" spans="1:19" s="342" customFormat="1" ht="15">
      <c r="A55" s="196"/>
      <c r="B55" s="190"/>
      <c r="C55" s="200" t="s">
        <v>194</v>
      </c>
      <c r="D55" s="450" t="s">
        <v>154</v>
      </c>
      <c r="E55" s="371">
        <f>+E$9</f>
        <v>2016</v>
      </c>
      <c r="F55" s="1484">
        <f>771979167+152035007+709580666</f>
        <v>1633594840</v>
      </c>
      <c r="G55" s="210"/>
      <c r="H55" s="461"/>
      <c r="I55" s="733"/>
      <c r="J55" s="733"/>
      <c r="K55" s="1261"/>
      <c r="L55" s="1261"/>
      <c r="M55" s="753"/>
      <c r="N55" s="749"/>
    </row>
    <row r="56" spans="1:19" s="342" customFormat="1">
      <c r="A56" s="196"/>
      <c r="B56" s="211"/>
      <c r="C56" s="202" t="s">
        <v>290</v>
      </c>
      <c r="D56" s="211"/>
      <c r="E56" s="232"/>
      <c r="F56" s="875"/>
      <c r="G56" s="210"/>
      <c r="H56" s="464"/>
      <c r="I56" s="463"/>
      <c r="J56" s="463"/>
      <c r="K56" s="727"/>
      <c r="L56" s="727"/>
      <c r="M56" s="753"/>
      <c r="N56" s="749"/>
    </row>
    <row r="57" spans="1:19" s="342" customFormat="1">
      <c r="A57" s="196"/>
      <c r="B57" s="211"/>
      <c r="C57" s="198"/>
      <c r="D57" s="211"/>
      <c r="E57" s="209"/>
      <c r="F57" s="876"/>
      <c r="G57" s="198"/>
      <c r="H57" s="460"/>
      <c r="I57" s="728"/>
      <c r="J57" s="1249"/>
      <c r="K57" s="727"/>
      <c r="L57" s="727"/>
      <c r="M57" s="753"/>
      <c r="N57" s="749"/>
    </row>
    <row r="58" spans="1:19" s="342" customFormat="1">
      <c r="A58" s="352"/>
      <c r="B58" s="211"/>
      <c r="C58" s="202"/>
      <c r="D58" s="1116"/>
      <c r="E58" s="232"/>
      <c r="F58" s="1262"/>
      <c r="G58" s="210"/>
      <c r="H58" s="210"/>
      <c r="I58" s="554"/>
      <c r="J58" s="210"/>
      <c r="K58" s="745"/>
      <c r="L58" s="814"/>
      <c r="M58" s="753"/>
      <c r="N58" s="749"/>
    </row>
    <row r="59" spans="1:19" s="342" customFormat="1" ht="13.5" thickBot="1">
      <c r="A59" s="196"/>
      <c r="B59" s="190"/>
      <c r="C59" s="1111" t="s">
        <v>920</v>
      </c>
      <c r="D59" s="1263"/>
      <c r="E59" s="1252"/>
      <c r="F59" s="1113">
        <f>+F$55+F$51+F$47+F$43+F$38</f>
        <v>3579390514.4661255</v>
      </c>
      <c r="G59" s="460"/>
      <c r="H59" s="460"/>
      <c r="I59" s="460"/>
      <c r="J59" s="460"/>
      <c r="K59" s="814"/>
      <c r="L59" s="748"/>
      <c r="M59" s="748"/>
      <c r="N59" s="749"/>
    </row>
    <row r="60" spans="1:19" s="342" customFormat="1" ht="13.5" thickTop="1">
      <c r="A60" s="196"/>
      <c r="B60" s="190"/>
      <c r="C60" s="373"/>
      <c r="D60" s="372"/>
      <c r="E60" s="232"/>
      <c r="F60" s="873"/>
      <c r="G60" s="460"/>
      <c r="H60" s="460"/>
      <c r="I60" s="460"/>
      <c r="J60" s="460"/>
      <c r="K60" s="814"/>
      <c r="L60" s="748"/>
      <c r="M60" s="748"/>
      <c r="N60" s="749"/>
    </row>
    <row r="61" spans="1:19" s="342" customFormat="1" ht="25.5">
      <c r="A61" s="196"/>
      <c r="B61" s="190"/>
      <c r="C61" s="373" t="s">
        <v>661</v>
      </c>
      <c r="D61" s="450" t="s">
        <v>662</v>
      </c>
      <c r="E61" s="371">
        <f>E55</f>
        <v>2016</v>
      </c>
      <c r="F61" s="1253" t="s">
        <v>1095</v>
      </c>
      <c r="G61" s="1254" t="s">
        <v>665</v>
      </c>
      <c r="H61" s="1253" t="s">
        <v>1094</v>
      </c>
      <c r="I61" s="460"/>
      <c r="J61" s="460"/>
      <c r="K61" s="814"/>
      <c r="L61" s="748"/>
      <c r="M61" s="748"/>
      <c r="N61" s="749"/>
    </row>
    <row r="62" spans="1:19" s="342" customFormat="1">
      <c r="A62" s="196"/>
      <c r="B62" s="190"/>
      <c r="C62" s="731" t="s">
        <v>664</v>
      </c>
      <c r="D62" s="372"/>
      <c r="E62" s="232"/>
      <c r="F62" s="1483">
        <v>208937799</v>
      </c>
      <c r="G62" s="1507">
        <v>0.6865</v>
      </c>
      <c r="H62" s="460">
        <f>F62*G62</f>
        <v>143435799.01350001</v>
      </c>
      <c r="I62" s="460"/>
      <c r="J62" s="460"/>
      <c r="K62" s="814"/>
      <c r="L62" s="748"/>
      <c r="M62" s="748"/>
      <c r="N62" s="749"/>
    </row>
    <row r="63" spans="1:19" s="342" customFormat="1" ht="13.5" thickBot="1">
      <c r="A63" s="348"/>
      <c r="B63" s="465"/>
      <c r="C63" s="349"/>
      <c r="D63" s="1264"/>
      <c r="E63" s="465"/>
      <c r="F63" s="349"/>
      <c r="G63" s="349"/>
      <c r="H63" s="466"/>
      <c r="I63" s="732"/>
      <c r="J63" s="732"/>
      <c r="K63" s="746"/>
      <c r="L63" s="746"/>
      <c r="M63" s="746"/>
      <c r="N63" s="747"/>
      <c r="P63" s="189"/>
    </row>
    <row r="64" spans="1:19" s="342" customFormat="1">
      <c r="A64" s="209"/>
      <c r="B64" s="209"/>
      <c r="C64" s="198"/>
      <c r="D64" s="211"/>
      <c r="E64" s="203"/>
      <c r="F64" s="198"/>
      <c r="G64" s="198"/>
      <c r="H64" s="210"/>
      <c r="I64" s="250"/>
      <c r="J64" s="250"/>
      <c r="K64" s="727"/>
      <c r="L64" s="727"/>
      <c r="M64" s="727"/>
      <c r="N64" s="727"/>
      <c r="P64" s="189"/>
    </row>
    <row r="65" spans="1:18" s="342" customFormat="1" ht="13.5" thickBot="1">
      <c r="A65" s="368" t="s">
        <v>765</v>
      </c>
      <c r="B65" s="363"/>
      <c r="C65" s="234"/>
      <c r="D65" s="219"/>
      <c r="E65" s="1265"/>
      <c r="F65" s="1266"/>
      <c r="G65" s="1266"/>
      <c r="H65" s="1267"/>
      <c r="I65" s="1267"/>
      <c r="J65" s="1267"/>
      <c r="K65" s="1267"/>
      <c r="L65" s="1267"/>
      <c r="M65" s="1267"/>
      <c r="N65" s="1267"/>
      <c r="P65" s="189"/>
    </row>
    <row r="66" spans="1:18" s="342" customFormat="1">
      <c r="A66" s="1924" t="s">
        <v>1287</v>
      </c>
      <c r="B66" s="1925"/>
      <c r="C66" s="1925"/>
      <c r="D66" s="1925"/>
      <c r="E66" s="1925"/>
      <c r="F66" s="1934"/>
      <c r="G66" s="938"/>
      <c r="H66" s="1268" t="s">
        <v>174</v>
      </c>
      <c r="I66" s="1269" t="s">
        <v>173</v>
      </c>
      <c r="J66" s="1269" t="s">
        <v>175</v>
      </c>
      <c r="K66" s="1269" t="s">
        <v>148</v>
      </c>
      <c r="L66" s="1269"/>
      <c r="M66" s="1270"/>
      <c r="N66" s="1271"/>
      <c r="P66" s="189"/>
    </row>
    <row r="67" spans="1:18" s="342" customFormat="1">
      <c r="A67" s="218"/>
      <c r="B67" s="361" t="s">
        <v>963</v>
      </c>
      <c r="C67" s="219"/>
      <c r="D67" s="217"/>
      <c r="E67" s="365"/>
      <c r="F67" s="1272"/>
      <c r="G67" s="1273"/>
      <c r="H67" s="1273"/>
      <c r="I67" s="217"/>
      <c r="J67" s="217"/>
      <c r="K67" s="533"/>
      <c r="L67" s="533"/>
      <c r="M67" s="534"/>
      <c r="N67" s="535"/>
      <c r="P67" s="189"/>
    </row>
    <row r="68" spans="1:18" s="342" customFormat="1">
      <c r="A68" s="214"/>
      <c r="B68" s="217"/>
      <c r="C68" s="362" t="s">
        <v>338</v>
      </c>
      <c r="D68" s="219"/>
      <c r="E68" s="363"/>
      <c r="F68" s="364" t="s">
        <v>291</v>
      </c>
      <c r="G68" s="363"/>
      <c r="H68" s="1485">
        <v>144715871</v>
      </c>
      <c r="I68" s="1486">
        <v>37819138</v>
      </c>
      <c r="J68" s="221">
        <f>H68-I68</f>
        <v>106896733</v>
      </c>
      <c r="K68" s="1274"/>
      <c r="L68" s="1274"/>
      <c r="M68" s="1275"/>
      <c r="N68" s="1276"/>
      <c r="P68" s="189"/>
    </row>
    <row r="69" spans="1:18" s="342" customFormat="1">
      <c r="A69" s="214"/>
      <c r="B69" s="216" t="s">
        <v>909</v>
      </c>
      <c r="C69" s="215"/>
      <c r="D69" s="217"/>
      <c r="E69" s="365"/>
      <c r="F69" s="366"/>
      <c r="G69" s="438"/>
      <c r="H69" s="1273"/>
      <c r="I69" s="217"/>
      <c r="J69" s="217"/>
      <c r="K69" s="222"/>
      <c r="L69" s="222"/>
      <c r="M69" s="1277"/>
      <c r="N69" s="1278"/>
      <c r="O69" s="427"/>
      <c r="P69" s="189"/>
    </row>
    <row r="70" spans="1:18" s="342" customFormat="1">
      <c r="A70" s="218"/>
      <c r="B70" s="217"/>
      <c r="C70" s="215" t="s">
        <v>927</v>
      </c>
      <c r="D70" s="219"/>
      <c r="E70" s="365"/>
      <c r="F70" s="220" t="s">
        <v>292</v>
      </c>
      <c r="G70" s="219"/>
      <c r="H70" s="1485">
        <v>0</v>
      </c>
      <c r="I70" s="1486">
        <v>0</v>
      </c>
      <c r="J70" s="221">
        <f>+H70-I70</f>
        <v>0</v>
      </c>
      <c r="K70" s="1279"/>
      <c r="L70" s="1279"/>
      <c r="M70" s="1275"/>
      <c r="N70" s="1276"/>
      <c r="O70" s="428"/>
      <c r="P70" s="422"/>
    </row>
    <row r="71" spans="1:18" s="342" customFormat="1">
      <c r="A71" s="218"/>
      <c r="B71" s="216" t="s">
        <v>870</v>
      </c>
      <c r="C71" s="215"/>
      <c r="D71" s="219"/>
      <c r="E71" s="365"/>
      <c r="F71" s="220"/>
      <c r="G71" s="219"/>
      <c r="H71" s="1273"/>
      <c r="I71" s="217"/>
      <c r="J71" s="217"/>
      <c r="K71" s="533"/>
      <c r="L71" s="533"/>
      <c r="M71" s="533"/>
      <c r="N71" s="536"/>
      <c r="O71" s="1115"/>
      <c r="P71" s="422"/>
    </row>
    <row r="72" spans="1:18" s="342" customFormat="1" ht="13.5" thickBot="1">
      <c r="A72" s="1280"/>
      <c r="B72" s="1281"/>
      <c r="C72" s="1282" t="s">
        <v>926</v>
      </c>
      <c r="D72" s="367"/>
      <c r="E72" s="1283"/>
      <c r="F72" s="1284" t="s">
        <v>293</v>
      </c>
      <c r="G72" s="1285"/>
      <c r="H72" s="1487">
        <v>9314879</v>
      </c>
      <c r="I72" s="1488">
        <v>9314879</v>
      </c>
      <c r="J72" s="1286">
        <v>0</v>
      </c>
      <c r="K72" s="1287"/>
      <c r="L72" s="1287"/>
      <c r="M72" s="755"/>
      <c r="N72" s="756"/>
      <c r="O72" s="343"/>
      <c r="P72" s="422"/>
    </row>
    <row r="73" spans="1:18" ht="15.75">
      <c r="A73" s="223"/>
      <c r="B73" s="224"/>
      <c r="C73" s="225"/>
      <c r="D73" s="226"/>
      <c r="E73" s="223"/>
      <c r="F73" s="227"/>
      <c r="G73" s="227"/>
      <c r="H73" s="221"/>
      <c r="I73" s="221"/>
      <c r="J73" s="221"/>
      <c r="K73" s="222"/>
      <c r="L73" s="222"/>
      <c r="M73" s="222"/>
      <c r="N73" s="222"/>
      <c r="P73" s="422"/>
    </row>
    <row r="74" spans="1:18" s="213" customFormat="1" ht="13.5" thickBot="1">
      <c r="A74" s="368" t="s">
        <v>766</v>
      </c>
      <c r="B74" s="234"/>
      <c r="C74" s="234"/>
      <c r="D74" s="234"/>
      <c r="E74" s="234"/>
      <c r="F74" s="234"/>
      <c r="G74" s="234"/>
      <c r="H74" s="234"/>
      <c r="I74" s="234"/>
      <c r="J74" s="234"/>
      <c r="K74" s="416"/>
      <c r="L74" s="416"/>
      <c r="M74" s="416"/>
      <c r="N74" s="416"/>
      <c r="O74" s="212"/>
      <c r="P74" s="422"/>
      <c r="Q74" s="212"/>
      <c r="R74" s="212"/>
    </row>
    <row r="75" spans="1:18" s="213" customFormat="1" ht="39" thickBot="1">
      <c r="A75" s="1936" t="s">
        <v>1287</v>
      </c>
      <c r="B75" s="1937"/>
      <c r="C75" s="1937"/>
      <c r="D75" s="1937"/>
      <c r="E75" s="1937"/>
      <c r="F75" s="1938"/>
      <c r="G75" s="1288"/>
      <c r="H75" s="1289" t="s">
        <v>294</v>
      </c>
      <c r="I75" s="1290" t="s">
        <v>295</v>
      </c>
      <c r="J75" s="1290" t="s">
        <v>296</v>
      </c>
      <c r="K75" s="1939" t="s">
        <v>148</v>
      </c>
      <c r="L75" s="1940"/>
      <c r="M75" s="1940"/>
      <c r="N75" s="1941"/>
      <c r="P75" s="422"/>
    </row>
    <row r="76" spans="1:18" s="342" customFormat="1">
      <c r="A76" s="355">
        <f>'ATT H-1 '!A78</f>
        <v>44</v>
      </c>
      <c r="B76" s="228"/>
      <c r="C76" s="356" t="s">
        <v>97</v>
      </c>
      <c r="D76" s="357"/>
      <c r="E76" s="358" t="s">
        <v>1013</v>
      </c>
      <c r="F76" s="909" t="s">
        <v>972</v>
      </c>
      <c r="G76" s="1814"/>
      <c r="H76" s="1517">
        <v>49903527</v>
      </c>
      <c r="I76" s="1517">
        <v>49015408</v>
      </c>
      <c r="J76" s="421">
        <f>+(I76+H76)/2</f>
        <v>49459467.5</v>
      </c>
      <c r="K76" s="537"/>
      <c r="L76" s="1258"/>
      <c r="M76" s="1258"/>
      <c r="N76" s="1259"/>
      <c r="P76" s="422"/>
    </row>
    <row r="77" spans="1:18" s="213" customFormat="1">
      <c r="A77" s="196"/>
      <c r="B77" s="209"/>
      <c r="C77" s="202" t="s">
        <v>362</v>
      </c>
      <c r="D77" s="211"/>
      <c r="E77" s="198"/>
      <c r="F77" s="910"/>
      <c r="G77" s="246"/>
      <c r="H77" s="1518">
        <v>17127183</v>
      </c>
      <c r="I77" s="1518">
        <v>17628959</v>
      </c>
      <c r="J77" s="648"/>
      <c r="K77" s="418"/>
      <c r="L77" s="727"/>
      <c r="M77" s="727"/>
      <c r="N77" s="743"/>
      <c r="P77" s="422"/>
    </row>
    <row r="78" spans="1:18" s="213" customFormat="1" ht="15.75" customHeight="1" thickBot="1">
      <c r="A78" s="359"/>
      <c r="B78" s="245"/>
      <c r="C78" s="245"/>
      <c r="D78" s="245"/>
      <c r="E78" s="242"/>
      <c r="F78" s="351"/>
      <c r="G78" s="737"/>
      <c r="H78" s="1291">
        <v>0</v>
      </c>
      <c r="I78" s="1292">
        <v>0</v>
      </c>
      <c r="J78" s="648"/>
      <c r="K78" s="1921"/>
      <c r="L78" s="1921"/>
      <c r="M78" s="1921"/>
      <c r="N78" s="743"/>
      <c r="P78" s="422"/>
    </row>
    <row r="79" spans="1:18" s="342" customFormat="1" ht="13.5" thickBot="1">
      <c r="A79" s="333"/>
      <c r="B79" s="236"/>
      <c r="C79" s="236"/>
      <c r="D79" s="236"/>
      <c r="E79" s="236"/>
      <c r="F79" s="360" t="s">
        <v>176</v>
      </c>
      <c r="G79" s="738"/>
      <c r="H79" s="739">
        <f>+H77</f>
        <v>17127183</v>
      </c>
      <c r="I79" s="740">
        <f>I77</f>
        <v>17628959</v>
      </c>
      <c r="J79" s="379">
        <f>+(I79+H79)/2</f>
        <v>17378071</v>
      </c>
      <c r="K79" s="750"/>
      <c r="L79" s="750"/>
      <c r="M79" s="750"/>
      <c r="N79" s="751"/>
      <c r="P79" s="422"/>
    </row>
    <row r="80" spans="1:18" s="213" customFormat="1">
      <c r="A80" s="234"/>
      <c r="B80" s="234"/>
      <c r="C80" s="234"/>
      <c r="D80" s="234"/>
      <c r="E80" s="234"/>
      <c r="F80" s="234"/>
      <c r="G80" s="234"/>
      <c r="H80" s="234"/>
      <c r="I80" s="234"/>
      <c r="J80" s="234"/>
      <c r="K80" s="416"/>
      <c r="L80" s="416"/>
      <c r="M80" s="416"/>
      <c r="N80" s="416"/>
      <c r="O80" s="222"/>
      <c r="P80" s="422"/>
      <c r="Q80" s="222"/>
      <c r="R80" s="222"/>
    </row>
    <row r="81" spans="1:16" ht="13.5" thickBot="1">
      <c r="A81" s="368" t="s">
        <v>297</v>
      </c>
      <c r="B81" s="234"/>
      <c r="C81" s="234"/>
      <c r="D81" s="234"/>
      <c r="E81" s="234"/>
      <c r="F81" s="234"/>
      <c r="G81" s="234"/>
      <c r="H81" s="234"/>
      <c r="I81" s="234"/>
      <c r="J81" s="234"/>
      <c r="K81" s="416"/>
      <c r="L81" s="416"/>
      <c r="M81" s="416"/>
      <c r="N81" s="416"/>
      <c r="P81" s="422"/>
    </row>
    <row r="82" spans="1:16" s="342" customFormat="1">
      <c r="A82" s="1924" t="s">
        <v>1287</v>
      </c>
      <c r="B82" s="1925"/>
      <c r="C82" s="1925"/>
      <c r="D82" s="1925"/>
      <c r="E82" s="1925"/>
      <c r="F82" s="1934"/>
      <c r="G82" s="938"/>
      <c r="H82" s="1293" t="s">
        <v>174</v>
      </c>
      <c r="I82" s="537" t="s">
        <v>298</v>
      </c>
      <c r="J82" s="537" t="s">
        <v>299</v>
      </c>
      <c r="K82" s="1926" t="s">
        <v>148</v>
      </c>
      <c r="L82" s="1932"/>
      <c r="M82" s="1932"/>
      <c r="N82" s="1933"/>
      <c r="P82" s="422"/>
    </row>
    <row r="83" spans="1:16" s="342" customFormat="1">
      <c r="A83" s="196">
        <f>'ATT H-1 '!A115</f>
        <v>66</v>
      </c>
      <c r="B83" s="230" t="s">
        <v>419</v>
      </c>
      <c r="C83" s="211"/>
      <c r="D83" s="211"/>
      <c r="E83" s="232"/>
      <c r="F83" s="233"/>
      <c r="G83" s="211"/>
      <c r="H83" s="246"/>
      <c r="I83" s="242"/>
      <c r="J83" s="242"/>
      <c r="K83" s="753"/>
      <c r="L83" s="753"/>
      <c r="M83" s="753"/>
      <c r="N83" s="1294"/>
      <c r="P83" s="422"/>
    </row>
    <row r="84" spans="1:16" s="342" customFormat="1">
      <c r="A84" s="196"/>
      <c r="B84" s="250"/>
      <c r="C84" s="1790" t="s">
        <v>1259</v>
      </c>
      <c r="D84" s="211"/>
      <c r="E84" s="232"/>
      <c r="F84" s="233"/>
      <c r="G84" s="211"/>
      <c r="H84" s="1874">
        <v>26411077</v>
      </c>
      <c r="I84" s="1875">
        <v>14883022</v>
      </c>
      <c r="J84" s="247">
        <f>+H84-I84</f>
        <v>11528055</v>
      </c>
      <c r="K84" s="753" t="s">
        <v>414</v>
      </c>
      <c r="L84" s="753"/>
      <c r="M84" s="753"/>
      <c r="N84" s="1294"/>
      <c r="P84" s="422"/>
    </row>
    <row r="85" spans="1:16" s="342" customFormat="1">
      <c r="A85" s="196"/>
      <c r="B85" s="250"/>
      <c r="C85" s="190" t="s">
        <v>300</v>
      </c>
      <c r="D85" s="211"/>
      <c r="E85" s="232"/>
      <c r="F85" s="233" t="s">
        <v>729</v>
      </c>
      <c r="G85" s="211"/>
      <c r="H85" s="1588">
        <v>28792630</v>
      </c>
      <c r="I85" s="1590">
        <v>14586544</v>
      </c>
      <c r="J85" s="247">
        <f>+H85-I85</f>
        <v>14206086</v>
      </c>
      <c r="K85" s="748" t="s">
        <v>301</v>
      </c>
      <c r="L85" s="748"/>
      <c r="M85" s="748"/>
      <c r="N85" s="754"/>
      <c r="P85" s="422"/>
    </row>
    <row r="86" spans="1:16" s="342" customFormat="1">
      <c r="A86" s="196"/>
      <c r="B86" s="250"/>
      <c r="C86" s="211" t="s">
        <v>302</v>
      </c>
      <c r="D86" s="242"/>
      <c r="E86" s="232"/>
      <c r="F86" s="233"/>
      <c r="G86" s="211"/>
      <c r="H86" s="735"/>
      <c r="I86" s="736">
        <f>I85-I84</f>
        <v>-296478</v>
      </c>
      <c r="J86" s="242"/>
      <c r="K86" s="418"/>
      <c r="L86" s="727"/>
      <c r="M86" s="727"/>
      <c r="N86" s="743"/>
      <c r="P86" s="189"/>
    </row>
    <row r="87" spans="1:16" s="342" customFormat="1">
      <c r="A87" s="246"/>
      <c r="B87" s="190"/>
      <c r="C87" s="211"/>
      <c r="D87" s="211"/>
      <c r="E87" s="232"/>
      <c r="F87" s="233"/>
      <c r="G87" s="211"/>
      <c r="H87" s="246"/>
      <c r="I87" s="242"/>
      <c r="J87" s="242"/>
      <c r="K87" s="418"/>
      <c r="L87" s="727"/>
      <c r="M87" s="727"/>
      <c r="N87" s="743"/>
      <c r="P87" s="189"/>
    </row>
    <row r="88" spans="1:16" ht="13.5" thickBot="1">
      <c r="A88" s="205"/>
      <c r="B88" s="235"/>
      <c r="C88" s="207"/>
      <c r="D88" s="236"/>
      <c r="E88" s="235"/>
      <c r="F88" s="237"/>
      <c r="G88" s="439"/>
      <c r="H88" s="420"/>
      <c r="I88" s="238"/>
      <c r="J88" s="239"/>
      <c r="K88" s="755"/>
      <c r="L88" s="755"/>
      <c r="M88" s="755"/>
      <c r="N88" s="756"/>
    </row>
    <row r="89" spans="1:16">
      <c r="A89" s="234"/>
      <c r="B89" s="234"/>
      <c r="C89" s="234"/>
      <c r="D89" s="234"/>
      <c r="E89" s="234"/>
      <c r="F89" s="234"/>
      <c r="G89" s="234"/>
      <c r="H89" s="234"/>
      <c r="I89" s="234"/>
      <c r="J89" s="234"/>
      <c r="K89" s="416"/>
      <c r="L89" s="416"/>
      <c r="M89" s="416"/>
      <c r="N89" s="416"/>
      <c r="P89" s="1764"/>
    </row>
    <row r="90" spans="1:16" ht="13.5" thickBot="1">
      <c r="A90" s="368" t="s">
        <v>541</v>
      </c>
      <c r="B90" s="234"/>
      <c r="C90" s="234"/>
      <c r="D90" s="234"/>
      <c r="E90" s="234"/>
      <c r="F90" s="234"/>
      <c r="G90" s="234"/>
      <c r="H90" s="234"/>
      <c r="I90" s="234"/>
      <c r="J90" s="234"/>
      <c r="K90" s="416"/>
      <c r="L90" s="416"/>
      <c r="M90" s="416"/>
      <c r="N90" s="416"/>
    </row>
    <row r="91" spans="1:16" ht="25.5" customHeight="1">
      <c r="A91" s="1924" t="s">
        <v>1287</v>
      </c>
      <c r="B91" s="1925"/>
      <c r="C91" s="1925"/>
      <c r="D91" s="1925"/>
      <c r="E91" s="1925"/>
      <c r="F91" s="1934"/>
      <c r="G91" s="938"/>
      <c r="H91" s="1293" t="s">
        <v>972</v>
      </c>
      <c r="I91" s="537"/>
      <c r="J91" s="537"/>
      <c r="K91" s="1926" t="s">
        <v>148</v>
      </c>
      <c r="L91" s="1932"/>
      <c r="M91" s="1932"/>
      <c r="N91" s="1933"/>
    </row>
    <row r="92" spans="1:16">
      <c r="A92" s="196"/>
      <c r="B92" s="230" t="s">
        <v>419</v>
      </c>
      <c r="C92" s="211"/>
      <c r="D92" s="211"/>
      <c r="E92" s="232"/>
      <c r="F92" s="233"/>
      <c r="G92" s="211"/>
      <c r="H92" s="352" t="s">
        <v>339</v>
      </c>
      <c r="I92" s="242"/>
      <c r="J92" s="242"/>
      <c r="K92" s="1921"/>
      <c r="L92" s="1945"/>
      <c r="M92" s="1945"/>
      <c r="N92" s="1946"/>
    </row>
    <row r="93" spans="1:16" ht="13.5" thickBot="1">
      <c r="A93" s="205">
        <f>+'ATT H-1 '!A119</f>
        <v>70</v>
      </c>
      <c r="B93" s="235"/>
      <c r="C93" s="207" t="s">
        <v>540</v>
      </c>
      <c r="D93" s="236"/>
      <c r="E93" s="235"/>
      <c r="F93" s="208" t="s">
        <v>961</v>
      </c>
      <c r="G93" s="207"/>
      <c r="H93" s="1492">
        <v>0</v>
      </c>
      <c r="I93" s="1493">
        <v>0</v>
      </c>
      <c r="J93" s="532"/>
      <c r="K93" s="1943"/>
      <c r="L93" s="1943"/>
      <c r="M93" s="1943"/>
      <c r="N93" s="1944"/>
      <c r="P93" s="1723"/>
    </row>
    <row r="94" spans="1:16">
      <c r="A94" s="234"/>
      <c r="B94" s="234"/>
      <c r="C94" s="234"/>
      <c r="D94" s="234"/>
      <c r="E94" s="234"/>
      <c r="F94" s="234"/>
      <c r="G94" s="234"/>
      <c r="H94" s="234"/>
      <c r="I94" s="234"/>
      <c r="J94" s="234"/>
      <c r="K94" s="416"/>
      <c r="L94" s="416"/>
      <c r="M94" s="416"/>
      <c r="N94" s="416"/>
      <c r="P94" s="1723"/>
    </row>
    <row r="95" spans="1:16" s="422" customFormat="1" ht="13.5" thickBot="1">
      <c r="A95" s="1380" t="s">
        <v>767</v>
      </c>
      <c r="B95" s="676"/>
      <c r="C95" s="676"/>
      <c r="D95" s="676"/>
      <c r="E95" s="676"/>
      <c r="F95" s="676"/>
      <c r="G95" s="676"/>
      <c r="H95" s="676"/>
      <c r="I95" s="676"/>
      <c r="J95" s="676"/>
      <c r="K95" s="676"/>
      <c r="L95" s="676"/>
      <c r="M95" s="676"/>
      <c r="N95" s="676"/>
      <c r="P95" s="1723"/>
    </row>
    <row r="96" spans="1:16" s="422" customFormat="1">
      <c r="A96" s="1381" t="s">
        <v>1287</v>
      </c>
      <c r="B96" s="1382"/>
      <c r="C96" s="1382"/>
      <c r="D96" s="1382"/>
      <c r="E96" s="1382"/>
      <c r="F96" s="1383" t="s">
        <v>174</v>
      </c>
      <c r="G96" s="1384" t="s">
        <v>101</v>
      </c>
      <c r="H96" s="1384" t="s">
        <v>972</v>
      </c>
      <c r="I96" s="1385" t="s">
        <v>1106</v>
      </c>
      <c r="J96" s="1385" t="s">
        <v>503</v>
      </c>
      <c r="K96" s="1385" t="s">
        <v>1107</v>
      </c>
      <c r="L96" s="1386"/>
      <c r="M96" s="1387" t="s">
        <v>148</v>
      </c>
      <c r="N96" s="1388"/>
      <c r="P96" s="1723"/>
    </row>
    <row r="97" spans="1:32" s="422" customFormat="1">
      <c r="A97" s="1389"/>
      <c r="B97" s="1380"/>
      <c r="C97" s="1380"/>
      <c r="D97" s="1380"/>
      <c r="E97" s="1380"/>
      <c r="F97" s="1390"/>
      <c r="G97" s="1391"/>
      <c r="H97" s="1391"/>
      <c r="I97" s="678"/>
      <c r="J97" s="678"/>
      <c r="K97" s="678"/>
      <c r="L97" s="1392"/>
      <c r="M97" s="1393"/>
      <c r="N97" s="1394"/>
      <c r="P97" s="1723"/>
    </row>
    <row r="98" spans="1:32" s="422" customFormat="1">
      <c r="A98" s="1389"/>
      <c r="B98" s="1380"/>
      <c r="C98" s="1380" t="s">
        <v>1108</v>
      </c>
      <c r="D98" s="1380"/>
      <c r="E98" s="1380"/>
      <c r="F98" s="1390"/>
      <c r="G98" s="1391"/>
      <c r="H98" s="1395">
        <f>+I98+J98+K98</f>
        <v>72722</v>
      </c>
      <c r="I98" s="1496">
        <f>+'WKSHT4 - Monthly Tx System Peak'!C25</f>
        <v>57566</v>
      </c>
      <c r="J98" s="1496">
        <f>'WKSHT4 - Monthly Tx System Peak'!C73</f>
        <v>7956</v>
      </c>
      <c r="K98" s="1496">
        <f>+'WKSHT4 - Monthly Tx System Peak'!C50</f>
        <v>7200</v>
      </c>
      <c r="L98" s="680" t="s">
        <v>106</v>
      </c>
      <c r="M98" s="1393"/>
      <c r="N98" s="1394"/>
      <c r="P98" s="1723"/>
    </row>
    <row r="99" spans="1:32" s="422" customFormat="1">
      <c r="A99" s="1389"/>
      <c r="B99" s="1380"/>
      <c r="C99" s="1380" t="s">
        <v>1109</v>
      </c>
      <c r="D99" s="1380"/>
      <c r="E99" s="1380"/>
      <c r="F99" s="1390"/>
      <c r="G99" s="1391"/>
      <c r="H99" s="1395">
        <f>+I99+J99+K99</f>
        <v>34343</v>
      </c>
      <c r="I99" s="1496">
        <f>+'WKSHT4 - Monthly Tx System Peak'!C25-'WKSHT4 - Monthly Tx System Peak'!F25</f>
        <v>19187</v>
      </c>
      <c r="J99" s="1496">
        <f>'WKSHT4 - Monthly Tx System Peak'!H73</f>
        <v>7956</v>
      </c>
      <c r="K99" s="1496">
        <f>+'WKSHT4 - Monthly Tx System Peak'!H50+'WKSHT4 - Monthly Tx System Peak'!I50</f>
        <v>7200</v>
      </c>
      <c r="L99" s="680" t="s">
        <v>106</v>
      </c>
      <c r="M99" s="1393"/>
      <c r="N99" s="1394"/>
      <c r="P99" s="1723"/>
    </row>
    <row r="100" spans="1:32" s="422" customFormat="1">
      <c r="A100" s="1389"/>
      <c r="B100" s="1380"/>
      <c r="C100" s="1380" t="s">
        <v>101</v>
      </c>
      <c r="D100" s="1380"/>
      <c r="E100" s="1380"/>
      <c r="F100" s="1390"/>
      <c r="G100" s="1391"/>
      <c r="H100" s="1395"/>
      <c r="I100" s="1497">
        <f>+I98/I99</f>
        <v>3.000260593109918</v>
      </c>
      <c r="J100" s="1876">
        <f>+J98/J99</f>
        <v>1</v>
      </c>
      <c r="K100" s="1497">
        <f>+K98/K99</f>
        <v>1</v>
      </c>
      <c r="L100" s="680" t="s">
        <v>106</v>
      </c>
      <c r="M100" s="1393"/>
      <c r="N100" s="1394"/>
      <c r="P100" s="1723"/>
    </row>
    <row r="101" spans="1:32" s="422" customFormat="1">
      <c r="A101" s="1396"/>
      <c r="B101" s="1397" t="s">
        <v>901</v>
      </c>
      <c r="C101" s="1398"/>
      <c r="D101" s="1399"/>
      <c r="E101" s="1400"/>
      <c r="F101" s="1401"/>
      <c r="G101" s="1402"/>
      <c r="H101" s="1403"/>
      <c r="L101" s="680"/>
      <c r="M101" s="680"/>
      <c r="N101" s="1404"/>
      <c r="P101" s="1723"/>
      <c r="Q101" s="1405"/>
    </row>
    <row r="102" spans="1:32" s="422" customFormat="1">
      <c r="A102" s="1296"/>
      <c r="B102" s="865">
        <v>1</v>
      </c>
      <c r="C102" s="866" t="s">
        <v>1045</v>
      </c>
      <c r="D102" s="867"/>
      <c r="E102" s="1297"/>
      <c r="F102" s="1577">
        <f>407851+124565</f>
        <v>532416</v>
      </c>
      <c r="G102" s="1406" t="s">
        <v>1110</v>
      </c>
      <c r="H102" s="1580">
        <f>+K102+J102+I102</f>
        <v>1127401.6932708267</v>
      </c>
      <c r="I102" s="1581">
        <f>+I$99/$H$99*$F102*I$100</f>
        <v>892439.78266313369</v>
      </c>
      <c r="J102" s="1581">
        <f t="shared" ref="I102:K103" si="0">+J$99/$H$99*$F102*J$100</f>
        <v>123341.05046152054</v>
      </c>
      <c r="K102" s="1581">
        <f t="shared" si="0"/>
        <v>111620.86014617243</v>
      </c>
      <c r="L102" s="1298" t="s">
        <v>1111</v>
      </c>
      <c r="M102" s="678"/>
      <c r="N102" s="1299"/>
      <c r="O102" s="778"/>
      <c r="P102" s="1723"/>
    </row>
    <row r="103" spans="1:32" s="422" customFormat="1">
      <c r="A103" s="1296"/>
      <c r="B103" s="865">
        <v>2</v>
      </c>
      <c r="C103" s="866" t="s">
        <v>102</v>
      </c>
      <c r="D103" s="867"/>
      <c r="E103" s="1297"/>
      <c r="F103" s="1577">
        <f>795830+88213</f>
        <v>884043</v>
      </c>
      <c r="G103" s="1406" t="s">
        <v>1110</v>
      </c>
      <c r="H103" s="1580">
        <f>+I103+J103+K103</f>
        <v>1871979.0072503856</v>
      </c>
      <c r="I103" s="1581">
        <f t="shared" si="0"/>
        <v>1481839.6569315435</v>
      </c>
      <c r="J103" s="1581">
        <f t="shared" si="0"/>
        <v>204799.99149753954</v>
      </c>
      <c r="K103" s="1581">
        <f t="shared" si="0"/>
        <v>185339.35882130274</v>
      </c>
      <c r="L103" s="1117" t="s">
        <v>1112</v>
      </c>
      <c r="M103" s="678"/>
      <c r="N103" s="1299"/>
      <c r="O103" s="778"/>
      <c r="P103" s="1723"/>
    </row>
    <row r="104" spans="1:32" s="422" customFormat="1" ht="13.5" customHeight="1">
      <c r="A104" s="1296"/>
      <c r="B104" s="865">
        <v>3</v>
      </c>
      <c r="C104" s="1298" t="s">
        <v>1049</v>
      </c>
      <c r="D104" s="867"/>
      <c r="E104" s="1297"/>
      <c r="F104" s="1578"/>
      <c r="G104" s="1407" t="s">
        <v>1113</v>
      </c>
      <c r="H104" s="1580"/>
      <c r="I104" s="1582"/>
      <c r="J104" s="1582"/>
      <c r="K104" s="1582"/>
      <c r="L104" s="1298" t="s">
        <v>1114</v>
      </c>
      <c r="M104" s="678"/>
      <c r="N104" s="1300"/>
      <c r="P104" s="1723"/>
    </row>
    <row r="105" spans="1:32" s="422" customFormat="1">
      <c r="A105" s="1296"/>
      <c r="B105" s="865">
        <v>4</v>
      </c>
      <c r="C105" s="866" t="s">
        <v>1046</v>
      </c>
      <c r="D105" s="867"/>
      <c r="E105" s="1297"/>
      <c r="F105" s="1577"/>
      <c r="G105" s="1407" t="s">
        <v>1113</v>
      </c>
      <c r="H105" s="1580"/>
      <c r="I105" s="1582"/>
      <c r="J105" s="1582"/>
      <c r="K105" s="1583"/>
      <c r="L105" s="1298"/>
      <c r="M105" s="1298"/>
      <c r="N105" s="1301"/>
      <c r="P105" s="1723"/>
    </row>
    <row r="106" spans="1:32" s="422" customFormat="1">
      <c r="A106" s="1296"/>
      <c r="B106" s="865">
        <v>5</v>
      </c>
      <c r="C106" s="1298" t="s">
        <v>1047</v>
      </c>
      <c r="D106" s="867"/>
      <c r="E106" s="1297"/>
      <c r="F106" s="1577"/>
      <c r="G106" s="1407" t="s">
        <v>1113</v>
      </c>
      <c r="H106" s="1580"/>
      <c r="I106" s="1582"/>
      <c r="J106" s="1582"/>
      <c r="K106" s="1583"/>
      <c r="L106" s="1298"/>
      <c r="M106" s="1298"/>
      <c r="N106" s="1301"/>
      <c r="P106" s="1723"/>
    </row>
    <row r="107" spans="1:32" s="422" customFormat="1">
      <c r="A107" s="1296"/>
      <c r="B107" s="865">
        <v>6</v>
      </c>
      <c r="C107" s="866" t="s">
        <v>1048</v>
      </c>
      <c r="D107" s="867"/>
      <c r="E107" s="1297"/>
      <c r="F107" s="1577"/>
      <c r="G107" s="1407" t="s">
        <v>1113</v>
      </c>
      <c r="H107" s="1580"/>
      <c r="I107" s="1582"/>
      <c r="J107" s="1582"/>
      <c r="K107" s="1583"/>
      <c r="L107" s="1298"/>
      <c r="M107" s="1298"/>
      <c r="N107" s="1301"/>
      <c r="P107" s="1723"/>
    </row>
    <row r="108" spans="1:32" s="422" customFormat="1">
      <c r="A108" s="1296"/>
      <c r="B108" s="865">
        <v>7</v>
      </c>
      <c r="C108" s="866" t="s">
        <v>1050</v>
      </c>
      <c r="D108" s="867"/>
      <c r="E108" s="1297"/>
      <c r="F108" s="1579">
        <f>4362729+1190533+58625+1215464+115581+188410</f>
        <v>7131342</v>
      </c>
      <c r="G108" s="1407" t="s">
        <v>1115</v>
      </c>
      <c r="H108" s="1584"/>
      <c r="I108" s="1585"/>
      <c r="J108" s="1585"/>
      <c r="K108" s="1586"/>
      <c r="M108" s="1298"/>
      <c r="N108" s="1301"/>
      <c r="P108" s="1723"/>
    </row>
    <row r="109" spans="1:32" s="422" customFormat="1" ht="13.5" thickBot="1">
      <c r="A109" s="1302">
        <f>+'ATT H-1 '!A126</f>
        <v>75</v>
      </c>
      <c r="B109" s="869">
        <v>8</v>
      </c>
      <c r="C109" s="870" t="s">
        <v>1026</v>
      </c>
      <c r="D109" s="870" t="s">
        <v>730</v>
      </c>
      <c r="E109" s="871"/>
      <c r="F109" s="1408">
        <f>SUM(F102:F108)</f>
        <v>8547801</v>
      </c>
      <c r="G109" s="1303"/>
      <c r="H109" s="1409">
        <f>SUM(H102:H108)</f>
        <v>2999380.7005212121</v>
      </c>
      <c r="I109" s="1409">
        <f>SUM(I102:I108)</f>
        <v>2374279.4395946772</v>
      </c>
      <c r="J109" s="1409">
        <f>SUM(J102:J108)</f>
        <v>328141.04195906006</v>
      </c>
      <c r="K109" s="1409">
        <f>SUM(K102:K108)</f>
        <v>296960.21896747517</v>
      </c>
      <c r="L109" s="1332"/>
      <c r="M109" s="1409"/>
      <c r="N109" s="1410"/>
      <c r="P109" s="1723"/>
    </row>
    <row r="110" spans="1:32" s="422" customFormat="1">
      <c r="A110" s="1411"/>
      <c r="B110" s="1412"/>
      <c r="C110" s="1413"/>
      <c r="D110" s="1413"/>
      <c r="E110" s="1411"/>
      <c r="F110" s="1414"/>
      <c r="G110" s="1415"/>
      <c r="H110" s="1416"/>
      <c r="I110" s="1416"/>
      <c r="J110" s="1416"/>
      <c r="K110" s="1416"/>
      <c r="L110" s="1117"/>
      <c r="M110" s="1416"/>
      <c r="N110" s="1416"/>
      <c r="P110" s="189"/>
    </row>
    <row r="111" spans="1:32" ht="13.5" thickBot="1">
      <c r="A111" s="368" t="s">
        <v>768</v>
      </c>
      <c r="B111" s="234"/>
      <c r="C111" s="234"/>
      <c r="D111" s="234"/>
      <c r="E111" s="234"/>
      <c r="F111" s="234"/>
      <c r="G111" s="234"/>
      <c r="H111" s="234"/>
      <c r="I111" s="234"/>
      <c r="J111" s="234"/>
      <c r="K111" s="416"/>
      <c r="L111" s="416"/>
      <c r="M111" s="416"/>
      <c r="N111" s="416"/>
      <c r="AE111" s="422"/>
      <c r="AF111" s="417"/>
    </row>
    <row r="112" spans="1:32" ht="25.5">
      <c r="A112" s="1924" t="s">
        <v>1287</v>
      </c>
      <c r="B112" s="1925"/>
      <c r="C112" s="1925"/>
      <c r="D112" s="1925"/>
      <c r="E112" s="1925"/>
      <c r="F112" s="1934"/>
      <c r="G112" s="938"/>
      <c r="H112" s="1293" t="s">
        <v>174</v>
      </c>
      <c r="I112" s="537" t="s">
        <v>177</v>
      </c>
      <c r="J112" s="537" t="s">
        <v>764</v>
      </c>
      <c r="K112" s="537" t="s">
        <v>178</v>
      </c>
      <c r="L112" s="1926" t="s">
        <v>148</v>
      </c>
      <c r="M112" s="1926"/>
      <c r="N112" s="1942"/>
      <c r="AE112" s="422"/>
      <c r="AF112" s="417"/>
    </row>
    <row r="113" spans="1:14">
      <c r="A113" s="196"/>
      <c r="B113" s="230" t="s">
        <v>901</v>
      </c>
      <c r="C113" s="242"/>
      <c r="D113" s="211"/>
      <c r="E113" s="232"/>
      <c r="F113" s="233"/>
      <c r="G113" s="211"/>
      <c r="H113" s="246"/>
      <c r="I113" s="242"/>
      <c r="J113" s="242"/>
      <c r="K113" s="242"/>
      <c r="L113" s="753"/>
      <c r="M113" s="753"/>
      <c r="N113" s="1294"/>
    </row>
    <row r="114" spans="1:14" ht="13.5" thickBot="1">
      <c r="A114" s="1367" t="s">
        <v>591</v>
      </c>
      <c r="B114" s="241"/>
      <c r="C114" s="207" t="s">
        <v>1027</v>
      </c>
      <c r="D114" s="243"/>
      <c r="E114" s="1304"/>
      <c r="F114" s="208" t="s">
        <v>700</v>
      </c>
      <c r="G114" s="207"/>
      <c r="H114" s="420">
        <v>53308</v>
      </c>
      <c r="I114" s="656">
        <v>0</v>
      </c>
      <c r="J114" s="1807">
        <v>0</v>
      </c>
      <c r="K114" s="532">
        <v>0</v>
      </c>
      <c r="L114" s="1121"/>
      <c r="M114" s="1121" t="s">
        <v>778</v>
      </c>
      <c r="N114" s="1122"/>
    </row>
    <row r="115" spans="1:14">
      <c r="A115" s="234"/>
      <c r="B115" s="234"/>
      <c r="C115" s="234"/>
      <c r="D115" s="234"/>
      <c r="E115" s="234"/>
      <c r="F115" s="234"/>
      <c r="G115" s="234"/>
      <c r="H115" s="234"/>
      <c r="I115" s="234"/>
      <c r="J115" s="234"/>
      <c r="K115" s="416"/>
      <c r="L115" s="416"/>
      <c r="M115" s="416"/>
      <c r="N115" s="416"/>
    </row>
    <row r="116" spans="1:14">
      <c r="A116" s="234"/>
      <c r="B116" s="234"/>
      <c r="C116" s="234"/>
      <c r="D116" s="234"/>
      <c r="E116" s="234"/>
      <c r="F116" s="234"/>
      <c r="G116" s="234"/>
      <c r="H116" s="234"/>
      <c r="I116" s="234"/>
      <c r="J116" s="234"/>
      <c r="K116" s="416"/>
      <c r="L116" s="416"/>
      <c r="M116" s="416"/>
      <c r="N116" s="416"/>
    </row>
    <row r="117" spans="1:14" ht="13.5" thickBot="1">
      <c r="A117" s="368" t="s">
        <v>769</v>
      </c>
      <c r="B117" s="234"/>
      <c r="C117" s="234"/>
      <c r="D117" s="234"/>
      <c r="E117" s="234"/>
      <c r="F117" s="234"/>
      <c r="G117" s="234"/>
      <c r="H117" s="234"/>
      <c r="I117" s="234"/>
      <c r="J117" s="234"/>
      <c r="K117" s="416"/>
      <c r="L117" s="416"/>
      <c r="M117" s="416"/>
      <c r="N117" s="416"/>
    </row>
    <row r="118" spans="1:14" ht="51">
      <c r="A118" s="1924" t="s">
        <v>1287</v>
      </c>
      <c r="B118" s="1925"/>
      <c r="C118" s="1925"/>
      <c r="D118" s="1925"/>
      <c r="E118" s="1925"/>
      <c r="F118" s="1934"/>
      <c r="G118" s="938"/>
      <c r="H118" s="1293" t="str">
        <f>+C120</f>
        <v>Excluded Transmission Facilities - Colstrip Facilities</v>
      </c>
      <c r="I118" s="1926" t="s">
        <v>181</v>
      </c>
      <c r="J118" s="1927"/>
      <c r="K118" s="1927"/>
      <c r="L118" s="1927"/>
      <c r="M118" s="1927"/>
      <c r="N118" s="1928"/>
    </row>
    <row r="119" spans="1:14">
      <c r="A119" s="334"/>
      <c r="B119" s="202" t="s">
        <v>903</v>
      </c>
      <c r="C119" s="230"/>
      <c r="D119" s="244"/>
      <c r="E119" s="1295"/>
      <c r="F119" s="1305"/>
      <c r="G119" s="1306"/>
      <c r="H119" s="246"/>
      <c r="I119" s="242"/>
      <c r="J119" s="242"/>
      <c r="K119" s="753"/>
      <c r="L119" s="753"/>
      <c r="M119" s="753"/>
      <c r="N119" s="1294"/>
    </row>
    <row r="120" spans="1:14">
      <c r="A120" s="196">
        <f>'ATT H-1 '!A255</f>
        <v>158</v>
      </c>
      <c r="B120" s="209"/>
      <c r="C120" s="198" t="s">
        <v>317</v>
      </c>
      <c r="D120" s="244" t="s">
        <v>996</v>
      </c>
      <c r="E120" s="203"/>
      <c r="F120" s="204"/>
      <c r="G120" s="198"/>
      <c r="H120" s="1307">
        <f>'WKSHT3 - All GIFs'!C9</f>
        <v>5499538.6600000001</v>
      </c>
      <c r="I120" s="1921" t="s">
        <v>303</v>
      </c>
      <c r="J120" s="1922"/>
      <c r="K120" s="1922"/>
      <c r="L120" s="1922"/>
      <c r="M120" s="1922"/>
      <c r="N120" s="1923"/>
    </row>
    <row r="121" spans="1:14">
      <c r="A121" s="196"/>
      <c r="B121" s="209"/>
      <c r="C121" s="198" t="s">
        <v>318</v>
      </c>
      <c r="D121" s="244" t="s">
        <v>996</v>
      </c>
      <c r="E121" s="203"/>
      <c r="F121" s="204"/>
      <c r="G121" s="198"/>
      <c r="H121" s="1307">
        <f>'WKSHT3 - All GIFs'!C88</f>
        <v>176454912.23999995</v>
      </c>
      <c r="I121" s="418"/>
      <c r="J121" s="192"/>
      <c r="K121" s="727"/>
      <c r="L121" s="727"/>
      <c r="M121" s="727"/>
      <c r="N121" s="743"/>
    </row>
    <row r="122" spans="1:14">
      <c r="A122" s="196"/>
      <c r="B122" s="209"/>
      <c r="C122" s="731" t="s">
        <v>1118</v>
      </c>
      <c r="D122" s="244" t="s">
        <v>996</v>
      </c>
      <c r="E122" s="203"/>
      <c r="F122" s="204"/>
      <c r="G122" s="198"/>
      <c r="H122" s="1307">
        <v>0</v>
      </c>
      <c r="I122" s="418"/>
      <c r="J122" s="192"/>
      <c r="K122" s="727"/>
      <c r="L122" s="727"/>
      <c r="M122" s="727"/>
      <c r="N122" s="743"/>
    </row>
    <row r="123" spans="1:14">
      <c r="A123" s="196"/>
      <c r="B123" s="209"/>
      <c r="C123" s="198" t="s">
        <v>972</v>
      </c>
      <c r="D123" s="244"/>
      <c r="E123" s="203"/>
      <c r="F123" s="204"/>
      <c r="G123" s="198"/>
      <c r="H123" s="1308">
        <f>SUM(H120:H122)</f>
        <v>181954450.89999995</v>
      </c>
      <c r="I123" s="418"/>
      <c r="J123" s="192"/>
      <c r="K123" s="727"/>
      <c r="L123" s="727"/>
      <c r="M123" s="727"/>
      <c r="N123" s="743"/>
    </row>
    <row r="124" spans="1:14" ht="13.5" thickBot="1">
      <c r="A124" s="333"/>
      <c r="B124" s="236"/>
      <c r="C124" s="236"/>
      <c r="D124" s="236"/>
      <c r="E124" s="236"/>
      <c r="F124" s="1309"/>
      <c r="G124" s="236"/>
      <c r="H124" s="333"/>
      <c r="I124" s="236"/>
      <c r="J124" s="236"/>
      <c r="K124" s="1310"/>
      <c r="L124" s="1311" t="s">
        <v>182</v>
      </c>
      <c r="M124" s="1310"/>
      <c r="N124" s="1312"/>
    </row>
    <row r="125" spans="1:14">
      <c r="A125" s="242"/>
      <c r="B125" s="242"/>
      <c r="C125" s="242"/>
      <c r="D125" s="242"/>
      <c r="E125" s="242"/>
      <c r="F125" s="242"/>
      <c r="G125" s="242"/>
      <c r="H125" s="242"/>
      <c r="I125" s="242"/>
      <c r="J125" s="242"/>
      <c r="K125" s="753"/>
      <c r="L125" s="1313"/>
      <c r="M125" s="753"/>
      <c r="N125" s="753"/>
    </row>
    <row r="126" spans="1:14" ht="13.5" thickBot="1">
      <c r="A126" s="368" t="s">
        <v>994</v>
      </c>
      <c r="B126" s="234"/>
      <c r="C126" s="234"/>
      <c r="D126" s="234"/>
      <c r="E126" s="234"/>
      <c r="F126" s="234"/>
      <c r="G126" s="234"/>
      <c r="H126" s="234"/>
      <c r="I126" s="234"/>
      <c r="J126" s="234"/>
      <c r="K126" s="416"/>
      <c r="L126" s="416"/>
      <c r="M126" s="416"/>
      <c r="N126" s="416"/>
    </row>
    <row r="127" spans="1:14" ht="49.5" customHeight="1">
      <c r="A127" s="1924" t="s">
        <v>1287</v>
      </c>
      <c r="B127" s="1925"/>
      <c r="C127" s="1925"/>
      <c r="D127" s="1925"/>
      <c r="E127" s="1925"/>
      <c r="F127" s="1934"/>
      <c r="G127" s="1127"/>
      <c r="H127" s="537" t="s">
        <v>294</v>
      </c>
      <c r="I127" s="537" t="s">
        <v>295</v>
      </c>
      <c r="J127" s="537" t="s">
        <v>296</v>
      </c>
      <c r="K127" s="537" t="s">
        <v>998</v>
      </c>
      <c r="L127" s="537" t="s">
        <v>340</v>
      </c>
      <c r="M127" s="537" t="s">
        <v>148</v>
      </c>
      <c r="N127" s="1259"/>
    </row>
    <row r="128" spans="1:14">
      <c r="A128" s="334">
        <f>+'ATT H-1 '!A72</f>
        <v>41</v>
      </c>
      <c r="B128" s="230" t="s">
        <v>840</v>
      </c>
      <c r="C128" s="242"/>
      <c r="D128" s="211"/>
      <c r="E128" s="232"/>
      <c r="F128" s="233"/>
      <c r="G128" s="644"/>
      <c r="H128" s="247"/>
      <c r="I128" s="247" t="s">
        <v>180</v>
      </c>
      <c r="J128" s="247"/>
      <c r="K128" s="757"/>
      <c r="L128" s="757"/>
      <c r="M128" s="753"/>
      <c r="N128" s="1294"/>
    </row>
    <row r="129" spans="1:15">
      <c r="A129" s="196"/>
      <c r="B129" s="242" t="s">
        <v>997</v>
      </c>
      <c r="C129" s="242"/>
      <c r="D129" s="229"/>
      <c r="E129" s="232"/>
      <c r="F129" s="233"/>
      <c r="G129" s="644"/>
      <c r="H129" s="242"/>
      <c r="I129" s="242"/>
      <c r="J129" s="242"/>
      <c r="K129" s="1314"/>
      <c r="L129" s="753"/>
      <c r="M129" s="753"/>
      <c r="N129" s="1294"/>
      <c r="O129" s="416"/>
    </row>
    <row r="130" spans="1:15">
      <c r="A130" s="196"/>
      <c r="B130" s="230"/>
      <c r="C130" s="1684" t="s">
        <v>469</v>
      </c>
      <c r="D130" s="242"/>
      <c r="E130" s="232"/>
      <c r="F130" s="233"/>
      <c r="G130" s="644"/>
      <c r="H130" s="1688">
        <v>4222911</v>
      </c>
      <c r="I130" s="1688">
        <v>4415778.2</v>
      </c>
      <c r="J130" s="1685"/>
      <c r="K130" s="1689"/>
      <c r="L130" s="1690"/>
      <c r="M130" s="1690"/>
      <c r="N130" s="1294"/>
      <c r="O130" s="416"/>
    </row>
    <row r="131" spans="1:15">
      <c r="A131" s="196"/>
      <c r="B131" s="230"/>
      <c r="C131" s="1684" t="s">
        <v>497</v>
      </c>
      <c r="D131" s="242"/>
      <c r="E131" s="232"/>
      <c r="F131" s="233"/>
      <c r="G131" s="644"/>
      <c r="H131" s="1688">
        <v>167240.25</v>
      </c>
      <c r="I131" s="1688">
        <v>192614.01</v>
      </c>
      <c r="J131" s="1685"/>
      <c r="K131" s="1689"/>
      <c r="L131" s="1690"/>
      <c r="M131" s="1690"/>
      <c r="N131" s="1294"/>
      <c r="O131" s="416"/>
    </row>
    <row r="132" spans="1:15">
      <c r="A132" s="196"/>
      <c r="B132" s="230"/>
      <c r="C132" s="1685"/>
      <c r="D132" s="229"/>
      <c r="E132" s="232"/>
      <c r="F132" s="233"/>
      <c r="G132" s="644"/>
      <c r="H132" s="1691"/>
      <c r="I132" s="1691"/>
      <c r="J132" s="1691"/>
      <c r="K132" s="1689"/>
      <c r="L132" s="1690"/>
      <c r="M132" s="1690"/>
      <c r="N132" s="1294"/>
      <c r="O132" s="416"/>
    </row>
    <row r="133" spans="1:15">
      <c r="A133" s="196"/>
      <c r="B133" s="230"/>
      <c r="C133" s="1685" t="s">
        <v>972</v>
      </c>
      <c r="D133" s="211"/>
      <c r="E133" s="211" t="s">
        <v>329</v>
      </c>
      <c r="F133" s="910"/>
      <c r="G133" s="246"/>
      <c r="H133" s="1692">
        <f>SUM(H130:H131)</f>
        <v>4390151.25</v>
      </c>
      <c r="I133" s="1692">
        <f>SUM(I130:I131)</f>
        <v>4608392.21</v>
      </c>
      <c r="J133" s="1693">
        <f>(I133+H133)/2</f>
        <v>4499271.7300000004</v>
      </c>
      <c r="K133" s="1694">
        <v>1</v>
      </c>
      <c r="L133" s="1496">
        <f>+J133*K133</f>
        <v>4499271.7300000004</v>
      </c>
      <c r="M133" s="1690" t="s">
        <v>498</v>
      </c>
      <c r="N133" s="1294"/>
      <c r="O133" s="416"/>
    </row>
    <row r="134" spans="1:15">
      <c r="A134" s="196"/>
      <c r="B134" s="230"/>
      <c r="C134" s="1685"/>
      <c r="D134" s="211"/>
      <c r="E134" s="232"/>
      <c r="F134" s="233"/>
      <c r="G134" s="644"/>
      <c r="H134" s="1692"/>
      <c r="I134" s="1692"/>
      <c r="J134" s="1692"/>
      <c r="K134" s="1689"/>
      <c r="L134" s="1695"/>
      <c r="M134" s="1690"/>
      <c r="N134" s="1294"/>
    </row>
    <row r="135" spans="1:15" ht="16.5" customHeight="1">
      <c r="A135" s="196"/>
      <c r="B135" s="242" t="s">
        <v>423</v>
      </c>
      <c r="C135" s="1685"/>
      <c r="D135" s="229"/>
      <c r="E135" s="232"/>
      <c r="F135" s="233"/>
      <c r="G135" s="644"/>
      <c r="H135" s="1692"/>
      <c r="I135" s="1692"/>
      <c r="J135" s="1692"/>
      <c r="K135" s="1690"/>
      <c r="L135" s="1690"/>
      <c r="M135" s="1690"/>
      <c r="N135" s="1294"/>
    </row>
    <row r="136" spans="1:15">
      <c r="A136" s="196"/>
      <c r="C136" s="1684" t="s">
        <v>319</v>
      </c>
      <c r="D136" s="103"/>
      <c r="E136" s="645"/>
      <c r="F136" s="199"/>
      <c r="G136" s="324"/>
      <c r="H136" s="1688">
        <v>8792412</v>
      </c>
      <c r="I136" s="1688">
        <v>8101359.9199999999</v>
      </c>
      <c r="J136" s="1693">
        <f t="shared" ref="J136:J148" si="1">(I136+H136)/2</f>
        <v>8446885.9600000009</v>
      </c>
      <c r="K136" s="1696"/>
      <c r="L136" s="1695"/>
      <c r="M136" s="1690"/>
      <c r="N136" s="752"/>
    </row>
    <row r="137" spans="1:15" ht="16.5" customHeight="1">
      <c r="A137" s="196"/>
      <c r="C137" s="1684" t="s">
        <v>320</v>
      </c>
      <c r="D137" s="103"/>
      <c r="E137" s="645"/>
      <c r="F137" s="199"/>
      <c r="G137" s="324"/>
      <c r="H137" s="1688">
        <v>8537308</v>
      </c>
      <c r="I137" s="1688">
        <v>10424796</v>
      </c>
      <c r="J137" s="1693">
        <f t="shared" si="1"/>
        <v>9481052</v>
      </c>
      <c r="K137" s="1696"/>
      <c r="L137" s="1695"/>
      <c r="M137" s="1690"/>
      <c r="N137" s="752"/>
    </row>
    <row r="138" spans="1:15" ht="16.5" customHeight="1">
      <c r="A138" s="196"/>
      <c r="B138" s="230"/>
      <c r="C138" s="1684" t="s">
        <v>471</v>
      </c>
      <c r="D138" s="211"/>
      <c r="E138" s="232"/>
      <c r="F138" s="199"/>
      <c r="G138" s="324"/>
      <c r="H138" s="1688">
        <v>2550080.67</v>
      </c>
      <c r="I138" s="1688">
        <v>3194320.09</v>
      </c>
      <c r="J138" s="1693">
        <f t="shared" si="1"/>
        <v>2872200.38</v>
      </c>
      <c r="K138" s="1696"/>
      <c r="L138" s="1695"/>
      <c r="M138" s="1690"/>
      <c r="N138" s="752"/>
    </row>
    <row r="139" spans="1:15" ht="16.5" customHeight="1">
      <c r="A139" s="196"/>
      <c r="B139" s="230"/>
      <c r="C139" s="1684" t="s">
        <v>86</v>
      </c>
      <c r="D139" s="719"/>
      <c r="E139" s="232"/>
      <c r="F139" s="199"/>
      <c r="G139" s="324"/>
      <c r="H139" s="1688">
        <v>137500</v>
      </c>
      <c r="I139" s="1688">
        <v>250000</v>
      </c>
      <c r="J139" s="1693">
        <f t="shared" si="1"/>
        <v>193750</v>
      </c>
      <c r="K139" s="1696"/>
      <c r="L139" s="1695"/>
      <c r="M139" s="1690"/>
      <c r="N139" s="752"/>
    </row>
    <row r="140" spans="1:15" ht="16.5" customHeight="1">
      <c r="A140" s="196"/>
      <c r="B140" s="230"/>
      <c r="C140" s="1684" t="s">
        <v>87</v>
      </c>
      <c r="D140" s="719"/>
      <c r="E140" s="232"/>
      <c r="F140" s="199"/>
      <c r="G140" s="324"/>
      <c r="H140" s="1688">
        <v>52766959</v>
      </c>
      <c r="I140" s="1688">
        <v>53195295.920000002</v>
      </c>
      <c r="J140" s="1693">
        <f t="shared" si="1"/>
        <v>52981127.460000001</v>
      </c>
      <c r="K140" s="1696"/>
      <c r="L140" s="1695"/>
      <c r="M140" s="1690"/>
      <c r="N140" s="752"/>
    </row>
    <row r="141" spans="1:15" ht="16.5" customHeight="1">
      <c r="A141" s="196"/>
      <c r="B141" s="230"/>
      <c r="C141" s="1684" t="s">
        <v>88</v>
      </c>
      <c r="D141" s="720"/>
      <c r="E141" s="232"/>
      <c r="F141" s="199"/>
      <c r="G141" s="324"/>
      <c r="H141" s="1688">
        <v>5293085</v>
      </c>
      <c r="I141" s="1688">
        <v>2871144.1</v>
      </c>
      <c r="J141" s="1693">
        <f t="shared" si="1"/>
        <v>4082114.55</v>
      </c>
      <c r="K141" s="1696"/>
      <c r="L141" s="1695"/>
      <c r="M141" s="1690"/>
      <c r="N141" s="752"/>
    </row>
    <row r="142" spans="1:15" ht="16.5" customHeight="1">
      <c r="A142" s="196"/>
      <c r="B142" s="230"/>
      <c r="C142" s="1684" t="s">
        <v>627</v>
      </c>
      <c r="D142" s="720"/>
      <c r="E142" s="232"/>
      <c r="F142" s="199"/>
      <c r="G142" s="324"/>
      <c r="H142" s="1688">
        <v>44222857</v>
      </c>
      <c r="I142" s="1688">
        <v>32346587</v>
      </c>
      <c r="J142" s="1693">
        <f t="shared" si="1"/>
        <v>38284722</v>
      </c>
      <c r="K142" s="1696"/>
      <c r="L142" s="1695"/>
      <c r="M142" s="1690"/>
      <c r="N142" s="752"/>
    </row>
    <row r="143" spans="1:15" ht="16.5" customHeight="1">
      <c r="A143" s="196"/>
      <c r="B143" s="230"/>
      <c r="C143" s="1684" t="s">
        <v>472</v>
      </c>
      <c r="D143" s="720"/>
      <c r="E143" s="232"/>
      <c r="F143" s="199"/>
      <c r="G143" s="324"/>
      <c r="H143" s="1688">
        <v>914195.8</v>
      </c>
      <c r="I143" s="1688">
        <v>1538787.47</v>
      </c>
      <c r="J143" s="1693">
        <f t="shared" si="1"/>
        <v>1226491.635</v>
      </c>
      <c r="K143" s="1696"/>
      <c r="L143" s="1695"/>
      <c r="M143" s="1690"/>
      <c r="N143" s="752"/>
    </row>
    <row r="144" spans="1:15" ht="16.5" customHeight="1">
      <c r="A144" s="196"/>
      <c r="B144" s="230"/>
      <c r="C144" s="1686" t="s">
        <v>623</v>
      </c>
      <c r="D144" s="211"/>
      <c r="E144" s="232"/>
      <c r="F144" s="199"/>
      <c r="G144" s="324"/>
      <c r="H144" s="1688">
        <v>757547</v>
      </c>
      <c r="I144" s="1688">
        <v>619811.46</v>
      </c>
      <c r="J144" s="1693">
        <f t="shared" si="1"/>
        <v>688679.23</v>
      </c>
      <c r="K144" s="1696"/>
      <c r="L144" s="1695"/>
      <c r="M144" s="1690"/>
      <c r="N144" s="752"/>
    </row>
    <row r="145" spans="1:15" ht="16.5" customHeight="1">
      <c r="A145" s="196"/>
      <c r="B145" s="230"/>
      <c r="C145" s="1686" t="s">
        <v>624</v>
      </c>
      <c r="D145" s="211"/>
      <c r="E145" s="232"/>
      <c r="F145" s="199"/>
      <c r="G145" s="324"/>
      <c r="H145" s="1688">
        <v>166120</v>
      </c>
      <c r="I145" s="1688">
        <v>294650</v>
      </c>
      <c r="J145" s="1693">
        <f t="shared" si="1"/>
        <v>230385</v>
      </c>
      <c r="K145" s="1696"/>
      <c r="L145" s="1695"/>
      <c r="M145" s="1690"/>
      <c r="N145" s="752"/>
    </row>
    <row r="146" spans="1:15" ht="16.5" customHeight="1">
      <c r="A146" s="196"/>
      <c r="B146" s="230"/>
      <c r="C146" s="1686" t="s">
        <v>625</v>
      </c>
      <c r="D146" s="211"/>
      <c r="E146" s="232"/>
      <c r="F146" s="199"/>
      <c r="G146" s="324"/>
      <c r="H146" s="1688">
        <v>84751.4</v>
      </c>
      <c r="I146" s="1688">
        <v>40533.32</v>
      </c>
      <c r="J146" s="1693">
        <f t="shared" si="1"/>
        <v>62642.36</v>
      </c>
      <c r="K146" s="1696"/>
      <c r="L146" s="1695"/>
      <c r="M146" s="1690"/>
      <c r="N146" s="752"/>
    </row>
    <row r="147" spans="1:15" ht="16.5" customHeight="1">
      <c r="A147" s="196"/>
      <c r="B147" s="230"/>
      <c r="C147" s="1851" t="s">
        <v>1335</v>
      </c>
      <c r="D147" s="211"/>
      <c r="E147" s="232"/>
      <c r="F147" s="199"/>
      <c r="G147" s="324"/>
      <c r="H147" s="1688">
        <v>675825</v>
      </c>
      <c r="I147" s="1688">
        <v>675825</v>
      </c>
      <c r="J147" s="1693">
        <f t="shared" si="1"/>
        <v>675825</v>
      </c>
      <c r="K147" s="1696"/>
      <c r="L147" s="1695"/>
      <c r="M147" s="1690"/>
      <c r="N147" s="752"/>
    </row>
    <row r="148" spans="1:15" ht="16.5" customHeight="1">
      <c r="A148" s="196"/>
      <c r="B148" s="230"/>
      <c r="C148" s="1686" t="s">
        <v>626</v>
      </c>
      <c r="D148" s="211"/>
      <c r="E148" s="232"/>
      <c r="F148" s="199"/>
      <c r="G148" s="644"/>
      <c r="H148" s="1697">
        <v>0</v>
      </c>
      <c r="I148" s="1697"/>
      <c r="J148" s="1693">
        <f t="shared" si="1"/>
        <v>0</v>
      </c>
      <c r="K148" s="1696"/>
      <c r="L148" s="1695"/>
      <c r="M148" s="1690"/>
      <c r="N148" s="752"/>
    </row>
    <row r="149" spans="1:15" ht="16.5" customHeight="1">
      <c r="A149" s="196"/>
      <c r="B149" s="230"/>
      <c r="C149" s="1687"/>
      <c r="D149" s="211"/>
      <c r="E149" s="199" t="s">
        <v>328</v>
      </c>
      <c r="F149" s="231"/>
      <c r="G149" s="246"/>
      <c r="H149" s="1692">
        <f>SUM(H136:H148)</f>
        <v>124898640.87</v>
      </c>
      <c r="I149" s="1692">
        <f>SUM(I136:I148)</f>
        <v>113553110.27999999</v>
      </c>
      <c r="J149" s="1693">
        <f>(I149+H149)/2</f>
        <v>119225875.57499999</v>
      </c>
      <c r="K149" s="1694">
        <f>+'ATT H-1 '!H13</f>
        <v>0.12652289669965341</v>
      </c>
      <c r="L149" s="1695">
        <f>+I149*K149</f>
        <v>14367068.441880791</v>
      </c>
      <c r="M149" s="1690"/>
      <c r="N149" s="752"/>
      <c r="O149" s="417"/>
    </row>
    <row r="150" spans="1:15" ht="16.5" customHeight="1">
      <c r="A150" s="196"/>
      <c r="B150" s="230"/>
      <c r="C150" s="1685"/>
      <c r="D150" s="211"/>
      <c r="E150" s="195"/>
      <c r="F150" s="199"/>
      <c r="G150" s="644"/>
      <c r="H150" s="1692"/>
      <c r="I150" s="1692"/>
      <c r="J150" s="1692"/>
      <c r="K150" s="1694"/>
      <c r="L150" s="1695"/>
      <c r="M150" s="1690"/>
      <c r="N150" s="752"/>
      <c r="O150" s="417"/>
    </row>
    <row r="151" spans="1:15" ht="16.5" customHeight="1">
      <c r="A151" s="196"/>
      <c r="B151" s="242" t="s">
        <v>179</v>
      </c>
      <c r="C151" s="1685"/>
      <c r="D151" s="211"/>
      <c r="E151" s="232"/>
      <c r="F151" s="233"/>
      <c r="G151" s="644"/>
      <c r="H151" s="1692"/>
      <c r="I151" s="1692"/>
      <c r="J151" s="1692"/>
      <c r="K151" s="1690"/>
      <c r="L151" s="1690"/>
      <c r="M151" s="1690"/>
      <c r="N151" s="1294"/>
      <c r="O151" s="417"/>
    </row>
    <row r="152" spans="1:15" ht="16.5" customHeight="1">
      <c r="A152" s="196"/>
      <c r="B152" s="230"/>
      <c r="C152" s="1687" t="s">
        <v>592</v>
      </c>
      <c r="D152" s="211"/>
      <c r="E152" s="232" t="s">
        <v>330</v>
      </c>
      <c r="F152" s="233"/>
      <c r="G152" s="644"/>
      <c r="H152" s="1692">
        <v>60549.9</v>
      </c>
      <c r="I152" s="1692">
        <v>65807.87</v>
      </c>
      <c r="J152" s="1693">
        <f t="shared" ref="J152:J177" si="2">(I152+H152)/2</f>
        <v>63178.884999999995</v>
      </c>
      <c r="K152" s="1690"/>
      <c r="L152" s="1690"/>
      <c r="M152" s="1698"/>
      <c r="N152" s="1294"/>
      <c r="O152" s="417"/>
    </row>
    <row r="153" spans="1:15" ht="16.5" customHeight="1">
      <c r="A153" s="196"/>
      <c r="B153" s="230"/>
      <c r="C153" s="1687" t="s">
        <v>1190</v>
      </c>
      <c r="D153" s="211"/>
      <c r="E153" s="232"/>
      <c r="F153" s="233"/>
      <c r="G153" s="644"/>
      <c r="H153" s="1692">
        <v>1001093.75</v>
      </c>
      <c r="I153" s="1692">
        <v>1026121.09</v>
      </c>
      <c r="J153" s="1693">
        <f t="shared" si="2"/>
        <v>1013607.4199999999</v>
      </c>
      <c r="K153" s="1694"/>
      <c r="L153" s="1695"/>
      <c r="M153" s="1698"/>
      <c r="N153" s="1294"/>
    </row>
    <row r="154" spans="1:15" ht="16.5" customHeight="1">
      <c r="A154" s="196"/>
      <c r="B154" s="230"/>
      <c r="C154" s="1687" t="s">
        <v>1191</v>
      </c>
      <c r="D154" s="211"/>
      <c r="E154" s="232"/>
      <c r="F154" s="233"/>
      <c r="G154" s="644"/>
      <c r="H154" s="1692">
        <v>25000</v>
      </c>
      <c r="I154" s="1692">
        <v>25000</v>
      </c>
      <c r="J154" s="1693">
        <f t="shared" si="2"/>
        <v>25000</v>
      </c>
      <c r="K154" s="1694"/>
      <c r="L154" s="1695"/>
      <c r="M154" s="1698"/>
      <c r="N154" s="1294"/>
    </row>
    <row r="155" spans="1:15" ht="16.5" customHeight="1">
      <c r="A155" s="196"/>
      <c r="B155" s="230"/>
      <c r="C155" s="1687" t="s">
        <v>593</v>
      </c>
      <c r="D155" s="211"/>
      <c r="E155" s="232"/>
      <c r="F155" s="233"/>
      <c r="G155" s="644"/>
      <c r="H155" s="1692">
        <v>250782.17</v>
      </c>
      <c r="I155" s="1692">
        <v>80424.72</v>
      </c>
      <c r="J155" s="1693">
        <f t="shared" si="2"/>
        <v>165603.44500000001</v>
      </c>
      <c r="K155" s="1694"/>
      <c r="L155" s="1695"/>
      <c r="M155" s="1698"/>
      <c r="N155" s="1294"/>
    </row>
    <row r="156" spans="1:15" ht="16.5" customHeight="1">
      <c r="A156" s="196"/>
      <c r="B156" s="230"/>
      <c r="C156" s="1687" t="s">
        <v>1192</v>
      </c>
      <c r="D156" s="211"/>
      <c r="E156" s="232"/>
      <c r="F156" s="233"/>
      <c r="G156" s="644"/>
      <c r="H156" s="1692">
        <v>1697751.7</v>
      </c>
      <c r="I156" s="1692">
        <v>575714.82999999996</v>
      </c>
      <c r="J156" s="1693">
        <f t="shared" si="2"/>
        <v>1136733.2649999999</v>
      </c>
      <c r="K156" s="1694"/>
      <c r="L156" s="1695"/>
      <c r="M156" s="1698"/>
      <c r="N156" s="1294"/>
    </row>
    <row r="157" spans="1:15" ht="16.5" customHeight="1">
      <c r="A157" s="196"/>
      <c r="B157" s="230"/>
      <c r="C157" s="1687" t="s">
        <v>594</v>
      </c>
      <c r="D157" s="211"/>
      <c r="E157" s="232"/>
      <c r="F157" s="233"/>
      <c r="G157" s="644"/>
      <c r="H157" s="1692">
        <v>247308.36</v>
      </c>
      <c r="I157" s="1692">
        <v>225093.54</v>
      </c>
      <c r="J157" s="1693">
        <f t="shared" si="2"/>
        <v>236200.95</v>
      </c>
      <c r="K157" s="1694"/>
      <c r="L157" s="1695"/>
      <c r="M157" s="1698"/>
      <c r="N157" s="1294"/>
    </row>
    <row r="158" spans="1:15" ht="16.5" customHeight="1">
      <c r="A158" s="196"/>
      <c r="B158" s="230"/>
      <c r="C158" s="1687" t="s">
        <v>595</v>
      </c>
      <c r="D158" s="211"/>
      <c r="E158" s="232"/>
      <c r="F158" s="233"/>
      <c r="G158" s="644"/>
      <c r="H158" s="1692">
        <v>98782.1</v>
      </c>
      <c r="I158" s="1692">
        <v>78174.649999999994</v>
      </c>
      <c r="J158" s="1693">
        <f t="shared" si="2"/>
        <v>88478.375</v>
      </c>
      <c r="K158" s="1694"/>
      <c r="L158" s="1695"/>
      <c r="M158" s="1698"/>
      <c r="N158" s="1294"/>
    </row>
    <row r="159" spans="1:15" ht="16.5" customHeight="1">
      <c r="A159" s="196"/>
      <c r="B159" s="230"/>
      <c r="C159" s="1687" t="s">
        <v>596</v>
      </c>
      <c r="D159" s="211"/>
      <c r="E159" s="232"/>
      <c r="F159" s="233"/>
      <c r="G159" s="644"/>
      <c r="H159" s="1692">
        <v>98782.1</v>
      </c>
      <c r="I159" s="1692">
        <v>78174.649999999994</v>
      </c>
      <c r="J159" s="1693">
        <f t="shared" si="2"/>
        <v>88478.375</v>
      </c>
      <c r="K159" s="1694"/>
      <c r="L159" s="1695"/>
      <c r="M159" s="1698"/>
      <c r="N159" s="1294"/>
    </row>
    <row r="160" spans="1:15" ht="16.5" customHeight="1">
      <c r="A160" s="196"/>
      <c r="B160" s="230"/>
      <c r="C160" s="1687" t="s">
        <v>597</v>
      </c>
      <c r="D160" s="211"/>
      <c r="E160" s="232"/>
      <c r="F160" s="233"/>
      <c r="G160" s="644"/>
      <c r="H160" s="1692">
        <v>26127.7</v>
      </c>
      <c r="I160" s="1692">
        <v>16305.95</v>
      </c>
      <c r="J160" s="1693">
        <f t="shared" si="2"/>
        <v>21216.825000000001</v>
      </c>
      <c r="K160" s="1694"/>
      <c r="L160" s="1695"/>
      <c r="M160" s="1698"/>
      <c r="N160" s="1294"/>
    </row>
    <row r="161" spans="1:16" ht="16.5" customHeight="1">
      <c r="A161" s="196"/>
      <c r="B161" s="230"/>
      <c r="C161" s="1687" t="s">
        <v>598</v>
      </c>
      <c r="D161" s="211"/>
      <c r="E161" s="232"/>
      <c r="F161" s="233"/>
      <c r="G161" s="644"/>
      <c r="H161" s="1692">
        <v>26127.7</v>
      </c>
      <c r="I161" s="1692">
        <v>16305.95</v>
      </c>
      <c r="J161" s="1693">
        <f t="shared" si="2"/>
        <v>21216.825000000001</v>
      </c>
      <c r="K161" s="1690"/>
      <c r="L161" s="1695"/>
      <c r="M161" s="1698"/>
      <c r="N161" s="1294"/>
    </row>
    <row r="162" spans="1:16" ht="16.5" customHeight="1">
      <c r="A162" s="196"/>
      <c r="B162" s="230"/>
      <c r="C162" s="1687" t="s">
        <v>599</v>
      </c>
      <c r="D162" s="211"/>
      <c r="E162" s="232"/>
      <c r="F162" s="233"/>
      <c r="G162" s="644"/>
      <c r="H162" s="1692">
        <v>1915057</v>
      </c>
      <c r="I162" s="1692">
        <v>1781020.22</v>
      </c>
      <c r="J162" s="1693">
        <f t="shared" si="2"/>
        <v>1848038.6099999999</v>
      </c>
      <c r="K162" s="1690"/>
      <c r="L162" s="1695"/>
      <c r="M162" s="1698"/>
      <c r="N162" s="1294"/>
    </row>
    <row r="163" spans="1:16" ht="16.5" customHeight="1">
      <c r="A163" s="196"/>
      <c r="B163" s="230"/>
      <c r="C163" s="1687" t="s">
        <v>600</v>
      </c>
      <c r="D163" s="211"/>
      <c r="E163" s="232"/>
      <c r="F163" s="233"/>
      <c r="G163" s="644"/>
      <c r="H163" s="1692">
        <v>32500</v>
      </c>
      <c r="I163" s="1692">
        <v>34500</v>
      </c>
      <c r="J163" s="1693">
        <f t="shared" si="2"/>
        <v>33500</v>
      </c>
      <c r="K163" s="1690"/>
      <c r="L163" s="1695"/>
      <c r="M163" s="1698"/>
      <c r="N163" s="1294"/>
    </row>
    <row r="164" spans="1:16" ht="16.5" customHeight="1">
      <c r="A164" s="196"/>
      <c r="B164" s="230"/>
      <c r="C164" s="1687" t="s">
        <v>601</v>
      </c>
      <c r="D164" s="211"/>
      <c r="E164" s="232"/>
      <c r="F164" s="233"/>
      <c r="G164" s="644"/>
      <c r="H164" s="1692">
        <v>320796.18</v>
      </c>
      <c r="I164" s="1692">
        <v>330420.06</v>
      </c>
      <c r="J164" s="1693">
        <f t="shared" si="2"/>
        <v>325608.12</v>
      </c>
      <c r="K164" s="1690"/>
      <c r="L164" s="1695"/>
      <c r="M164" s="1698"/>
      <c r="N164" s="1294"/>
    </row>
    <row r="165" spans="1:16" ht="16.5" customHeight="1">
      <c r="A165" s="196"/>
      <c r="B165" s="230"/>
      <c r="C165" s="1687" t="s">
        <v>602</v>
      </c>
      <c r="D165" s="211"/>
      <c r="E165" s="232"/>
      <c r="F165" s="233"/>
      <c r="G165" s="644"/>
      <c r="H165" s="1692">
        <v>95007.78</v>
      </c>
      <c r="I165" s="1692">
        <v>97857.99</v>
      </c>
      <c r="J165" s="1693">
        <f t="shared" si="2"/>
        <v>96432.885000000009</v>
      </c>
      <c r="K165" s="1690"/>
      <c r="L165" s="1695"/>
      <c r="M165" s="1698"/>
      <c r="N165" s="1294"/>
      <c r="P165" s="234"/>
    </row>
    <row r="166" spans="1:16" ht="16.5" customHeight="1">
      <c r="A166" s="196"/>
      <c r="B166" s="230"/>
      <c r="C166" s="1687" t="s">
        <v>603</v>
      </c>
      <c r="D166" s="211"/>
      <c r="E166" s="232"/>
      <c r="F166" s="233"/>
      <c r="G166" s="644"/>
      <c r="H166" s="1692">
        <v>95007.78</v>
      </c>
      <c r="I166" s="1692">
        <v>97857.99</v>
      </c>
      <c r="J166" s="1693">
        <f t="shared" si="2"/>
        <v>96432.885000000009</v>
      </c>
      <c r="K166" s="1690"/>
      <c r="L166" s="1695"/>
      <c r="M166" s="1698"/>
      <c r="N166" s="1294"/>
      <c r="P166" s="234"/>
    </row>
    <row r="167" spans="1:16" ht="16.5" customHeight="1">
      <c r="A167" s="196"/>
      <c r="B167" s="230"/>
      <c r="C167" s="1687" t="s">
        <v>604</v>
      </c>
      <c r="D167" s="211"/>
      <c r="E167" s="232"/>
      <c r="F167" s="233"/>
      <c r="G167" s="644"/>
      <c r="H167" s="1692">
        <v>173136.64000000001</v>
      </c>
      <c r="I167" s="1692">
        <v>196839.3</v>
      </c>
      <c r="J167" s="1693">
        <f t="shared" si="2"/>
        <v>184987.97</v>
      </c>
      <c r="K167" s="1690"/>
      <c r="L167" s="1695"/>
      <c r="M167" s="1698"/>
      <c r="N167" s="1294"/>
      <c r="P167" s="234"/>
    </row>
    <row r="168" spans="1:16" ht="16.5" customHeight="1">
      <c r="A168" s="196"/>
      <c r="B168" s="230"/>
      <c r="C168" s="1687" t="s">
        <v>605</v>
      </c>
      <c r="D168" s="211"/>
      <c r="E168" s="232"/>
      <c r="F168" s="233"/>
      <c r="G168" s="644"/>
      <c r="H168" s="1692">
        <v>173104.63</v>
      </c>
      <c r="I168" s="1692">
        <v>149297.46</v>
      </c>
      <c r="J168" s="1693">
        <f t="shared" si="2"/>
        <v>161201.04499999998</v>
      </c>
      <c r="K168" s="1690"/>
      <c r="L168" s="1695"/>
      <c r="M168" s="1698"/>
      <c r="N168" s="1294"/>
      <c r="P168" s="234"/>
    </row>
    <row r="169" spans="1:16" ht="16.5" customHeight="1">
      <c r="A169" s="196"/>
      <c r="B169" s="230"/>
      <c r="C169" s="1687" t="s">
        <v>606</v>
      </c>
      <c r="D169" s="211"/>
      <c r="E169" s="232"/>
      <c r="F169" s="233"/>
      <c r="G169" s="644"/>
      <c r="H169" s="1692">
        <v>86706.65</v>
      </c>
      <c r="I169" s="1692">
        <v>96929.97</v>
      </c>
      <c r="J169" s="1693">
        <f t="shared" si="2"/>
        <v>91818.31</v>
      </c>
      <c r="K169" s="1690"/>
      <c r="L169" s="1695"/>
      <c r="M169" s="1698"/>
      <c r="N169" s="1294"/>
      <c r="P169" s="234"/>
    </row>
    <row r="170" spans="1:16" ht="16.5" customHeight="1">
      <c r="A170" s="196"/>
      <c r="B170" s="230"/>
      <c r="C170" s="1687" t="s">
        <v>607</v>
      </c>
      <c r="D170" s="211"/>
      <c r="E170" s="232"/>
      <c r="F170" s="233"/>
      <c r="G170" s="644"/>
      <c r="H170" s="1692">
        <v>322434.17</v>
      </c>
      <c r="I170" s="1692">
        <v>302764.07</v>
      </c>
      <c r="J170" s="1693">
        <f t="shared" si="2"/>
        <v>312599.12</v>
      </c>
      <c r="K170" s="1690"/>
      <c r="L170" s="1695"/>
      <c r="M170" s="1698"/>
      <c r="N170" s="1294"/>
      <c r="P170" s="234"/>
    </row>
    <row r="171" spans="1:16" ht="16.5" customHeight="1">
      <c r="A171" s="196"/>
      <c r="B171" s="230"/>
      <c r="C171" s="1687" t="s">
        <v>608</v>
      </c>
      <c r="D171" s="211"/>
      <c r="E171" s="232"/>
      <c r="F171" s="233"/>
      <c r="G171" s="644"/>
      <c r="H171" s="1692">
        <v>75897.23</v>
      </c>
      <c r="I171" s="1692">
        <v>133940.29</v>
      </c>
      <c r="J171" s="1693">
        <f t="shared" si="2"/>
        <v>104918.76000000001</v>
      </c>
      <c r="K171" s="1690"/>
      <c r="L171" s="1695"/>
      <c r="M171" s="1698"/>
      <c r="N171" s="1294"/>
      <c r="P171" s="234"/>
    </row>
    <row r="172" spans="1:16" ht="16.5" customHeight="1">
      <c r="A172" s="196"/>
      <c r="B172" s="230"/>
      <c r="C172" s="1687" t="s">
        <v>609</v>
      </c>
      <c r="D172" s="211"/>
      <c r="E172" s="232"/>
      <c r="F172" s="233"/>
      <c r="G172" s="644"/>
      <c r="H172" s="1692">
        <v>94691.64</v>
      </c>
      <c r="I172" s="1692">
        <v>94689.9</v>
      </c>
      <c r="J172" s="1693">
        <f t="shared" si="2"/>
        <v>94690.76999999999</v>
      </c>
      <c r="K172" s="1690"/>
      <c r="L172" s="1695"/>
      <c r="M172" s="1698"/>
      <c r="N172" s="1294"/>
      <c r="P172" s="234"/>
    </row>
    <row r="173" spans="1:16" ht="16.5" customHeight="1">
      <c r="A173" s="196"/>
      <c r="B173" s="230"/>
      <c r="C173" s="1687" t="s">
        <v>610</v>
      </c>
      <c r="D173" s="211"/>
      <c r="E173" s="232"/>
      <c r="F173" s="233"/>
      <c r="G173" s="644"/>
      <c r="H173" s="1692">
        <v>262654.58</v>
      </c>
      <c r="I173" s="1692">
        <v>219056.49</v>
      </c>
      <c r="J173" s="1693">
        <f t="shared" si="2"/>
        <v>240855.535</v>
      </c>
      <c r="K173" s="1690"/>
      <c r="L173" s="1695"/>
      <c r="M173" s="1698"/>
      <c r="N173" s="1294"/>
      <c r="P173" s="2"/>
    </row>
    <row r="174" spans="1:16" ht="16.5" customHeight="1">
      <c r="A174" s="196"/>
      <c r="B174" s="230"/>
      <c r="C174" s="1687" t="s">
        <v>611</v>
      </c>
      <c r="D174" s="211"/>
      <c r="E174" s="232"/>
      <c r="F174" s="233"/>
      <c r="G174" s="644"/>
      <c r="H174" s="1692">
        <v>67388.98</v>
      </c>
      <c r="I174" s="1692">
        <v>67618.100000000006</v>
      </c>
      <c r="J174" s="1693">
        <f t="shared" si="2"/>
        <v>67503.540000000008</v>
      </c>
      <c r="K174" s="1690"/>
      <c r="L174" s="1695"/>
      <c r="M174" s="1698"/>
      <c r="N174" s="1294"/>
      <c r="P174" s="2"/>
    </row>
    <row r="175" spans="1:16" ht="16.5" customHeight="1">
      <c r="A175" s="196"/>
      <c r="B175" s="230"/>
      <c r="C175" s="1687" t="s">
        <v>612</v>
      </c>
      <c r="D175" s="211"/>
      <c r="E175" s="232"/>
      <c r="F175" s="233"/>
      <c r="G175" s="644"/>
      <c r="H175" s="1692">
        <v>163595.71</v>
      </c>
      <c r="I175" s="1692">
        <v>164151.93</v>
      </c>
      <c r="J175" s="1693">
        <f t="shared" si="2"/>
        <v>163873.82</v>
      </c>
      <c r="K175" s="1690"/>
      <c r="L175" s="1695"/>
      <c r="M175" s="1698"/>
      <c r="N175" s="1294"/>
      <c r="P175" s="234"/>
    </row>
    <row r="176" spans="1:16" ht="16.5" customHeight="1">
      <c r="A176" s="196"/>
      <c r="B176" s="230"/>
      <c r="C176" s="1687" t="s">
        <v>613</v>
      </c>
      <c r="D176" s="211"/>
      <c r="E176" s="232"/>
      <c r="F176" s="233"/>
      <c r="G176" s="644"/>
      <c r="H176" s="1692">
        <v>16928.46</v>
      </c>
      <c r="I176" s="1692">
        <v>16289.89</v>
      </c>
      <c r="J176" s="1693">
        <f t="shared" si="2"/>
        <v>16609.174999999999</v>
      </c>
      <c r="K176" s="1690"/>
      <c r="L176" s="1695"/>
      <c r="M176" s="1698"/>
      <c r="N176" s="1294"/>
      <c r="P176" s="234"/>
    </row>
    <row r="177" spans="1:17" ht="16.5" customHeight="1">
      <c r="A177" s="196"/>
      <c r="B177" s="230"/>
      <c r="C177" s="1687" t="s">
        <v>614</v>
      </c>
      <c r="D177" s="211"/>
      <c r="E177" s="232"/>
      <c r="F177" s="233"/>
      <c r="G177" s="644"/>
      <c r="H177" s="1692">
        <v>2232333.2200000002</v>
      </c>
      <c r="I177" s="1692">
        <v>2239518.56</v>
      </c>
      <c r="J177" s="1693">
        <f t="shared" si="2"/>
        <v>2235925.89</v>
      </c>
      <c r="K177" s="1690"/>
      <c r="L177" s="1695"/>
      <c r="M177" s="1698"/>
      <c r="N177" s="1294"/>
    </row>
    <row r="178" spans="1:17" ht="16.5" customHeight="1">
      <c r="A178" s="196"/>
      <c r="B178" s="193"/>
      <c r="C178" s="1687" t="s">
        <v>615</v>
      </c>
      <c r="D178" s="103"/>
      <c r="E178" s="645"/>
      <c r="F178" s="233"/>
      <c r="G178" s="644"/>
      <c r="H178" s="1692">
        <v>280230.01</v>
      </c>
      <c r="I178" s="1692">
        <v>237634.65</v>
      </c>
      <c r="J178" s="1693">
        <f t="shared" ref="J178:J189" si="3">(I178+H178)/2</f>
        <v>258932.33000000002</v>
      </c>
      <c r="K178" s="1690"/>
      <c r="L178" s="1695"/>
      <c r="M178" s="1698"/>
      <c r="N178" s="1294"/>
    </row>
    <row r="179" spans="1:17" ht="16.5" customHeight="1">
      <c r="A179" s="196"/>
      <c r="B179" s="193"/>
      <c r="C179" s="1687" t="s">
        <v>616</v>
      </c>
      <c r="D179" s="103"/>
      <c r="E179" s="645"/>
      <c r="F179" s="233"/>
      <c r="G179" s="644"/>
      <c r="H179" s="1692">
        <v>67999.600000000006</v>
      </c>
      <c r="I179" s="1692">
        <v>68230.8</v>
      </c>
      <c r="J179" s="1693">
        <f t="shared" si="3"/>
        <v>68115.200000000012</v>
      </c>
      <c r="K179" s="1690"/>
      <c r="L179" s="1695"/>
      <c r="M179" s="1698"/>
      <c r="N179" s="1294"/>
    </row>
    <row r="180" spans="1:17" ht="16.5" customHeight="1">
      <c r="A180" s="196"/>
      <c r="B180" s="193"/>
      <c r="C180" s="1687" t="s">
        <v>617</v>
      </c>
      <c r="D180" s="103"/>
      <c r="E180" s="645"/>
      <c r="F180" s="233"/>
      <c r="G180" s="644"/>
      <c r="H180" s="1692">
        <v>204389.16</v>
      </c>
      <c r="I180" s="1692">
        <v>203006.38</v>
      </c>
      <c r="J180" s="1693">
        <f t="shared" si="3"/>
        <v>203697.77000000002</v>
      </c>
      <c r="K180" s="1690"/>
      <c r="L180" s="1695"/>
      <c r="M180" s="1698"/>
      <c r="N180" s="1294"/>
    </row>
    <row r="181" spans="1:17" ht="16.5" customHeight="1">
      <c r="A181" s="196"/>
      <c r="B181" s="193"/>
      <c r="C181" s="1687" t="s">
        <v>618</v>
      </c>
      <c r="D181" s="103"/>
      <c r="E181" s="645"/>
      <c r="F181" s="233"/>
      <c r="G181" s="644"/>
      <c r="H181" s="1692">
        <v>1255744.27</v>
      </c>
      <c r="I181" s="1692">
        <v>3114455.47</v>
      </c>
      <c r="J181" s="1693">
        <f t="shared" si="3"/>
        <v>2185099.87</v>
      </c>
      <c r="K181" s="1690"/>
      <c r="L181" s="1695"/>
      <c r="M181" s="1698"/>
      <c r="N181" s="1294"/>
    </row>
    <row r="182" spans="1:17" ht="16.5" customHeight="1">
      <c r="A182" s="196"/>
      <c r="B182" s="193"/>
      <c r="C182" s="1687" t="s">
        <v>619</v>
      </c>
      <c r="D182" s="103"/>
      <c r="E182" s="645"/>
      <c r="F182" s="233"/>
      <c r="G182" s="644"/>
      <c r="H182" s="1692">
        <v>117878.28</v>
      </c>
      <c r="I182" s="1692">
        <v>70035.72</v>
      </c>
      <c r="J182" s="1693">
        <f t="shared" si="3"/>
        <v>93957</v>
      </c>
      <c r="K182" s="1690"/>
      <c r="L182" s="1695"/>
      <c r="M182" s="1698"/>
      <c r="N182" s="1294"/>
    </row>
    <row r="183" spans="1:17" ht="16.5" customHeight="1">
      <c r="A183" s="196"/>
      <c r="B183" s="193"/>
      <c r="C183" s="1687" t="s">
        <v>620</v>
      </c>
      <c r="D183" s="103"/>
      <c r="E183" s="645"/>
      <c r="F183" s="233"/>
      <c r="G183" s="644"/>
      <c r="H183" s="1692">
        <v>1267.27</v>
      </c>
      <c r="I183" s="1692">
        <v>32.51</v>
      </c>
      <c r="J183" s="1693">
        <f t="shared" si="3"/>
        <v>649.89</v>
      </c>
      <c r="K183" s="1690"/>
      <c r="L183" s="1695"/>
      <c r="M183" s="1698"/>
      <c r="N183" s="1294"/>
      <c r="P183" s="234"/>
    </row>
    <row r="184" spans="1:17" ht="16.5" customHeight="1">
      <c r="A184" s="196"/>
      <c r="B184" s="193"/>
      <c r="C184" s="1687" t="s">
        <v>621</v>
      </c>
      <c r="D184" s="103"/>
      <c r="E184" s="645"/>
      <c r="F184" s="233"/>
      <c r="G184" s="644"/>
      <c r="H184" s="1692">
        <v>96365.82</v>
      </c>
      <c r="I184" s="1692">
        <v>101316.25</v>
      </c>
      <c r="J184" s="1693">
        <f t="shared" si="3"/>
        <v>98841.035000000003</v>
      </c>
      <c r="K184" s="1690"/>
      <c r="L184" s="1695"/>
      <c r="M184" s="1698"/>
      <c r="N184" s="1294"/>
      <c r="P184" s="234"/>
    </row>
    <row r="185" spans="1:17" ht="16.5" customHeight="1">
      <c r="A185" s="196"/>
      <c r="B185" s="193"/>
      <c r="C185" s="1687" t="s">
        <v>622</v>
      </c>
      <c r="D185" s="103"/>
      <c r="E185" s="645"/>
      <c r="F185" s="233"/>
      <c r="G185" s="644"/>
      <c r="H185" s="1692">
        <v>22338.47</v>
      </c>
      <c r="I185" s="1692">
        <v>31865.89</v>
      </c>
      <c r="J185" s="1693">
        <f t="shared" si="3"/>
        <v>27102.18</v>
      </c>
      <c r="K185" s="1690"/>
      <c r="L185" s="1695"/>
      <c r="M185" s="1698"/>
      <c r="N185" s="1294"/>
      <c r="P185" s="234"/>
    </row>
    <row r="186" spans="1:17" ht="16.5" customHeight="1">
      <c r="A186" s="196"/>
      <c r="B186" s="193"/>
      <c r="C186" s="1687" t="s">
        <v>1272</v>
      </c>
      <c r="D186" s="103"/>
      <c r="E186" s="645"/>
      <c r="F186" s="233"/>
      <c r="G186" s="644"/>
      <c r="H186" s="1688">
        <v>0</v>
      </c>
      <c r="I186" s="1688">
        <v>8147.56</v>
      </c>
      <c r="J186" s="1693">
        <f t="shared" si="3"/>
        <v>4073.78</v>
      </c>
      <c r="K186" s="1690"/>
      <c r="L186" s="1695"/>
      <c r="M186" s="1698"/>
      <c r="N186" s="1294"/>
      <c r="P186" s="234"/>
    </row>
    <row r="187" spans="1:17" ht="16.5" customHeight="1">
      <c r="A187" s="196"/>
      <c r="B187" s="193"/>
      <c r="C187" s="1687" t="s">
        <v>1333</v>
      </c>
      <c r="D187" s="103"/>
      <c r="E187" s="645"/>
      <c r="F187" s="233"/>
      <c r="G187" s="644"/>
      <c r="H187" s="1688">
        <v>491261.01</v>
      </c>
      <c r="I187" s="1688">
        <v>0</v>
      </c>
      <c r="J187" s="1693">
        <f t="shared" si="3"/>
        <v>245630.505</v>
      </c>
      <c r="K187" s="1690"/>
      <c r="L187" s="1695"/>
      <c r="M187" s="1698"/>
      <c r="N187" s="1294"/>
      <c r="P187" s="234"/>
    </row>
    <row r="188" spans="1:17" ht="16.5" customHeight="1">
      <c r="A188" s="196"/>
      <c r="B188" s="193"/>
      <c r="C188" s="1687" t="s">
        <v>1334</v>
      </c>
      <c r="D188" s="103"/>
      <c r="E188" s="645"/>
      <c r="F188" s="233"/>
      <c r="G188" s="644"/>
      <c r="H188" s="1688">
        <v>353894.99</v>
      </c>
      <c r="I188" s="1688">
        <v>0</v>
      </c>
      <c r="J188" s="1693">
        <f t="shared" si="3"/>
        <v>176947.495</v>
      </c>
      <c r="K188" s="1690"/>
      <c r="L188" s="1695"/>
      <c r="M188" s="1698"/>
      <c r="N188" s="1294"/>
      <c r="P188" s="234"/>
    </row>
    <row r="189" spans="1:17" ht="16.5" customHeight="1">
      <c r="A189" s="196"/>
      <c r="B189" s="193"/>
      <c r="C189" s="1687" t="s">
        <v>1406</v>
      </c>
      <c r="D189" s="242"/>
      <c r="E189" s="242"/>
      <c r="F189" s="646"/>
      <c r="G189" s="196"/>
      <c r="H189" s="1688">
        <v>0</v>
      </c>
      <c r="I189" s="1688">
        <v>3200000</v>
      </c>
      <c r="J189" s="1693">
        <f t="shared" si="3"/>
        <v>1600000</v>
      </c>
      <c r="K189" s="1690"/>
      <c r="L189" s="1699"/>
      <c r="M189" s="1690"/>
      <c r="N189" s="1294"/>
      <c r="P189" s="234"/>
    </row>
    <row r="190" spans="1:17" ht="16.5" customHeight="1">
      <c r="A190" s="434"/>
      <c r="B190" s="193"/>
      <c r="C190" s="242"/>
      <c r="D190" s="242"/>
      <c r="E190" s="242"/>
      <c r="F190" s="1499"/>
      <c r="G190" s="1500"/>
      <c r="H190" s="1700">
        <f>SUM(H152:H189)</f>
        <v>12550915.01</v>
      </c>
      <c r="I190" s="1700">
        <f>SUM(I152:I189)</f>
        <v>15244600.700000003</v>
      </c>
      <c r="J190" s="1701">
        <f>(I190+H190)/2</f>
        <v>13897757.855</v>
      </c>
      <c r="K190" s="1702">
        <v>0</v>
      </c>
      <c r="L190" s="1703">
        <f>+J190*K190</f>
        <v>0</v>
      </c>
      <c r="M190" s="1704"/>
      <c r="N190" s="1501"/>
      <c r="P190" s="234"/>
    </row>
    <row r="191" spans="1:17" ht="16.5" customHeight="1" thickBot="1">
      <c r="A191" s="1316"/>
      <c r="B191" s="1317"/>
      <c r="C191" s="1317"/>
      <c r="D191" s="1317"/>
      <c r="E191" s="1317"/>
      <c r="F191" s="1318"/>
      <c r="G191" s="1722">
        <f>H190+H149+H133</f>
        <v>141839707.13</v>
      </c>
      <c r="H191" s="239"/>
      <c r="I191" s="239"/>
      <c r="J191" s="239"/>
      <c r="K191" s="1319"/>
      <c r="L191" s="1495">
        <f>(+L190+L149+L133)</f>
        <v>18866340.171880789</v>
      </c>
      <c r="M191" s="1320"/>
      <c r="N191" s="1321"/>
      <c r="O191" s="234"/>
      <c r="P191" s="234"/>
      <c r="Q191" s="234"/>
    </row>
    <row r="192" spans="1:17" ht="16.5" customHeight="1">
      <c r="A192" s="234"/>
      <c r="B192" s="234"/>
      <c r="C192" s="234"/>
      <c r="D192" s="234"/>
      <c r="E192" s="234"/>
      <c r="F192" s="234"/>
      <c r="G192" s="234"/>
      <c r="H192" s="234"/>
      <c r="I192" s="234"/>
      <c r="J192" s="234"/>
      <c r="K192" s="416"/>
      <c r="L192" s="416"/>
      <c r="M192" s="416"/>
      <c r="N192" s="416"/>
      <c r="O192" s="234"/>
      <c r="P192" s="234"/>
      <c r="Q192" s="234"/>
    </row>
    <row r="193" spans="1:17" ht="16.5" customHeight="1" thickBot="1">
      <c r="A193" s="368" t="s">
        <v>911</v>
      </c>
      <c r="B193" s="174"/>
      <c r="C193" s="2"/>
      <c r="D193" s="645"/>
      <c r="E193" s="645"/>
      <c r="F193" s="234"/>
      <c r="G193" s="234"/>
      <c r="H193" s="234"/>
      <c r="I193" s="234"/>
      <c r="J193" s="234"/>
      <c r="K193" s="416"/>
      <c r="L193" s="416"/>
      <c r="M193" s="416"/>
      <c r="N193" s="416"/>
      <c r="O193" s="234"/>
      <c r="P193" s="234"/>
      <c r="Q193" s="234"/>
    </row>
    <row r="194" spans="1:17" ht="26.25" customHeight="1">
      <c r="A194" s="1322" t="s">
        <v>1287</v>
      </c>
      <c r="B194" s="938"/>
      <c r="C194" s="938"/>
      <c r="D194" s="907"/>
      <c r="E194" s="907"/>
      <c r="F194" s="909"/>
      <c r="G194" s="907"/>
      <c r="H194" s="1293"/>
      <c r="I194" s="537"/>
      <c r="J194" s="537" t="s">
        <v>482</v>
      </c>
      <c r="K194" s="537" t="s">
        <v>998</v>
      </c>
      <c r="L194" s="537" t="s">
        <v>340</v>
      </c>
      <c r="M194" s="537" t="s">
        <v>148</v>
      </c>
      <c r="N194" s="1259"/>
      <c r="O194" s="234"/>
      <c r="P194" s="234"/>
      <c r="Q194" s="234"/>
    </row>
    <row r="195" spans="1:17" ht="16.5" customHeight="1">
      <c r="A195" s="248">
        <f>+'ATT H-1 '!A75</f>
        <v>42</v>
      </c>
      <c r="B195" s="202" t="s">
        <v>911</v>
      </c>
      <c r="C195" s="244"/>
      <c r="D195" s="242"/>
      <c r="E195" s="242"/>
      <c r="F195" s="910"/>
      <c r="G195" s="242"/>
      <c r="H195" s="1323"/>
      <c r="I195" s="368"/>
      <c r="J195" s="372"/>
      <c r="K195" s="748"/>
      <c r="L195" s="249"/>
      <c r="M195" s="748"/>
      <c r="N195" s="754"/>
      <c r="O195" s="234"/>
      <c r="P195" s="234"/>
      <c r="Q195" s="234"/>
    </row>
    <row r="196" spans="1:17" ht="16.5" customHeight="1">
      <c r="A196" s="196"/>
      <c r="B196" s="209"/>
      <c r="C196" s="211" t="s">
        <v>138</v>
      </c>
      <c r="D196" s="211" t="s">
        <v>995</v>
      </c>
      <c r="E196" s="242"/>
      <c r="F196" s="910"/>
      <c r="G196" s="242"/>
      <c r="H196" s="855"/>
      <c r="I196" s="856"/>
      <c r="J196" s="1324">
        <f>'WKSHT2 - Prepaid'!W66</f>
        <v>11317051.113636365</v>
      </c>
      <c r="K196" s="1325">
        <f>+'ATT H-1 '!H13</f>
        <v>0.12652289669965341</v>
      </c>
      <c r="L196" s="758">
        <f>+J196*K196</f>
        <v>1431866.0889953114</v>
      </c>
      <c r="M196" s="727"/>
      <c r="N196" s="743"/>
      <c r="O196" s="234"/>
      <c r="P196" s="234"/>
      <c r="Q196" s="234"/>
    </row>
    <row r="197" spans="1:17" ht="16.5" customHeight="1">
      <c r="A197" s="196"/>
      <c r="B197" s="209"/>
      <c r="C197" s="242" t="s">
        <v>135</v>
      </c>
      <c r="D197" s="211" t="s">
        <v>995</v>
      </c>
      <c r="E197" s="242"/>
      <c r="F197" s="910"/>
      <c r="G197" s="242"/>
      <c r="H197" s="855"/>
      <c r="I197" s="856"/>
      <c r="J197" s="338">
        <f>'WKSHT2 - Prepaid'!V11</f>
        <v>3208207.0937762242</v>
      </c>
      <c r="K197" s="1325">
        <f>+'ATT H-1 '!H26</f>
        <v>0.16960603276525196</v>
      </c>
      <c r="L197" s="758">
        <f>+J197*K197</f>
        <v>544131.27746472403</v>
      </c>
      <c r="M197" s="759"/>
      <c r="N197" s="760"/>
      <c r="O197" s="234"/>
      <c r="P197" s="234"/>
      <c r="Q197" s="234"/>
    </row>
    <row r="198" spans="1:17" ht="16.5" customHeight="1">
      <c r="A198" s="196"/>
      <c r="B198" s="209"/>
      <c r="C198" s="242" t="s">
        <v>331</v>
      </c>
      <c r="D198" s="211" t="s">
        <v>995</v>
      </c>
      <c r="E198" s="242"/>
      <c r="F198" s="910"/>
      <c r="G198" s="242"/>
      <c r="H198" s="855"/>
      <c r="I198" s="856"/>
      <c r="J198" s="338">
        <f>'WKSHT2 - Prepaid'!U72</f>
        <v>114118.51000000001</v>
      </c>
      <c r="K198" s="1325">
        <v>1</v>
      </c>
      <c r="L198" s="758">
        <f>+J198*K198</f>
        <v>114118.51000000001</v>
      </c>
      <c r="M198" s="759"/>
      <c r="N198" s="760"/>
      <c r="O198" s="234"/>
      <c r="P198" s="234"/>
      <c r="Q198" s="234"/>
    </row>
    <row r="199" spans="1:17">
      <c r="A199" s="196"/>
      <c r="B199" s="209"/>
      <c r="C199" s="242" t="s">
        <v>332</v>
      </c>
      <c r="D199" s="211" t="s">
        <v>995</v>
      </c>
      <c r="E199" s="242"/>
      <c r="F199" s="910"/>
      <c r="G199" s="242"/>
      <c r="H199" s="855"/>
      <c r="I199" s="856"/>
      <c r="J199" s="338">
        <f>'WKSHT2 - Prepaid'!T104</f>
        <v>23139694.740769234</v>
      </c>
      <c r="K199" s="1325">
        <v>0</v>
      </c>
      <c r="L199" s="758">
        <f>+J199*K199</f>
        <v>0</v>
      </c>
      <c r="M199" s="759"/>
      <c r="N199" s="760"/>
      <c r="O199" s="234"/>
      <c r="P199" s="234"/>
      <c r="Q199" s="234"/>
    </row>
    <row r="200" spans="1:17" customFormat="1">
      <c r="A200" s="196"/>
      <c r="B200" s="209"/>
      <c r="C200" s="242"/>
      <c r="D200" s="242"/>
      <c r="E200" s="242"/>
      <c r="F200" s="910"/>
      <c r="G200" s="242"/>
      <c r="H200" s="246"/>
      <c r="I200" s="242"/>
      <c r="J200" s="1326"/>
      <c r="K200" s="753"/>
      <c r="L200" s="1327"/>
      <c r="M200" s="761"/>
      <c r="N200" s="743"/>
      <c r="O200" s="2"/>
      <c r="P200" s="234"/>
      <c r="Q200" s="2"/>
    </row>
    <row r="201" spans="1:17" customFormat="1" ht="13.5" thickBot="1">
      <c r="A201" s="205"/>
      <c r="B201" s="235"/>
      <c r="C201" s="1328"/>
      <c r="D201" s="236"/>
      <c r="E201" s="236"/>
      <c r="F201" s="1309"/>
      <c r="G201" s="236"/>
      <c r="H201" s="1329"/>
      <c r="I201" s="1330"/>
      <c r="J201" s="1330"/>
      <c r="K201" s="1331"/>
      <c r="L201" s="1332">
        <f>SUM(L196:L199)</f>
        <v>2090115.8764600356</v>
      </c>
      <c r="M201" s="746"/>
      <c r="N201" s="747"/>
      <c r="O201" s="2"/>
      <c r="P201" s="234"/>
      <c r="Q201" s="2"/>
    </row>
    <row r="202" spans="1:17">
      <c r="A202" s="539"/>
      <c r="B202" s="539"/>
      <c r="C202" s="539"/>
      <c r="D202" s="539"/>
      <c r="E202" s="539"/>
      <c r="F202" s="540"/>
      <c r="G202" s="540"/>
      <c r="H202" s="908"/>
      <c r="I202" s="753"/>
      <c r="J202" s="753"/>
      <c r="K202" s="753"/>
      <c r="L202" s="1313"/>
      <c r="M202" s="753"/>
      <c r="N202" s="753"/>
      <c r="O202" s="234"/>
      <c r="P202" s="234"/>
      <c r="Q202" s="234"/>
    </row>
    <row r="203" spans="1:17" ht="13.5" thickBot="1">
      <c r="A203" s="368" t="s">
        <v>304</v>
      </c>
      <c r="B203" s="234"/>
      <c r="C203" s="234"/>
      <c r="D203" s="234"/>
      <c r="E203" s="234"/>
      <c r="F203" s="242"/>
      <c r="G203" s="242"/>
      <c r="H203" s="242"/>
      <c r="I203" s="242"/>
      <c r="J203" s="234"/>
      <c r="K203" s="416"/>
      <c r="L203" s="416"/>
      <c r="M203" s="416"/>
      <c r="N203" s="416"/>
      <c r="O203" s="234"/>
      <c r="P203" s="234"/>
      <c r="Q203" s="234"/>
    </row>
    <row r="204" spans="1:17">
      <c r="A204" s="1322" t="s">
        <v>1287</v>
      </c>
      <c r="B204" s="938"/>
      <c r="C204" s="938"/>
      <c r="D204" s="907"/>
      <c r="E204" s="907"/>
      <c r="F204" s="907"/>
      <c r="G204" s="907"/>
      <c r="H204" s="537"/>
      <c r="I204" s="537"/>
      <c r="J204" s="537"/>
      <c r="K204" s="537"/>
      <c r="L204" s="537"/>
      <c r="M204" s="537"/>
      <c r="N204" s="1258"/>
      <c r="O204" s="907"/>
      <c r="P204" s="907"/>
      <c r="Q204" s="909"/>
    </row>
    <row r="205" spans="1:17">
      <c r="A205" s="248">
        <v>45</v>
      </c>
      <c r="B205" s="202" t="s">
        <v>909</v>
      </c>
      <c r="C205" s="244"/>
      <c r="D205" s="104"/>
      <c r="E205" s="104"/>
      <c r="F205" s="104"/>
      <c r="G205" s="104"/>
      <c r="H205" s="104"/>
      <c r="I205" s="104"/>
      <c r="J205" s="104"/>
      <c r="K205" s="104"/>
      <c r="L205" s="104"/>
      <c r="M205" s="104"/>
      <c r="N205" s="104"/>
      <c r="O205" s="104"/>
      <c r="P205" s="104"/>
      <c r="Q205" s="911" t="s">
        <v>828</v>
      </c>
    </row>
    <row r="206" spans="1:17">
      <c r="A206" s="246"/>
      <c r="B206" s="242"/>
      <c r="C206" s="242"/>
      <c r="D206" s="1333">
        <v>42369</v>
      </c>
      <c r="E206" s="1333">
        <v>42370</v>
      </c>
      <c r="F206" s="1333">
        <v>42402</v>
      </c>
      <c r="G206" s="1333">
        <v>42434</v>
      </c>
      <c r="H206" s="1333">
        <v>42466</v>
      </c>
      <c r="I206" s="1333">
        <v>42498</v>
      </c>
      <c r="J206" s="1333">
        <v>42530</v>
      </c>
      <c r="K206" s="1333">
        <v>42562</v>
      </c>
      <c r="L206" s="1333">
        <v>42594</v>
      </c>
      <c r="M206" s="1333">
        <v>42626</v>
      </c>
      <c r="N206" s="1333">
        <v>42658</v>
      </c>
      <c r="O206" s="1333">
        <v>42690</v>
      </c>
      <c r="P206" s="1333">
        <v>42722</v>
      </c>
      <c r="Q206" s="1334" t="s">
        <v>81</v>
      </c>
    </row>
    <row r="207" spans="1:17" ht="17.25" customHeight="1">
      <c r="A207" s="884" t="s">
        <v>473</v>
      </c>
      <c r="B207" s="753"/>
      <c r="C207" s="242"/>
      <c r="D207" s="1510">
        <v>4198466</v>
      </c>
      <c r="E207" s="1510">
        <v>4141534</v>
      </c>
      <c r="F207" s="1510">
        <v>4078373</v>
      </c>
      <c r="G207" s="1510">
        <v>3981594</v>
      </c>
      <c r="H207" s="1510">
        <v>3806448</v>
      </c>
      <c r="I207" s="1510">
        <v>3667432</v>
      </c>
      <c r="J207" s="1510">
        <v>3196279</v>
      </c>
      <c r="K207" s="1510">
        <v>3049210</v>
      </c>
      <c r="L207" s="1510">
        <v>2643335</v>
      </c>
      <c r="M207" s="1510">
        <v>2638929</v>
      </c>
      <c r="N207" s="1510">
        <v>2350739</v>
      </c>
      <c r="O207" s="1510">
        <v>2189912</v>
      </c>
      <c r="P207" s="1510">
        <v>1864432</v>
      </c>
      <c r="Q207" s="1511">
        <f>AVERAGE(D207:P207)</f>
        <v>3215898.6923076925</v>
      </c>
    </row>
    <row r="208" spans="1:17" ht="17.25" customHeight="1">
      <c r="A208" s="885" t="s">
        <v>474</v>
      </c>
      <c r="B208" s="539"/>
      <c r="C208" s="242"/>
      <c r="D208" s="1587">
        <v>480322</v>
      </c>
      <c r="E208" s="1587">
        <v>489297</v>
      </c>
      <c r="F208" s="1587">
        <v>519176</v>
      </c>
      <c r="G208" s="1587">
        <v>627812</v>
      </c>
      <c r="H208" s="1587">
        <v>637522</v>
      </c>
      <c r="I208" s="1587">
        <v>622360</v>
      </c>
      <c r="J208" s="1587">
        <v>608643</v>
      </c>
      <c r="K208" s="1587">
        <v>613379</v>
      </c>
      <c r="L208" s="1587">
        <v>694317</v>
      </c>
      <c r="M208" s="1587">
        <v>676320</v>
      </c>
      <c r="N208" s="1506">
        <v>679809</v>
      </c>
      <c r="O208" s="1587">
        <v>685005</v>
      </c>
      <c r="P208" s="1587">
        <v>672060</v>
      </c>
      <c r="Q208" s="1511">
        <f>AVERAGE(D208:P208)</f>
        <v>615847.84615384613</v>
      </c>
    </row>
    <row r="209" spans="1:18" ht="17.25" customHeight="1" thickBot="1">
      <c r="A209" s="886" t="s">
        <v>972</v>
      </c>
      <c r="B209" s="887"/>
      <c r="C209" s="236"/>
      <c r="D209" s="888">
        <f t="shared" ref="D209:N209" si="4">SUM(D207:D208)</f>
        <v>4678788</v>
      </c>
      <c r="E209" s="888">
        <f t="shared" si="4"/>
        <v>4630831</v>
      </c>
      <c r="F209" s="888">
        <f t="shared" si="4"/>
        <v>4597549</v>
      </c>
      <c r="G209" s="888">
        <f t="shared" si="4"/>
        <v>4609406</v>
      </c>
      <c r="H209" s="888">
        <f t="shared" si="4"/>
        <v>4443970</v>
      </c>
      <c r="I209" s="888">
        <f t="shared" si="4"/>
        <v>4289792</v>
      </c>
      <c r="J209" s="888">
        <f t="shared" si="4"/>
        <v>3804922</v>
      </c>
      <c r="K209" s="888">
        <f t="shared" si="4"/>
        <v>3662589</v>
      </c>
      <c r="L209" s="888">
        <f t="shared" si="4"/>
        <v>3337652</v>
      </c>
      <c r="M209" s="888">
        <f t="shared" si="4"/>
        <v>3315249</v>
      </c>
      <c r="N209" s="889">
        <f t="shared" si="4"/>
        <v>3030548</v>
      </c>
      <c r="O209" s="888">
        <f>SUM(O207:O208)</f>
        <v>2874917</v>
      </c>
      <c r="P209" s="888">
        <f>SUM(P207:P208)</f>
        <v>2536492</v>
      </c>
      <c r="Q209" s="1335">
        <f>AVERAGE(D209:P209)</f>
        <v>3831746.5384615385</v>
      </c>
    </row>
    <row r="210" spans="1:18">
      <c r="A210" s="209"/>
      <c r="B210" s="209"/>
      <c r="C210" s="244"/>
      <c r="D210" s="242"/>
      <c r="E210" s="242"/>
      <c r="F210" s="242"/>
      <c r="G210" s="242"/>
      <c r="H210" s="1336"/>
      <c r="I210" s="1336"/>
      <c r="J210" s="1326"/>
      <c r="K210" s="1336"/>
      <c r="L210" s="1336"/>
      <c r="M210" s="727"/>
      <c r="N210" s="727"/>
      <c r="O210" s="234"/>
      <c r="P210" s="734"/>
      <c r="Q210" s="234"/>
    </row>
    <row r="211" spans="1:18" ht="13.5" thickBot="1">
      <c r="A211" s="368" t="s">
        <v>770</v>
      </c>
      <c r="B211" s="234"/>
      <c r="C211" s="234"/>
      <c r="D211" s="234"/>
      <c r="E211" s="234"/>
      <c r="F211" s="234"/>
      <c r="G211" s="234"/>
      <c r="H211" s="234"/>
      <c r="I211" s="234"/>
      <c r="J211" s="234"/>
      <c r="K211" s="416"/>
      <c r="L211" s="416"/>
      <c r="M211" s="416"/>
      <c r="N211" s="416"/>
      <c r="O211" s="234"/>
      <c r="P211" s="734"/>
      <c r="Q211" s="234"/>
      <c r="R211" s="193"/>
    </row>
    <row r="212" spans="1:18">
      <c r="A212" s="1924" t="s">
        <v>1287</v>
      </c>
      <c r="B212" s="1925"/>
      <c r="C212" s="1925"/>
      <c r="D212" s="1925"/>
      <c r="E212" s="1925"/>
      <c r="F212" s="1934"/>
      <c r="G212" s="938"/>
      <c r="H212" s="1293"/>
      <c r="I212" s="1926" t="s">
        <v>184</v>
      </c>
      <c r="J212" s="1927"/>
      <c r="K212" s="1927"/>
      <c r="L212" s="1927"/>
      <c r="M212" s="1927"/>
      <c r="N212" s="1928"/>
      <c r="O212" s="234"/>
      <c r="P212" s="1766"/>
      <c r="Q212" s="234"/>
      <c r="R212" s="193"/>
    </row>
    <row r="213" spans="1:18" ht="44.25" customHeight="1">
      <c r="A213" s="1141"/>
      <c r="B213" s="202" t="s">
        <v>149</v>
      </c>
      <c r="C213" s="1313"/>
      <c r="D213" s="368"/>
      <c r="E213" s="232"/>
      <c r="F213" s="1337"/>
      <c r="G213" s="372"/>
      <c r="H213" s="1338" t="s">
        <v>294</v>
      </c>
      <c r="I213" s="418" t="s">
        <v>295</v>
      </c>
      <c r="J213" s="418" t="s">
        <v>1097</v>
      </c>
      <c r="K213" s="753"/>
      <c r="L213" s="753"/>
      <c r="M213" s="753"/>
      <c r="N213" s="1294"/>
      <c r="O213" s="234"/>
      <c r="P213" s="734"/>
      <c r="Q213" s="234"/>
      <c r="R213" s="193"/>
    </row>
    <row r="214" spans="1:18" ht="17.25" customHeight="1">
      <c r="A214" s="359">
        <f>+'ATT H-1 '!A96</f>
        <v>55</v>
      </c>
      <c r="B214" s="249"/>
      <c r="C214" s="1313" t="str">
        <f>+'ATT H-1 '!C96</f>
        <v>Outstanding Network Credits</v>
      </c>
      <c r="D214" s="209"/>
      <c r="E214" s="209"/>
      <c r="F214" s="204"/>
      <c r="G214" s="198"/>
      <c r="H214" s="1141"/>
      <c r="I214" s="1921" t="s">
        <v>183</v>
      </c>
      <c r="J214" s="1922"/>
      <c r="K214" s="1922"/>
      <c r="L214" s="1922"/>
      <c r="M214" s="1922"/>
      <c r="N214" s="1923"/>
      <c r="O214" s="234"/>
      <c r="P214" s="734"/>
      <c r="Q214" s="234"/>
      <c r="R214" s="193"/>
    </row>
    <row r="215" spans="1:18" ht="17.25" customHeight="1">
      <c r="A215" s="246"/>
      <c r="B215" s="242"/>
      <c r="C215" s="242" t="s">
        <v>194</v>
      </c>
      <c r="D215" s="194" t="s">
        <v>424</v>
      </c>
      <c r="E215" s="1762" t="s">
        <v>1338</v>
      </c>
      <c r="F215" s="1489">
        <v>0</v>
      </c>
      <c r="G215" s="210"/>
      <c r="H215" s="1339">
        <f>+F215</f>
        <v>0</v>
      </c>
      <c r="I215" s="250"/>
      <c r="J215" s="232"/>
      <c r="K215" s="727"/>
      <c r="L215" s="727"/>
      <c r="M215" s="727"/>
      <c r="N215" s="743"/>
      <c r="O215" s="234"/>
      <c r="P215" s="734"/>
      <c r="Q215" s="234"/>
      <c r="R215" s="193"/>
    </row>
    <row r="216" spans="1:18" ht="17.25" customHeight="1">
      <c r="A216" s="196"/>
      <c r="B216" s="190"/>
      <c r="C216" s="200" t="s">
        <v>194</v>
      </c>
      <c r="D216" s="201" t="s">
        <v>424</v>
      </c>
      <c r="E216" s="1763" t="s">
        <v>1343</v>
      </c>
      <c r="F216" s="1490">
        <v>0</v>
      </c>
      <c r="G216" s="210"/>
      <c r="H216" s="644"/>
      <c r="I216" s="337">
        <f>+F216</f>
        <v>0</v>
      </c>
      <c r="J216" s="337"/>
      <c r="K216" s="748"/>
      <c r="L216" s="748"/>
      <c r="M216" s="748"/>
      <c r="N216" s="754"/>
      <c r="O216" s="234"/>
      <c r="P216" s="734"/>
      <c r="Q216" s="242"/>
      <c r="R216" s="193"/>
    </row>
    <row r="217" spans="1:18" ht="17.25" customHeight="1">
      <c r="A217" s="196"/>
      <c r="B217" s="211"/>
      <c r="C217" s="198" t="s">
        <v>333</v>
      </c>
      <c r="D217" s="211"/>
      <c r="E217" s="232"/>
      <c r="F217" s="353">
        <f>AVERAGE(F215:F216)</f>
        <v>0</v>
      </c>
      <c r="G217" s="210"/>
      <c r="H217" s="1340"/>
      <c r="I217" s="337"/>
      <c r="J217" s="337">
        <f>+F217</f>
        <v>0</v>
      </c>
      <c r="K217" s="727"/>
      <c r="L217" s="727"/>
      <c r="M217" s="727"/>
      <c r="N217" s="743"/>
      <c r="O217" s="234"/>
      <c r="Q217" s="234"/>
    </row>
    <row r="218" spans="1:18" ht="17.25" customHeight="1">
      <c r="A218" s="196"/>
      <c r="B218" s="211"/>
      <c r="C218" s="198"/>
      <c r="D218" s="211"/>
      <c r="E218" s="232"/>
      <c r="F218" s="353"/>
      <c r="G218" s="210"/>
      <c r="H218" s="1340"/>
      <c r="I218" s="337"/>
      <c r="J218" s="337"/>
      <c r="K218" s="727"/>
      <c r="L218" s="727"/>
      <c r="M218" s="727"/>
      <c r="N218" s="743"/>
      <c r="O218" s="234"/>
      <c r="Q218" s="234"/>
    </row>
    <row r="219" spans="1:18" ht="17.25" customHeight="1">
      <c r="A219" s="334">
        <f>+'ATT H-1 '!A97</f>
        <v>56</v>
      </c>
      <c r="B219" s="244"/>
      <c r="C219" s="202" t="s">
        <v>334</v>
      </c>
      <c r="D219" s="211"/>
      <c r="E219" s="232"/>
      <c r="F219" s="353"/>
      <c r="G219" s="210"/>
      <c r="H219" s="1340"/>
      <c r="I219" s="337"/>
      <c r="J219" s="337"/>
      <c r="K219" s="727"/>
      <c r="L219" s="727"/>
      <c r="M219" s="727"/>
      <c r="N219" s="743"/>
      <c r="O219" s="234"/>
      <c r="Q219" s="234"/>
    </row>
    <row r="220" spans="1:18" ht="15">
      <c r="A220" s="246"/>
      <c r="B220" s="242"/>
      <c r="C220" s="242" t="s">
        <v>194</v>
      </c>
      <c r="D220" s="194" t="s">
        <v>424</v>
      </c>
      <c r="E220" s="370" t="str">
        <f>+E215</f>
        <v>For 2015</v>
      </c>
      <c r="F220" s="1489">
        <v>0</v>
      </c>
      <c r="G220" s="210"/>
      <c r="H220" s="1307">
        <f>+F220</f>
        <v>0</v>
      </c>
      <c r="I220" s="1315"/>
      <c r="J220" s="337"/>
      <c r="K220" s="727"/>
      <c r="L220" s="727"/>
      <c r="M220" s="727"/>
      <c r="N220" s="743"/>
      <c r="O220" s="234"/>
      <c r="Q220" s="234"/>
    </row>
    <row r="221" spans="1:18" ht="15">
      <c r="A221" s="196"/>
      <c r="B221" s="211"/>
      <c r="C221" s="200" t="s">
        <v>194</v>
      </c>
      <c r="D221" s="201" t="s">
        <v>424</v>
      </c>
      <c r="E221" s="371" t="str">
        <f>+E216</f>
        <v>For 2016</v>
      </c>
      <c r="F221" s="1490">
        <v>0</v>
      </c>
      <c r="G221" s="210"/>
      <c r="H221" s="1339"/>
      <c r="I221" s="1292">
        <f>+F221</f>
        <v>0</v>
      </c>
      <c r="J221" s="337"/>
      <c r="K221" s="727"/>
      <c r="L221" s="727"/>
      <c r="M221" s="727"/>
      <c r="N221" s="743"/>
      <c r="O221" s="234"/>
      <c r="Q221" s="1764"/>
    </row>
    <row r="222" spans="1:18">
      <c r="A222" s="246"/>
      <c r="B222" s="209"/>
      <c r="C222" s="198" t="str">
        <f>+C217</f>
        <v>Average Beginning and End of Year</v>
      </c>
      <c r="D222" s="209"/>
      <c r="E222" s="209"/>
      <c r="F222" s="353">
        <f>AVERAGE(F220:F221)</f>
        <v>0</v>
      </c>
      <c r="G222" s="210"/>
      <c r="H222" s="359"/>
      <c r="I222" s="245"/>
      <c r="J222" s="337">
        <f>+F222</f>
        <v>0</v>
      </c>
      <c r="K222" s="753"/>
      <c r="L222" s="753"/>
      <c r="M222" s="753"/>
      <c r="N222" s="1294"/>
      <c r="O222" s="234"/>
      <c r="Q222" s="234"/>
    </row>
    <row r="223" spans="1:18" ht="13.5" thickBot="1">
      <c r="A223" s="205"/>
      <c r="B223" s="235"/>
      <c r="C223" s="235"/>
      <c r="D223" s="235"/>
      <c r="E223" s="235"/>
      <c r="F223" s="354"/>
      <c r="G223" s="235"/>
      <c r="H223" s="333"/>
      <c r="I223" s="236"/>
      <c r="J223" s="236"/>
      <c r="K223" s="1310"/>
      <c r="L223" s="1311"/>
      <c r="M223" s="1310"/>
      <c r="N223" s="1312"/>
      <c r="O223" s="234"/>
      <c r="Q223" s="234"/>
    </row>
    <row r="224" spans="1:18">
      <c r="A224" s="209"/>
      <c r="B224" s="209"/>
      <c r="C224" s="209"/>
      <c r="D224" s="209"/>
      <c r="E224" s="209"/>
      <c r="F224" s="209"/>
      <c r="G224" s="209"/>
      <c r="H224" s="242"/>
      <c r="I224" s="242"/>
      <c r="J224" s="242"/>
      <c r="K224" s="753"/>
      <c r="L224" s="1313"/>
      <c r="M224" s="753"/>
      <c r="N224" s="753"/>
      <c r="O224" s="234"/>
      <c r="Q224" s="234"/>
    </row>
    <row r="225" spans="1:17" ht="13.5" thickBot="1">
      <c r="A225" s="368" t="s">
        <v>771</v>
      </c>
      <c r="B225" s="234"/>
      <c r="C225" s="234"/>
      <c r="D225" s="234"/>
      <c r="E225" s="234"/>
      <c r="F225" s="234"/>
      <c r="G225" s="234"/>
      <c r="H225" s="234"/>
      <c r="I225" s="234"/>
      <c r="J225" s="234"/>
      <c r="K225" s="416"/>
      <c r="L225" s="416"/>
      <c r="M225" s="416"/>
      <c r="N225" s="416"/>
      <c r="O225" s="416"/>
      <c r="Q225" s="234"/>
    </row>
    <row r="226" spans="1:17" ht="25.5">
      <c r="A226" s="1924" t="s">
        <v>1287</v>
      </c>
      <c r="B226" s="1925"/>
      <c r="C226" s="1925"/>
      <c r="D226" s="1925"/>
      <c r="E226" s="1925"/>
      <c r="F226" s="1925"/>
      <c r="G226" s="1341"/>
      <c r="H226" s="1293" t="str">
        <f>+C228</f>
        <v>Interest on Network Credits</v>
      </c>
      <c r="I226" s="1926" t="s">
        <v>305</v>
      </c>
      <c r="J226" s="1927"/>
      <c r="K226" s="1927"/>
      <c r="L226" s="1927"/>
      <c r="M226" s="1927"/>
      <c r="N226" s="1928"/>
      <c r="O226" s="234"/>
      <c r="Q226" s="234"/>
    </row>
    <row r="227" spans="1:17">
      <c r="A227" s="196"/>
      <c r="B227" s="202"/>
      <c r="C227" s="209"/>
      <c r="D227" s="209"/>
      <c r="E227" s="209"/>
      <c r="F227" s="209"/>
      <c r="G227" s="1123"/>
      <c r="H227" s="359" t="s">
        <v>306</v>
      </c>
      <c r="I227" s="242"/>
      <c r="J227" s="242"/>
      <c r="K227" s="753"/>
      <c r="L227" s="753"/>
      <c r="M227" s="753"/>
      <c r="N227" s="1294"/>
      <c r="O227" s="234"/>
      <c r="Q227" s="234"/>
    </row>
    <row r="228" spans="1:17">
      <c r="A228" s="249">
        <f>+'ATT H-1 '!A263</f>
        <v>164</v>
      </c>
      <c r="B228" s="249"/>
      <c r="C228" s="202" t="str">
        <f>+'ATT H-1 '!C263</f>
        <v>Interest on Network Credits</v>
      </c>
      <c r="D228" s="209"/>
      <c r="E228" s="209"/>
      <c r="F228" s="198"/>
      <c r="G228" s="1124"/>
      <c r="H228" s="1491">
        <v>0</v>
      </c>
      <c r="I228" s="1921" t="s">
        <v>183</v>
      </c>
      <c r="J228" s="1922"/>
      <c r="K228" s="1922"/>
      <c r="L228" s="1922"/>
      <c r="M228" s="1922"/>
      <c r="N228" s="1923"/>
      <c r="O228" s="234"/>
      <c r="Q228" s="234"/>
    </row>
    <row r="229" spans="1:17">
      <c r="A229" s="196"/>
      <c r="B229" s="209"/>
      <c r="C229" s="209"/>
      <c r="D229" s="209"/>
      <c r="E229" s="209"/>
      <c r="F229" s="209"/>
      <c r="G229" s="1123"/>
      <c r="H229" s="246"/>
      <c r="I229" s="211"/>
      <c r="J229" s="211"/>
      <c r="K229" s="748"/>
      <c r="L229" s="748"/>
      <c r="M229" s="748"/>
      <c r="N229" s="754"/>
      <c r="O229" s="234"/>
      <c r="Q229" s="234"/>
    </row>
    <row r="230" spans="1:17">
      <c r="A230" s="234"/>
      <c r="B230" s="234"/>
      <c r="C230" s="234"/>
      <c r="D230" s="234"/>
      <c r="E230" s="234"/>
      <c r="F230" s="234"/>
      <c r="G230" s="1342"/>
      <c r="H230" s="246"/>
      <c r="I230" s="242"/>
      <c r="J230" s="250"/>
      <c r="K230" s="762"/>
      <c r="L230" s="762"/>
      <c r="M230" s="762"/>
      <c r="N230" s="760"/>
      <c r="O230" s="416"/>
      <c r="Q230" s="234"/>
    </row>
    <row r="231" spans="1:17" ht="13.5" thickBot="1">
      <c r="A231" s="205"/>
      <c r="B231" s="235"/>
      <c r="C231" s="235"/>
      <c r="D231" s="235"/>
      <c r="E231" s="235"/>
      <c r="F231" s="235"/>
      <c r="G231" s="1125"/>
      <c r="H231" s="333"/>
      <c r="I231" s="236"/>
      <c r="J231" s="236"/>
      <c r="K231" s="1310"/>
      <c r="L231" s="1311" t="s">
        <v>182</v>
      </c>
      <c r="M231" s="1310"/>
      <c r="N231" s="1312"/>
      <c r="O231" s="234"/>
      <c r="Q231" s="234"/>
    </row>
    <row r="232" spans="1:17">
      <c r="A232" s="209"/>
      <c r="B232" s="209"/>
      <c r="C232" s="209"/>
      <c r="D232" s="209"/>
      <c r="E232" s="209"/>
      <c r="F232" s="209"/>
      <c r="G232" s="209"/>
      <c r="H232" s="242"/>
      <c r="I232" s="242"/>
      <c r="J232" s="242"/>
      <c r="K232" s="753"/>
      <c r="L232" s="1313"/>
      <c r="M232" s="753"/>
      <c r="N232" s="753"/>
      <c r="O232" s="234"/>
      <c r="Q232" s="234"/>
    </row>
    <row r="234" spans="1:17" ht="16.5" thickBot="1">
      <c r="A234" s="368" t="s">
        <v>307</v>
      </c>
      <c r="B234" s="100"/>
      <c r="C234" s="376"/>
      <c r="D234" s="100"/>
      <c r="E234" s="100"/>
      <c r="F234" s="100"/>
      <c r="G234" s="100"/>
      <c r="H234" s="88"/>
      <c r="I234" s="783"/>
      <c r="J234" s="784"/>
      <c r="K234" s="88"/>
      <c r="L234" s="88"/>
      <c r="M234" s="88"/>
      <c r="N234" s="487"/>
      <c r="Q234" s="242"/>
    </row>
    <row r="235" spans="1:17" ht="31.5">
      <c r="A235" s="1368">
        <f>'ATT H-1 '!A110</f>
        <v>63</v>
      </c>
      <c r="B235" s="1369"/>
      <c r="C235" s="1370" t="s">
        <v>307</v>
      </c>
      <c r="D235" s="890" t="s">
        <v>309</v>
      </c>
      <c r="E235" s="890"/>
      <c r="F235" s="903" t="s">
        <v>310</v>
      </c>
      <c r="G235" s="901" t="s">
        <v>313</v>
      </c>
      <c r="H235" s="901" t="s">
        <v>312</v>
      </c>
      <c r="I235" s="901" t="s">
        <v>314</v>
      </c>
      <c r="J235" s="891"/>
      <c r="K235" s="901" t="s">
        <v>311</v>
      </c>
      <c r="L235" s="892"/>
      <c r="M235" s="891"/>
      <c r="N235" s="893"/>
      <c r="Q235" s="242"/>
    </row>
    <row r="236" spans="1:17" ht="15.75">
      <c r="A236" s="894"/>
      <c r="B236" s="100"/>
      <c r="C236" s="376" t="s">
        <v>501</v>
      </c>
      <c r="D236" s="785">
        <v>107915658</v>
      </c>
      <c r="E236" s="785"/>
      <c r="F236" s="1512">
        <v>7296</v>
      </c>
      <c r="G236" s="1513">
        <v>154956</v>
      </c>
      <c r="H236" s="1513">
        <v>16286</v>
      </c>
      <c r="I236" s="1513"/>
      <c r="J236" s="787"/>
      <c r="K236" s="1871">
        <f>D236-F236-G236-H236-I236</f>
        <v>107737120</v>
      </c>
      <c r="L236" s="784"/>
      <c r="M236" s="88"/>
      <c r="N236" s="895"/>
      <c r="Q236" s="242"/>
    </row>
    <row r="237" spans="1:17" ht="15.75">
      <c r="A237" s="894"/>
      <c r="B237" s="100"/>
      <c r="C237" s="376" t="s">
        <v>503</v>
      </c>
      <c r="D237" s="786">
        <v>5261176</v>
      </c>
      <c r="E237" s="785"/>
      <c r="F237" s="1512"/>
      <c r="G237" s="1513"/>
      <c r="H237" s="1513"/>
      <c r="I237" s="1513">
        <v>415331</v>
      </c>
      <c r="J237" s="787"/>
      <c r="K237" s="1871">
        <f>D237-F237-G237-H237-I237</f>
        <v>4845845</v>
      </c>
      <c r="L237" s="784"/>
      <c r="M237" s="88"/>
      <c r="N237" s="895"/>
      <c r="Q237" s="242"/>
    </row>
    <row r="238" spans="1:17" ht="15.75">
      <c r="A238" s="894"/>
      <c r="B238" s="100"/>
      <c r="C238" s="376" t="s">
        <v>504</v>
      </c>
      <c r="D238" s="786">
        <v>961115</v>
      </c>
      <c r="E238" s="785"/>
      <c r="F238" s="1512">
        <v>961115</v>
      </c>
      <c r="G238" s="1513"/>
      <c r="H238" s="1513"/>
      <c r="I238" s="1513"/>
      <c r="J238" s="787"/>
      <c r="K238" s="1871">
        <f>D238-F238-G238-H238-I238</f>
        <v>0</v>
      </c>
      <c r="L238" s="784"/>
      <c r="M238" s="88"/>
      <c r="N238" s="895"/>
      <c r="Q238" s="242"/>
    </row>
    <row r="239" spans="1:17" ht="15.75">
      <c r="A239" s="894"/>
      <c r="B239" s="100"/>
      <c r="C239" s="376"/>
      <c r="D239" s="786"/>
      <c r="E239" s="785"/>
      <c r="F239" s="902"/>
      <c r="G239" s="902"/>
      <c r="H239" s="902"/>
      <c r="I239" s="902"/>
      <c r="J239" s="1343"/>
      <c r="K239" s="1872"/>
      <c r="L239" s="137"/>
      <c r="M239" s="1219"/>
      <c r="N239" s="1344"/>
      <c r="O239" s="234"/>
      <c r="Q239" s="242"/>
    </row>
    <row r="240" spans="1:17" ht="16.5" thickBot="1">
      <c r="A240" s="896"/>
      <c r="B240" s="897"/>
      <c r="C240" s="898" t="s">
        <v>308</v>
      </c>
      <c r="D240" s="899">
        <f>SUM(D236:D239)</f>
        <v>114137949</v>
      </c>
      <c r="E240" s="900"/>
      <c r="F240" s="904">
        <f>SUM(F236:F239)</f>
        <v>968411</v>
      </c>
      <c r="G240" s="904">
        <f>SUM(G236:G239)</f>
        <v>154956</v>
      </c>
      <c r="H240" s="904">
        <f>SUM(H236:H239)</f>
        <v>16286</v>
      </c>
      <c r="I240" s="904">
        <f>SUM(I236:I239)</f>
        <v>415331</v>
      </c>
      <c r="J240" s="1345"/>
      <c r="K240" s="1873">
        <f>SUM(K236:K239)</f>
        <v>112582965</v>
      </c>
      <c r="L240" s="1346"/>
      <c r="M240" s="1347"/>
      <c r="N240" s="1348"/>
      <c r="O240" s="234"/>
      <c r="Q240" s="242"/>
    </row>
    <row r="241" spans="1:17" ht="15.75">
      <c r="A241" s="100"/>
      <c r="B241" s="100"/>
      <c r="C241" s="376"/>
      <c r="D241" s="100"/>
      <c r="E241" s="100"/>
      <c r="F241" s="100"/>
      <c r="G241" s="100"/>
      <c r="H241" s="1219"/>
      <c r="I241" s="1219"/>
      <c r="J241" s="1349"/>
      <c r="K241" s="137"/>
      <c r="L241" s="1219"/>
      <c r="M241" s="1219"/>
      <c r="N241" s="1219"/>
      <c r="O241" s="234"/>
      <c r="Q241" s="242"/>
    </row>
    <row r="242" spans="1:17">
      <c r="E242" s="417"/>
      <c r="F242" s="417"/>
      <c r="G242" s="417"/>
      <c r="I242" s="1723"/>
      <c r="J242" s="1723"/>
      <c r="K242" s="1723"/>
      <c r="L242" s="184"/>
    </row>
    <row r="243" spans="1:17">
      <c r="H243" s="1723"/>
      <c r="I243" s="417"/>
      <c r="J243" s="417"/>
    </row>
    <row r="244" spans="1:17">
      <c r="H244" s="1723"/>
      <c r="I244" s="1723"/>
      <c r="J244" s="1723"/>
      <c r="K244" s="184"/>
      <c r="L244" s="184"/>
    </row>
    <row r="245" spans="1:17">
      <c r="H245" s="1723"/>
      <c r="L245" s="184"/>
    </row>
    <row r="246" spans="1:17">
      <c r="H246" s="1723"/>
      <c r="L246" s="184"/>
    </row>
    <row r="247" spans="1:17">
      <c r="H247" s="1723"/>
      <c r="L247" s="184"/>
    </row>
    <row r="248" spans="1:17">
      <c r="L248" s="184"/>
    </row>
    <row r="249" spans="1:17">
      <c r="J249" s="417"/>
      <c r="L249" s="184"/>
    </row>
    <row r="250" spans="1:17">
      <c r="L250" s="184"/>
    </row>
    <row r="251" spans="1:17">
      <c r="I251" s="1724"/>
      <c r="L251" s="184"/>
    </row>
    <row r="252" spans="1:17">
      <c r="L252" s="184"/>
    </row>
    <row r="253" spans="1:17">
      <c r="L253" s="184"/>
    </row>
    <row r="254" spans="1:17">
      <c r="J254" s="417"/>
      <c r="L254" s="184"/>
    </row>
    <row r="255" spans="1:17">
      <c r="J255" s="417"/>
      <c r="L255" s="184"/>
    </row>
    <row r="256" spans="1:17">
      <c r="L256" s="184"/>
    </row>
    <row r="257" spans="10:12">
      <c r="L257" s="184"/>
    </row>
    <row r="258" spans="10:12">
      <c r="J258" s="417"/>
      <c r="L258" s="184"/>
    </row>
    <row r="259" spans="10:12">
      <c r="J259" s="417"/>
      <c r="L259" s="184"/>
    </row>
    <row r="260" spans="10:12">
      <c r="J260" s="417"/>
      <c r="L260" s="184"/>
    </row>
    <row r="261" spans="10:12">
      <c r="J261" s="417"/>
      <c r="L261" s="184"/>
    </row>
    <row r="262" spans="10:12">
      <c r="J262" s="417"/>
      <c r="L262" s="184"/>
    </row>
    <row r="263" spans="10:12">
      <c r="J263" s="417"/>
      <c r="L263" s="184"/>
    </row>
    <row r="264" spans="10:12">
      <c r="L264" s="184"/>
    </row>
    <row r="265" spans="10:12">
      <c r="K265" s="189"/>
    </row>
  </sheetData>
  <mergeCells count="32">
    <mergeCell ref="R17:S17"/>
    <mergeCell ref="A66:F66"/>
    <mergeCell ref="K36:N36"/>
    <mergeCell ref="R18:S18"/>
    <mergeCell ref="R19:S19"/>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I228:N228"/>
    <mergeCell ref="I214:N214"/>
    <mergeCell ref="A226:F226"/>
    <mergeCell ref="I226:N226"/>
    <mergeCell ref="A1:N1"/>
    <mergeCell ref="A3:N3"/>
    <mergeCell ref="A7:F7"/>
    <mergeCell ref="K7:N7"/>
    <mergeCell ref="A212:F212"/>
    <mergeCell ref="A127:F127"/>
    <mergeCell ref="I212:N212"/>
    <mergeCell ref="I120:N120"/>
  </mergeCells>
  <phoneticPr fontId="50" type="noConversion"/>
  <pageMargins left="0.25" right="0.25" top="1" bottom="0.65" header="0.5" footer="0.5"/>
  <pageSetup scale="42" fitToHeight="7" orientation="landscape" r:id="rId1"/>
  <headerFooter alignWithMargins="0"/>
  <rowBreaks count="4" manualBreakCount="4">
    <brk id="33" max="16" man="1"/>
    <brk id="73" max="16383" man="1"/>
    <brk id="125" max="16" man="1"/>
    <brk id="19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84" zoomScale="75" zoomScaleNormal="75" zoomScaleSheetLayoutView="75" workbookViewId="0">
      <selection activeCell="G117" sqref="G117"/>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513</v>
      </c>
    </row>
    <row r="3" spans="1:20" ht="18">
      <c r="A3" s="1462" t="s">
        <v>413</v>
      </c>
      <c r="B3" s="579"/>
      <c r="C3" s="579"/>
      <c r="D3" s="579"/>
      <c r="E3" s="579"/>
      <c r="F3" s="579"/>
      <c r="G3" s="579"/>
      <c r="H3" s="579"/>
      <c r="I3" s="580"/>
      <c r="J3" s="580"/>
      <c r="K3" s="426"/>
      <c r="L3" s="426"/>
      <c r="M3" s="426"/>
      <c r="N3" s="426"/>
      <c r="O3" s="426"/>
    </row>
    <row r="4" spans="1:20">
      <c r="A4" s="426"/>
      <c r="B4" s="426"/>
      <c r="C4" s="426"/>
      <c r="D4" s="426"/>
      <c r="E4" s="1831" t="s">
        <v>1305</v>
      </c>
      <c r="F4" s="1832">
        <v>2015</v>
      </c>
      <c r="G4" s="426"/>
      <c r="H4" s="426"/>
      <c r="I4" s="426"/>
      <c r="J4" s="426"/>
      <c r="K4" s="426"/>
      <c r="L4" s="426"/>
      <c r="M4" s="426"/>
      <c r="N4" s="426"/>
      <c r="O4" s="426"/>
    </row>
    <row r="5" spans="1:20" ht="16.5">
      <c r="A5" s="425"/>
      <c r="B5" s="425"/>
      <c r="C5" s="425"/>
      <c r="D5" s="424"/>
      <c r="E5" s="1831" t="s">
        <v>1306</v>
      </c>
      <c r="F5" s="1833">
        <v>2016</v>
      </c>
      <c r="G5" s="424"/>
      <c r="H5" s="424"/>
      <c r="I5" s="424"/>
      <c r="J5" s="581"/>
      <c r="K5" s="424"/>
      <c r="L5" s="424"/>
      <c r="M5" s="424"/>
      <c r="N5" s="424"/>
      <c r="O5" s="424"/>
    </row>
    <row r="6" spans="1:20" ht="13.5">
      <c r="A6" s="582" t="s">
        <v>737</v>
      </c>
      <c r="B6" s="582" t="s">
        <v>738</v>
      </c>
      <c r="C6" s="582" t="s">
        <v>739</v>
      </c>
      <c r="D6" s="582" t="s">
        <v>740</v>
      </c>
      <c r="E6" s="1831" t="s">
        <v>1307</v>
      </c>
      <c r="F6" s="1833">
        <v>2017</v>
      </c>
      <c r="G6" s="583"/>
      <c r="H6" s="583"/>
      <c r="I6" s="583"/>
      <c r="J6" s="583"/>
      <c r="K6" s="583"/>
      <c r="L6" s="583"/>
      <c r="M6" s="583"/>
      <c r="N6" s="583"/>
      <c r="O6" s="583"/>
      <c r="P6" s="583"/>
      <c r="Q6" s="583"/>
      <c r="R6" s="583"/>
      <c r="S6" s="583"/>
    </row>
    <row r="7" spans="1:20" ht="13.5">
      <c r="A7" s="425"/>
      <c r="B7" s="582"/>
      <c r="C7" s="582"/>
      <c r="D7" s="583"/>
      <c r="E7" s="583"/>
      <c r="F7" s="583"/>
      <c r="G7" s="583"/>
      <c r="H7" s="583"/>
      <c r="I7" s="583"/>
      <c r="J7" s="583"/>
      <c r="K7" s="583"/>
      <c r="L7" s="583"/>
      <c r="M7" s="583"/>
      <c r="N7" s="583"/>
      <c r="O7" s="583"/>
      <c r="P7" s="587"/>
      <c r="Q7" s="587"/>
      <c r="R7" s="587"/>
      <c r="S7" s="587"/>
    </row>
    <row r="8" spans="1:20" ht="13.5">
      <c r="A8" s="584" t="s">
        <v>741</v>
      </c>
      <c r="B8" s="582"/>
      <c r="C8" s="582"/>
      <c r="D8" s="583"/>
      <c r="E8" s="583"/>
      <c r="F8" s="583"/>
      <c r="G8" s="583"/>
      <c r="H8" s="583"/>
      <c r="I8" s="583"/>
      <c r="J8" s="583"/>
      <c r="K8" s="583"/>
      <c r="L8" s="583"/>
      <c r="M8" s="583"/>
      <c r="N8" s="583"/>
      <c r="P8" s="587"/>
      <c r="Q8" s="587"/>
      <c r="R8" s="587"/>
      <c r="S8" s="587"/>
    </row>
    <row r="9" spans="1:20" ht="13.5">
      <c r="A9" s="585">
        <v>1</v>
      </c>
      <c r="B9" s="585" t="s">
        <v>742</v>
      </c>
      <c r="C9" s="585" t="s">
        <v>717</v>
      </c>
      <c r="D9" s="586" t="s">
        <v>1292</v>
      </c>
      <c r="E9" s="587"/>
      <c r="F9" s="587"/>
      <c r="G9" s="587"/>
      <c r="H9" s="587"/>
      <c r="I9" s="587"/>
      <c r="J9" s="587"/>
      <c r="K9" s="587"/>
      <c r="L9" s="587"/>
      <c r="M9" s="587"/>
      <c r="N9" s="587"/>
      <c r="P9" s="587"/>
      <c r="Q9" s="635"/>
      <c r="R9" s="635"/>
      <c r="S9" s="619"/>
    </row>
    <row r="10" spans="1:20" ht="13.5">
      <c r="A10" s="585">
        <v>2</v>
      </c>
      <c r="B10" s="585" t="s">
        <v>742</v>
      </c>
      <c r="C10" s="585" t="s">
        <v>717</v>
      </c>
      <c r="D10" s="586" t="s">
        <v>1293</v>
      </c>
      <c r="E10" s="587"/>
      <c r="F10" s="587"/>
      <c r="G10" s="587"/>
      <c r="H10" s="587"/>
      <c r="I10" s="587"/>
      <c r="J10" s="587"/>
      <c r="K10" s="587"/>
      <c r="L10" s="587"/>
      <c r="M10" s="587"/>
      <c r="N10" s="587"/>
      <c r="P10" s="587"/>
      <c r="Q10" s="635"/>
      <c r="R10" s="635"/>
      <c r="S10" s="619"/>
    </row>
    <row r="11" spans="1:20" ht="13.5">
      <c r="A11" s="585">
        <v>3</v>
      </c>
      <c r="B11" s="585" t="s">
        <v>742</v>
      </c>
      <c r="C11" s="585" t="s">
        <v>717</v>
      </c>
      <c r="D11" s="586" t="s">
        <v>1294</v>
      </c>
      <c r="E11" s="587"/>
      <c r="F11" s="587"/>
      <c r="G11" s="587"/>
      <c r="H11" s="587"/>
      <c r="I11" s="587"/>
      <c r="J11" s="587"/>
      <c r="K11" s="587"/>
      <c r="L11" s="587"/>
      <c r="M11" s="587"/>
      <c r="N11" s="587"/>
      <c r="P11" s="587"/>
      <c r="Q11" s="635"/>
      <c r="R11" s="635"/>
      <c r="S11" s="619"/>
    </row>
    <row r="12" spans="1:20" ht="13.5">
      <c r="A12" s="585">
        <v>4</v>
      </c>
      <c r="B12" s="585" t="s">
        <v>743</v>
      </c>
      <c r="C12" s="585" t="s">
        <v>717</v>
      </c>
      <c r="D12" s="586" t="s">
        <v>1084</v>
      </c>
      <c r="E12" s="587"/>
      <c r="F12" s="587"/>
      <c r="G12" s="587"/>
      <c r="H12" s="587"/>
      <c r="I12" s="587"/>
      <c r="J12" s="587"/>
      <c r="K12" s="587"/>
      <c r="L12" s="587"/>
      <c r="M12" s="587"/>
      <c r="N12" s="587"/>
      <c r="P12" s="583"/>
      <c r="Q12" s="636"/>
      <c r="R12" s="636"/>
      <c r="S12" s="619"/>
    </row>
    <row r="13" spans="1:20" ht="13.5">
      <c r="A13" s="585">
        <v>5</v>
      </c>
      <c r="B13" s="588" t="s">
        <v>744</v>
      </c>
      <c r="C13" s="585" t="s">
        <v>717</v>
      </c>
      <c r="D13" s="586" t="s">
        <v>1295</v>
      </c>
      <c r="E13" s="587"/>
      <c r="F13" s="587"/>
      <c r="G13" s="587"/>
      <c r="H13" s="587"/>
      <c r="I13" s="587"/>
      <c r="J13" s="587"/>
      <c r="K13" s="587"/>
      <c r="L13" s="587"/>
      <c r="M13" s="587"/>
      <c r="N13" s="587"/>
      <c r="P13" s="583"/>
      <c r="Q13" s="636"/>
      <c r="R13" s="636"/>
      <c r="S13" s="619"/>
    </row>
    <row r="14" spans="1:20" ht="13.5">
      <c r="A14" s="582">
        <v>6</v>
      </c>
      <c r="B14" s="582" t="s">
        <v>742</v>
      </c>
      <c r="C14" s="585" t="s">
        <v>718</v>
      </c>
      <c r="D14" s="589" t="s">
        <v>1296</v>
      </c>
      <c r="E14" s="583"/>
      <c r="F14" s="583"/>
      <c r="G14" s="583"/>
      <c r="H14" s="583"/>
      <c r="I14" s="583"/>
      <c r="J14" s="583"/>
      <c r="K14" s="583"/>
      <c r="L14" s="583"/>
      <c r="M14" s="583"/>
      <c r="N14" s="583"/>
      <c r="P14" s="583"/>
      <c r="Q14" s="636"/>
      <c r="R14" s="636"/>
      <c r="S14" s="619"/>
    </row>
    <row r="15" spans="1:20" ht="13.5">
      <c r="A15" s="582">
        <v>7</v>
      </c>
      <c r="B15" s="582" t="s">
        <v>742</v>
      </c>
      <c r="C15" s="585" t="s">
        <v>718</v>
      </c>
      <c r="D15" s="589" t="str">
        <f>+D65</f>
        <v>Reconciliation</v>
      </c>
      <c r="E15" s="590"/>
      <c r="F15" s="590"/>
      <c r="G15" s="590"/>
      <c r="H15" s="590"/>
      <c r="I15" s="590"/>
      <c r="J15" s="590"/>
      <c r="K15" s="583"/>
      <c r="L15" s="583"/>
      <c r="M15" s="583"/>
      <c r="N15" s="583"/>
      <c r="P15" s="583"/>
      <c r="Q15" s="636"/>
      <c r="R15" s="636"/>
      <c r="S15" s="619"/>
    </row>
    <row r="16" spans="1:20" ht="13.5">
      <c r="A16" s="582">
        <v>8</v>
      </c>
      <c r="B16" s="582" t="s">
        <v>742</v>
      </c>
      <c r="C16" s="585" t="s">
        <v>718</v>
      </c>
      <c r="D16" s="589" t="str">
        <f>+D75</f>
        <v>True-Up Adjustment</v>
      </c>
      <c r="E16" s="583"/>
      <c r="F16" s="583"/>
      <c r="G16" s="583"/>
      <c r="H16" s="583"/>
      <c r="I16" s="583"/>
      <c r="J16" s="583"/>
      <c r="K16" s="583"/>
      <c r="L16" s="583"/>
      <c r="M16" s="583"/>
      <c r="N16" s="583"/>
      <c r="P16" s="583"/>
      <c r="Q16" s="863"/>
      <c r="R16" s="863"/>
      <c r="S16" s="862"/>
      <c r="T16" s="97"/>
    </row>
    <row r="17" spans="1:20" ht="13.5">
      <c r="A17" s="582">
        <v>9</v>
      </c>
      <c r="B17" s="582" t="s">
        <v>742</v>
      </c>
      <c r="C17" s="585" t="s">
        <v>718</v>
      </c>
      <c r="D17" s="589" t="s">
        <v>1297</v>
      </c>
      <c r="E17" s="583"/>
      <c r="F17" s="583"/>
      <c r="G17" s="583"/>
      <c r="H17" s="583"/>
      <c r="I17" s="583"/>
      <c r="J17" s="583"/>
      <c r="K17" s="583"/>
      <c r="L17" s="583"/>
      <c r="M17" s="583"/>
      <c r="N17" s="583"/>
      <c r="P17" s="583"/>
      <c r="Q17" s="863"/>
      <c r="R17" s="863"/>
      <c r="S17" s="862"/>
      <c r="T17" s="97"/>
    </row>
    <row r="18" spans="1:20" ht="13.5">
      <c r="A18" s="582">
        <v>10</v>
      </c>
      <c r="B18" s="582" t="s">
        <v>743</v>
      </c>
      <c r="C18" s="585" t="s">
        <v>718</v>
      </c>
      <c r="D18" s="589" t="s">
        <v>528</v>
      </c>
      <c r="E18" s="583"/>
      <c r="F18" s="583"/>
      <c r="G18" s="583"/>
      <c r="H18" s="583"/>
      <c r="I18" s="583"/>
      <c r="J18" s="583"/>
      <c r="K18" s="583"/>
      <c r="L18" s="583"/>
      <c r="M18" s="583"/>
      <c r="N18" s="583"/>
      <c r="P18" s="583"/>
      <c r="Q18" s="863"/>
      <c r="R18" s="863"/>
      <c r="S18" s="862"/>
      <c r="T18" s="97"/>
    </row>
    <row r="19" spans="1:20" ht="13.5">
      <c r="A19" s="582">
        <v>11</v>
      </c>
      <c r="B19" s="591" t="s">
        <v>744</v>
      </c>
      <c r="C19" s="585" t="s">
        <v>718</v>
      </c>
      <c r="D19" s="586" t="s">
        <v>1298</v>
      </c>
      <c r="E19" s="587"/>
      <c r="F19" s="587"/>
      <c r="G19" s="587"/>
      <c r="H19" s="587"/>
      <c r="I19" s="587"/>
      <c r="J19" s="587"/>
      <c r="K19" s="583"/>
      <c r="L19" s="583"/>
      <c r="M19" s="583"/>
      <c r="N19" s="583"/>
      <c r="P19" s="583"/>
      <c r="Q19" s="863"/>
      <c r="R19" s="863"/>
      <c r="S19" s="863"/>
      <c r="T19" s="97"/>
    </row>
    <row r="20" spans="1:20" ht="13.5">
      <c r="A20" s="582"/>
      <c r="B20" s="591"/>
      <c r="C20" s="582"/>
      <c r="D20" s="589"/>
      <c r="E20" s="583"/>
      <c r="F20" s="583"/>
      <c r="G20" s="583"/>
      <c r="H20" s="583"/>
      <c r="I20" s="583"/>
      <c r="J20" s="583"/>
      <c r="K20" s="583"/>
      <c r="L20" s="583"/>
      <c r="M20" s="583"/>
      <c r="N20" s="583"/>
      <c r="P20" s="583"/>
      <c r="Q20" s="607"/>
      <c r="R20" s="607"/>
      <c r="S20" s="607"/>
      <c r="T20" s="97"/>
    </row>
    <row r="21" spans="1:20" ht="13.5">
      <c r="A21" s="592"/>
      <c r="B21" s="585"/>
      <c r="C21" s="582"/>
      <c r="D21" s="593"/>
      <c r="E21" s="583"/>
      <c r="F21" s="583"/>
      <c r="G21" s="583"/>
      <c r="H21" s="583"/>
      <c r="I21" s="1799"/>
      <c r="J21" s="583"/>
      <c r="K21" s="583"/>
      <c r="L21" s="583"/>
      <c r="M21" s="583"/>
      <c r="N21" s="583"/>
      <c r="P21" s="583"/>
      <c r="Q21" s="607"/>
      <c r="R21" s="607"/>
      <c r="S21" s="607"/>
      <c r="T21" s="97"/>
    </row>
    <row r="22" spans="1:20" ht="13.5">
      <c r="A22" s="582">
        <v>1</v>
      </c>
      <c r="B22" s="582" t="s">
        <v>742</v>
      </c>
      <c r="C22" s="582" t="s">
        <v>717</v>
      </c>
      <c r="D22" s="583" t="s">
        <v>1299</v>
      </c>
      <c r="E22" s="583"/>
      <c r="F22" s="583"/>
      <c r="G22" s="583"/>
      <c r="H22" s="583"/>
      <c r="I22" s="583"/>
      <c r="J22" s="424"/>
      <c r="K22" s="583"/>
      <c r="L22" s="583"/>
      <c r="M22" s="583"/>
      <c r="N22" s="583"/>
      <c r="Q22" s="97"/>
      <c r="R22" s="97"/>
      <c r="S22" s="97"/>
      <c r="T22" s="97"/>
    </row>
    <row r="23" spans="1:20" ht="13.5">
      <c r="A23" s="582"/>
      <c r="B23" s="582"/>
      <c r="C23" s="582"/>
      <c r="D23" s="594"/>
      <c r="E23" s="583" t="s">
        <v>426</v>
      </c>
      <c r="F23" s="583"/>
      <c r="G23" s="595" t="s">
        <v>1289</v>
      </c>
      <c r="H23" s="583"/>
      <c r="I23" s="583"/>
      <c r="J23" s="583"/>
      <c r="L23" s="583"/>
      <c r="M23" s="583"/>
      <c r="N23" s="583"/>
      <c r="Q23" s="97"/>
      <c r="R23" s="97"/>
      <c r="S23" s="97"/>
      <c r="T23" s="97"/>
    </row>
    <row r="24" spans="1:20" ht="13.5">
      <c r="A24" s="582"/>
      <c r="B24" s="582"/>
      <c r="C24" s="582"/>
      <c r="D24" s="596"/>
      <c r="E24" s="583"/>
      <c r="F24" s="583"/>
      <c r="G24" s="583"/>
      <c r="H24" s="583"/>
      <c r="I24" s="583"/>
      <c r="J24" s="583"/>
      <c r="K24" s="583"/>
      <c r="L24" s="583"/>
      <c r="M24" s="583"/>
      <c r="N24" s="583"/>
      <c r="O24" s="583"/>
    </row>
    <row r="25" spans="1:20" ht="13.5">
      <c r="A25" s="582">
        <v>2</v>
      </c>
      <c r="B25" s="582" t="s">
        <v>742</v>
      </c>
      <c r="C25" s="582" t="s">
        <v>717</v>
      </c>
      <c r="D25" s="589" t="s">
        <v>1293</v>
      </c>
      <c r="E25" s="583"/>
      <c r="F25" s="583"/>
      <c r="G25" s="583"/>
      <c r="H25" s="583"/>
      <c r="I25" s="583"/>
      <c r="J25" s="424"/>
      <c r="K25" s="583"/>
      <c r="L25" s="583"/>
      <c r="M25" s="583"/>
      <c r="N25" s="583"/>
      <c r="O25" s="583"/>
    </row>
    <row r="26" spans="1:20" ht="13.5">
      <c r="A26" s="582"/>
      <c r="C26" s="582"/>
      <c r="D26" s="589"/>
      <c r="E26" s="583"/>
      <c r="F26" s="583"/>
      <c r="G26" s="583"/>
      <c r="H26" s="583"/>
      <c r="I26" s="583"/>
      <c r="J26" s="424"/>
      <c r="K26" s="583"/>
      <c r="L26" s="583"/>
      <c r="M26" s="583"/>
      <c r="N26" s="583"/>
      <c r="O26" s="583"/>
    </row>
    <row r="27" spans="1:20" ht="13.5">
      <c r="A27" s="582"/>
      <c r="B27" s="424"/>
      <c r="C27" s="485" t="s">
        <v>323</v>
      </c>
      <c r="D27" s="485" t="s">
        <v>324</v>
      </c>
      <c r="E27" s="485" t="s">
        <v>416</v>
      </c>
      <c r="F27" s="485" t="s">
        <v>325</v>
      </c>
      <c r="G27" s="485" t="s">
        <v>326</v>
      </c>
      <c r="I27" s="485" t="s">
        <v>322</v>
      </c>
      <c r="J27" s="485" t="s">
        <v>415</v>
      </c>
      <c r="K27" s="485" t="s">
        <v>678</v>
      </c>
      <c r="L27" s="485" t="s">
        <v>679</v>
      </c>
      <c r="M27" s="485" t="s">
        <v>1085</v>
      </c>
      <c r="O27" s="585"/>
    </row>
    <row r="28" spans="1:20" ht="13.5">
      <c r="A28" s="582"/>
      <c r="B28" s="424"/>
      <c r="C28" s="582" t="s">
        <v>279</v>
      </c>
      <c r="D28" s="582" t="s">
        <v>279</v>
      </c>
      <c r="E28" s="582" t="s">
        <v>279</v>
      </c>
      <c r="F28" s="582" t="s">
        <v>279</v>
      </c>
      <c r="G28" s="582" t="s">
        <v>279</v>
      </c>
      <c r="H28" s="582"/>
      <c r="I28" s="582" t="s">
        <v>74</v>
      </c>
      <c r="J28" s="582" t="s">
        <v>74</v>
      </c>
      <c r="K28" s="582" t="s">
        <v>74</v>
      </c>
      <c r="L28" s="582" t="s">
        <v>74</v>
      </c>
      <c r="M28" s="582" t="s">
        <v>74</v>
      </c>
      <c r="O28" s="582"/>
    </row>
    <row r="29" spans="1:20" ht="13.5">
      <c r="A29" s="582"/>
      <c r="B29" s="583"/>
      <c r="C29" s="582" t="s">
        <v>70</v>
      </c>
      <c r="D29" s="582" t="s">
        <v>70</v>
      </c>
      <c r="E29" s="582" t="s">
        <v>70</v>
      </c>
      <c r="F29" s="633"/>
      <c r="G29" s="633"/>
      <c r="H29" s="582"/>
      <c r="I29" s="582" t="s">
        <v>75</v>
      </c>
      <c r="J29" s="582" t="s">
        <v>77</v>
      </c>
      <c r="K29" s="582" t="s">
        <v>78</v>
      </c>
      <c r="L29" s="582" t="s">
        <v>79</v>
      </c>
      <c r="M29" s="582" t="s">
        <v>80</v>
      </c>
      <c r="O29" s="582"/>
    </row>
    <row r="30" spans="1:20" ht="13.5">
      <c r="A30" s="582"/>
      <c r="B30" s="583"/>
      <c r="C30" s="582" t="s">
        <v>677</v>
      </c>
      <c r="D30" s="582"/>
      <c r="E30" s="582"/>
      <c r="F30" s="582" t="s">
        <v>71</v>
      </c>
      <c r="G30" s="582" t="s">
        <v>72</v>
      </c>
      <c r="H30" s="582"/>
      <c r="I30" s="582"/>
      <c r="J30" s="582"/>
      <c r="K30" s="582"/>
      <c r="L30" s="582"/>
      <c r="M30" s="582"/>
    </row>
    <row r="31" spans="1:20" ht="13.5">
      <c r="A31" s="582"/>
      <c r="B31" s="583"/>
      <c r="C31" s="582"/>
      <c r="D31" s="597"/>
      <c r="E31" s="597"/>
      <c r="F31" s="582"/>
      <c r="G31" s="582"/>
      <c r="H31" s="632"/>
      <c r="I31" s="582"/>
      <c r="J31" s="598"/>
      <c r="K31" s="582"/>
      <c r="L31" s="582"/>
      <c r="M31" s="593"/>
    </row>
    <row r="32" spans="1:20" ht="13.5">
      <c r="A32" s="582"/>
      <c r="B32" s="583" t="s">
        <v>745</v>
      </c>
      <c r="C32" s="1126"/>
      <c r="D32" s="599"/>
      <c r="E32" s="599"/>
      <c r="F32" s="599"/>
      <c r="G32" s="599"/>
      <c r="H32" s="632"/>
      <c r="I32" s="598">
        <f>C32</f>
        <v>0</v>
      </c>
      <c r="J32" s="598">
        <f>D32</f>
        <v>0</v>
      </c>
      <c r="K32" s="598">
        <f>E32</f>
        <v>0</v>
      </c>
      <c r="L32" s="598">
        <f>F32</f>
        <v>0</v>
      </c>
      <c r="M32" s="598">
        <f>G32</f>
        <v>0</v>
      </c>
      <c r="O32" s="598"/>
    </row>
    <row r="33" spans="1:15" ht="13.5">
      <c r="A33" s="582"/>
      <c r="B33" s="583" t="s">
        <v>746</v>
      </c>
      <c r="C33" s="1126"/>
      <c r="D33" s="599"/>
      <c r="E33" s="599"/>
      <c r="F33" s="599"/>
      <c r="G33" s="599"/>
      <c r="H33" s="632"/>
      <c r="I33" s="598">
        <f t="shared" ref="I33:I43" si="0">I32+C33</f>
        <v>0</v>
      </c>
      <c r="J33" s="598">
        <f t="shared" ref="J33:J43" si="1">J32+D33</f>
        <v>0</v>
      </c>
      <c r="K33" s="598">
        <f t="shared" ref="K33:K43" si="2">K32+E33</f>
        <v>0</v>
      </c>
      <c r="L33" s="598">
        <f t="shared" ref="L33:L43" si="3">L32+F33</f>
        <v>0</v>
      </c>
      <c r="M33" s="598">
        <f t="shared" ref="M33:M43" si="4">M32+G33</f>
        <v>0</v>
      </c>
      <c r="O33" s="598"/>
    </row>
    <row r="34" spans="1:15" ht="13.5">
      <c r="A34" s="582"/>
      <c r="B34" s="583" t="s">
        <v>747</v>
      </c>
      <c r="C34" s="1126"/>
      <c r="D34" s="599"/>
      <c r="E34" s="599"/>
      <c r="F34" s="599"/>
      <c r="G34" s="599"/>
      <c r="H34" s="632"/>
      <c r="I34" s="598">
        <f t="shared" si="0"/>
        <v>0</v>
      </c>
      <c r="J34" s="598">
        <f t="shared" si="1"/>
        <v>0</v>
      </c>
      <c r="K34" s="598">
        <f t="shared" si="2"/>
        <v>0</v>
      </c>
      <c r="L34" s="598">
        <f t="shared" si="3"/>
        <v>0</v>
      </c>
      <c r="M34" s="598">
        <f t="shared" si="4"/>
        <v>0</v>
      </c>
      <c r="O34" s="598"/>
    </row>
    <row r="35" spans="1:15" ht="13.5">
      <c r="A35" s="582"/>
      <c r="B35" s="583" t="s">
        <v>748</v>
      </c>
      <c r="C35" s="1126"/>
      <c r="D35" s="599"/>
      <c r="E35" s="599"/>
      <c r="F35" s="599"/>
      <c r="G35" s="599"/>
      <c r="H35" s="632"/>
      <c r="I35" s="598">
        <f t="shared" si="0"/>
        <v>0</v>
      </c>
      <c r="J35" s="598">
        <f t="shared" si="1"/>
        <v>0</v>
      </c>
      <c r="K35" s="598">
        <f t="shared" si="2"/>
        <v>0</v>
      </c>
      <c r="L35" s="598">
        <f t="shared" si="3"/>
        <v>0</v>
      </c>
      <c r="M35" s="598">
        <f t="shared" si="4"/>
        <v>0</v>
      </c>
      <c r="O35" s="598"/>
    </row>
    <row r="36" spans="1:15" ht="13.5">
      <c r="A36" s="582"/>
      <c r="B36" s="583" t="s">
        <v>743</v>
      </c>
      <c r="C36" s="1126"/>
      <c r="D36" s="599"/>
      <c r="E36" s="599"/>
      <c r="F36" s="599"/>
      <c r="G36" s="599"/>
      <c r="H36" s="632"/>
      <c r="I36" s="598">
        <f t="shared" si="0"/>
        <v>0</v>
      </c>
      <c r="J36" s="598">
        <f t="shared" si="1"/>
        <v>0</v>
      </c>
      <c r="K36" s="598">
        <f t="shared" si="2"/>
        <v>0</v>
      </c>
      <c r="L36" s="598">
        <f t="shared" si="3"/>
        <v>0</v>
      </c>
      <c r="M36" s="598">
        <f t="shared" si="4"/>
        <v>0</v>
      </c>
      <c r="O36" s="598"/>
    </row>
    <row r="37" spans="1:15" ht="13.5">
      <c r="A37" s="582"/>
      <c r="B37" s="583" t="s">
        <v>749</v>
      </c>
      <c r="C37" s="1126"/>
      <c r="D37" s="599"/>
      <c r="E37" s="599"/>
      <c r="F37" s="599"/>
      <c r="G37" s="599"/>
      <c r="H37" s="632"/>
      <c r="I37" s="598">
        <f t="shared" si="0"/>
        <v>0</v>
      </c>
      <c r="J37" s="598">
        <f t="shared" si="1"/>
        <v>0</v>
      </c>
      <c r="K37" s="598">
        <f t="shared" si="2"/>
        <v>0</v>
      </c>
      <c r="L37" s="598">
        <f t="shared" si="3"/>
        <v>0</v>
      </c>
      <c r="M37" s="598">
        <f t="shared" si="4"/>
        <v>0</v>
      </c>
      <c r="O37" s="598"/>
    </row>
    <row r="38" spans="1:15" ht="13.5">
      <c r="A38" s="582"/>
      <c r="B38" s="583" t="s">
        <v>750</v>
      </c>
      <c r="C38" s="1126"/>
      <c r="D38" s="599"/>
      <c r="E38" s="599"/>
      <c r="F38" s="599"/>
      <c r="G38" s="599"/>
      <c r="H38" s="632"/>
      <c r="I38" s="598">
        <f t="shared" si="0"/>
        <v>0</v>
      </c>
      <c r="J38" s="598">
        <f t="shared" si="1"/>
        <v>0</v>
      </c>
      <c r="K38" s="598">
        <f t="shared" si="2"/>
        <v>0</v>
      </c>
      <c r="L38" s="598">
        <f t="shared" si="3"/>
        <v>0</v>
      </c>
      <c r="M38" s="598">
        <f t="shared" si="4"/>
        <v>0</v>
      </c>
      <c r="O38" s="598"/>
    </row>
    <row r="39" spans="1:15" ht="13.5">
      <c r="A39" s="582"/>
      <c r="B39" s="583" t="s">
        <v>751</v>
      </c>
      <c r="C39" s="1126"/>
      <c r="D39" s="599"/>
      <c r="E39" s="599"/>
      <c r="F39" s="599"/>
      <c r="G39" s="599"/>
      <c r="H39" s="632"/>
      <c r="I39" s="598">
        <f t="shared" si="0"/>
        <v>0</v>
      </c>
      <c r="J39" s="598">
        <f t="shared" si="1"/>
        <v>0</v>
      </c>
      <c r="K39" s="598">
        <f t="shared" si="2"/>
        <v>0</v>
      </c>
      <c r="L39" s="598">
        <f t="shared" si="3"/>
        <v>0</v>
      </c>
      <c r="M39" s="598">
        <f t="shared" si="4"/>
        <v>0</v>
      </c>
      <c r="O39" s="598"/>
    </row>
    <row r="40" spans="1:15" ht="13.5">
      <c r="A40" s="582"/>
      <c r="B40" s="583" t="s">
        <v>752</v>
      </c>
      <c r="C40" s="1126"/>
      <c r="D40" s="599"/>
      <c r="E40" s="599"/>
      <c r="F40" s="599"/>
      <c r="G40" s="599"/>
      <c r="H40" s="632"/>
      <c r="I40" s="598">
        <f t="shared" si="0"/>
        <v>0</v>
      </c>
      <c r="J40" s="598">
        <f t="shared" si="1"/>
        <v>0</v>
      </c>
      <c r="K40" s="598">
        <f t="shared" si="2"/>
        <v>0</v>
      </c>
      <c r="L40" s="598">
        <f t="shared" si="3"/>
        <v>0</v>
      </c>
      <c r="M40" s="598">
        <f t="shared" si="4"/>
        <v>0</v>
      </c>
      <c r="O40" s="598"/>
    </row>
    <row r="41" spans="1:15" ht="13.5">
      <c r="A41" s="582"/>
      <c r="B41" s="583" t="s">
        <v>753</v>
      </c>
      <c r="C41" s="1126"/>
      <c r="D41" s="599"/>
      <c r="E41" s="599"/>
      <c r="F41" s="599"/>
      <c r="G41" s="599"/>
      <c r="H41" s="632"/>
      <c r="I41" s="598">
        <f t="shared" si="0"/>
        <v>0</v>
      </c>
      <c r="J41" s="598">
        <f t="shared" si="1"/>
        <v>0</v>
      </c>
      <c r="K41" s="598">
        <f t="shared" si="2"/>
        <v>0</v>
      </c>
      <c r="L41" s="598">
        <f t="shared" si="3"/>
        <v>0</v>
      </c>
      <c r="M41" s="598">
        <f t="shared" si="4"/>
        <v>0</v>
      </c>
      <c r="O41" s="598"/>
    </row>
    <row r="42" spans="1:15" ht="13.5">
      <c r="A42" s="582"/>
      <c r="B42" s="583" t="s">
        <v>754</v>
      </c>
      <c r="C42" s="1126"/>
      <c r="D42" s="599"/>
      <c r="E42" s="599"/>
      <c r="F42" s="599"/>
      <c r="G42" s="599"/>
      <c r="H42" s="632"/>
      <c r="I42" s="598">
        <f t="shared" si="0"/>
        <v>0</v>
      </c>
      <c r="J42" s="598">
        <f t="shared" si="1"/>
        <v>0</v>
      </c>
      <c r="K42" s="598">
        <f t="shared" si="2"/>
        <v>0</v>
      </c>
      <c r="L42" s="598">
        <f t="shared" si="3"/>
        <v>0</v>
      </c>
      <c r="M42" s="598">
        <f t="shared" si="4"/>
        <v>0</v>
      </c>
      <c r="O42" s="598"/>
    </row>
    <row r="43" spans="1:15" ht="13.5">
      <c r="A43" s="582"/>
      <c r="B43" s="583" t="s">
        <v>755</v>
      </c>
      <c r="C43" s="1126"/>
      <c r="D43" s="599"/>
      <c r="E43" s="599"/>
      <c r="F43" s="599"/>
      <c r="G43" s="599"/>
      <c r="H43" s="632"/>
      <c r="I43" s="598">
        <f t="shared" si="0"/>
        <v>0</v>
      </c>
      <c r="J43" s="598">
        <f t="shared" si="1"/>
        <v>0</v>
      </c>
      <c r="K43" s="598">
        <f t="shared" si="2"/>
        <v>0</v>
      </c>
      <c r="L43" s="598">
        <f t="shared" si="3"/>
        <v>0</v>
      </c>
      <c r="M43" s="598">
        <f t="shared" si="4"/>
        <v>0</v>
      </c>
      <c r="O43" s="598"/>
    </row>
    <row r="44" spans="1:15" ht="13.5">
      <c r="A44" s="582"/>
      <c r="B44" s="583" t="s">
        <v>972</v>
      </c>
      <c r="C44" s="598">
        <f>SUM(C32:C43)</f>
        <v>0</v>
      </c>
      <c r="D44" s="598">
        <v>0</v>
      </c>
      <c r="E44" s="598">
        <v>0</v>
      </c>
      <c r="F44" s="598">
        <v>0</v>
      </c>
      <c r="G44" s="598">
        <v>0</v>
      </c>
      <c r="H44" s="598" t="s">
        <v>81</v>
      </c>
      <c r="I44" s="598">
        <f>AVERAGE(I32:I43)</f>
        <v>0</v>
      </c>
      <c r="J44" s="598">
        <f>AVERAGE(J32:J43)</f>
        <v>0</v>
      </c>
      <c r="K44" s="598">
        <f>AVERAGE(K32:K43)</f>
        <v>0</v>
      </c>
      <c r="L44" s="598">
        <f>AVERAGE(L32:L43)</f>
        <v>0</v>
      </c>
      <c r="M44" s="598">
        <f>AVERAGE(M32:M43)</f>
        <v>0</v>
      </c>
      <c r="O44" s="598"/>
    </row>
    <row r="45" spans="1:15" ht="13.5">
      <c r="A45" s="582"/>
      <c r="C45" s="583"/>
      <c r="D45" s="424"/>
      <c r="E45" s="424"/>
      <c r="F45" s="424"/>
      <c r="G45" s="424"/>
      <c r="H45" s="424"/>
      <c r="I45" s="424"/>
      <c r="J45" s="424"/>
      <c r="K45" s="600"/>
      <c r="L45" s="583"/>
      <c r="M45" s="583"/>
      <c r="N45" s="583"/>
    </row>
    <row r="46" spans="1:15" ht="13.5">
      <c r="A46" s="582"/>
      <c r="B46" s="583" t="s">
        <v>83</v>
      </c>
      <c r="C46" s="583"/>
      <c r="D46" s="424"/>
      <c r="E46" s="424"/>
      <c r="F46" s="424"/>
      <c r="G46" s="424"/>
      <c r="H46" s="424"/>
      <c r="I46" s="424"/>
      <c r="K46" s="1417" t="s">
        <v>82</v>
      </c>
      <c r="L46" s="598">
        <f>SUM(I44:M44)</f>
        <v>0</v>
      </c>
      <c r="M46" s="598"/>
      <c r="N46" s="598"/>
    </row>
    <row r="47" spans="1:15" ht="13.5">
      <c r="A47" s="1793"/>
      <c r="B47" s="583"/>
      <c r="C47" s="583"/>
      <c r="D47" s="424"/>
      <c r="E47" s="424"/>
      <c r="F47" s="424"/>
      <c r="G47" s="424"/>
      <c r="H47" s="424"/>
      <c r="I47" s="424"/>
      <c r="J47" s="583"/>
      <c r="K47" s="583"/>
      <c r="L47" s="424"/>
      <c r="M47" s="598"/>
      <c r="N47" s="583"/>
      <c r="O47" s="598"/>
    </row>
    <row r="48" spans="1:15" ht="13.5">
      <c r="A48" s="582"/>
      <c r="B48" s="582"/>
      <c r="C48" s="582"/>
      <c r="D48" s="583"/>
      <c r="E48" s="583"/>
      <c r="F48" s="424"/>
      <c r="G48" s="424"/>
      <c r="H48" s="424"/>
      <c r="I48" s="424"/>
      <c r="J48" s="583"/>
      <c r="L48" s="424"/>
      <c r="M48" s="601"/>
      <c r="N48" s="601"/>
      <c r="O48" s="602"/>
    </row>
    <row r="49" spans="1:15" ht="13.5">
      <c r="A49" s="582">
        <v>3</v>
      </c>
      <c r="B49" s="582" t="s">
        <v>742</v>
      </c>
      <c r="C49" s="582" t="s">
        <v>717</v>
      </c>
      <c r="D49" s="589" t="s">
        <v>1294</v>
      </c>
      <c r="E49" s="583"/>
      <c r="F49" s="583"/>
      <c r="G49" s="583"/>
      <c r="H49" s="583"/>
      <c r="I49" s="583"/>
      <c r="J49" s="583"/>
      <c r="K49" s="583"/>
      <c r="L49" s="598"/>
      <c r="M49" s="583"/>
      <c r="N49" s="583"/>
      <c r="O49" s="583"/>
    </row>
    <row r="50" spans="1:15" ht="13.5">
      <c r="A50" s="582"/>
      <c r="B50" s="582"/>
      <c r="C50" s="582"/>
      <c r="D50" s="603"/>
      <c r="E50" s="596"/>
      <c r="F50" s="598"/>
      <c r="G50" s="595" t="s">
        <v>1288</v>
      </c>
      <c r="H50" s="598"/>
      <c r="I50" s="583"/>
      <c r="J50" s="583"/>
      <c r="L50" s="598"/>
      <c r="M50" s="1799"/>
      <c r="N50" s="587"/>
      <c r="O50" s="601"/>
    </row>
    <row r="51" spans="1:15" ht="13.5">
      <c r="A51" s="582"/>
      <c r="B51" s="582"/>
      <c r="C51" s="582"/>
      <c r="D51" s="604"/>
      <c r="E51" s="582"/>
      <c r="F51" s="598"/>
      <c r="G51" s="1570"/>
      <c r="H51" s="598"/>
      <c r="I51" s="583"/>
      <c r="J51" s="583"/>
      <c r="K51" s="583"/>
      <c r="L51" s="583"/>
      <c r="M51" s="583"/>
      <c r="N51" s="583"/>
      <c r="O51" s="583"/>
    </row>
    <row r="52" spans="1:15" ht="13.5">
      <c r="A52" s="582">
        <v>4</v>
      </c>
      <c r="B52" s="582" t="s">
        <v>743</v>
      </c>
      <c r="C52" s="582" t="s">
        <v>717</v>
      </c>
      <c r="D52" s="583" t="s">
        <v>1084</v>
      </c>
      <c r="E52" s="583"/>
      <c r="F52" s="583"/>
      <c r="G52" s="1571"/>
      <c r="H52" s="583"/>
      <c r="I52" s="583"/>
      <c r="J52" s="583"/>
      <c r="K52" s="583"/>
      <c r="L52" s="583"/>
      <c r="M52" s="583"/>
      <c r="N52" s="583"/>
      <c r="O52" s="583"/>
    </row>
    <row r="53" spans="1:15" ht="13.5">
      <c r="A53" s="582"/>
      <c r="B53" s="582"/>
      <c r="C53" s="582"/>
      <c r="D53" s="594"/>
      <c r="E53" s="424"/>
      <c r="F53" s="604"/>
      <c r="G53" s="595" t="s">
        <v>1288</v>
      </c>
      <c r="H53" s="583"/>
      <c r="I53" s="583"/>
      <c r="J53" s="583"/>
      <c r="K53" s="583"/>
      <c r="L53" s="583"/>
      <c r="M53" s="583"/>
      <c r="N53" s="583"/>
      <c r="O53" s="583"/>
    </row>
    <row r="54" spans="1:15" ht="13.5">
      <c r="A54" s="582"/>
      <c r="B54" s="582"/>
      <c r="C54" s="582"/>
      <c r="D54" s="605"/>
      <c r="E54" s="583"/>
      <c r="F54" s="583"/>
      <c r="G54" s="583"/>
      <c r="H54" s="583"/>
      <c r="I54" s="583"/>
      <c r="J54" s="583"/>
      <c r="K54" s="583"/>
      <c r="L54" s="583"/>
      <c r="M54" s="583"/>
      <c r="N54" s="583"/>
      <c r="O54" s="583"/>
    </row>
    <row r="55" spans="1:15" ht="13.5">
      <c r="A55" s="582">
        <v>5</v>
      </c>
      <c r="B55" s="582" t="s">
        <v>744</v>
      </c>
      <c r="C55" s="582" t="s">
        <v>717</v>
      </c>
      <c r="D55" s="589" t="s">
        <v>1295</v>
      </c>
      <c r="E55" s="583"/>
      <c r="F55" s="583"/>
      <c r="G55" s="583"/>
      <c r="H55" s="583"/>
      <c r="I55" s="583"/>
      <c r="J55" s="583"/>
      <c r="K55" s="583"/>
      <c r="L55" s="583"/>
      <c r="M55" s="583"/>
      <c r="N55" s="583"/>
      <c r="O55" s="583"/>
    </row>
    <row r="56" spans="1:15" ht="13.5">
      <c r="A56" s="582"/>
      <c r="B56" s="582"/>
      <c r="C56" s="582"/>
      <c r="D56" s="603">
        <f>D53</f>
        <v>0</v>
      </c>
      <c r="E56" s="583"/>
      <c r="F56" s="583"/>
      <c r="G56" s="583"/>
      <c r="H56" s="583"/>
      <c r="I56" s="583"/>
      <c r="J56" s="583"/>
      <c r="K56" s="583"/>
      <c r="L56" s="583"/>
      <c r="M56" s="583"/>
      <c r="N56" s="583"/>
      <c r="O56" s="583"/>
    </row>
    <row r="57" spans="1:15" ht="13.5">
      <c r="A57" s="606"/>
      <c r="B57" s="606"/>
      <c r="C57" s="606"/>
      <c r="D57" s="607"/>
      <c r="E57" s="607"/>
      <c r="F57" s="607"/>
      <c r="G57" s="607"/>
      <c r="H57" s="607"/>
      <c r="I57" s="607"/>
      <c r="J57" s="607"/>
      <c r="K57" s="607"/>
      <c r="L57" s="583"/>
      <c r="M57" s="583"/>
      <c r="N57" s="583"/>
      <c r="O57" s="583"/>
    </row>
    <row r="58" spans="1:15" ht="15.75">
      <c r="A58" s="606"/>
      <c r="B58" s="606"/>
      <c r="C58" s="606"/>
      <c r="D58" s="607"/>
      <c r="E58" s="607"/>
      <c r="F58" s="607"/>
      <c r="G58" s="607"/>
      <c r="H58" s="607"/>
      <c r="I58" s="607"/>
      <c r="J58" s="608"/>
      <c r="K58" s="607"/>
      <c r="L58" s="583"/>
      <c r="M58" s="583"/>
      <c r="N58" s="583"/>
      <c r="O58" s="583"/>
    </row>
    <row r="59" spans="1:15" ht="15.75">
      <c r="A59" s="606"/>
      <c r="B59" s="606"/>
      <c r="C59" s="606"/>
      <c r="D59" s="607"/>
      <c r="E59" s="607"/>
      <c r="F59" s="607"/>
      <c r="G59" s="607"/>
      <c r="H59" s="607"/>
      <c r="I59" s="607"/>
      <c r="J59" s="608"/>
      <c r="K59" s="607"/>
      <c r="L59" s="583"/>
      <c r="M59" s="587"/>
      <c r="N59" s="583"/>
      <c r="O59" s="583"/>
    </row>
    <row r="60" spans="1:15" ht="13.5">
      <c r="A60" s="582">
        <v>6</v>
      </c>
      <c r="B60" s="582" t="s">
        <v>742</v>
      </c>
      <c r="C60" s="582" t="s">
        <v>718</v>
      </c>
      <c r="D60" s="589" t="s">
        <v>1296</v>
      </c>
      <c r="E60" s="583"/>
      <c r="F60" s="583"/>
      <c r="G60" s="583"/>
      <c r="H60" s="583"/>
      <c r="I60" s="583"/>
      <c r="J60" s="583"/>
      <c r="K60" s="583"/>
      <c r="L60" s="583"/>
      <c r="M60" s="587"/>
      <c r="N60" s="583"/>
      <c r="O60" s="583"/>
    </row>
    <row r="61" spans="1:15" ht="13.5">
      <c r="A61" s="582"/>
      <c r="B61" s="582"/>
      <c r="C61" s="582"/>
      <c r="D61" s="609"/>
      <c r="E61" s="583" t="s">
        <v>773</v>
      </c>
      <c r="F61" s="583"/>
      <c r="G61" s="595" t="s">
        <v>1290</v>
      </c>
      <c r="H61" s="583"/>
      <c r="I61" s="583"/>
      <c r="J61" s="424"/>
      <c r="K61" s="583"/>
      <c r="L61" s="583"/>
      <c r="M61" s="587"/>
      <c r="N61" s="583"/>
      <c r="O61" s="583"/>
    </row>
    <row r="62" spans="1:15" ht="13.5">
      <c r="A62" s="582"/>
      <c r="B62" s="582"/>
      <c r="C62" s="582"/>
      <c r="D62" s="610"/>
      <c r="E62" s="636"/>
      <c r="F62" s="635"/>
      <c r="G62" s="636"/>
      <c r="H62" s="636"/>
      <c r="J62" s="583"/>
      <c r="K62" s="583"/>
      <c r="L62" s="583"/>
      <c r="M62" s="1799"/>
      <c r="N62" s="583"/>
      <c r="O62" s="583"/>
    </row>
    <row r="63" spans="1:15" ht="13.5">
      <c r="A63" s="582"/>
      <c r="B63" s="582"/>
      <c r="C63" s="582"/>
      <c r="D63" s="611"/>
      <c r="E63" s="583"/>
      <c r="F63" s="583"/>
      <c r="G63" s="583"/>
      <c r="H63" s="583"/>
      <c r="I63" s="583"/>
      <c r="J63" s="583"/>
      <c r="K63" s="583"/>
      <c r="L63" s="583"/>
      <c r="M63" s="587"/>
      <c r="N63" s="583"/>
      <c r="O63" s="583"/>
    </row>
    <row r="64" spans="1:15" ht="13.5">
      <c r="A64" s="582"/>
      <c r="B64" s="582"/>
      <c r="C64" s="582"/>
      <c r="D64" s="1855"/>
      <c r="E64" s="583"/>
      <c r="F64" s="583"/>
      <c r="G64" s="583"/>
      <c r="H64" s="598"/>
      <c r="I64" s="583"/>
      <c r="J64" s="583"/>
      <c r="K64" s="583"/>
      <c r="L64" s="583"/>
      <c r="M64" s="587"/>
      <c r="N64" s="636"/>
      <c r="O64" s="636"/>
    </row>
    <row r="65" spans="1:15" ht="13.5">
      <c r="A65" s="582">
        <v>7</v>
      </c>
      <c r="B65" s="582" t="s">
        <v>742</v>
      </c>
      <c r="C65" s="582" t="s">
        <v>718</v>
      </c>
      <c r="D65" s="589" t="s">
        <v>1117</v>
      </c>
      <c r="E65" s="590"/>
      <c r="F65" s="590"/>
      <c r="G65" s="590"/>
      <c r="H65" s="590"/>
      <c r="I65" s="590"/>
      <c r="J65" s="590"/>
      <c r="K65" s="583"/>
      <c r="L65" s="583"/>
      <c r="M65" s="587"/>
      <c r="N65" s="636"/>
      <c r="O65" s="636"/>
    </row>
    <row r="66" spans="1:15" ht="13.5">
      <c r="A66" s="582"/>
      <c r="B66" s="582"/>
      <c r="C66" s="582"/>
      <c r="D66" s="612"/>
      <c r="E66" s="613"/>
      <c r="F66" s="613"/>
      <c r="G66" s="613"/>
      <c r="H66" s="590"/>
      <c r="I66" s="590"/>
      <c r="J66" s="590"/>
      <c r="K66" s="583"/>
      <c r="L66" s="583"/>
      <c r="M66" s="587"/>
      <c r="N66" s="636"/>
      <c r="O66" s="636"/>
    </row>
    <row r="67" spans="1:15" ht="13.5">
      <c r="A67" s="582"/>
      <c r="B67" s="582"/>
      <c r="C67" s="582"/>
      <c r="D67" s="614"/>
      <c r="E67" s="614"/>
      <c r="F67" s="614"/>
      <c r="G67" s="614"/>
      <c r="H67" s="614"/>
      <c r="I67" s="614"/>
      <c r="J67" s="614"/>
      <c r="K67" s="583"/>
      <c r="L67" s="604"/>
      <c r="M67" s="587"/>
      <c r="N67" s="636"/>
      <c r="O67" s="636"/>
    </row>
    <row r="68" spans="1:15" ht="13.5">
      <c r="A68" s="582"/>
      <c r="B68" s="583"/>
      <c r="C68" s="583"/>
      <c r="D68" s="424"/>
      <c r="E68" s="424"/>
      <c r="F68" s="424"/>
      <c r="G68" s="424"/>
      <c r="H68" s="424"/>
      <c r="I68" s="424"/>
      <c r="J68" s="583"/>
      <c r="K68" s="583"/>
      <c r="L68" s="598"/>
      <c r="M68" s="587"/>
      <c r="N68" s="1718"/>
      <c r="O68" s="636"/>
    </row>
    <row r="69" spans="1:15" ht="13.5">
      <c r="A69" s="582"/>
      <c r="B69" s="582"/>
      <c r="C69" s="582"/>
      <c r="D69" s="1589">
        <f>D61</f>
        <v>0</v>
      </c>
      <c r="E69" s="615" t="s">
        <v>1102</v>
      </c>
      <c r="F69" s="583"/>
      <c r="G69" s="595" t="s">
        <v>1291</v>
      </c>
      <c r="H69" s="583"/>
      <c r="I69" s="583"/>
      <c r="J69" s="583"/>
      <c r="K69" s="583"/>
      <c r="L69" s="598"/>
      <c r="M69" s="587"/>
      <c r="N69" s="1718"/>
      <c r="O69" s="1719"/>
    </row>
    <row r="70" spans="1:15" ht="13.5">
      <c r="A70" s="425"/>
      <c r="B70" s="582"/>
      <c r="C70" s="582"/>
      <c r="D70" s="424"/>
      <c r="E70" s="583" t="s">
        <v>1122</v>
      </c>
      <c r="F70" s="583"/>
      <c r="G70" s="587"/>
      <c r="H70" s="619"/>
      <c r="I70" s="587"/>
      <c r="J70" s="583"/>
      <c r="K70" s="583"/>
      <c r="L70" s="583"/>
      <c r="M70" s="587"/>
      <c r="N70" s="583"/>
      <c r="O70" s="583"/>
    </row>
    <row r="71" spans="1:15" ht="13.5">
      <c r="A71" s="582"/>
      <c r="B71" s="582"/>
      <c r="C71" s="582"/>
      <c r="D71" s="615"/>
      <c r="E71" s="583"/>
      <c r="F71" s="583"/>
      <c r="G71" s="587"/>
      <c r="H71" s="619"/>
      <c r="I71" s="587"/>
      <c r="J71" s="583"/>
      <c r="K71" s="583"/>
      <c r="L71" s="583"/>
      <c r="M71" s="1799"/>
      <c r="N71" s="636"/>
      <c r="O71" s="636"/>
    </row>
    <row r="72" spans="1:15" ht="13.5">
      <c r="A72" s="425"/>
      <c r="B72" s="582"/>
      <c r="C72" s="582"/>
      <c r="D72" s="1589"/>
      <c r="E72" s="583" t="s">
        <v>487</v>
      </c>
      <c r="F72" s="583"/>
      <c r="G72" s="587"/>
      <c r="H72" s="619"/>
      <c r="I72" s="587"/>
      <c r="J72" s="583"/>
      <c r="K72" s="583"/>
      <c r="L72" s="583"/>
      <c r="M72" s="587"/>
      <c r="N72" s="636"/>
      <c r="O72" s="636"/>
    </row>
    <row r="73" spans="1:15" ht="13.5">
      <c r="A73" s="425"/>
      <c r="B73" s="582"/>
      <c r="C73" s="582"/>
      <c r="D73" s="424"/>
      <c r="E73" s="675"/>
      <c r="F73" s="583"/>
      <c r="G73" s="587"/>
      <c r="H73" s="619"/>
      <c r="I73" s="587"/>
      <c r="J73" s="583"/>
      <c r="K73" s="583"/>
      <c r="L73" s="583"/>
      <c r="M73" s="583"/>
      <c r="N73" s="598"/>
      <c r="O73" s="583"/>
    </row>
    <row r="74" spans="1:15" ht="13.5">
      <c r="A74" s="582"/>
      <c r="B74" s="582"/>
      <c r="C74" s="582"/>
      <c r="D74" s="615"/>
      <c r="E74" s="583"/>
      <c r="F74" s="583"/>
      <c r="G74" s="587"/>
      <c r="H74" s="619"/>
      <c r="I74" s="587"/>
      <c r="J74" s="583"/>
      <c r="K74" s="583"/>
      <c r="L74" s="583"/>
      <c r="M74" s="583"/>
      <c r="N74" s="583"/>
      <c r="O74" s="583"/>
    </row>
    <row r="75" spans="1:15" ht="13.5">
      <c r="A75" s="582">
        <v>8</v>
      </c>
      <c r="B75" s="582" t="s">
        <v>742</v>
      </c>
      <c r="C75" s="582" t="s">
        <v>718</v>
      </c>
      <c r="D75" s="589" t="s">
        <v>1103</v>
      </c>
      <c r="E75" s="583"/>
      <c r="F75" s="583"/>
      <c r="G75" s="583"/>
      <c r="H75" s="583"/>
      <c r="I75" s="583"/>
      <c r="J75" s="1799"/>
      <c r="K75" s="583"/>
      <c r="L75" s="583"/>
      <c r="M75" s="583"/>
      <c r="N75" s="583"/>
      <c r="O75" s="583"/>
    </row>
    <row r="76" spans="1:15" ht="13.5">
      <c r="A76" s="582"/>
      <c r="B76" s="582"/>
      <c r="C76" s="582"/>
      <c r="D76" s="589"/>
      <c r="E76" s="583"/>
      <c r="F76" s="583"/>
      <c r="G76" s="583"/>
      <c r="H76" s="583"/>
      <c r="I76" s="583"/>
      <c r="J76" s="583"/>
      <c r="K76" s="583"/>
      <c r="L76" s="583"/>
      <c r="M76" s="583"/>
      <c r="N76" s="583"/>
      <c r="O76" s="583"/>
    </row>
    <row r="77" spans="1:15" ht="13.5">
      <c r="A77" s="585"/>
      <c r="B77" s="585"/>
      <c r="C77" s="582"/>
      <c r="D77" s="422" t="s">
        <v>1065</v>
      </c>
      <c r="E77" s="424"/>
      <c r="F77" s="424"/>
      <c r="G77" s="424"/>
      <c r="H77" s="424"/>
      <c r="I77" s="424"/>
      <c r="K77" s="424"/>
      <c r="L77" s="583"/>
      <c r="M77" s="583"/>
      <c r="N77" s="583"/>
      <c r="O77" s="583"/>
    </row>
    <row r="78" spans="1:15" ht="13.5">
      <c r="A78" s="585"/>
      <c r="B78" s="585"/>
      <c r="C78" s="582"/>
      <c r="D78" s="424"/>
      <c r="E78" s="583" t="s">
        <v>1123</v>
      </c>
      <c r="F78" s="583"/>
      <c r="G78" s="583"/>
      <c r="H78" s="583"/>
      <c r="I78" s="583"/>
      <c r="J78" s="583"/>
      <c r="K78" s="424"/>
      <c r="L78" s="583"/>
      <c r="M78" s="583"/>
      <c r="N78" s="583"/>
      <c r="O78" s="583"/>
    </row>
    <row r="79" spans="1:15" ht="27">
      <c r="A79" s="585"/>
      <c r="B79" s="585"/>
      <c r="C79" s="582"/>
      <c r="D79" s="424"/>
      <c r="E79" s="842" t="s">
        <v>738</v>
      </c>
      <c r="F79" s="842" t="s">
        <v>1124</v>
      </c>
      <c r="G79" s="842" t="s">
        <v>1125</v>
      </c>
      <c r="H79" s="842" t="s">
        <v>1126</v>
      </c>
      <c r="I79" s="842" t="s">
        <v>1127</v>
      </c>
      <c r="J79" s="842" t="s">
        <v>1128</v>
      </c>
      <c r="K79" s="614"/>
      <c r="L79" s="583"/>
      <c r="M79" s="1822" t="s">
        <v>1300</v>
      </c>
      <c r="N79" s="635"/>
      <c r="O79" s="583"/>
    </row>
    <row r="80" spans="1:15" ht="13.5">
      <c r="A80" s="1804"/>
      <c r="B80" s="585"/>
      <c r="C80" s="582"/>
      <c r="D80" s="424"/>
      <c r="E80" s="583" t="s">
        <v>745</v>
      </c>
      <c r="F80" s="858">
        <v>1.7994000000000001</v>
      </c>
      <c r="G80" s="1378">
        <f>'WKSHT4 - Monthly Tx System Peak'!C9</f>
        <v>5500</v>
      </c>
      <c r="H80" s="636">
        <f>+F80*G80*1000</f>
        <v>9896700</v>
      </c>
      <c r="I80" s="621">
        <v>0</v>
      </c>
      <c r="J80" s="636">
        <f>+H80-I80</f>
        <v>9896700</v>
      </c>
      <c r="K80" s="424"/>
      <c r="L80" s="583"/>
      <c r="M80" s="1378">
        <v>7307426</v>
      </c>
      <c r="N80" s="621" t="s">
        <v>1416</v>
      </c>
      <c r="O80" s="583"/>
    </row>
    <row r="81" spans="1:15" ht="13.5">
      <c r="A81" s="585"/>
      <c r="B81" s="585"/>
      <c r="C81" s="582"/>
      <c r="D81" s="424"/>
      <c r="E81" s="583" t="s">
        <v>746</v>
      </c>
      <c r="F81" s="858">
        <f>F80</f>
        <v>1.7994000000000001</v>
      </c>
      <c r="G81" s="1378">
        <f>'WKSHT4 - Monthly Tx System Peak'!C10</f>
        <v>5089</v>
      </c>
      <c r="H81" s="636">
        <f t="shared" ref="H81:H91" si="5">+F81*G81*1000</f>
        <v>9157146.5999999996</v>
      </c>
      <c r="I81" s="621">
        <v>0</v>
      </c>
      <c r="J81" s="636">
        <f t="shared" ref="J81:J91" si="6">+H81-I81</f>
        <v>9157146.5999999996</v>
      </c>
      <c r="K81" s="424"/>
      <c r="L81" s="583"/>
      <c r="M81" s="621"/>
      <c r="N81" s="621"/>
      <c r="O81" s="583"/>
    </row>
    <row r="82" spans="1:15" ht="13.5">
      <c r="A82" s="585"/>
      <c r="B82" s="585"/>
      <c r="C82" s="582"/>
      <c r="D82" s="424"/>
      <c r="E82" s="583" t="s">
        <v>747</v>
      </c>
      <c r="F82" s="858">
        <f>F81</f>
        <v>1.7994000000000001</v>
      </c>
      <c r="G82" s="1378">
        <f>'WKSHT4 - Monthly Tx System Peak'!C11</f>
        <v>5034</v>
      </c>
      <c r="H82" s="636">
        <f t="shared" si="5"/>
        <v>9058179.6000000015</v>
      </c>
      <c r="I82" s="621">
        <v>0</v>
      </c>
      <c r="J82" s="636">
        <f t="shared" si="6"/>
        <v>9058179.6000000015</v>
      </c>
      <c r="K82" s="424"/>
      <c r="L82" s="583"/>
      <c r="M82" s="621"/>
      <c r="N82" s="621"/>
      <c r="O82" s="583"/>
    </row>
    <row r="83" spans="1:15" ht="13.5">
      <c r="A83" s="585"/>
      <c r="B83" s="585"/>
      <c r="C83" s="582"/>
      <c r="D83" s="424"/>
      <c r="E83" s="583" t="s">
        <v>748</v>
      </c>
      <c r="F83" s="858">
        <f>F82</f>
        <v>1.7994000000000001</v>
      </c>
      <c r="G83" s="1378">
        <f>'WKSHT4 - Monthly Tx System Peak'!C13</f>
        <v>4354</v>
      </c>
      <c r="H83" s="636">
        <f t="shared" si="5"/>
        <v>7834587.6000000006</v>
      </c>
      <c r="I83" s="621">
        <v>0</v>
      </c>
      <c r="J83" s="636">
        <f t="shared" si="6"/>
        <v>7834587.6000000006</v>
      </c>
      <c r="K83" s="424"/>
      <c r="L83" s="583"/>
      <c r="M83" s="621"/>
      <c r="N83" s="621"/>
      <c r="O83" s="583"/>
    </row>
    <row r="84" spans="1:15" ht="13.5">
      <c r="A84" s="585"/>
      <c r="B84" s="585"/>
      <c r="C84" s="582"/>
      <c r="D84" s="424"/>
      <c r="E84" s="583" t="s">
        <v>743</v>
      </c>
      <c r="F84" s="858">
        <f>F83</f>
        <v>1.7994000000000001</v>
      </c>
      <c r="G84" s="1378">
        <f>'WKSHT4 - Monthly Tx System Peak'!C14</f>
        <v>4245</v>
      </c>
      <c r="H84" s="636">
        <f>+F84*G84*1000</f>
        <v>7638453</v>
      </c>
      <c r="I84" s="621">
        <v>0</v>
      </c>
      <c r="J84" s="636">
        <f t="shared" si="6"/>
        <v>7638453</v>
      </c>
      <c r="K84" s="424"/>
      <c r="L84" s="583"/>
      <c r="M84" s="621"/>
      <c r="N84" s="621"/>
      <c r="O84" s="583"/>
    </row>
    <row r="85" spans="1:15" ht="15.75">
      <c r="A85" s="585"/>
      <c r="B85" s="585"/>
      <c r="C85" s="582"/>
      <c r="D85" s="424"/>
      <c r="E85" s="583" t="s">
        <v>749</v>
      </c>
      <c r="F85" s="858">
        <v>1.950094205839445</v>
      </c>
      <c r="G85" s="1378">
        <f>'WKSHT4 - Monthly Tx System Peak'!C15</f>
        <v>4690</v>
      </c>
      <c r="H85" s="636">
        <f t="shared" si="5"/>
        <v>9145941.8253869973</v>
      </c>
      <c r="I85" s="1378">
        <f>8826381/12</f>
        <v>735531.75</v>
      </c>
      <c r="J85" s="636">
        <f t="shared" si="6"/>
        <v>8410410.0753869973</v>
      </c>
      <c r="K85" s="424"/>
      <c r="L85" s="583"/>
      <c r="M85" s="1823">
        <f>SUM(M80:M84)</f>
        <v>7307426</v>
      </c>
      <c r="N85" s="587" t="s">
        <v>1301</v>
      </c>
      <c r="O85" s="583"/>
    </row>
    <row r="86" spans="1:15" ht="13.5">
      <c r="A86" s="585"/>
      <c r="B86" s="585"/>
      <c r="C86" s="582"/>
      <c r="D86" s="424"/>
      <c r="E86" s="583" t="s">
        <v>750</v>
      </c>
      <c r="F86" s="858">
        <f t="shared" ref="F86:F91" si="7">F85</f>
        <v>1.950094205839445</v>
      </c>
      <c r="G86" s="1378">
        <f>'WKSHT4 - Monthly Tx System Peak'!C17</f>
        <v>4701</v>
      </c>
      <c r="H86" s="636">
        <f t="shared" si="5"/>
        <v>9167392.8616512306</v>
      </c>
      <c r="I86" s="1378">
        <f t="shared" ref="I86:I91" si="8">I85</f>
        <v>735531.75</v>
      </c>
      <c r="J86" s="636">
        <f t="shared" si="6"/>
        <v>8431861.1116512306</v>
      </c>
      <c r="K86" s="424"/>
      <c r="L86" s="583"/>
      <c r="M86" s="636"/>
      <c r="N86" s="583"/>
      <c r="O86" s="583"/>
    </row>
    <row r="87" spans="1:15" ht="13.5">
      <c r="A87" s="585"/>
      <c r="B87" s="585"/>
      <c r="C87" s="582"/>
      <c r="D87" s="424"/>
      <c r="E87" s="583" t="s">
        <v>751</v>
      </c>
      <c r="F87" s="858">
        <f t="shared" si="7"/>
        <v>1.950094205839445</v>
      </c>
      <c r="G87" s="1378">
        <f>'WKSHT4 - Monthly Tx System Peak'!C18</f>
        <v>4814</v>
      </c>
      <c r="H87" s="636">
        <f t="shared" si="5"/>
        <v>9387753.5069110896</v>
      </c>
      <c r="I87" s="1378">
        <f t="shared" si="8"/>
        <v>735531.75</v>
      </c>
      <c r="J87" s="636">
        <f t="shared" si="6"/>
        <v>8652221.7569110896</v>
      </c>
      <c r="K87" s="424"/>
      <c r="L87" s="583"/>
      <c r="M87" s="636"/>
      <c r="N87" s="583"/>
      <c r="O87" s="583"/>
    </row>
    <row r="88" spans="1:15" ht="13.5">
      <c r="A88" s="1804"/>
      <c r="B88" s="585"/>
      <c r="C88" s="582"/>
      <c r="D88" s="424"/>
      <c r="E88" s="583" t="s">
        <v>752</v>
      </c>
      <c r="F88" s="858">
        <f t="shared" si="7"/>
        <v>1.950094205839445</v>
      </c>
      <c r="G88" s="1378">
        <f>'WKSHT4 - Monthly Tx System Peak'!C19</f>
        <v>4245</v>
      </c>
      <c r="H88" s="636">
        <f t="shared" si="5"/>
        <v>8278149.9037884446</v>
      </c>
      <c r="I88" s="1378">
        <f t="shared" si="8"/>
        <v>735531.75</v>
      </c>
      <c r="J88" s="636">
        <f t="shared" si="6"/>
        <v>7542618.1537884446</v>
      </c>
      <c r="K88" s="424"/>
      <c r="L88" s="583"/>
      <c r="M88" s="636"/>
      <c r="N88" s="583"/>
      <c r="O88" s="583"/>
    </row>
    <row r="89" spans="1:15" ht="13.5">
      <c r="A89" s="585"/>
      <c r="B89" s="585"/>
      <c r="C89" s="582"/>
      <c r="D89" s="424"/>
      <c r="E89" s="583" t="s">
        <v>753</v>
      </c>
      <c r="F89" s="858">
        <f t="shared" si="7"/>
        <v>1.950094205839445</v>
      </c>
      <c r="G89" s="1378">
        <f>'WKSHT4 - Monthly Tx System Peak'!C21</f>
        <v>4319</v>
      </c>
      <c r="H89" s="636">
        <f t="shared" si="5"/>
        <v>8422456.8750205636</v>
      </c>
      <c r="I89" s="1378">
        <f t="shared" si="8"/>
        <v>735531.75</v>
      </c>
      <c r="J89" s="636">
        <f t="shared" si="6"/>
        <v>7686925.1250205636</v>
      </c>
      <c r="K89" s="424"/>
      <c r="L89" s="583"/>
      <c r="M89" s="636"/>
      <c r="N89" s="583"/>
      <c r="O89" s="583"/>
    </row>
    <row r="90" spans="1:15" ht="13.5">
      <c r="A90" s="585"/>
      <c r="B90" s="585"/>
      <c r="C90" s="582"/>
      <c r="D90" s="424"/>
      <c r="E90" s="583" t="s">
        <v>754</v>
      </c>
      <c r="F90" s="858">
        <f t="shared" si="7"/>
        <v>1.950094205839445</v>
      </c>
      <c r="G90" s="1378">
        <f>'WKSHT4 - Monthly Tx System Peak'!C22</f>
        <v>4933</v>
      </c>
      <c r="H90" s="636">
        <f t="shared" si="5"/>
        <v>9619814.7174059823</v>
      </c>
      <c r="I90" s="1378">
        <f t="shared" si="8"/>
        <v>735531.75</v>
      </c>
      <c r="J90" s="636">
        <f t="shared" si="6"/>
        <v>8884282.9674059823</v>
      </c>
      <c r="K90" s="424"/>
      <c r="L90" s="583"/>
      <c r="M90" s="636"/>
      <c r="N90" s="583"/>
      <c r="O90" s="583"/>
    </row>
    <row r="91" spans="1:15" ht="13.5">
      <c r="A91" s="585"/>
      <c r="B91" s="585"/>
      <c r="C91" s="582"/>
      <c r="D91" s="424"/>
      <c r="E91" s="583" t="s">
        <v>755</v>
      </c>
      <c r="F91" s="858">
        <f t="shared" si="7"/>
        <v>1.950094205839445</v>
      </c>
      <c r="G91" s="1378">
        <f>'WKSHT4 - Monthly Tx System Peak'!C23</f>
        <v>5642</v>
      </c>
      <c r="H91" s="636">
        <f t="shared" si="5"/>
        <v>11002431.509346148</v>
      </c>
      <c r="I91" s="1378">
        <f t="shared" si="8"/>
        <v>735531.75</v>
      </c>
      <c r="J91" s="636">
        <f t="shared" si="6"/>
        <v>10266899.759346148</v>
      </c>
      <c r="K91" s="1805"/>
      <c r="L91" s="583"/>
      <c r="N91" s="583"/>
      <c r="O91" s="583"/>
    </row>
    <row r="92" spans="1:15" ht="13.5">
      <c r="A92" s="585"/>
      <c r="B92" s="585"/>
      <c r="C92" s="582"/>
      <c r="D92" s="583"/>
      <c r="E92" s="583" t="s">
        <v>1129</v>
      </c>
      <c r="F92" s="622"/>
      <c r="G92" s="622"/>
      <c r="H92" s="622"/>
      <c r="I92" s="622"/>
      <c r="J92" s="636">
        <f>SUM(J80:J91)</f>
        <v>103460285.74951045</v>
      </c>
      <c r="K92" s="424"/>
      <c r="L92" s="583"/>
      <c r="N92" s="583"/>
      <c r="O92" s="583"/>
    </row>
    <row r="93" spans="1:15" ht="13.5">
      <c r="A93" s="585"/>
      <c r="B93" s="585"/>
      <c r="C93" s="582"/>
      <c r="D93" s="583"/>
      <c r="E93" s="622"/>
      <c r="F93" s="622"/>
      <c r="G93" s="622"/>
      <c r="H93" s="622"/>
      <c r="I93" s="622"/>
      <c r="J93" s="1843"/>
      <c r="K93" s="424"/>
      <c r="L93" s="583"/>
      <c r="N93" s="583"/>
      <c r="O93" s="583"/>
    </row>
    <row r="94" spans="1:15" ht="13.5">
      <c r="A94" s="585"/>
      <c r="B94" s="585"/>
      <c r="C94" s="582"/>
      <c r="D94" s="583" t="s">
        <v>431</v>
      </c>
      <c r="E94" s="622"/>
      <c r="F94" s="622"/>
      <c r="G94" s="622"/>
      <c r="H94" s="622"/>
      <c r="I94" s="622"/>
      <c r="J94" s="424"/>
      <c r="K94" s="424"/>
      <c r="L94" s="583"/>
      <c r="M94" s="636"/>
      <c r="N94" s="583"/>
      <c r="O94" s="583"/>
    </row>
    <row r="95" spans="1:15" ht="13.5">
      <c r="A95" s="585"/>
      <c r="B95" s="585"/>
      <c r="C95" s="582"/>
      <c r="D95" s="583"/>
      <c r="E95" s="583" t="s">
        <v>1123</v>
      </c>
      <c r="F95" s="583"/>
      <c r="G95" s="583"/>
      <c r="H95" s="583"/>
      <c r="I95" s="583"/>
      <c r="J95" s="583"/>
      <c r="K95" s="424"/>
      <c r="L95" s="583"/>
      <c r="M95" s="583"/>
      <c r="N95" s="583"/>
      <c r="O95" s="583"/>
    </row>
    <row r="96" spans="1:15" ht="27">
      <c r="A96" s="585"/>
      <c r="B96" s="585"/>
      <c r="C96" s="582"/>
      <c r="D96" s="583"/>
      <c r="E96" s="842" t="s">
        <v>738</v>
      </c>
      <c r="F96" s="842" t="s">
        <v>1124</v>
      </c>
      <c r="G96" s="842" t="s">
        <v>1125</v>
      </c>
      <c r="H96" s="842" t="s">
        <v>1126</v>
      </c>
      <c r="I96" s="842" t="s">
        <v>1127</v>
      </c>
      <c r="J96" s="842" t="s">
        <v>1128</v>
      </c>
      <c r="K96" s="614"/>
      <c r="L96" s="583"/>
      <c r="M96" s="583"/>
      <c r="N96" s="583"/>
      <c r="O96" s="583"/>
    </row>
    <row r="97" spans="1:16" ht="13.5">
      <c r="A97" s="585"/>
      <c r="B97" s="585"/>
      <c r="C97" s="582"/>
      <c r="D97" s="583"/>
      <c r="E97" s="583" t="s">
        <v>745</v>
      </c>
      <c r="F97" s="858">
        <v>7.1099999999999997E-2</v>
      </c>
      <c r="G97" s="1378">
        <f>G80</f>
        <v>5500</v>
      </c>
      <c r="H97" s="636">
        <f>+F97*G97*1000</f>
        <v>391049.99999999994</v>
      </c>
      <c r="I97" s="621">
        <v>0</v>
      </c>
      <c r="J97" s="636">
        <f>+H97-I97</f>
        <v>391049.99999999994</v>
      </c>
      <c r="K97" s="424"/>
      <c r="L97" s="583"/>
      <c r="M97" s="583"/>
      <c r="N97" s="583"/>
      <c r="O97" s="583"/>
    </row>
    <row r="98" spans="1:16" ht="13.5">
      <c r="A98" s="585"/>
      <c r="B98" s="585"/>
      <c r="C98" s="582"/>
      <c r="D98" s="583"/>
      <c r="E98" s="583" t="s">
        <v>746</v>
      </c>
      <c r="F98" s="858">
        <v>7.1099999999999997E-2</v>
      </c>
      <c r="G98" s="1378">
        <f t="shared" ref="G98:G108" si="9">G81</f>
        <v>5089</v>
      </c>
      <c r="H98" s="636">
        <f t="shared" ref="H98:H108" si="10">+F98*G98*1000</f>
        <v>361827.9</v>
      </c>
      <c r="I98" s="621">
        <v>0</v>
      </c>
      <c r="J98" s="636">
        <f t="shared" ref="J98:J108" si="11">+H98-I98</f>
        <v>361827.9</v>
      </c>
      <c r="K98" s="424"/>
      <c r="L98" s="583"/>
      <c r="M98" s="583"/>
      <c r="N98" s="583"/>
      <c r="O98" s="583"/>
    </row>
    <row r="99" spans="1:16" ht="13.5">
      <c r="A99" s="1804"/>
      <c r="B99" s="585"/>
      <c r="C99" s="582"/>
      <c r="D99" s="583"/>
      <c r="E99" s="583" t="s">
        <v>747</v>
      </c>
      <c r="F99" s="858">
        <v>7.1099999999999997E-2</v>
      </c>
      <c r="G99" s="1378">
        <f t="shared" si="9"/>
        <v>5034</v>
      </c>
      <c r="H99" s="636">
        <f t="shared" si="10"/>
        <v>357917.39999999997</v>
      </c>
      <c r="I99" s="621">
        <v>0</v>
      </c>
      <c r="J99" s="636">
        <f t="shared" si="11"/>
        <v>357917.39999999997</v>
      </c>
      <c r="K99" s="424"/>
      <c r="L99" s="583"/>
      <c r="M99" s="583"/>
      <c r="N99" s="583"/>
      <c r="O99" s="583"/>
    </row>
    <row r="100" spans="1:16" ht="13.5">
      <c r="A100" s="585"/>
      <c r="B100" s="585"/>
      <c r="C100" s="582"/>
      <c r="D100" s="583"/>
      <c r="E100" s="583" t="s">
        <v>748</v>
      </c>
      <c r="F100" s="858">
        <v>7.1099999999999997E-2</v>
      </c>
      <c r="G100" s="1378">
        <f t="shared" si="9"/>
        <v>4354</v>
      </c>
      <c r="H100" s="636">
        <f t="shared" si="10"/>
        <v>309569.39999999997</v>
      </c>
      <c r="I100" s="621">
        <v>0</v>
      </c>
      <c r="J100" s="636">
        <f t="shared" si="11"/>
        <v>309569.39999999997</v>
      </c>
      <c r="K100" s="424"/>
      <c r="L100" s="583"/>
      <c r="M100" s="583"/>
      <c r="N100" s="583"/>
      <c r="O100" s="583"/>
    </row>
    <row r="101" spans="1:16" ht="13.5">
      <c r="A101" s="585"/>
      <c r="B101" s="585"/>
      <c r="C101" s="582"/>
      <c r="D101" s="583"/>
      <c r="E101" s="583" t="s">
        <v>743</v>
      </c>
      <c r="F101" s="858">
        <v>7.1099999999999997E-2</v>
      </c>
      <c r="G101" s="1378">
        <f t="shared" si="9"/>
        <v>4245</v>
      </c>
      <c r="H101" s="636">
        <f t="shared" si="10"/>
        <v>301819.5</v>
      </c>
      <c r="I101" s="621">
        <v>0</v>
      </c>
      <c r="J101" s="636">
        <f t="shared" si="11"/>
        <v>301819.5</v>
      </c>
      <c r="K101" s="424"/>
      <c r="L101" s="583"/>
      <c r="M101" s="583"/>
      <c r="N101" s="583"/>
      <c r="O101" s="583"/>
    </row>
    <row r="102" spans="1:16" ht="13.5">
      <c r="A102" s="585"/>
      <c r="B102" s="585"/>
      <c r="C102" s="582"/>
      <c r="D102" s="583"/>
      <c r="E102" s="583" t="s">
        <v>749</v>
      </c>
      <c r="F102" s="858">
        <v>7.223452264160686E-2</v>
      </c>
      <c r="G102" s="1378">
        <f t="shared" si="9"/>
        <v>4690</v>
      </c>
      <c r="H102" s="636">
        <f t="shared" si="10"/>
        <v>338779.91118913615</v>
      </c>
      <c r="I102" s="1378">
        <f>-439322/12</f>
        <v>-36610.166666666664</v>
      </c>
      <c r="J102" s="636">
        <f t="shared" si="11"/>
        <v>375390.07785580284</v>
      </c>
      <c r="K102" s="424"/>
      <c r="L102" s="583"/>
      <c r="M102" s="583"/>
      <c r="N102" s="583"/>
      <c r="O102" s="583"/>
    </row>
    <row r="103" spans="1:16" ht="13.5">
      <c r="A103" s="585"/>
      <c r="B103" s="585"/>
      <c r="C103" s="582"/>
      <c r="D103" s="583"/>
      <c r="E103" s="583" t="s">
        <v>750</v>
      </c>
      <c r="F103" s="858">
        <f t="shared" ref="F103:F108" si="12">F102</f>
        <v>7.223452264160686E-2</v>
      </c>
      <c r="G103" s="1378">
        <f t="shared" si="9"/>
        <v>4701</v>
      </c>
      <c r="H103" s="636">
        <f t="shared" si="10"/>
        <v>339574.49093819381</v>
      </c>
      <c r="I103" s="1378">
        <f t="shared" ref="I103:I108" si="13">I102</f>
        <v>-36610.166666666664</v>
      </c>
      <c r="J103" s="636">
        <f t="shared" si="11"/>
        <v>376184.65760486049</v>
      </c>
      <c r="K103" s="424"/>
      <c r="L103" s="583"/>
      <c r="M103" s="583"/>
      <c r="N103" s="583"/>
      <c r="O103" s="583"/>
    </row>
    <row r="104" spans="1:16" ht="13.5">
      <c r="A104" s="585"/>
      <c r="B104" s="585"/>
      <c r="C104" s="582"/>
      <c r="D104" s="583"/>
      <c r="E104" s="583" t="s">
        <v>751</v>
      </c>
      <c r="F104" s="858">
        <f t="shared" si="12"/>
        <v>7.223452264160686E-2</v>
      </c>
      <c r="G104" s="1378">
        <f t="shared" si="9"/>
        <v>4814</v>
      </c>
      <c r="H104" s="636">
        <f t="shared" si="10"/>
        <v>347736.99199669546</v>
      </c>
      <c r="I104" s="1378">
        <f t="shared" si="13"/>
        <v>-36610.166666666664</v>
      </c>
      <c r="J104" s="636">
        <f t="shared" si="11"/>
        <v>384347.15866336215</v>
      </c>
      <c r="K104" s="424"/>
      <c r="L104" s="583"/>
      <c r="M104" s="583"/>
      <c r="N104" s="583"/>
      <c r="O104" s="583"/>
    </row>
    <row r="105" spans="1:16" ht="13.5">
      <c r="A105" s="1804"/>
      <c r="B105" s="585"/>
      <c r="C105" s="582"/>
      <c r="D105" s="583"/>
      <c r="E105" s="583" t="s">
        <v>752</v>
      </c>
      <c r="F105" s="858">
        <f t="shared" si="12"/>
        <v>7.223452264160686E-2</v>
      </c>
      <c r="G105" s="1378">
        <f t="shared" si="9"/>
        <v>4245</v>
      </c>
      <c r="H105" s="636">
        <f t="shared" si="10"/>
        <v>306635.5486136211</v>
      </c>
      <c r="I105" s="1378">
        <f t="shared" si="13"/>
        <v>-36610.166666666664</v>
      </c>
      <c r="J105" s="636">
        <f t="shared" si="11"/>
        <v>343245.71528028778</v>
      </c>
      <c r="K105" s="424"/>
      <c r="L105" s="583"/>
      <c r="M105" s="583"/>
      <c r="N105" s="583"/>
    </row>
    <row r="106" spans="1:16" ht="13.5">
      <c r="A106" s="585"/>
      <c r="B106" s="585"/>
      <c r="C106" s="582"/>
      <c r="D106" s="583"/>
      <c r="E106" s="583" t="s">
        <v>753</v>
      </c>
      <c r="F106" s="858">
        <f t="shared" si="12"/>
        <v>7.223452264160686E-2</v>
      </c>
      <c r="G106" s="1378">
        <f t="shared" si="9"/>
        <v>4319</v>
      </c>
      <c r="H106" s="636">
        <f t="shared" si="10"/>
        <v>311980.90328910004</v>
      </c>
      <c r="I106" s="1378">
        <f t="shared" si="13"/>
        <v>-36610.166666666664</v>
      </c>
      <c r="J106" s="636">
        <f t="shared" si="11"/>
        <v>348591.06995576672</v>
      </c>
      <c r="K106" s="424"/>
      <c r="L106" s="583"/>
      <c r="M106" s="583"/>
      <c r="N106" s="583"/>
      <c r="O106" s="583"/>
    </row>
    <row r="107" spans="1:16" ht="13.5">
      <c r="A107" s="585"/>
      <c r="B107" s="585"/>
      <c r="C107" s="582"/>
      <c r="D107" s="583"/>
      <c r="E107" s="583" t="s">
        <v>754</v>
      </c>
      <c r="F107" s="858">
        <f t="shared" si="12"/>
        <v>7.223452264160686E-2</v>
      </c>
      <c r="G107" s="1378">
        <f t="shared" si="9"/>
        <v>4933</v>
      </c>
      <c r="H107" s="636">
        <f t="shared" si="10"/>
        <v>356332.90019104665</v>
      </c>
      <c r="I107" s="1378">
        <f t="shared" si="13"/>
        <v>-36610.166666666664</v>
      </c>
      <c r="J107" s="636">
        <f t="shared" si="11"/>
        <v>392943.06685771333</v>
      </c>
      <c r="K107" s="424"/>
      <c r="L107" s="583"/>
      <c r="M107" s="583"/>
      <c r="N107" s="583"/>
      <c r="O107" s="583"/>
    </row>
    <row r="108" spans="1:16" ht="13.5">
      <c r="A108" s="585"/>
      <c r="B108" s="585"/>
      <c r="C108" s="582"/>
      <c r="D108" s="583"/>
      <c r="E108" s="583" t="s">
        <v>755</v>
      </c>
      <c r="F108" s="858">
        <f t="shared" si="12"/>
        <v>7.223452264160686E-2</v>
      </c>
      <c r="G108" s="1378">
        <f t="shared" si="9"/>
        <v>5642</v>
      </c>
      <c r="H108" s="636">
        <f t="shared" si="10"/>
        <v>407547.17674394592</v>
      </c>
      <c r="I108" s="1378">
        <f t="shared" si="13"/>
        <v>-36610.166666666664</v>
      </c>
      <c r="J108" s="636">
        <f t="shared" si="11"/>
        <v>444157.34341061261</v>
      </c>
      <c r="K108" s="424"/>
      <c r="L108" s="583"/>
      <c r="M108" s="583"/>
      <c r="N108" s="583"/>
      <c r="O108" s="583"/>
    </row>
    <row r="109" spans="1:16" ht="13.5">
      <c r="A109" s="585"/>
      <c r="B109" s="585"/>
      <c r="C109" s="582"/>
      <c r="D109" s="583"/>
      <c r="E109" s="583" t="s">
        <v>1129</v>
      </c>
      <c r="F109" s="622"/>
      <c r="G109" s="622"/>
      <c r="H109" s="622"/>
      <c r="I109" s="622"/>
      <c r="J109" s="636">
        <f>SUM(J97:J108)</f>
        <v>4387043.2896284061</v>
      </c>
      <c r="K109" s="424"/>
      <c r="L109" s="583"/>
      <c r="M109" s="583"/>
      <c r="N109" s="583"/>
      <c r="O109" s="583"/>
    </row>
    <row r="110" spans="1:16" ht="13.5">
      <c r="A110" s="585"/>
      <c r="B110" s="585"/>
      <c r="C110" s="582"/>
      <c r="D110" s="583"/>
      <c r="E110" s="622"/>
      <c r="F110" s="622"/>
      <c r="G110" s="622"/>
      <c r="H110" s="622"/>
      <c r="I110" s="622"/>
      <c r="J110" s="424"/>
      <c r="K110" s="424"/>
      <c r="L110" s="583"/>
      <c r="M110" s="583"/>
      <c r="N110" s="583"/>
      <c r="O110" s="583"/>
    </row>
    <row r="111" spans="1:16" ht="13.5">
      <c r="A111" s="585"/>
      <c r="B111" s="585"/>
      <c r="C111" s="582"/>
      <c r="D111" s="589"/>
      <c r="E111" s="583"/>
      <c r="F111" s="424"/>
      <c r="G111" s="583"/>
      <c r="H111" s="583"/>
      <c r="I111" s="583"/>
      <c r="J111" s="583"/>
      <c r="K111" s="583"/>
      <c r="L111" s="583"/>
      <c r="M111" s="583"/>
      <c r="N111" s="583"/>
      <c r="O111" s="583"/>
      <c r="P111" s="494"/>
    </row>
    <row r="112" spans="1:16" ht="31.5">
      <c r="A112" s="585"/>
      <c r="B112" s="585"/>
      <c r="C112" s="582"/>
      <c r="D112" s="584" t="s">
        <v>1130</v>
      </c>
      <c r="E112" s="1825"/>
      <c r="F112" s="1825" t="s">
        <v>1105</v>
      </c>
      <c r="G112" s="583"/>
      <c r="H112" s="1826" t="s">
        <v>1302</v>
      </c>
      <c r="I112" s="583"/>
      <c r="J112" s="1827" t="s">
        <v>1303</v>
      </c>
      <c r="K112" s="185"/>
      <c r="L112" s="1828" t="s">
        <v>1304</v>
      </c>
      <c r="M112" s="583"/>
      <c r="N112" s="583"/>
      <c r="O112" s="583"/>
    </row>
    <row r="113" spans="1:15" ht="15.75">
      <c r="A113" s="585"/>
      <c r="B113" s="585"/>
      <c r="C113" s="1824" t="s">
        <v>1131</v>
      </c>
      <c r="D113" s="619">
        <f>+D69</f>
        <v>0</v>
      </c>
      <c r="E113" s="582" t="s">
        <v>488</v>
      </c>
      <c r="F113" s="619">
        <f>+J92</f>
        <v>103460285.74951045</v>
      </c>
      <c r="G113" s="582" t="s">
        <v>489</v>
      </c>
      <c r="H113" s="1803">
        <f>+D113-F113</f>
        <v>-103460285.74951045</v>
      </c>
      <c r="I113" s="1829" t="s">
        <v>488</v>
      </c>
      <c r="J113" s="1803">
        <f>M85</f>
        <v>7307426</v>
      </c>
      <c r="K113" s="1829" t="s">
        <v>489</v>
      </c>
      <c r="L113" s="619">
        <f>H113-J113</f>
        <v>-110767711.74951045</v>
      </c>
      <c r="M113" s="619"/>
      <c r="N113" s="619"/>
      <c r="O113" s="1830"/>
    </row>
    <row r="114" spans="1:15" ht="15.75">
      <c r="A114" s="585"/>
      <c r="B114" s="585"/>
      <c r="C114" s="1824" t="s">
        <v>431</v>
      </c>
      <c r="D114" s="623">
        <f>+D72</f>
        <v>0</v>
      </c>
      <c r="E114" s="582" t="s">
        <v>488</v>
      </c>
      <c r="F114" s="1803">
        <f>+J109</f>
        <v>4387043.2896284061</v>
      </c>
      <c r="G114" s="582" t="s">
        <v>489</v>
      </c>
      <c r="H114" s="1803">
        <f>+D114-F114</f>
        <v>-4387043.2896284061</v>
      </c>
      <c r="I114" s="1829" t="s">
        <v>488</v>
      </c>
      <c r="J114" s="1803">
        <v>0</v>
      </c>
      <c r="K114" s="1829" t="s">
        <v>489</v>
      </c>
      <c r="L114" s="619">
        <f>H114-J114</f>
        <v>-4387043.2896284061</v>
      </c>
      <c r="M114" s="619"/>
      <c r="N114" s="619"/>
      <c r="O114" s="587"/>
    </row>
    <row r="115" spans="1:15" ht="15.75">
      <c r="A115" s="585"/>
      <c r="B115" s="585"/>
      <c r="C115" s="1824" t="s">
        <v>972</v>
      </c>
      <c r="D115" s="623">
        <f>+D113+D114</f>
        <v>0</v>
      </c>
      <c r="E115" s="582" t="s">
        <v>488</v>
      </c>
      <c r="F115" s="1803">
        <f>+F113+F114</f>
        <v>107847329.03913885</v>
      </c>
      <c r="G115" s="582" t="s">
        <v>489</v>
      </c>
      <c r="H115" s="1803">
        <f>+H113+H114</f>
        <v>-107847329.03913885</v>
      </c>
      <c r="I115" s="1829" t="s">
        <v>488</v>
      </c>
      <c r="J115" s="1803">
        <f>+J113+J114</f>
        <v>7307426</v>
      </c>
      <c r="K115" s="1829" t="s">
        <v>489</v>
      </c>
      <c r="L115" s="619">
        <f>H115-J115</f>
        <v>-115154755.03913885</v>
      </c>
      <c r="M115" s="619"/>
      <c r="N115" s="619"/>
      <c r="O115" s="587"/>
    </row>
    <row r="116" spans="1:15" ht="15.75">
      <c r="A116" s="582"/>
      <c r="B116" s="582"/>
      <c r="C116" s="582"/>
      <c r="D116" s="623"/>
      <c r="E116" s="582"/>
      <c r="F116" s="1803"/>
      <c r="G116" s="582"/>
      <c r="H116" s="1803"/>
      <c r="I116" s="583"/>
      <c r="J116" s="176"/>
      <c r="K116" s="15"/>
      <c r="L116" s="15"/>
      <c r="M116" s="176"/>
      <c r="N116" s="587"/>
      <c r="O116" s="587"/>
    </row>
    <row r="117" spans="1:15" ht="15.75">
      <c r="A117" s="582"/>
      <c r="B117" s="582"/>
      <c r="C117" s="582"/>
      <c r="D117" s="623"/>
      <c r="E117" s="582"/>
      <c r="F117" s="1803"/>
      <c r="G117" s="582"/>
      <c r="H117" s="1803"/>
      <c r="I117" s="583"/>
      <c r="J117" s="176"/>
      <c r="K117" s="12"/>
      <c r="L117" s="12"/>
      <c r="M117" s="183"/>
      <c r="N117" s="583"/>
      <c r="O117" s="583"/>
    </row>
    <row r="118" spans="1:15" ht="15.75">
      <c r="A118" s="582"/>
      <c r="B118" s="582"/>
      <c r="C118" s="582"/>
      <c r="D118" s="1350" t="s">
        <v>756</v>
      </c>
      <c r="E118" s="585"/>
      <c r="F118" s="619"/>
      <c r="G118" s="582"/>
      <c r="H118" s="1803"/>
      <c r="I118" s="583"/>
      <c r="J118" s="176"/>
      <c r="K118" s="12"/>
      <c r="L118" s="12"/>
      <c r="M118" s="183"/>
      <c r="N118" s="583"/>
      <c r="O118" s="583"/>
    </row>
    <row r="119" spans="1:15" ht="15.75">
      <c r="A119" s="1792"/>
      <c r="B119" s="585"/>
      <c r="C119" s="582"/>
      <c r="D119" s="1947" t="s">
        <v>1132</v>
      </c>
      <c r="E119" s="1947"/>
      <c r="F119" s="1795">
        <v>2.8999999999999998E-3</v>
      </c>
      <c r="G119" s="582"/>
      <c r="H119" s="1803"/>
      <c r="I119" s="583"/>
      <c r="J119" s="176"/>
      <c r="K119" s="12"/>
      <c r="L119" s="12"/>
      <c r="M119" s="183"/>
      <c r="N119" s="583"/>
      <c r="O119" s="583"/>
    </row>
    <row r="120" spans="1:15" ht="13.5">
      <c r="A120" s="582"/>
      <c r="B120" s="582"/>
      <c r="C120" s="582"/>
      <c r="D120" s="616" t="s">
        <v>738</v>
      </c>
      <c r="E120" s="582" t="s">
        <v>757</v>
      </c>
      <c r="G120" s="616" t="s">
        <v>1134</v>
      </c>
      <c r="H120" s="582"/>
      <c r="I120" s="616" t="s">
        <v>758</v>
      </c>
      <c r="J120" s="586" t="s">
        <v>1135</v>
      </c>
      <c r="K120" s="583"/>
      <c r="L120" s="583"/>
      <c r="M120" s="583"/>
      <c r="N120" s="583"/>
      <c r="O120" s="583"/>
    </row>
    <row r="121" spans="1:15" ht="13.5">
      <c r="A121" s="582"/>
      <c r="B121" s="582"/>
      <c r="C121" s="582"/>
      <c r="D121" s="582"/>
      <c r="E121" s="582"/>
      <c r="F121" s="582" t="s">
        <v>1136</v>
      </c>
      <c r="G121" s="582" t="s">
        <v>1137</v>
      </c>
      <c r="H121" s="582" t="s">
        <v>759</v>
      </c>
      <c r="I121" s="582"/>
      <c r="J121" s="582"/>
      <c r="K121" s="583" t="s">
        <v>1138</v>
      </c>
      <c r="L121" s="583"/>
      <c r="M121" s="583"/>
      <c r="N121" s="583"/>
      <c r="O121" s="583"/>
    </row>
    <row r="122" spans="1:15" ht="13.5">
      <c r="A122" s="582"/>
      <c r="B122" s="582"/>
      <c r="C122" s="582"/>
      <c r="D122" s="583" t="s">
        <v>745</v>
      </c>
      <c r="E122" s="583" t="s">
        <v>427</v>
      </c>
      <c r="F122" s="593">
        <f>+L115/12</f>
        <v>-9596229.5865949038</v>
      </c>
      <c r="G122" s="1796">
        <f>F119</f>
        <v>2.8999999999999998E-3</v>
      </c>
      <c r="H122" s="587">
        <v>12</v>
      </c>
      <c r="I122" s="593">
        <f>+F122*G122*H122</f>
        <v>-333948.78961350262</v>
      </c>
      <c r="J122" s="593">
        <f>+F122+I122</f>
        <v>-9930178.3762084059</v>
      </c>
      <c r="K122" s="583" t="s">
        <v>1139</v>
      </c>
      <c r="L122" s="583"/>
      <c r="M122" s="583"/>
      <c r="N122" s="583"/>
      <c r="O122" s="583"/>
    </row>
    <row r="123" spans="1:15" ht="13.5">
      <c r="A123" s="582"/>
      <c r="B123" s="582"/>
      <c r="C123" s="582"/>
      <c r="D123" s="583" t="s">
        <v>746</v>
      </c>
      <c r="E123" s="583" t="s">
        <v>427</v>
      </c>
      <c r="F123" s="1803">
        <f t="shared" ref="F123:F133" si="14">+F122</f>
        <v>-9596229.5865949038</v>
      </c>
      <c r="G123" s="1797">
        <f>G122</f>
        <v>2.8999999999999998E-3</v>
      </c>
      <c r="H123" s="587">
        <v>11</v>
      </c>
      <c r="I123" s="593">
        <f t="shared" ref="I123:I133" si="15">+F123*G123*H123</f>
        <v>-306119.72381237743</v>
      </c>
      <c r="J123" s="593">
        <f t="shared" ref="J123:J133" si="16">+F123+I123</f>
        <v>-9902349.3104072809</v>
      </c>
      <c r="K123" s="583" t="s">
        <v>1140</v>
      </c>
      <c r="L123" s="583"/>
      <c r="M123" s="583"/>
      <c r="N123" s="583"/>
      <c r="O123" s="583"/>
    </row>
    <row r="124" spans="1:15" ht="13.5">
      <c r="A124" s="582"/>
      <c r="B124" s="582"/>
      <c r="C124" s="582"/>
      <c r="D124" s="583" t="s">
        <v>747</v>
      </c>
      <c r="E124" s="583" t="s">
        <v>427</v>
      </c>
      <c r="F124" s="1803">
        <f t="shared" si="14"/>
        <v>-9596229.5865949038</v>
      </c>
      <c r="G124" s="1797">
        <f t="shared" ref="G124:G133" si="17">G123</f>
        <v>2.8999999999999998E-3</v>
      </c>
      <c r="H124" s="587">
        <v>10</v>
      </c>
      <c r="I124" s="593">
        <f t="shared" si="15"/>
        <v>-278290.65801125218</v>
      </c>
      <c r="J124" s="593">
        <f t="shared" si="16"/>
        <v>-9874520.2446061559</v>
      </c>
      <c r="K124" s="583"/>
      <c r="L124" s="583"/>
      <c r="M124" s="583"/>
      <c r="N124" s="583"/>
      <c r="O124" s="583"/>
    </row>
    <row r="125" spans="1:15" ht="13.5">
      <c r="A125" s="582"/>
      <c r="B125" s="582"/>
      <c r="C125" s="582"/>
      <c r="D125" s="583" t="s">
        <v>748</v>
      </c>
      <c r="E125" s="583" t="s">
        <v>427</v>
      </c>
      <c r="F125" s="1803">
        <f t="shared" si="14"/>
        <v>-9596229.5865949038</v>
      </c>
      <c r="G125" s="1797">
        <f t="shared" si="17"/>
        <v>2.8999999999999998E-3</v>
      </c>
      <c r="H125" s="587">
        <v>9</v>
      </c>
      <c r="I125" s="593">
        <f t="shared" si="15"/>
        <v>-250461.59221012698</v>
      </c>
      <c r="J125" s="593">
        <f t="shared" si="16"/>
        <v>-9846691.1788050309</v>
      </c>
      <c r="K125" s="583"/>
      <c r="L125" s="583"/>
      <c r="M125" s="583"/>
      <c r="N125" s="583"/>
      <c r="O125" s="583"/>
    </row>
    <row r="126" spans="1:15" ht="13.5">
      <c r="A126" s="582"/>
      <c r="B126" s="582"/>
      <c r="C126" s="582"/>
      <c r="D126" s="583" t="s">
        <v>743</v>
      </c>
      <c r="E126" s="583" t="s">
        <v>427</v>
      </c>
      <c r="F126" s="1803">
        <f t="shared" si="14"/>
        <v>-9596229.5865949038</v>
      </c>
      <c r="G126" s="1797">
        <f t="shared" si="17"/>
        <v>2.8999999999999998E-3</v>
      </c>
      <c r="H126" s="587">
        <v>8</v>
      </c>
      <c r="I126" s="593">
        <f t="shared" si="15"/>
        <v>-222632.52640900176</v>
      </c>
      <c r="J126" s="593">
        <f t="shared" si="16"/>
        <v>-9818862.1130039059</v>
      </c>
      <c r="K126" s="583"/>
      <c r="L126" s="583"/>
      <c r="M126" s="583"/>
      <c r="N126" s="583"/>
      <c r="O126" s="583"/>
    </row>
    <row r="127" spans="1:15" ht="13.5">
      <c r="A127" s="582"/>
      <c r="B127" s="582"/>
      <c r="C127" s="582"/>
      <c r="D127" s="583" t="s">
        <v>749</v>
      </c>
      <c r="E127" s="583" t="s">
        <v>427</v>
      </c>
      <c r="F127" s="598">
        <f t="shared" si="14"/>
        <v>-9596229.5865949038</v>
      </c>
      <c r="G127" s="1797">
        <f t="shared" si="17"/>
        <v>2.8999999999999998E-3</v>
      </c>
      <c r="H127" s="587">
        <v>7</v>
      </c>
      <c r="I127" s="593">
        <f t="shared" si="15"/>
        <v>-194803.46060787654</v>
      </c>
      <c r="J127" s="593">
        <f t="shared" si="16"/>
        <v>-9791033.0472027808</v>
      </c>
      <c r="K127" s="583"/>
      <c r="L127" s="583"/>
      <c r="M127" s="583"/>
      <c r="N127" s="583"/>
      <c r="O127" s="583"/>
    </row>
    <row r="128" spans="1:15" ht="13.5">
      <c r="A128" s="582"/>
      <c r="B128" s="582"/>
      <c r="C128" s="582"/>
      <c r="D128" s="583" t="s">
        <v>750</v>
      </c>
      <c r="E128" s="583" t="s">
        <v>427</v>
      </c>
      <c r="F128" s="598">
        <f t="shared" si="14"/>
        <v>-9596229.5865949038</v>
      </c>
      <c r="G128" s="1797">
        <f t="shared" si="17"/>
        <v>2.8999999999999998E-3</v>
      </c>
      <c r="H128" s="587">
        <v>6</v>
      </c>
      <c r="I128" s="593">
        <f t="shared" si="15"/>
        <v>-166974.39480675131</v>
      </c>
      <c r="J128" s="593">
        <f t="shared" si="16"/>
        <v>-9763203.9814016558</v>
      </c>
      <c r="K128" s="583"/>
      <c r="L128" s="583"/>
      <c r="M128" s="583"/>
      <c r="N128" s="583"/>
      <c r="O128" s="583"/>
    </row>
    <row r="129" spans="1:15" ht="13.5">
      <c r="A129" s="582"/>
      <c r="B129" s="582"/>
      <c r="C129" s="582"/>
      <c r="D129" s="583" t="s">
        <v>751</v>
      </c>
      <c r="E129" s="583" t="s">
        <v>717</v>
      </c>
      <c r="F129" s="598">
        <f t="shared" si="14"/>
        <v>-9596229.5865949038</v>
      </c>
      <c r="G129" s="1797">
        <f t="shared" si="17"/>
        <v>2.8999999999999998E-3</v>
      </c>
      <c r="H129" s="587">
        <v>5</v>
      </c>
      <c r="I129" s="593">
        <f t="shared" si="15"/>
        <v>-139145.32900562609</v>
      </c>
      <c r="J129" s="593">
        <f t="shared" si="16"/>
        <v>-9735374.9156005308</v>
      </c>
      <c r="K129" s="583"/>
      <c r="L129" s="583"/>
      <c r="M129" s="583"/>
      <c r="N129" s="583"/>
      <c r="O129" s="583"/>
    </row>
    <row r="130" spans="1:15" ht="13.5">
      <c r="A130" s="582"/>
      <c r="B130" s="582"/>
      <c r="C130" s="582"/>
      <c r="D130" s="583" t="s">
        <v>752</v>
      </c>
      <c r="E130" s="583" t="s">
        <v>717</v>
      </c>
      <c r="F130" s="598">
        <f t="shared" si="14"/>
        <v>-9596229.5865949038</v>
      </c>
      <c r="G130" s="1797">
        <f t="shared" si="17"/>
        <v>2.8999999999999998E-3</v>
      </c>
      <c r="H130" s="587">
        <v>4</v>
      </c>
      <c r="I130" s="593">
        <f t="shared" si="15"/>
        <v>-111316.26320450088</v>
      </c>
      <c r="J130" s="593">
        <f t="shared" si="16"/>
        <v>-9707545.8497994039</v>
      </c>
      <c r="K130" s="583"/>
      <c r="L130" s="583"/>
      <c r="M130" s="583"/>
      <c r="N130" s="583"/>
      <c r="O130" s="583"/>
    </row>
    <row r="131" spans="1:15" ht="13.5">
      <c r="A131" s="582"/>
      <c r="B131" s="582"/>
      <c r="C131" s="582"/>
      <c r="D131" s="583" t="s">
        <v>753</v>
      </c>
      <c r="E131" s="583" t="s">
        <v>717</v>
      </c>
      <c r="F131" s="598">
        <f t="shared" si="14"/>
        <v>-9596229.5865949038</v>
      </c>
      <c r="G131" s="1797">
        <f t="shared" si="17"/>
        <v>2.8999999999999998E-3</v>
      </c>
      <c r="H131" s="587">
        <v>3</v>
      </c>
      <c r="I131" s="593">
        <f t="shared" si="15"/>
        <v>-83487.197403375656</v>
      </c>
      <c r="J131" s="593">
        <f t="shared" si="16"/>
        <v>-9679716.7839982789</v>
      </c>
      <c r="K131" s="583"/>
      <c r="L131" s="583"/>
      <c r="M131" s="583"/>
      <c r="N131" s="583"/>
      <c r="O131" s="583"/>
    </row>
    <row r="132" spans="1:15" ht="13.5">
      <c r="A132" s="582"/>
      <c r="B132" s="582"/>
      <c r="C132" s="582"/>
      <c r="D132" s="583" t="s">
        <v>754</v>
      </c>
      <c r="E132" s="583" t="s">
        <v>717</v>
      </c>
      <c r="F132" s="598">
        <f t="shared" si="14"/>
        <v>-9596229.5865949038</v>
      </c>
      <c r="G132" s="1797">
        <f t="shared" si="17"/>
        <v>2.8999999999999998E-3</v>
      </c>
      <c r="H132" s="587">
        <v>2</v>
      </c>
      <c r="I132" s="593">
        <f t="shared" si="15"/>
        <v>-55658.13160225044</v>
      </c>
      <c r="J132" s="593">
        <f t="shared" si="16"/>
        <v>-9651887.7181971539</v>
      </c>
      <c r="K132" s="583"/>
      <c r="L132" s="583"/>
      <c r="M132" s="583"/>
      <c r="N132" s="583"/>
      <c r="O132" s="583"/>
    </row>
    <row r="133" spans="1:15" ht="13.5">
      <c r="A133" s="582"/>
      <c r="B133" s="582"/>
      <c r="C133" s="582"/>
      <c r="D133" s="583" t="s">
        <v>755</v>
      </c>
      <c r="E133" s="583" t="s">
        <v>717</v>
      </c>
      <c r="F133" s="598">
        <f t="shared" si="14"/>
        <v>-9596229.5865949038</v>
      </c>
      <c r="G133" s="1797">
        <f t="shared" si="17"/>
        <v>2.8999999999999998E-3</v>
      </c>
      <c r="H133" s="587">
        <v>1</v>
      </c>
      <c r="I133" s="593">
        <f t="shared" si="15"/>
        <v>-27829.06580112522</v>
      </c>
      <c r="J133" s="593">
        <f t="shared" si="16"/>
        <v>-9624058.6523960289</v>
      </c>
      <c r="K133" s="583"/>
      <c r="L133" s="583"/>
      <c r="M133" s="583"/>
      <c r="N133" s="583"/>
      <c r="O133" s="583"/>
    </row>
    <row r="134" spans="1:15" ht="13.5">
      <c r="A134" s="582"/>
      <c r="B134" s="582"/>
      <c r="C134" s="582"/>
      <c r="D134" s="583" t="s">
        <v>972</v>
      </c>
      <c r="E134" s="583"/>
      <c r="F134" s="598">
        <v>0</v>
      </c>
      <c r="G134" s="587"/>
      <c r="H134" s="587"/>
      <c r="I134" s="583"/>
      <c r="J134" s="593">
        <f>SUM(J122:J133)</f>
        <v>-117325422.1716266</v>
      </c>
      <c r="K134" s="583"/>
      <c r="L134" s="583"/>
      <c r="M134" s="583"/>
      <c r="N134" s="583"/>
      <c r="O134" s="583"/>
    </row>
    <row r="135" spans="1:15" ht="27">
      <c r="A135" s="582"/>
      <c r="B135" s="582"/>
      <c r="C135" s="582"/>
      <c r="D135" s="583"/>
      <c r="E135" s="583"/>
      <c r="F135" s="616" t="s">
        <v>760</v>
      </c>
      <c r="G135" s="1798" t="s">
        <v>1141</v>
      </c>
      <c r="H135" s="1798" t="s">
        <v>1142</v>
      </c>
      <c r="I135" s="616" t="s">
        <v>758</v>
      </c>
      <c r="J135" s="593" t="str">
        <f>+J120</f>
        <v>Surcharge (Refund) Owed</v>
      </c>
      <c r="K135" s="583"/>
      <c r="L135" s="583"/>
      <c r="M135" s="583"/>
      <c r="N135" s="583"/>
      <c r="O135" s="583"/>
    </row>
    <row r="136" spans="1:15" ht="13.5">
      <c r="A136" s="582"/>
      <c r="B136" s="582"/>
      <c r="C136" s="582"/>
      <c r="D136" s="583" t="s">
        <v>745</v>
      </c>
      <c r="E136" s="583" t="s">
        <v>717</v>
      </c>
      <c r="F136" s="598">
        <f>+J134</f>
        <v>-117325422.1716266</v>
      </c>
      <c r="G136" s="1797">
        <f>+G133</f>
        <v>2.8999999999999998E-3</v>
      </c>
      <c r="H136" s="600">
        <v>0</v>
      </c>
      <c r="I136" s="593">
        <f t="shared" ref="I136:I141" si="18">+F136*G136</f>
        <v>-340243.7242977171</v>
      </c>
      <c r="J136" s="593">
        <f>+F136+I136-H136</f>
        <v>-117665665.89592431</v>
      </c>
      <c r="K136" s="583"/>
      <c r="L136" s="583"/>
      <c r="M136" s="1799"/>
      <c r="N136" s="583"/>
      <c r="O136" s="583"/>
    </row>
    <row r="137" spans="1:15" ht="13.5">
      <c r="A137" s="582"/>
      <c r="B137" s="582"/>
      <c r="C137" s="582"/>
      <c r="D137" s="583" t="s">
        <v>746</v>
      </c>
      <c r="E137" s="583" t="s">
        <v>717</v>
      </c>
      <c r="F137" s="598">
        <f>+J136</f>
        <v>-117665665.89592431</v>
      </c>
      <c r="G137" s="1797">
        <f>+G136</f>
        <v>2.8999999999999998E-3</v>
      </c>
      <c r="H137" s="619">
        <v>0</v>
      </c>
      <c r="I137" s="593">
        <f t="shared" si="18"/>
        <v>-341230.43109818047</v>
      </c>
      <c r="J137" s="593">
        <f t="shared" ref="J137:J151" si="19">+F137+I137-H137</f>
        <v>-118006896.32702249</v>
      </c>
      <c r="K137" s="583"/>
      <c r="L137" s="583"/>
      <c r="M137" s="587"/>
      <c r="N137" s="587"/>
      <c r="O137" s="587"/>
    </row>
    <row r="138" spans="1:15" ht="13.5">
      <c r="A138" s="582"/>
      <c r="B138" s="582"/>
      <c r="C138" s="582"/>
      <c r="D138" s="583" t="s">
        <v>747</v>
      </c>
      <c r="E138" s="583" t="s">
        <v>717</v>
      </c>
      <c r="F138" s="598">
        <f t="shared" ref="F138:F152" si="20">+J137</f>
        <v>-118006896.32702249</v>
      </c>
      <c r="G138" s="1797">
        <f t="shared" ref="G138:G152" si="21">+G137</f>
        <v>2.8999999999999998E-3</v>
      </c>
      <c r="H138" s="619">
        <v>0</v>
      </c>
      <c r="I138" s="593">
        <f t="shared" si="18"/>
        <v>-342219.99934836518</v>
      </c>
      <c r="J138" s="593">
        <f t="shared" si="19"/>
        <v>-118349116.32637087</v>
      </c>
      <c r="K138" s="583"/>
      <c r="L138" s="583"/>
      <c r="M138" s="583"/>
      <c r="N138" s="583"/>
      <c r="O138" s="583"/>
    </row>
    <row r="139" spans="1:15" ht="13.5">
      <c r="A139" s="582"/>
      <c r="B139" s="582"/>
      <c r="C139" s="582"/>
      <c r="D139" s="583" t="s">
        <v>748</v>
      </c>
      <c r="E139" s="583" t="s">
        <v>717</v>
      </c>
      <c r="F139" s="598">
        <f t="shared" si="20"/>
        <v>-118349116.32637087</v>
      </c>
      <c r="G139" s="1797">
        <f t="shared" si="21"/>
        <v>2.8999999999999998E-3</v>
      </c>
      <c r="H139" s="619">
        <v>0</v>
      </c>
      <c r="I139" s="593">
        <f t="shared" si="18"/>
        <v>-343212.43734647549</v>
      </c>
      <c r="J139" s="593">
        <f t="shared" si="19"/>
        <v>-118692328.76371734</v>
      </c>
      <c r="K139" s="626"/>
      <c r="L139" s="583"/>
      <c r="M139" s="583"/>
      <c r="N139" s="583"/>
      <c r="O139" s="583"/>
    </row>
    <row r="140" spans="1:15" ht="13.5">
      <c r="A140" s="582"/>
      <c r="B140" s="582"/>
      <c r="C140" s="582"/>
      <c r="D140" s="583" t="s">
        <v>743</v>
      </c>
      <c r="E140" s="583" t="s">
        <v>717</v>
      </c>
      <c r="F140" s="598">
        <f t="shared" si="20"/>
        <v>-118692328.76371734</v>
      </c>
      <c r="G140" s="1797">
        <f t="shared" si="21"/>
        <v>2.8999999999999998E-3</v>
      </c>
      <c r="H140" s="619">
        <v>0</v>
      </c>
      <c r="I140" s="593">
        <f t="shared" si="18"/>
        <v>-344207.75341478025</v>
      </c>
      <c r="J140" s="593">
        <f t="shared" si="19"/>
        <v>-119036536.51713212</v>
      </c>
      <c r="K140" s="625"/>
      <c r="L140" s="583"/>
      <c r="M140" s="583"/>
      <c r="N140" s="583"/>
      <c r="O140" s="583"/>
    </row>
    <row r="141" spans="1:15" ht="13.5">
      <c r="A141" s="582"/>
      <c r="B141" s="582"/>
      <c r="C141" s="582"/>
      <c r="D141" s="583" t="s">
        <v>749</v>
      </c>
      <c r="E141" s="583" t="s">
        <v>717</v>
      </c>
      <c r="F141" s="598">
        <f t="shared" si="20"/>
        <v>-119036536.51713212</v>
      </c>
      <c r="G141" s="1797">
        <f t="shared" si="21"/>
        <v>2.8999999999999998E-3</v>
      </c>
      <c r="H141" s="600">
        <f>-PMT(G141,12,J140)</f>
        <v>-10107690.62223438</v>
      </c>
      <c r="I141" s="593">
        <f t="shared" si="18"/>
        <v>-345205.95589968312</v>
      </c>
      <c r="J141" s="593">
        <f>+F141+I141-H141</f>
        <v>-109274051.85079743</v>
      </c>
      <c r="K141" s="583"/>
      <c r="L141" s="583"/>
      <c r="M141" s="583"/>
      <c r="N141" s="583"/>
      <c r="O141" s="583"/>
    </row>
    <row r="142" spans="1:15" ht="13.5">
      <c r="A142" s="582"/>
      <c r="B142" s="582"/>
      <c r="C142" s="582"/>
      <c r="D142" s="583" t="s">
        <v>750</v>
      </c>
      <c r="E142" s="583" t="s">
        <v>717</v>
      </c>
      <c r="F142" s="598">
        <f t="shared" si="20"/>
        <v>-109274051.85079743</v>
      </c>
      <c r="G142" s="1797">
        <f t="shared" si="21"/>
        <v>2.8999999999999998E-3</v>
      </c>
      <c r="H142" s="619">
        <f t="shared" ref="H142:H152" si="22">H141</f>
        <v>-10107690.62223438</v>
      </c>
      <c r="I142" s="593">
        <f t="shared" ref="I142:I152" si="23">+F142*G142</f>
        <v>-316894.75036731252</v>
      </c>
      <c r="J142" s="593">
        <f t="shared" si="19"/>
        <v>-99483255.978930369</v>
      </c>
      <c r="K142" s="583"/>
      <c r="L142" s="583"/>
      <c r="M142" s="583"/>
      <c r="N142" s="583"/>
      <c r="O142" s="583"/>
    </row>
    <row r="143" spans="1:15" ht="13.5">
      <c r="A143" s="582"/>
      <c r="B143" s="582"/>
      <c r="C143" s="582"/>
      <c r="D143" s="583" t="s">
        <v>751</v>
      </c>
      <c r="E143" s="583" t="s">
        <v>717</v>
      </c>
      <c r="F143" s="598">
        <f t="shared" si="20"/>
        <v>-99483255.978930369</v>
      </c>
      <c r="G143" s="1797">
        <f t="shared" si="21"/>
        <v>2.8999999999999998E-3</v>
      </c>
      <c r="H143" s="619">
        <f t="shared" si="22"/>
        <v>-10107690.62223438</v>
      </c>
      <c r="I143" s="593">
        <f t="shared" si="23"/>
        <v>-288501.44233889802</v>
      </c>
      <c r="J143" s="593">
        <f t="shared" si="19"/>
        <v>-89664066.799034894</v>
      </c>
      <c r="K143" s="583"/>
      <c r="L143" s="583"/>
      <c r="M143" s="583"/>
      <c r="N143" s="583"/>
      <c r="O143" s="583"/>
    </row>
    <row r="144" spans="1:15" ht="13.5">
      <c r="A144" s="582"/>
      <c r="B144" s="582"/>
      <c r="C144" s="582"/>
      <c r="D144" s="583" t="s">
        <v>752</v>
      </c>
      <c r="E144" s="583" t="s">
        <v>717</v>
      </c>
      <c r="F144" s="598">
        <f t="shared" si="20"/>
        <v>-89664066.799034894</v>
      </c>
      <c r="G144" s="1797">
        <f t="shared" si="21"/>
        <v>2.8999999999999998E-3</v>
      </c>
      <c r="H144" s="619">
        <f t="shared" si="22"/>
        <v>-10107690.62223438</v>
      </c>
      <c r="I144" s="593">
        <f t="shared" si="23"/>
        <v>-260025.79371720116</v>
      </c>
      <c r="J144" s="593">
        <f t="shared" si="19"/>
        <v>-79816401.970517725</v>
      </c>
      <c r="K144" s="583"/>
      <c r="L144" s="583"/>
      <c r="M144" s="583"/>
      <c r="N144" s="583"/>
      <c r="O144" s="583"/>
    </row>
    <row r="145" spans="1:15" ht="13.5">
      <c r="A145" s="582"/>
      <c r="B145" s="582"/>
      <c r="C145" s="582"/>
      <c r="D145" s="583" t="s">
        <v>753</v>
      </c>
      <c r="E145" s="583" t="s">
        <v>717</v>
      </c>
      <c r="F145" s="598">
        <f t="shared" si="20"/>
        <v>-79816401.970517725</v>
      </c>
      <c r="G145" s="1797">
        <f t="shared" si="21"/>
        <v>2.8999999999999998E-3</v>
      </c>
      <c r="H145" s="619">
        <f t="shared" si="22"/>
        <v>-10107690.62223438</v>
      </c>
      <c r="I145" s="593">
        <f t="shared" si="23"/>
        <v>-231467.5657145014</v>
      </c>
      <c r="J145" s="593">
        <f>+F145+I145-H145</f>
        <v>-69940178.913997859</v>
      </c>
      <c r="K145" s="583"/>
      <c r="L145" s="583"/>
      <c r="M145" s="583"/>
      <c r="N145" s="583"/>
      <c r="O145" s="583"/>
    </row>
    <row r="146" spans="1:15" ht="13.5">
      <c r="A146" s="582"/>
      <c r="B146" s="582"/>
      <c r="C146" s="582"/>
      <c r="D146" s="583" t="s">
        <v>754</v>
      </c>
      <c r="E146" s="583" t="s">
        <v>717</v>
      </c>
      <c r="F146" s="598">
        <f t="shared" si="20"/>
        <v>-69940178.913997859</v>
      </c>
      <c r="G146" s="1797">
        <f t="shared" si="21"/>
        <v>2.8999999999999998E-3</v>
      </c>
      <c r="H146" s="619">
        <f t="shared" si="22"/>
        <v>-10107690.62223438</v>
      </c>
      <c r="I146" s="593">
        <f t="shared" si="23"/>
        <v>-202826.51885059377</v>
      </c>
      <c r="J146" s="593">
        <f t="shared" si="19"/>
        <v>-60035314.810614072</v>
      </c>
      <c r="K146" s="583"/>
      <c r="L146" s="583"/>
      <c r="M146" s="583"/>
      <c r="N146" s="583"/>
      <c r="O146" s="583"/>
    </row>
    <row r="147" spans="1:15" ht="13.5">
      <c r="A147" s="582"/>
      <c r="B147" s="582"/>
      <c r="C147" s="582"/>
      <c r="D147" s="583" t="s">
        <v>755</v>
      </c>
      <c r="E147" s="583" t="s">
        <v>717</v>
      </c>
      <c r="F147" s="598">
        <f t="shared" si="20"/>
        <v>-60035314.810614072</v>
      </c>
      <c r="G147" s="1797">
        <f t="shared" si="21"/>
        <v>2.8999999999999998E-3</v>
      </c>
      <c r="H147" s="619">
        <f t="shared" si="22"/>
        <v>-10107690.62223438</v>
      </c>
      <c r="I147" s="593">
        <f t="shared" si="23"/>
        <v>-174102.4129507808</v>
      </c>
      <c r="J147" s="593">
        <f t="shared" si="19"/>
        <v>-50101726.601330474</v>
      </c>
      <c r="K147" s="583"/>
      <c r="L147" s="583"/>
      <c r="M147" s="583"/>
      <c r="N147" s="583"/>
      <c r="O147" s="583"/>
    </row>
    <row r="148" spans="1:15" ht="13.5">
      <c r="A148" s="582"/>
      <c r="B148" s="582"/>
      <c r="C148" s="582"/>
      <c r="D148" s="583" t="s">
        <v>745</v>
      </c>
      <c r="E148" s="583" t="s">
        <v>718</v>
      </c>
      <c r="F148" s="598">
        <f t="shared" si="20"/>
        <v>-50101726.601330474</v>
      </c>
      <c r="G148" s="1797">
        <f t="shared" si="21"/>
        <v>2.8999999999999998E-3</v>
      </c>
      <c r="H148" s="619">
        <f t="shared" si="22"/>
        <v>-10107690.62223438</v>
      </c>
      <c r="I148" s="593">
        <f t="shared" si="23"/>
        <v>-145295.00714385835</v>
      </c>
      <c r="J148" s="593">
        <f t="shared" si="19"/>
        <v>-40139330.986239947</v>
      </c>
      <c r="K148" s="583"/>
      <c r="L148" s="583"/>
      <c r="M148" s="583"/>
      <c r="N148" s="583"/>
      <c r="O148" s="583"/>
    </row>
    <row r="149" spans="1:15" ht="13.5">
      <c r="A149" s="582"/>
      <c r="B149" s="582"/>
      <c r="C149" s="582"/>
      <c r="D149" s="583" t="s">
        <v>746</v>
      </c>
      <c r="E149" s="583" t="s">
        <v>718</v>
      </c>
      <c r="F149" s="598">
        <f t="shared" si="20"/>
        <v>-40139330.986239947</v>
      </c>
      <c r="G149" s="1797">
        <f t="shared" si="21"/>
        <v>2.8999999999999998E-3</v>
      </c>
      <c r="H149" s="619">
        <f t="shared" si="22"/>
        <v>-10107690.62223438</v>
      </c>
      <c r="I149" s="593">
        <f t="shared" si="23"/>
        <v>-116404.05986009583</v>
      </c>
      <c r="J149" s="593">
        <f t="shared" si="19"/>
        <v>-30148044.423865661</v>
      </c>
      <c r="K149" s="583"/>
      <c r="L149" s="583"/>
      <c r="M149" s="583"/>
      <c r="N149" s="583"/>
      <c r="O149" s="583"/>
    </row>
    <row r="150" spans="1:15" ht="13.5">
      <c r="A150" s="582"/>
      <c r="B150" s="582"/>
      <c r="C150" s="582"/>
      <c r="D150" s="583" t="s">
        <v>747</v>
      </c>
      <c r="E150" s="583" t="s">
        <v>718</v>
      </c>
      <c r="F150" s="598">
        <f t="shared" si="20"/>
        <v>-30148044.423865661</v>
      </c>
      <c r="G150" s="1797">
        <f t="shared" si="21"/>
        <v>2.8999999999999998E-3</v>
      </c>
      <c r="H150" s="619">
        <f t="shared" si="22"/>
        <v>-10107690.62223438</v>
      </c>
      <c r="I150" s="593">
        <f>+F150*G150</f>
        <v>-87429.328829210412</v>
      </c>
      <c r="J150" s="593">
        <f t="shared" si="19"/>
        <v>-20127783.130460493</v>
      </c>
      <c r="K150" s="583"/>
      <c r="L150" s="583"/>
      <c r="M150" s="583"/>
      <c r="N150" s="583"/>
      <c r="O150" s="583"/>
    </row>
    <row r="151" spans="1:15" ht="13.5">
      <c r="A151" s="582"/>
      <c r="B151" s="582"/>
      <c r="C151" s="582"/>
      <c r="D151" s="583" t="s">
        <v>748</v>
      </c>
      <c r="E151" s="583" t="s">
        <v>718</v>
      </c>
      <c r="F151" s="598">
        <f t="shared" si="20"/>
        <v>-20127783.130460493</v>
      </c>
      <c r="G151" s="1797">
        <f t="shared" si="21"/>
        <v>2.8999999999999998E-3</v>
      </c>
      <c r="H151" s="619">
        <f t="shared" si="22"/>
        <v>-10107690.62223438</v>
      </c>
      <c r="I151" s="593">
        <f t="shared" si="23"/>
        <v>-58370.57107833543</v>
      </c>
      <c r="J151" s="593">
        <f t="shared" si="19"/>
        <v>-10078463.079304447</v>
      </c>
      <c r="K151" s="583"/>
      <c r="L151" s="583"/>
      <c r="M151" s="583"/>
      <c r="N151" s="583"/>
      <c r="O151" s="583"/>
    </row>
    <row r="152" spans="1:15" ht="13.5">
      <c r="A152" s="582"/>
      <c r="B152" s="582"/>
      <c r="C152" s="582"/>
      <c r="D152" s="583" t="s">
        <v>743</v>
      </c>
      <c r="E152" s="583" t="s">
        <v>718</v>
      </c>
      <c r="F152" s="598">
        <f t="shared" si="20"/>
        <v>-10078463.079304447</v>
      </c>
      <c r="G152" s="1797">
        <f t="shared" si="21"/>
        <v>2.8999999999999998E-3</v>
      </c>
      <c r="H152" s="619">
        <f t="shared" si="22"/>
        <v>-10107690.62223438</v>
      </c>
      <c r="I152" s="593">
        <f t="shared" si="23"/>
        <v>-29227.542929982894</v>
      </c>
      <c r="J152" s="593">
        <f>+F152-H152+I152</f>
        <v>-5.041874828748405E-8</v>
      </c>
      <c r="K152" s="583"/>
      <c r="L152" s="583"/>
      <c r="N152" s="583"/>
      <c r="O152" s="583"/>
    </row>
    <row r="153" spans="1:15" ht="13.5">
      <c r="A153" s="582"/>
      <c r="B153" s="582"/>
      <c r="C153" s="582"/>
      <c r="D153" s="583" t="s">
        <v>774</v>
      </c>
      <c r="E153" s="583"/>
      <c r="F153" s="583"/>
      <c r="G153" s="583"/>
      <c r="H153" s="598">
        <f>SUM(H136:H152)</f>
        <v>-121292287.46681254</v>
      </c>
      <c r="I153" s="583"/>
      <c r="J153" s="583"/>
      <c r="K153" s="583"/>
      <c r="L153" s="583"/>
      <c r="M153" s="583"/>
      <c r="N153" s="583"/>
      <c r="O153" s="583"/>
    </row>
    <row r="154" spans="1:15" ht="13.5">
      <c r="B154" s="582"/>
      <c r="C154" s="582"/>
      <c r="D154" s="583"/>
      <c r="E154" s="583"/>
      <c r="F154" s="583"/>
      <c r="G154" s="583"/>
      <c r="H154" s="583"/>
      <c r="I154" s="583"/>
      <c r="J154" s="583"/>
      <c r="K154" s="583"/>
      <c r="L154" s="583"/>
      <c r="M154" s="583"/>
      <c r="N154" s="583"/>
      <c r="O154" s="583"/>
    </row>
    <row r="155" spans="1:15" ht="13.5">
      <c r="A155" s="425"/>
      <c r="B155" s="582"/>
      <c r="C155" s="582"/>
      <c r="D155" s="624" t="s">
        <v>1104</v>
      </c>
      <c r="E155" s="582"/>
      <c r="F155" s="424"/>
      <c r="G155" s="582"/>
      <c r="H155" s="598">
        <f>+H153</f>
        <v>-121292287.46681254</v>
      </c>
      <c r="I155" s="1791">
        <f>H155*L113/L115</f>
        <v>-116671422.99939124</v>
      </c>
      <c r="J155" s="1791">
        <f>H155*L114/L115</f>
        <v>-4620864.4674212905</v>
      </c>
      <c r="K155" s="598"/>
      <c r="L155" s="583"/>
      <c r="M155" s="583"/>
      <c r="N155" s="583"/>
      <c r="O155" s="583"/>
    </row>
    <row r="156" spans="1:15" ht="13.5">
      <c r="A156" s="425"/>
      <c r="B156" s="582"/>
      <c r="C156" s="582"/>
      <c r="D156" s="624" t="s">
        <v>68</v>
      </c>
      <c r="E156" s="582"/>
      <c r="F156" s="424"/>
      <c r="G156" s="582"/>
      <c r="I156" s="627">
        <f>'ATT H-1 '!J282</f>
        <v>112215009.74563521</v>
      </c>
      <c r="J156" s="1576">
        <f>'Sch 1'!E16</f>
        <v>4239821</v>
      </c>
      <c r="K156" s="583"/>
      <c r="L156" s="583"/>
      <c r="M156" s="1793"/>
      <c r="N156" s="587"/>
      <c r="O156" s="583"/>
    </row>
    <row r="157" spans="1:15" ht="13.5">
      <c r="A157" s="425"/>
      <c r="B157" s="582"/>
      <c r="C157" s="582"/>
      <c r="D157" s="624" t="s">
        <v>69</v>
      </c>
      <c r="E157" s="582"/>
      <c r="F157" s="424"/>
      <c r="G157" s="582"/>
      <c r="I157" s="598">
        <f>+I155+I156</f>
        <v>-4456413.2537560314</v>
      </c>
      <c r="J157" s="1576">
        <f>SUM(J155:J156)</f>
        <v>-381043.46742129046</v>
      </c>
      <c r="K157" s="583"/>
      <c r="L157" s="583"/>
      <c r="M157" s="583"/>
      <c r="N157" s="583"/>
      <c r="O157" s="583"/>
    </row>
    <row r="158" spans="1:15" ht="13.5">
      <c r="A158" s="582"/>
      <c r="B158" s="582"/>
      <c r="C158" s="582"/>
      <c r="D158" s="615"/>
      <c r="E158" s="583"/>
      <c r="F158" s="583"/>
      <c r="G158" s="587"/>
      <c r="H158" s="619"/>
      <c r="I158" s="587"/>
      <c r="J158" s="583"/>
      <c r="K158" s="583"/>
      <c r="L158" s="583"/>
      <c r="M158" s="583"/>
      <c r="N158" s="583"/>
      <c r="O158" s="583"/>
    </row>
    <row r="159" spans="1:15" ht="13.5">
      <c r="A159" s="582">
        <v>9</v>
      </c>
      <c r="B159" s="582" t="s">
        <v>742</v>
      </c>
      <c r="C159" s="582" t="s">
        <v>718</v>
      </c>
      <c r="D159" s="589" t="s">
        <v>1308</v>
      </c>
      <c r="E159" s="583"/>
      <c r="F159" s="583"/>
      <c r="G159" s="583"/>
      <c r="H159" s="583"/>
      <c r="I159" s="583"/>
      <c r="J159" s="424"/>
      <c r="K159" s="583"/>
      <c r="L159" s="583"/>
      <c r="M159" s="583"/>
      <c r="N159" s="583"/>
      <c r="O159" s="583"/>
    </row>
    <row r="160" spans="1:15" ht="13.5">
      <c r="A160" s="582"/>
      <c r="B160" s="582"/>
      <c r="C160" s="582"/>
      <c r="D160" s="589"/>
      <c r="E160" s="583"/>
      <c r="F160" s="583"/>
      <c r="G160" s="583"/>
      <c r="H160" s="583"/>
      <c r="I160" s="583"/>
      <c r="J160" s="424"/>
      <c r="K160" s="583"/>
      <c r="L160" s="583"/>
      <c r="M160" s="583"/>
      <c r="N160" s="583"/>
      <c r="O160" s="583"/>
    </row>
    <row r="161" spans="1:15" ht="13.5">
      <c r="A161" s="582"/>
      <c r="B161" s="424"/>
      <c r="C161" s="485" t="s">
        <v>323</v>
      </c>
      <c r="D161" s="485" t="s">
        <v>324</v>
      </c>
      <c r="E161" s="485" t="s">
        <v>416</v>
      </c>
      <c r="F161" s="485" t="s">
        <v>325</v>
      </c>
      <c r="G161" s="485" t="s">
        <v>326</v>
      </c>
      <c r="H161" s="485" t="s">
        <v>322</v>
      </c>
      <c r="I161" s="485"/>
      <c r="J161" s="485" t="s">
        <v>678</v>
      </c>
      <c r="K161" s="485" t="s">
        <v>679</v>
      </c>
      <c r="L161" s="485" t="s">
        <v>1085</v>
      </c>
      <c r="M161" s="585" t="s">
        <v>1086</v>
      </c>
      <c r="N161" s="582" t="s">
        <v>1087</v>
      </c>
      <c r="O161" s="582" t="s">
        <v>1088</v>
      </c>
    </row>
    <row r="162" spans="1:15" ht="13.5">
      <c r="A162" s="582"/>
      <c r="B162" s="424"/>
      <c r="C162" s="582" t="s">
        <v>279</v>
      </c>
      <c r="D162" s="582" t="s">
        <v>279</v>
      </c>
      <c r="E162" s="582" t="s">
        <v>279</v>
      </c>
      <c r="F162" s="582" t="s">
        <v>279</v>
      </c>
      <c r="G162" s="582" t="s">
        <v>279</v>
      </c>
      <c r="H162" s="582" t="s">
        <v>279</v>
      </c>
      <c r="I162" s="582"/>
      <c r="J162" s="582" t="s">
        <v>74</v>
      </c>
      <c r="K162" s="582" t="s">
        <v>74</v>
      </c>
      <c r="L162" s="582" t="s">
        <v>74</v>
      </c>
      <c r="M162" s="582" t="s">
        <v>74</v>
      </c>
      <c r="N162" s="582" t="s">
        <v>74</v>
      </c>
      <c r="O162" s="582" t="s">
        <v>74</v>
      </c>
    </row>
    <row r="163" spans="1:15" ht="13.5">
      <c r="A163" s="582"/>
      <c r="B163" s="583"/>
      <c r="C163" s="582" t="s">
        <v>70</v>
      </c>
      <c r="D163" s="582" t="s">
        <v>70</v>
      </c>
      <c r="E163" s="582" t="s">
        <v>70</v>
      </c>
      <c r="F163" s="633"/>
      <c r="G163" s="633"/>
      <c r="H163" s="633"/>
      <c r="I163" s="582"/>
      <c r="J163" s="582" t="s">
        <v>75</v>
      </c>
      <c r="K163" s="582" t="s">
        <v>76</v>
      </c>
      <c r="L163" s="582" t="s">
        <v>77</v>
      </c>
      <c r="M163" s="582" t="s">
        <v>78</v>
      </c>
      <c r="N163" s="582" t="s">
        <v>79</v>
      </c>
      <c r="O163" s="582" t="s">
        <v>80</v>
      </c>
    </row>
    <row r="164" spans="1:15" ht="13.5">
      <c r="A164" s="1948"/>
      <c r="B164" s="583"/>
      <c r="C164" s="582" t="s">
        <v>677</v>
      </c>
      <c r="D164" s="582"/>
      <c r="E164" s="582"/>
      <c r="F164" s="582" t="s">
        <v>71</v>
      </c>
      <c r="G164" s="582" t="s">
        <v>72</v>
      </c>
      <c r="H164" s="582" t="s">
        <v>73</v>
      </c>
      <c r="I164" s="582"/>
      <c r="J164" s="582"/>
      <c r="K164" s="582"/>
      <c r="L164" s="582"/>
      <c r="M164" s="582"/>
      <c r="N164" s="582"/>
      <c r="O164" s="582"/>
    </row>
    <row r="165" spans="1:15" ht="13.5">
      <c r="A165" s="1948"/>
      <c r="B165" s="583"/>
      <c r="C165" s="582"/>
      <c r="D165" s="597"/>
      <c r="E165" s="597"/>
      <c r="F165" s="597"/>
      <c r="G165" s="582"/>
      <c r="H165" s="582"/>
      <c r="I165" s="632"/>
      <c r="J165" s="582"/>
      <c r="K165" s="582"/>
      <c r="L165" s="598"/>
      <c r="M165" s="582"/>
      <c r="N165" s="582"/>
      <c r="O165" s="593"/>
    </row>
    <row r="166" spans="1:15" ht="13.5">
      <c r="A166" s="1948"/>
      <c r="B166" s="583" t="s">
        <v>745</v>
      </c>
      <c r="C166" s="599">
        <v>1188446</v>
      </c>
      <c r="D166" s="599"/>
      <c r="E166" s="599"/>
      <c r="F166" s="599"/>
      <c r="G166" s="599"/>
      <c r="H166" s="599"/>
      <c r="I166" s="632"/>
      <c r="J166" s="598">
        <f>C166</f>
        <v>1188446</v>
      </c>
      <c r="K166" s="598">
        <f>E166</f>
        <v>0</v>
      </c>
      <c r="L166" s="598">
        <f>F166</f>
        <v>0</v>
      </c>
      <c r="M166" s="598">
        <f>G166</f>
        <v>0</v>
      </c>
      <c r="N166" s="598">
        <f>H166</f>
        <v>0</v>
      </c>
      <c r="O166" s="598">
        <f>I166</f>
        <v>0</v>
      </c>
    </row>
    <row r="167" spans="1:15" ht="13.5">
      <c r="A167" s="1948"/>
      <c r="B167" s="583" t="s">
        <v>746</v>
      </c>
      <c r="C167" s="599">
        <v>7806781</v>
      </c>
      <c r="D167" s="599"/>
      <c r="E167" s="599"/>
      <c r="F167" s="599"/>
      <c r="G167" s="599"/>
      <c r="H167" s="599"/>
      <c r="I167" s="632"/>
      <c r="J167" s="598">
        <f>J166+C167</f>
        <v>8995227</v>
      </c>
      <c r="K167" s="598">
        <f t="shared" ref="K167:K177" si="24">K166+E167</f>
        <v>0</v>
      </c>
      <c r="L167" s="598">
        <f t="shared" ref="L167:L177" si="25">L166+F167</f>
        <v>0</v>
      </c>
      <c r="M167" s="598">
        <f t="shared" ref="M167:M177" si="26">M166+G167</f>
        <v>0</v>
      </c>
      <c r="N167" s="598">
        <f t="shared" ref="N167:N177" si="27">N166+H167</f>
        <v>0</v>
      </c>
      <c r="O167" s="598">
        <f t="shared" ref="O167:O177" si="28">O166+I167</f>
        <v>0</v>
      </c>
    </row>
    <row r="168" spans="1:15" ht="13.5">
      <c r="A168" s="1948"/>
      <c r="B168" s="583" t="s">
        <v>747</v>
      </c>
      <c r="C168" s="599">
        <v>3119192</v>
      </c>
      <c r="D168" s="599"/>
      <c r="E168" s="599"/>
      <c r="F168" s="599"/>
      <c r="G168" s="599"/>
      <c r="H168" s="599"/>
      <c r="I168" s="632"/>
      <c r="J168" s="598">
        <f t="shared" ref="J168:J177" si="29">J167+C168</f>
        <v>12114419</v>
      </c>
      <c r="K168" s="598">
        <f t="shared" si="24"/>
        <v>0</v>
      </c>
      <c r="L168" s="598">
        <f t="shared" si="25"/>
        <v>0</v>
      </c>
      <c r="M168" s="598">
        <f t="shared" si="26"/>
        <v>0</v>
      </c>
      <c r="N168" s="598">
        <f t="shared" si="27"/>
        <v>0</v>
      </c>
      <c r="O168" s="598">
        <f t="shared" si="28"/>
        <v>0</v>
      </c>
    </row>
    <row r="169" spans="1:15" ht="13.5">
      <c r="A169" s="1948"/>
      <c r="B169" s="583" t="s">
        <v>748</v>
      </c>
      <c r="C169" s="599">
        <v>458213</v>
      </c>
      <c r="D169" s="599"/>
      <c r="E169" s="599"/>
      <c r="F169" s="599"/>
      <c r="G169" s="599"/>
      <c r="H169" s="599"/>
      <c r="I169" s="632"/>
      <c r="J169" s="598">
        <f t="shared" si="29"/>
        <v>12572632</v>
      </c>
      <c r="K169" s="598">
        <f t="shared" si="24"/>
        <v>0</v>
      </c>
      <c r="L169" s="598">
        <f t="shared" si="25"/>
        <v>0</v>
      </c>
      <c r="M169" s="598">
        <f t="shared" si="26"/>
        <v>0</v>
      </c>
      <c r="N169" s="598">
        <f t="shared" si="27"/>
        <v>0</v>
      </c>
      <c r="O169" s="598">
        <f t="shared" si="28"/>
        <v>0</v>
      </c>
    </row>
    <row r="170" spans="1:15" ht="13.5">
      <c r="A170" s="1948"/>
      <c r="B170" s="583" t="s">
        <v>743</v>
      </c>
      <c r="C170" s="599">
        <v>1330060</v>
      </c>
      <c r="D170" s="599"/>
      <c r="E170" s="599"/>
      <c r="F170" s="599"/>
      <c r="G170" s="599"/>
      <c r="H170" s="599"/>
      <c r="I170" s="632"/>
      <c r="J170" s="598">
        <f t="shared" si="29"/>
        <v>13902692</v>
      </c>
      <c r="K170" s="598">
        <f t="shared" si="24"/>
        <v>0</v>
      </c>
      <c r="L170" s="598">
        <f t="shared" si="25"/>
        <v>0</v>
      </c>
      <c r="M170" s="598">
        <f t="shared" si="26"/>
        <v>0</v>
      </c>
      <c r="N170" s="598">
        <f t="shared" si="27"/>
        <v>0</v>
      </c>
      <c r="O170" s="598">
        <f t="shared" si="28"/>
        <v>0</v>
      </c>
    </row>
    <row r="171" spans="1:15" ht="13.5">
      <c r="A171" s="1948"/>
      <c r="B171" s="583" t="s">
        <v>749</v>
      </c>
      <c r="C171" s="599">
        <v>1289025</v>
      </c>
      <c r="D171" s="599"/>
      <c r="E171" s="599"/>
      <c r="F171" s="599"/>
      <c r="G171" s="599"/>
      <c r="H171" s="599"/>
      <c r="I171" s="632"/>
      <c r="J171" s="598">
        <f t="shared" si="29"/>
        <v>15191717</v>
      </c>
      <c r="K171" s="598">
        <f t="shared" si="24"/>
        <v>0</v>
      </c>
      <c r="L171" s="598">
        <f t="shared" si="25"/>
        <v>0</v>
      </c>
      <c r="M171" s="598">
        <f t="shared" si="26"/>
        <v>0</v>
      </c>
      <c r="N171" s="598">
        <f t="shared" si="27"/>
        <v>0</v>
      </c>
      <c r="O171" s="598">
        <f t="shared" si="28"/>
        <v>0</v>
      </c>
    </row>
    <row r="172" spans="1:15" ht="13.5">
      <c r="A172" s="1948"/>
      <c r="B172" s="583" t="s">
        <v>750</v>
      </c>
      <c r="C172" s="599">
        <v>907010</v>
      </c>
      <c r="D172" s="599"/>
      <c r="E172" s="599"/>
      <c r="F172" s="599"/>
      <c r="G172" s="599"/>
      <c r="H172" s="599"/>
      <c r="I172" s="632"/>
      <c r="J172" s="598">
        <f t="shared" si="29"/>
        <v>16098727</v>
      </c>
      <c r="K172" s="598">
        <f t="shared" si="24"/>
        <v>0</v>
      </c>
      <c r="L172" s="598">
        <f t="shared" si="25"/>
        <v>0</v>
      </c>
      <c r="M172" s="598">
        <f t="shared" si="26"/>
        <v>0</v>
      </c>
      <c r="N172" s="598">
        <f t="shared" si="27"/>
        <v>0</v>
      </c>
      <c r="O172" s="598">
        <f t="shared" si="28"/>
        <v>0</v>
      </c>
    </row>
    <row r="173" spans="1:15" ht="13.5">
      <c r="A173" s="1948"/>
      <c r="B173" s="583" t="s">
        <v>751</v>
      </c>
      <c r="C173" s="599">
        <v>1496499</v>
      </c>
      <c r="D173" s="599"/>
      <c r="E173" s="599"/>
      <c r="F173" s="599"/>
      <c r="G173" s="599"/>
      <c r="H173" s="599"/>
      <c r="I173" s="632"/>
      <c r="J173" s="598">
        <f t="shared" si="29"/>
        <v>17595226</v>
      </c>
      <c r="K173" s="598">
        <f t="shared" si="24"/>
        <v>0</v>
      </c>
      <c r="L173" s="598">
        <f t="shared" si="25"/>
        <v>0</v>
      </c>
      <c r="M173" s="598">
        <f t="shared" si="26"/>
        <v>0</v>
      </c>
      <c r="N173" s="598">
        <f t="shared" si="27"/>
        <v>0</v>
      </c>
      <c r="O173" s="598">
        <f t="shared" si="28"/>
        <v>0</v>
      </c>
    </row>
    <row r="174" spans="1:15" ht="13.5">
      <c r="A174" s="1948"/>
      <c r="B174" s="583" t="s">
        <v>752</v>
      </c>
      <c r="C174" s="599">
        <v>1113411</v>
      </c>
      <c r="D174" s="599"/>
      <c r="E174" s="599"/>
      <c r="F174" s="599"/>
      <c r="G174" s="599"/>
      <c r="H174" s="599"/>
      <c r="I174" s="632"/>
      <c r="J174" s="598">
        <f t="shared" si="29"/>
        <v>18708637</v>
      </c>
      <c r="K174" s="598">
        <f t="shared" si="24"/>
        <v>0</v>
      </c>
      <c r="L174" s="598">
        <f t="shared" si="25"/>
        <v>0</v>
      </c>
      <c r="M174" s="598">
        <f t="shared" si="26"/>
        <v>0</v>
      </c>
      <c r="N174" s="598">
        <f t="shared" si="27"/>
        <v>0</v>
      </c>
      <c r="O174" s="598">
        <f t="shared" si="28"/>
        <v>0</v>
      </c>
    </row>
    <row r="175" spans="1:15" ht="13.5">
      <c r="A175" s="1948"/>
      <c r="B175" s="583" t="s">
        <v>753</v>
      </c>
      <c r="C175" s="599">
        <v>12398123</v>
      </c>
      <c r="D175" s="599"/>
      <c r="E175" s="599"/>
      <c r="F175" s="599"/>
      <c r="G175" s="599"/>
      <c r="H175" s="599"/>
      <c r="I175" s="632"/>
      <c r="J175" s="598">
        <f t="shared" si="29"/>
        <v>31106760</v>
      </c>
      <c r="K175" s="598">
        <f t="shared" si="24"/>
        <v>0</v>
      </c>
      <c r="L175" s="598">
        <f t="shared" si="25"/>
        <v>0</v>
      </c>
      <c r="M175" s="598">
        <f t="shared" si="26"/>
        <v>0</v>
      </c>
      <c r="N175" s="598">
        <f t="shared" si="27"/>
        <v>0</v>
      </c>
      <c r="O175" s="598">
        <f t="shared" si="28"/>
        <v>0</v>
      </c>
    </row>
    <row r="176" spans="1:15" ht="13.5">
      <c r="A176" s="1948"/>
      <c r="B176" s="583" t="s">
        <v>754</v>
      </c>
      <c r="C176" s="599">
        <v>4257302</v>
      </c>
      <c r="D176" s="599"/>
      <c r="E176" s="599"/>
      <c r="F176" s="599"/>
      <c r="G176" s="599"/>
      <c r="H176" s="599"/>
      <c r="I176" s="632"/>
      <c r="J176" s="598">
        <f t="shared" si="29"/>
        <v>35364062</v>
      </c>
      <c r="K176" s="598">
        <f t="shared" si="24"/>
        <v>0</v>
      </c>
      <c r="L176" s="598">
        <f t="shared" si="25"/>
        <v>0</v>
      </c>
      <c r="M176" s="598">
        <f t="shared" si="26"/>
        <v>0</v>
      </c>
      <c r="N176" s="598">
        <f t="shared" si="27"/>
        <v>0</v>
      </c>
      <c r="O176" s="598">
        <f t="shared" si="28"/>
        <v>0</v>
      </c>
    </row>
    <row r="177" spans="1:15" ht="13.5">
      <c r="A177" s="582"/>
      <c r="B177" s="583" t="s">
        <v>755</v>
      </c>
      <c r="C177" s="599">
        <v>2394818</v>
      </c>
      <c r="D177" s="599"/>
      <c r="E177" s="599"/>
      <c r="F177" s="599"/>
      <c r="G177" s="599"/>
      <c r="H177" s="599"/>
      <c r="I177" s="632"/>
      <c r="J177" s="598">
        <f t="shared" si="29"/>
        <v>37758880</v>
      </c>
      <c r="K177" s="598">
        <f t="shared" si="24"/>
        <v>0</v>
      </c>
      <c r="L177" s="598">
        <f t="shared" si="25"/>
        <v>0</v>
      </c>
      <c r="M177" s="598">
        <f t="shared" si="26"/>
        <v>0</v>
      </c>
      <c r="N177" s="598">
        <f t="shared" si="27"/>
        <v>0</v>
      </c>
      <c r="O177" s="598">
        <f t="shared" si="28"/>
        <v>0</v>
      </c>
    </row>
    <row r="178" spans="1:15" ht="13.5">
      <c r="A178" s="582"/>
      <c r="B178" s="583" t="s">
        <v>972</v>
      </c>
      <c r="C178" s="598">
        <f t="shared" ref="C178:H178" si="30">SUM(C166:C177)</f>
        <v>37758880</v>
      </c>
      <c r="D178" s="598">
        <f t="shared" si="30"/>
        <v>0</v>
      </c>
      <c r="E178" s="598">
        <f t="shared" si="30"/>
        <v>0</v>
      </c>
      <c r="F178" s="598">
        <f t="shared" si="30"/>
        <v>0</v>
      </c>
      <c r="G178" s="598">
        <f t="shared" si="30"/>
        <v>0</v>
      </c>
      <c r="H178" s="598">
        <f t="shared" si="30"/>
        <v>0</v>
      </c>
      <c r="I178" s="598" t="s">
        <v>81</v>
      </c>
      <c r="J178" s="598">
        <f t="shared" ref="J178:O178" si="31">AVERAGE(J166:J177)</f>
        <v>18383118.75</v>
      </c>
      <c r="K178" s="598">
        <f t="shared" si="31"/>
        <v>0</v>
      </c>
      <c r="L178" s="598">
        <f t="shared" si="31"/>
        <v>0</v>
      </c>
      <c r="M178" s="598">
        <f t="shared" si="31"/>
        <v>0</v>
      </c>
      <c r="N178" s="598">
        <f t="shared" si="31"/>
        <v>0</v>
      </c>
      <c r="O178" s="598">
        <f t="shared" si="31"/>
        <v>0</v>
      </c>
    </row>
    <row r="179" spans="1:15" ht="13.5">
      <c r="A179" s="582"/>
      <c r="C179" s="583"/>
      <c r="D179" s="424"/>
      <c r="E179" s="424"/>
      <c r="F179" s="424"/>
      <c r="G179" s="424"/>
      <c r="H179" s="424"/>
      <c r="I179" s="424"/>
      <c r="J179" s="424"/>
      <c r="K179" s="424"/>
      <c r="L179" s="600"/>
      <c r="M179" s="583"/>
      <c r="N179" s="583"/>
      <c r="O179" s="583"/>
    </row>
    <row r="180" spans="1:15" ht="15.75">
      <c r="A180" s="582" t="s">
        <v>876</v>
      </c>
      <c r="B180" s="583" t="s">
        <v>83</v>
      </c>
      <c r="C180" s="583"/>
      <c r="D180" s="424"/>
      <c r="E180" s="424"/>
      <c r="F180" s="424"/>
      <c r="G180" s="424"/>
      <c r="H180" s="424"/>
      <c r="I180" s="424"/>
      <c r="J180" s="583"/>
      <c r="K180" s="634" t="s">
        <v>82</v>
      </c>
      <c r="L180" s="424"/>
      <c r="M180" s="598">
        <f>SUM(J178:O178)</f>
        <v>18383118.75</v>
      </c>
      <c r="N180" s="1834" t="s">
        <v>1309</v>
      </c>
      <c r="O180" s="619"/>
    </row>
    <row r="181" spans="1:15" ht="13.5">
      <c r="A181" s="582"/>
      <c r="B181" s="583"/>
      <c r="C181" s="583"/>
      <c r="D181" s="424"/>
      <c r="E181" s="424"/>
      <c r="F181" s="424"/>
      <c r="G181" s="424"/>
      <c r="H181" s="424"/>
      <c r="I181" s="424"/>
      <c r="J181" s="583"/>
      <c r="K181" s="583"/>
      <c r="L181" s="598"/>
      <c r="M181" s="583"/>
      <c r="N181" s="424"/>
      <c r="O181" s="583"/>
    </row>
    <row r="182" spans="1:15" ht="13.5">
      <c r="A182" s="582"/>
      <c r="B182" s="582"/>
      <c r="C182" s="582"/>
      <c r="D182" s="583"/>
      <c r="E182" s="583"/>
      <c r="F182" s="424"/>
      <c r="G182" s="583"/>
      <c r="H182" s="583"/>
      <c r="I182" s="598"/>
      <c r="J182" s="583"/>
      <c r="K182" s="424"/>
      <c r="L182" s="583"/>
      <c r="M182" s="583"/>
      <c r="N182" s="601"/>
      <c r="O182" s="601"/>
    </row>
    <row r="183" spans="1:15" ht="13.5">
      <c r="A183" s="582"/>
      <c r="B183" s="582"/>
      <c r="C183" s="582"/>
      <c r="D183" s="604"/>
      <c r="E183" s="582"/>
      <c r="F183" s="598"/>
      <c r="G183" s="582"/>
      <c r="H183" s="598"/>
      <c r="I183" s="586"/>
      <c r="J183" s="619"/>
      <c r="K183" s="583"/>
      <c r="L183" s="583"/>
      <c r="M183" s="583"/>
      <c r="N183" s="583"/>
      <c r="O183" s="583"/>
    </row>
    <row r="184" spans="1:15" ht="13.5">
      <c r="A184" s="582">
        <v>10</v>
      </c>
      <c r="B184" s="582" t="s">
        <v>743</v>
      </c>
      <c r="C184" s="582" t="s">
        <v>718</v>
      </c>
      <c r="D184" s="589" t="s">
        <v>528</v>
      </c>
      <c r="E184" s="583"/>
      <c r="F184" s="583"/>
      <c r="G184" s="583"/>
      <c r="H184" s="583"/>
      <c r="I184" s="586"/>
      <c r="J184" s="587"/>
      <c r="K184" s="583"/>
      <c r="L184" s="583"/>
      <c r="M184" s="583"/>
      <c r="N184" s="583"/>
      <c r="O184" s="583"/>
    </row>
    <row r="185" spans="1:15" ht="13.5">
      <c r="A185" s="582"/>
      <c r="B185" s="582"/>
      <c r="C185" s="1597">
        <f>I157</f>
        <v>-4456413.2537560314</v>
      </c>
      <c r="D185" s="605"/>
      <c r="E185" s="583" t="s">
        <v>1084</v>
      </c>
      <c r="F185" s="583"/>
      <c r="G185" s="583"/>
      <c r="H185" s="583"/>
      <c r="I185" s="587"/>
      <c r="J185" s="587"/>
      <c r="K185" s="583"/>
      <c r="L185" s="583"/>
      <c r="M185" s="583"/>
      <c r="N185" s="583"/>
      <c r="O185" s="583"/>
    </row>
    <row r="186" spans="1:15" ht="13.5">
      <c r="A186" s="582"/>
      <c r="B186" s="582"/>
      <c r="C186" s="582"/>
      <c r="D186" s="611"/>
      <c r="E186" s="604"/>
      <c r="F186" s="583"/>
      <c r="G186" s="583"/>
      <c r="H186" s="583"/>
      <c r="I186" s="587"/>
      <c r="J186" s="587"/>
      <c r="K186" s="583"/>
      <c r="L186" s="583"/>
      <c r="M186" s="583"/>
      <c r="N186" s="583"/>
      <c r="O186" s="583"/>
    </row>
    <row r="187" spans="1:15" ht="13.5">
      <c r="A187" s="582"/>
      <c r="B187" s="582"/>
      <c r="C187" s="582"/>
      <c r="D187" s="605"/>
      <c r="E187" s="583"/>
      <c r="F187" s="583"/>
      <c r="G187" s="583"/>
      <c r="H187" s="583"/>
      <c r="I187" s="587"/>
      <c r="J187" s="587"/>
      <c r="K187" s="583"/>
      <c r="L187" s="583"/>
      <c r="M187" s="583"/>
      <c r="N187" s="583"/>
      <c r="O187" s="583"/>
    </row>
    <row r="188" spans="1:15" ht="13.5">
      <c r="A188" s="582">
        <v>11</v>
      </c>
      <c r="B188" s="582" t="s">
        <v>744</v>
      </c>
      <c r="C188" s="582" t="s">
        <v>718</v>
      </c>
      <c r="D188" s="612" t="s">
        <v>1298</v>
      </c>
      <c r="E188" s="587"/>
      <c r="F188" s="587"/>
      <c r="G188" s="587"/>
      <c r="H188" s="587"/>
      <c r="I188" s="587"/>
      <c r="J188" s="587"/>
      <c r="K188" s="587"/>
      <c r="L188" s="587"/>
      <c r="M188" s="583"/>
      <c r="N188" s="583"/>
      <c r="O188" s="583"/>
    </row>
    <row r="189" spans="1:15" ht="13.5">
      <c r="A189" s="582"/>
      <c r="B189" s="582"/>
      <c r="C189" s="582"/>
      <c r="D189" s="1598">
        <f>C185</f>
        <v>-4456413.2537560314</v>
      </c>
      <c r="E189" s="583"/>
      <c r="F189" s="583"/>
      <c r="G189" s="583"/>
      <c r="H189" s="583"/>
      <c r="I189" s="583"/>
      <c r="J189" s="583"/>
      <c r="K189" s="583"/>
      <c r="L189" s="583"/>
      <c r="M189" s="583"/>
      <c r="N189" s="583"/>
      <c r="O189" s="583"/>
    </row>
    <row r="190" spans="1:15" ht="13.5">
      <c r="A190" s="582"/>
      <c r="B190" s="582"/>
      <c r="C190" s="582"/>
      <c r="D190" s="583"/>
      <c r="E190" s="583"/>
      <c r="F190" s="583"/>
      <c r="G190" s="583"/>
      <c r="H190" s="583"/>
      <c r="I190" s="583"/>
      <c r="J190" s="583"/>
      <c r="K190" s="583"/>
      <c r="L190" s="583"/>
      <c r="M190" s="583"/>
      <c r="N190" s="583"/>
      <c r="O190" s="583"/>
    </row>
    <row r="191" spans="1:15" ht="13.5">
      <c r="A191" s="582"/>
      <c r="B191" s="583"/>
      <c r="C191" s="582"/>
      <c r="D191" s="604"/>
      <c r="E191" s="583"/>
      <c r="F191" s="583"/>
      <c r="G191" s="583"/>
      <c r="H191" s="583"/>
      <c r="I191" s="583"/>
      <c r="J191" s="583"/>
      <c r="K191" s="583"/>
      <c r="L191" s="583"/>
      <c r="M191" s="583"/>
      <c r="N191" s="583"/>
      <c r="O191" s="583"/>
    </row>
    <row r="192" spans="1:15" ht="13.5">
      <c r="A192" s="582"/>
      <c r="B192" s="582"/>
      <c r="C192" s="582"/>
      <c r="D192" s="583"/>
      <c r="E192" s="583"/>
      <c r="F192" s="583"/>
      <c r="G192" s="583"/>
      <c r="H192" s="583"/>
      <c r="I192" s="583"/>
      <c r="J192" s="583"/>
      <c r="K192" s="583"/>
      <c r="L192" s="583"/>
      <c r="M192" s="583"/>
      <c r="N192" s="583"/>
      <c r="O192" s="583"/>
    </row>
    <row r="193" spans="1:15" ht="13.5">
      <c r="A193" s="582"/>
      <c r="B193" s="582"/>
      <c r="C193" s="582"/>
      <c r="D193" s="583"/>
      <c r="E193" s="583"/>
      <c r="F193" s="583"/>
      <c r="G193" s="583"/>
      <c r="H193" s="583"/>
      <c r="I193" s="583"/>
      <c r="J193" s="583"/>
      <c r="K193" s="583"/>
      <c r="L193" s="583"/>
      <c r="M193" s="583"/>
      <c r="N193" s="583"/>
      <c r="O193" s="583"/>
    </row>
    <row r="194" spans="1:15" ht="13.5">
      <c r="A194" s="582"/>
      <c r="B194" s="582"/>
      <c r="C194" s="582"/>
      <c r="D194" s="583"/>
      <c r="E194" s="583"/>
      <c r="F194" s="583"/>
      <c r="G194" s="583"/>
      <c r="H194" s="583"/>
      <c r="I194" s="583"/>
      <c r="J194" s="583"/>
      <c r="K194" s="583"/>
      <c r="L194" s="583"/>
      <c r="M194" s="583"/>
      <c r="N194" s="583"/>
      <c r="O194" s="583"/>
    </row>
    <row r="195" spans="1:15" ht="13.5">
      <c r="A195" s="582"/>
      <c r="B195" s="582"/>
      <c r="C195" s="582"/>
      <c r="D195" s="583"/>
      <c r="E195" s="583"/>
      <c r="F195" s="583"/>
      <c r="G195" s="583"/>
      <c r="H195" s="583"/>
      <c r="I195" s="583"/>
      <c r="J195" s="583"/>
      <c r="K195" s="583"/>
      <c r="L195" s="583"/>
      <c r="M195" s="583"/>
      <c r="N195" s="583"/>
      <c r="O195" s="583"/>
    </row>
    <row r="196" spans="1:15" ht="13.5">
      <c r="A196" s="582"/>
      <c r="B196" s="582"/>
      <c r="C196" s="582"/>
      <c r="D196" s="583"/>
      <c r="E196" s="583"/>
      <c r="F196" s="583"/>
      <c r="G196" s="583"/>
      <c r="H196" s="583"/>
      <c r="I196" s="583"/>
      <c r="J196" s="583"/>
      <c r="K196" s="583"/>
      <c r="L196" s="583"/>
      <c r="M196" s="583"/>
      <c r="N196" s="583"/>
      <c r="O196" s="583"/>
    </row>
    <row r="197" spans="1:15" ht="13.5">
      <c r="A197" s="582"/>
      <c r="B197" s="582"/>
      <c r="C197" s="582"/>
      <c r="D197" s="583"/>
      <c r="E197" s="583"/>
      <c r="F197" s="583"/>
      <c r="G197" s="583"/>
      <c r="H197" s="583"/>
      <c r="I197" s="583"/>
      <c r="J197" s="583"/>
      <c r="K197" s="583"/>
      <c r="L197" s="583"/>
      <c r="M197" s="583"/>
      <c r="N197" s="583"/>
      <c r="O197" s="583"/>
    </row>
    <row r="198" spans="1:15" ht="13.5">
      <c r="A198" s="582"/>
      <c r="B198" s="582"/>
      <c r="C198" s="582"/>
      <c r="D198" s="583"/>
      <c r="E198" s="583"/>
      <c r="F198" s="583"/>
      <c r="G198" s="583"/>
      <c r="H198" s="583"/>
      <c r="I198" s="583"/>
      <c r="J198" s="583"/>
      <c r="K198" s="583"/>
      <c r="L198" s="583"/>
      <c r="M198" s="583"/>
      <c r="N198" s="583"/>
      <c r="O198" s="583"/>
    </row>
    <row r="199" spans="1:15" ht="13.5">
      <c r="A199" s="582"/>
      <c r="B199" s="582"/>
      <c r="C199" s="582"/>
      <c r="D199" s="583"/>
      <c r="E199" s="583"/>
      <c r="F199" s="583"/>
      <c r="G199" s="583"/>
      <c r="H199" s="583"/>
      <c r="I199" s="583"/>
      <c r="J199" s="583"/>
      <c r="K199" s="583"/>
      <c r="L199" s="583"/>
      <c r="M199" s="583"/>
      <c r="N199" s="583"/>
      <c r="O199" s="583"/>
    </row>
    <row r="200" spans="1:15" ht="13.5">
      <c r="A200" s="582"/>
      <c r="B200" s="582"/>
      <c r="C200" s="582"/>
      <c r="D200" s="583"/>
      <c r="E200" s="583"/>
      <c r="F200" s="583"/>
      <c r="G200" s="583"/>
      <c r="H200" s="583"/>
      <c r="I200" s="583"/>
      <c r="J200" s="583"/>
      <c r="K200" s="583"/>
      <c r="L200" s="583"/>
      <c r="M200" s="583"/>
      <c r="N200" s="583"/>
      <c r="O200" s="583"/>
    </row>
    <row r="201" spans="1:15" ht="13.5">
      <c r="A201" s="582"/>
      <c r="B201" s="582"/>
      <c r="C201" s="582"/>
      <c r="D201" s="583"/>
      <c r="E201" s="583"/>
      <c r="F201" s="583"/>
      <c r="G201" s="583"/>
      <c r="H201" s="583"/>
      <c r="I201" s="583"/>
      <c r="J201" s="583"/>
      <c r="K201" s="583"/>
      <c r="L201" s="583"/>
      <c r="M201" s="583"/>
      <c r="N201" s="583"/>
      <c r="O201" s="583"/>
    </row>
    <row r="202" spans="1:15" ht="13.5">
      <c r="A202" s="582"/>
      <c r="B202" s="582"/>
      <c r="C202" s="582"/>
      <c r="D202" s="583"/>
      <c r="E202" s="583"/>
      <c r="F202" s="583"/>
      <c r="G202" s="583"/>
      <c r="H202" s="583"/>
      <c r="I202" s="583"/>
      <c r="J202" s="583"/>
      <c r="K202" s="583"/>
      <c r="L202" s="583"/>
      <c r="M202" s="583"/>
      <c r="N202" s="583"/>
      <c r="O202" s="583"/>
    </row>
    <row r="203" spans="1:15" ht="13.5">
      <c r="A203" s="582"/>
      <c r="B203" s="582"/>
      <c r="C203" s="582"/>
      <c r="D203" s="583"/>
      <c r="E203" s="583"/>
      <c r="F203" s="583"/>
      <c r="G203" s="583"/>
      <c r="H203" s="583"/>
      <c r="I203" s="583"/>
      <c r="J203" s="583"/>
      <c r="K203" s="583"/>
      <c r="L203" s="583"/>
      <c r="M203" s="583"/>
      <c r="N203" s="583"/>
      <c r="O203" s="583"/>
    </row>
    <row r="204" spans="1:15" ht="13.5">
      <c r="A204" s="582"/>
      <c r="B204" s="582"/>
      <c r="C204" s="582"/>
      <c r="D204" s="583"/>
      <c r="E204" s="583"/>
      <c r="F204" s="583"/>
      <c r="G204" s="583"/>
      <c r="H204" s="583"/>
      <c r="I204" s="583"/>
      <c r="J204" s="583"/>
      <c r="K204" s="583"/>
      <c r="L204" s="583"/>
      <c r="M204" s="583"/>
      <c r="N204" s="583"/>
      <c r="O204" s="583"/>
    </row>
    <row r="205" spans="1:15" ht="13.5">
      <c r="A205" s="582"/>
      <c r="B205" s="582"/>
      <c r="C205" s="582"/>
      <c r="D205" s="583"/>
      <c r="E205" s="583"/>
      <c r="F205" s="583"/>
      <c r="G205" s="583"/>
      <c r="H205" s="583"/>
      <c r="I205" s="583"/>
      <c r="J205" s="583"/>
      <c r="K205" s="583"/>
      <c r="L205" s="583"/>
      <c r="M205" s="583"/>
      <c r="N205" s="583"/>
      <c r="O205" s="583"/>
    </row>
    <row r="206" spans="1:15" ht="13.5">
      <c r="A206" s="582"/>
      <c r="B206" s="582"/>
      <c r="C206" s="582"/>
      <c r="D206" s="583"/>
      <c r="E206" s="583"/>
      <c r="F206" s="583"/>
      <c r="G206" s="583"/>
      <c r="H206" s="583"/>
      <c r="I206" s="583"/>
      <c r="J206" s="583"/>
      <c r="K206" s="583"/>
      <c r="L206" s="583"/>
      <c r="M206" s="583"/>
      <c r="N206" s="583"/>
      <c r="O206" s="583"/>
    </row>
    <row r="207" spans="1:15" ht="15.75">
      <c r="A207" s="630"/>
      <c r="B207" s="582"/>
      <c r="C207" s="582"/>
      <c r="D207" s="583"/>
      <c r="E207" s="583"/>
      <c r="F207" s="583"/>
      <c r="G207" s="583"/>
      <c r="H207" s="583"/>
      <c r="I207" s="583"/>
      <c r="J207" s="583"/>
      <c r="K207" s="583"/>
      <c r="L207" s="583"/>
      <c r="M207" s="583"/>
      <c r="N207" s="583"/>
      <c r="O207" s="583"/>
    </row>
    <row r="208" spans="1:15" ht="15.75">
      <c r="A208" s="630"/>
      <c r="B208" s="582"/>
      <c r="C208" s="582"/>
      <c r="D208" s="583"/>
      <c r="E208" s="583"/>
      <c r="F208" s="583"/>
      <c r="G208" s="583"/>
      <c r="H208" s="583"/>
      <c r="I208" s="583"/>
      <c r="J208" s="583"/>
      <c r="K208" s="583"/>
      <c r="L208" s="583"/>
      <c r="M208" s="583"/>
      <c r="N208" s="583"/>
      <c r="O208" s="583"/>
    </row>
    <row r="209" spans="1:15" ht="15.75">
      <c r="A209" s="630"/>
      <c r="B209" s="630"/>
      <c r="C209" s="630"/>
      <c r="D209" s="631"/>
      <c r="E209" s="631"/>
      <c r="F209" s="631"/>
      <c r="G209" s="631"/>
      <c r="H209" s="631"/>
      <c r="I209" s="631"/>
      <c r="J209" s="631"/>
      <c r="K209" s="631"/>
      <c r="L209" s="631"/>
      <c r="M209" s="631"/>
      <c r="N209" s="631"/>
      <c r="O209" s="631"/>
    </row>
    <row r="210" spans="1:15" ht="15.75">
      <c r="A210" s="630"/>
      <c r="B210" s="630"/>
      <c r="C210" s="630"/>
      <c r="D210" s="631"/>
      <c r="E210" s="631"/>
      <c r="F210" s="631"/>
      <c r="G210" s="631"/>
      <c r="H210" s="631"/>
      <c r="I210" s="631"/>
      <c r="J210" s="631"/>
      <c r="K210" s="631"/>
      <c r="L210" s="631"/>
      <c r="M210" s="631"/>
      <c r="N210" s="631"/>
      <c r="O210" s="631"/>
    </row>
    <row r="211" spans="1:15" ht="13.5">
      <c r="J211" s="583"/>
      <c r="K211" s="583"/>
    </row>
    <row r="212" spans="1:15" ht="13.5">
      <c r="J212" s="583"/>
      <c r="K212" s="583"/>
    </row>
    <row r="213" spans="1:15" ht="13.5">
      <c r="J213" s="583"/>
      <c r="K213" s="583"/>
    </row>
    <row r="214" spans="1:15" ht="13.5">
      <c r="J214" s="583"/>
      <c r="K214" s="583"/>
    </row>
    <row r="215" spans="1:15" ht="13.5">
      <c r="J215" s="583"/>
      <c r="K215" s="583"/>
    </row>
    <row r="216" spans="1:15" ht="13.5">
      <c r="J216" s="583"/>
      <c r="K216" s="583"/>
    </row>
    <row r="217" spans="1:15" ht="13.5">
      <c r="J217" s="583"/>
      <c r="K217" s="583"/>
    </row>
    <row r="218" spans="1:15" ht="13.5">
      <c r="J218" s="583"/>
      <c r="K218" s="583"/>
    </row>
    <row r="219" spans="1:15" ht="13.5">
      <c r="J219" s="583"/>
      <c r="K219" s="583"/>
    </row>
    <row r="220" spans="1:15" ht="13.5">
      <c r="J220" s="583"/>
      <c r="K220" s="583"/>
    </row>
    <row r="221" spans="1:15" ht="13.5">
      <c r="J221" s="583"/>
      <c r="K221" s="583"/>
    </row>
  </sheetData>
  <mergeCells count="2">
    <mergeCell ref="D119:E119"/>
    <mergeCell ref="A164:A176"/>
  </mergeCells>
  <phoneticPr fontId="74" type="noConversion"/>
  <printOptions gridLines="1"/>
  <pageMargins left="0.78" right="0.7" top="0.32" bottom="0.5" header="0.3" footer="0.3"/>
  <pageSetup scale="47" fitToHeight="0" orientation="landscape" r:id="rId1"/>
  <rowBreaks count="2" manualBreakCount="2">
    <brk id="74" max="15" man="1"/>
    <brk id="15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70" zoomScale="75" zoomScaleNormal="75" workbookViewId="0">
      <selection activeCell="F101" sqref="F101"/>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11"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18" t="s">
        <v>513</v>
      </c>
      <c r="B2" s="1918"/>
      <c r="C2" s="1918"/>
      <c r="D2" s="1918"/>
      <c r="E2" s="1918"/>
      <c r="F2" s="1918"/>
      <c r="G2" s="1918"/>
      <c r="H2" s="1918"/>
      <c r="I2" s="1918"/>
      <c r="J2" s="1918"/>
      <c r="K2" s="1918"/>
      <c r="L2" s="1918"/>
      <c r="M2" s="1918"/>
      <c r="N2" s="1918"/>
      <c r="O2" s="1918"/>
      <c r="P2" s="1918"/>
      <c r="Q2" s="1918"/>
    </row>
    <row r="3" spans="1:29" ht="18">
      <c r="A3" s="1949" t="s">
        <v>484</v>
      </c>
      <c r="B3" s="1949"/>
      <c r="C3" s="1949"/>
      <c r="D3" s="1949"/>
      <c r="E3" s="1949"/>
      <c r="F3" s="1949"/>
      <c r="G3" s="1949"/>
      <c r="H3" s="1949"/>
      <c r="I3" s="1949"/>
      <c r="J3" s="1949"/>
      <c r="K3" s="1949"/>
      <c r="L3" s="1949"/>
      <c r="M3" s="1949"/>
      <c r="N3" s="1949"/>
      <c r="O3" s="1949"/>
      <c r="P3" s="1949"/>
      <c r="Q3" s="1949"/>
      <c r="R3" s="426"/>
      <c r="S3" s="426"/>
    </row>
    <row r="4" spans="1:29">
      <c r="A4" s="426"/>
      <c r="B4" s="426"/>
      <c r="C4" s="426"/>
      <c r="D4" s="426"/>
      <c r="E4" s="1831" t="s">
        <v>1305</v>
      </c>
      <c r="F4" s="1832">
        <v>2015</v>
      </c>
      <c r="G4" s="426"/>
      <c r="H4" s="426"/>
      <c r="I4" s="426"/>
      <c r="J4" s="426"/>
      <c r="K4" s="426"/>
      <c r="L4" s="426"/>
      <c r="M4" s="426"/>
      <c r="N4" s="426"/>
      <c r="O4" s="426"/>
      <c r="P4" s="426"/>
      <c r="Q4" s="426"/>
      <c r="R4" s="426"/>
      <c r="S4" s="426"/>
    </row>
    <row r="5" spans="1:29" ht="16.5">
      <c r="A5" s="425"/>
      <c r="B5" s="425"/>
      <c r="C5" s="425"/>
      <c r="D5" s="424"/>
      <c r="E5" s="1831" t="s">
        <v>1306</v>
      </c>
      <c r="F5" s="1832">
        <v>2016</v>
      </c>
      <c r="G5" s="424"/>
      <c r="H5" s="424"/>
      <c r="I5" s="424"/>
      <c r="J5" s="581"/>
      <c r="K5" s="424"/>
      <c r="L5" s="424"/>
      <c r="M5" s="424"/>
      <c r="N5" s="424"/>
      <c r="O5" s="424"/>
      <c r="P5" s="424"/>
      <c r="Q5" s="424"/>
      <c r="R5" s="424"/>
      <c r="S5" s="424"/>
      <c r="Y5" s="97"/>
      <c r="Z5" s="97"/>
      <c r="AA5" s="97"/>
      <c r="AB5" s="97"/>
      <c r="AC5" s="97"/>
    </row>
    <row r="6" spans="1:29" ht="13.5">
      <c r="A6" s="582" t="s">
        <v>737</v>
      </c>
      <c r="B6" s="582" t="s">
        <v>738</v>
      </c>
      <c r="C6" s="582" t="s">
        <v>739</v>
      </c>
      <c r="D6" s="582" t="s">
        <v>740</v>
      </c>
      <c r="E6" s="1831" t="s">
        <v>1307</v>
      </c>
      <c r="F6" s="1832">
        <v>2017</v>
      </c>
      <c r="G6" s="583"/>
      <c r="H6" s="583"/>
      <c r="I6" s="583"/>
      <c r="J6" s="583"/>
      <c r="K6" s="583"/>
      <c r="L6" s="583"/>
      <c r="M6" s="583"/>
      <c r="N6" s="583"/>
      <c r="O6" s="583"/>
      <c r="P6" s="583"/>
      <c r="Q6" s="583"/>
      <c r="R6" s="583"/>
      <c r="S6" s="583"/>
      <c r="Y6" s="607"/>
      <c r="Z6" s="607"/>
      <c r="AA6" s="607"/>
      <c r="AB6" s="607"/>
      <c r="AC6" s="97"/>
    </row>
    <row r="7" spans="1:29" ht="13.5">
      <c r="A7" s="425"/>
      <c r="B7" s="582"/>
      <c r="C7" s="582"/>
      <c r="D7" s="583"/>
      <c r="E7" s="583"/>
      <c r="F7" s="583"/>
      <c r="G7" s="583"/>
      <c r="H7" s="583"/>
      <c r="I7" s="583"/>
      <c r="J7" s="583"/>
      <c r="K7" s="583"/>
      <c r="L7" s="583"/>
      <c r="M7" s="583"/>
      <c r="N7" s="583"/>
      <c r="O7" s="583"/>
      <c r="P7" s="583"/>
      <c r="Q7" s="583"/>
      <c r="R7" s="583"/>
      <c r="S7" s="583"/>
      <c r="Y7" s="860"/>
      <c r="Z7" s="860"/>
      <c r="AA7" s="860"/>
      <c r="AB7" s="860"/>
      <c r="AC7" s="97"/>
    </row>
    <row r="8" spans="1:29" ht="13.5">
      <c r="A8" s="584" t="s">
        <v>741</v>
      </c>
      <c r="B8" s="582"/>
      <c r="C8" s="582"/>
      <c r="D8" s="583"/>
      <c r="E8" s="583"/>
      <c r="F8" s="583"/>
      <c r="G8" s="583"/>
      <c r="H8" s="583"/>
      <c r="I8" s="583"/>
      <c r="J8" s="583"/>
      <c r="K8" s="583"/>
      <c r="L8" s="583"/>
      <c r="M8" s="583"/>
      <c r="N8" s="583"/>
      <c r="S8" s="583"/>
      <c r="Y8" s="860"/>
      <c r="Z8" s="860"/>
      <c r="AA8" s="860"/>
      <c r="AB8" s="860"/>
      <c r="AC8" s="97"/>
    </row>
    <row r="9" spans="1:29" ht="15.75">
      <c r="A9" s="585">
        <v>1</v>
      </c>
      <c r="B9" s="585" t="s">
        <v>742</v>
      </c>
      <c r="C9" s="585" t="s">
        <v>717</v>
      </c>
      <c r="D9" s="1845" t="s">
        <v>1292</v>
      </c>
      <c r="E9" s="587"/>
      <c r="F9" s="587"/>
      <c r="G9" s="587"/>
      <c r="H9" s="587"/>
      <c r="I9" s="587"/>
      <c r="J9" s="587"/>
      <c r="K9" s="587"/>
      <c r="L9" s="587"/>
      <c r="M9" s="587"/>
      <c r="N9" s="587"/>
      <c r="S9" s="587"/>
      <c r="Y9" s="860"/>
      <c r="Z9" s="861"/>
      <c r="AA9" s="861"/>
      <c r="AB9" s="862"/>
      <c r="AC9" s="97"/>
    </row>
    <row r="10" spans="1:29" ht="13.5">
      <c r="A10" s="585">
        <v>2</v>
      </c>
      <c r="B10" s="585" t="s">
        <v>742</v>
      </c>
      <c r="C10" s="585" t="s">
        <v>717</v>
      </c>
      <c r="D10" t="s">
        <v>1293</v>
      </c>
      <c r="E10" s="587"/>
      <c r="F10" s="587"/>
      <c r="G10" s="587"/>
      <c r="H10" s="587"/>
      <c r="I10" s="587"/>
      <c r="J10" s="587"/>
      <c r="K10" s="587"/>
      <c r="L10" s="587"/>
      <c r="M10" s="587"/>
      <c r="N10" s="587"/>
      <c r="S10" s="587"/>
      <c r="Y10" s="860"/>
      <c r="Z10" s="861"/>
      <c r="AA10" s="861"/>
      <c r="AB10" s="862"/>
      <c r="AC10" s="97"/>
    </row>
    <row r="11" spans="1:29" ht="13.5">
      <c r="A11" s="585">
        <v>3</v>
      </c>
      <c r="B11" s="585" t="s">
        <v>742</v>
      </c>
      <c r="C11" s="585" t="s">
        <v>717</v>
      </c>
      <c r="D11" t="s">
        <v>1294</v>
      </c>
      <c r="E11" s="587"/>
      <c r="F11" s="587"/>
      <c r="G11" s="587"/>
      <c r="H11" s="587"/>
      <c r="I11" s="587"/>
      <c r="J11" s="587"/>
      <c r="K11" s="587"/>
      <c r="L11" s="587"/>
      <c r="M11" s="587"/>
      <c r="N11" s="587"/>
      <c r="S11" s="587"/>
      <c r="Y11" s="860"/>
      <c r="Z11" s="861"/>
      <c r="AA11" s="861"/>
      <c r="AB11" s="862"/>
      <c r="AC11" s="97"/>
    </row>
    <row r="12" spans="1:29" ht="13.5">
      <c r="A12" s="585">
        <v>4</v>
      </c>
      <c r="B12" s="585" t="s">
        <v>743</v>
      </c>
      <c r="C12" s="585" t="s">
        <v>717</v>
      </c>
      <c r="D12" t="s">
        <v>1084</v>
      </c>
      <c r="E12" s="587"/>
      <c r="F12" s="587"/>
      <c r="G12" s="587"/>
      <c r="H12" s="587"/>
      <c r="I12" s="587"/>
      <c r="J12" s="587"/>
      <c r="K12" s="587"/>
      <c r="L12" s="587"/>
      <c r="M12" s="587"/>
      <c r="N12" s="587"/>
      <c r="S12" s="587"/>
      <c r="Y12" s="607"/>
      <c r="Z12" s="863"/>
      <c r="AA12" s="863"/>
      <c r="AB12" s="862"/>
      <c r="AC12" s="97"/>
    </row>
    <row r="13" spans="1:29" ht="13.5">
      <c r="A13" s="585">
        <v>5</v>
      </c>
      <c r="B13" s="588" t="s">
        <v>744</v>
      </c>
      <c r="C13" s="585" t="s">
        <v>717</v>
      </c>
      <c r="D13" t="s">
        <v>1295</v>
      </c>
      <c r="E13" s="587"/>
      <c r="F13" s="587"/>
      <c r="G13" s="587"/>
      <c r="H13" s="587"/>
      <c r="I13" s="587"/>
      <c r="J13" s="587"/>
      <c r="K13" s="587"/>
      <c r="L13" s="587"/>
      <c r="M13" s="587"/>
      <c r="N13" s="587"/>
      <c r="S13" s="587"/>
      <c r="Y13" s="607"/>
      <c r="Z13" s="863"/>
      <c r="AA13" s="863"/>
      <c r="AB13" s="862"/>
      <c r="AC13" s="97"/>
    </row>
    <row r="14" spans="1:29" ht="13.5">
      <c r="A14" s="582">
        <v>6</v>
      </c>
      <c r="B14" s="582" t="s">
        <v>742</v>
      </c>
      <c r="C14" s="585" t="s">
        <v>718</v>
      </c>
      <c r="D14" t="s">
        <v>1296</v>
      </c>
      <c r="E14" s="583"/>
      <c r="F14" s="583"/>
      <c r="G14" s="583"/>
      <c r="H14" s="583"/>
      <c r="I14" s="583"/>
      <c r="J14" s="583"/>
      <c r="K14" s="583"/>
      <c r="L14" s="583"/>
      <c r="M14" s="583"/>
      <c r="N14" s="583"/>
      <c r="S14" s="583"/>
      <c r="Y14" s="607"/>
      <c r="Z14" s="863"/>
      <c r="AA14" s="863"/>
      <c r="AB14" s="862"/>
      <c r="AC14" s="97"/>
    </row>
    <row r="15" spans="1:29" ht="13.5">
      <c r="A15" s="582">
        <v>7</v>
      </c>
      <c r="B15" s="582" t="s">
        <v>742</v>
      </c>
      <c r="C15" s="585" t="s">
        <v>718</v>
      </c>
      <c r="D15" t="s">
        <v>1117</v>
      </c>
      <c r="E15" s="590"/>
      <c r="F15" s="590"/>
      <c r="G15" s="590"/>
      <c r="H15" s="590"/>
      <c r="I15" s="590"/>
      <c r="J15" s="590"/>
      <c r="K15" s="583"/>
      <c r="L15" s="583"/>
      <c r="M15" s="583"/>
      <c r="N15" s="583"/>
      <c r="S15" s="583"/>
      <c r="Y15" s="607"/>
      <c r="Z15" s="863"/>
      <c r="AA15" s="863"/>
      <c r="AB15" s="862"/>
      <c r="AC15" s="97"/>
    </row>
    <row r="16" spans="1:29" ht="13.5">
      <c r="A16" s="582">
        <v>8</v>
      </c>
      <c r="B16" s="582" t="s">
        <v>742</v>
      </c>
      <c r="C16" s="585" t="s">
        <v>718</v>
      </c>
      <c r="D16" t="s">
        <v>1103</v>
      </c>
      <c r="E16" s="583"/>
      <c r="F16" s="583"/>
      <c r="G16" s="583"/>
      <c r="H16" s="583"/>
      <c r="I16" s="583"/>
      <c r="J16" s="583"/>
      <c r="K16" s="583"/>
      <c r="L16" s="583"/>
      <c r="M16" s="583"/>
      <c r="N16" s="583"/>
      <c r="S16" s="583"/>
      <c r="Y16" s="607"/>
      <c r="Z16" s="863"/>
      <c r="AA16" s="863"/>
      <c r="AB16" s="862"/>
      <c r="AC16" s="97"/>
    </row>
    <row r="17" spans="1:29" ht="13.5">
      <c r="A17" s="582">
        <v>9</v>
      </c>
      <c r="B17" s="582" t="s">
        <v>742</v>
      </c>
      <c r="C17" s="585" t="s">
        <v>718</v>
      </c>
      <c r="D17" t="s">
        <v>1297</v>
      </c>
      <c r="E17" s="583"/>
      <c r="F17" s="583"/>
      <c r="G17" s="583"/>
      <c r="H17" s="583"/>
      <c r="I17" s="583"/>
      <c r="J17" s="583"/>
      <c r="K17" s="583"/>
      <c r="L17" s="583"/>
      <c r="M17" s="583"/>
      <c r="N17" s="583"/>
      <c r="S17" s="583"/>
      <c r="Y17" s="607"/>
      <c r="Z17" s="863"/>
      <c r="AA17" s="863"/>
      <c r="AB17" s="862"/>
      <c r="AC17" s="97"/>
    </row>
    <row r="18" spans="1:29" ht="13.5">
      <c r="A18" s="582">
        <v>10</v>
      </c>
      <c r="B18" s="582" t="s">
        <v>743</v>
      </c>
      <c r="C18" s="585" t="s">
        <v>718</v>
      </c>
      <c r="D18" t="s">
        <v>528</v>
      </c>
      <c r="E18" s="583"/>
      <c r="F18" s="583"/>
      <c r="G18" s="583"/>
      <c r="H18" s="583"/>
      <c r="I18" s="583"/>
      <c r="J18" s="583"/>
      <c r="K18" s="583"/>
      <c r="L18" s="583"/>
      <c r="M18" s="583"/>
      <c r="N18" s="583"/>
      <c r="S18" s="583"/>
      <c r="Y18" s="607"/>
      <c r="Z18" s="863"/>
      <c r="AA18" s="863"/>
      <c r="AB18" s="862"/>
      <c r="AC18" s="97"/>
    </row>
    <row r="19" spans="1:29" ht="13.5">
      <c r="A19" s="582">
        <v>11</v>
      </c>
      <c r="B19" s="591" t="s">
        <v>744</v>
      </c>
      <c r="C19" s="585" t="s">
        <v>718</v>
      </c>
      <c r="D19" t="s">
        <v>1298</v>
      </c>
      <c r="E19" s="583"/>
      <c r="F19" s="583"/>
      <c r="G19" s="583"/>
      <c r="H19" s="583"/>
      <c r="I19" s="583"/>
      <c r="J19" s="583"/>
      <c r="K19" s="583"/>
      <c r="L19" s="583"/>
      <c r="M19" s="583"/>
      <c r="N19" s="583"/>
      <c r="S19" s="583"/>
      <c r="Y19" s="607"/>
      <c r="Z19" s="863"/>
      <c r="AA19" s="863"/>
      <c r="AB19" s="863"/>
      <c r="AC19" s="97"/>
    </row>
    <row r="20" spans="1:29" ht="13.5">
      <c r="A20" s="582"/>
      <c r="B20" s="591"/>
      <c r="C20" s="582"/>
      <c r="D20" s="589"/>
      <c r="E20" s="583"/>
      <c r="F20" s="583"/>
      <c r="G20" s="583"/>
      <c r="H20" s="583"/>
      <c r="I20" s="583"/>
      <c r="J20" s="583"/>
      <c r="K20" s="583"/>
      <c r="L20" s="583"/>
      <c r="M20" s="583"/>
      <c r="N20" s="583"/>
      <c r="S20" s="583"/>
      <c r="Y20" s="607"/>
      <c r="Z20" s="607"/>
      <c r="AA20" s="607"/>
      <c r="AB20" s="607"/>
      <c r="AC20" s="97"/>
    </row>
    <row r="21" spans="1:29" ht="13.5">
      <c r="A21" s="592"/>
      <c r="B21" s="585"/>
      <c r="C21" s="582"/>
      <c r="D21" s="593"/>
      <c r="E21" s="583"/>
      <c r="F21" s="583"/>
      <c r="G21" s="583"/>
      <c r="H21" s="583"/>
      <c r="I21" s="583"/>
      <c r="J21" s="583"/>
      <c r="K21" s="583"/>
      <c r="L21" s="583"/>
      <c r="M21" s="583"/>
      <c r="N21" s="583"/>
      <c r="S21" s="583"/>
      <c r="Y21" s="583"/>
      <c r="Z21" s="583"/>
      <c r="AA21" s="583"/>
      <c r="AB21" s="583"/>
    </row>
    <row r="22" spans="1:29" ht="13.5">
      <c r="A22" s="582">
        <v>1</v>
      </c>
      <c r="B22" s="582" t="s">
        <v>742</v>
      </c>
      <c r="C22" s="582" t="s">
        <v>717</v>
      </c>
      <c r="D22" s="583" t="s">
        <v>1082</v>
      </c>
      <c r="E22" s="583"/>
      <c r="F22" s="583"/>
      <c r="G22" s="583"/>
      <c r="H22" s="583"/>
      <c r="I22" s="583"/>
      <c r="J22" s="424"/>
      <c r="K22" s="583"/>
      <c r="L22" s="583"/>
      <c r="M22" s="583"/>
      <c r="N22" s="583"/>
      <c r="S22" s="583"/>
    </row>
    <row r="23" spans="1:29" ht="13.5">
      <c r="A23" s="582"/>
      <c r="B23" s="582"/>
      <c r="C23" s="582"/>
      <c r="D23" s="594"/>
      <c r="E23" s="583" t="s">
        <v>426</v>
      </c>
      <c r="F23" s="583"/>
      <c r="G23" s="1846" t="s">
        <v>1289</v>
      </c>
      <c r="H23" s="1546"/>
      <c r="I23" s="1546"/>
      <c r="J23" s="1546"/>
      <c r="K23" s="1546"/>
      <c r="L23" s="583"/>
      <c r="M23" s="583"/>
      <c r="N23" s="583"/>
      <c r="S23" s="583"/>
    </row>
    <row r="24" spans="1:29" ht="13.5">
      <c r="A24" s="582"/>
      <c r="B24" s="582"/>
      <c r="C24" s="582"/>
      <c r="D24" s="596"/>
      <c r="E24" s="583"/>
      <c r="F24" s="583"/>
      <c r="G24" s="583"/>
      <c r="H24" s="583"/>
      <c r="I24" s="583"/>
      <c r="J24" s="583"/>
      <c r="K24" s="583"/>
      <c r="L24" s="583"/>
      <c r="M24" s="583"/>
      <c r="N24" s="583"/>
      <c r="O24" s="583"/>
      <c r="P24" s="583"/>
      <c r="Q24" s="583"/>
      <c r="R24" s="583"/>
      <c r="S24" s="583"/>
    </row>
    <row r="25" spans="1:29" ht="13.5">
      <c r="A25" s="582">
        <v>2</v>
      </c>
      <c r="B25" s="582" t="s">
        <v>742</v>
      </c>
      <c r="C25" s="582" t="s">
        <v>717</v>
      </c>
      <c r="D25" s="589" t="s">
        <v>1083</v>
      </c>
      <c r="E25" s="583"/>
      <c r="F25" s="583"/>
      <c r="G25" s="583"/>
      <c r="H25" s="583"/>
      <c r="I25" s="583"/>
      <c r="J25" s="424"/>
      <c r="K25" s="583"/>
      <c r="L25" s="583"/>
      <c r="M25" s="583"/>
      <c r="N25" s="583"/>
      <c r="O25" s="583"/>
      <c r="P25" s="583"/>
      <c r="Q25" s="583"/>
      <c r="R25" s="583"/>
      <c r="S25" s="583"/>
    </row>
    <row r="26" spans="1:29" ht="13.5">
      <c r="A26" s="582"/>
      <c r="C26" s="582"/>
      <c r="D26" s="589"/>
      <c r="E26" s="583"/>
      <c r="F26" s="583"/>
      <c r="G26" s="583"/>
      <c r="H26" s="583"/>
      <c r="I26" s="583"/>
      <c r="J26" s="424"/>
      <c r="K26" s="583"/>
      <c r="L26" s="583"/>
      <c r="M26" s="583"/>
      <c r="N26" s="583"/>
      <c r="O26" s="583"/>
      <c r="P26" s="583"/>
      <c r="Q26" s="583"/>
      <c r="R26" s="583"/>
      <c r="S26" s="583"/>
    </row>
    <row r="27" spans="1:29" ht="13.5">
      <c r="A27" s="582"/>
      <c r="B27" s="424"/>
      <c r="C27" s="485" t="s">
        <v>323</v>
      </c>
      <c r="D27" s="485" t="s">
        <v>324</v>
      </c>
      <c r="E27" s="485" t="s">
        <v>416</v>
      </c>
      <c r="F27" s="485" t="s">
        <v>325</v>
      </c>
      <c r="G27" s="485" t="s">
        <v>326</v>
      </c>
      <c r="H27" s="485" t="s">
        <v>322</v>
      </c>
      <c r="I27" s="485"/>
      <c r="J27" s="485" t="s">
        <v>678</v>
      </c>
      <c r="K27" s="485" t="s">
        <v>679</v>
      </c>
      <c r="L27" s="485" t="s">
        <v>1085</v>
      </c>
      <c r="M27" s="585" t="s">
        <v>1086</v>
      </c>
      <c r="N27" s="582" t="s">
        <v>1087</v>
      </c>
      <c r="O27" s="582" t="s">
        <v>1088</v>
      </c>
      <c r="P27" s="582"/>
      <c r="Q27" s="585"/>
      <c r="R27" s="585"/>
      <c r="S27" s="582"/>
    </row>
    <row r="28" spans="1:29" ht="13.5">
      <c r="A28" s="582"/>
      <c r="B28" s="424"/>
      <c r="C28" s="582" t="s">
        <v>279</v>
      </c>
      <c r="D28" s="582" t="s">
        <v>279</v>
      </c>
      <c r="E28" s="582" t="s">
        <v>279</v>
      </c>
      <c r="F28" s="582" t="s">
        <v>279</v>
      </c>
      <c r="G28" s="582" t="s">
        <v>279</v>
      </c>
      <c r="H28" s="582" t="s">
        <v>279</v>
      </c>
      <c r="I28" s="582"/>
      <c r="J28" s="582" t="s">
        <v>74</v>
      </c>
      <c r="K28" s="582" t="s">
        <v>74</v>
      </c>
      <c r="L28" s="582" t="s">
        <v>74</v>
      </c>
      <c r="M28" s="582" t="s">
        <v>74</v>
      </c>
      <c r="N28" s="582" t="s">
        <v>74</v>
      </c>
      <c r="O28" s="582" t="s">
        <v>74</v>
      </c>
      <c r="P28" s="582"/>
      <c r="Q28" s="585"/>
      <c r="R28" s="2"/>
    </row>
    <row r="29" spans="1:29" ht="13.5">
      <c r="A29" s="582"/>
      <c r="B29" s="583"/>
      <c r="C29" s="582" t="s">
        <v>70</v>
      </c>
      <c r="D29" s="582" t="s">
        <v>70</v>
      </c>
      <c r="E29" s="582" t="s">
        <v>70</v>
      </c>
      <c r="F29" s="582" t="s">
        <v>70</v>
      </c>
      <c r="G29" s="633"/>
      <c r="H29" s="633"/>
      <c r="I29" s="582"/>
      <c r="J29" s="582" t="s">
        <v>75</v>
      </c>
      <c r="K29" s="582" t="s">
        <v>76</v>
      </c>
      <c r="L29" s="582" t="s">
        <v>77</v>
      </c>
      <c r="M29" s="582" t="s">
        <v>78</v>
      </c>
      <c r="N29" s="582" t="s">
        <v>79</v>
      </c>
      <c r="O29" s="582" t="s">
        <v>80</v>
      </c>
      <c r="P29" s="582"/>
      <c r="Q29" s="587"/>
      <c r="R29" s="2"/>
    </row>
    <row r="30" spans="1:29" ht="13.5">
      <c r="A30" s="582"/>
      <c r="B30" s="583"/>
      <c r="C30" s="582"/>
      <c r="D30" s="582"/>
      <c r="E30" s="582"/>
      <c r="F30" s="582"/>
      <c r="G30" s="582" t="s">
        <v>71</v>
      </c>
      <c r="H30" s="582" t="s">
        <v>72</v>
      </c>
      <c r="I30" s="582"/>
      <c r="J30" s="582"/>
      <c r="K30" s="582"/>
      <c r="L30" s="582"/>
      <c r="M30" s="582"/>
      <c r="N30" s="582"/>
      <c r="O30" s="582"/>
      <c r="Q30" s="587"/>
      <c r="R30" s="2"/>
    </row>
    <row r="31" spans="1:29" ht="13.5">
      <c r="A31" s="582"/>
      <c r="B31" s="583"/>
      <c r="C31" s="582"/>
      <c r="D31" s="597"/>
      <c r="E31" s="597"/>
      <c r="F31" s="597"/>
      <c r="G31" s="582"/>
      <c r="H31" s="582"/>
      <c r="I31" s="632"/>
      <c r="J31" s="582"/>
      <c r="K31" s="582"/>
      <c r="L31" s="598"/>
      <c r="M31" s="582"/>
      <c r="N31" s="582"/>
      <c r="O31" s="593"/>
      <c r="Q31" s="587"/>
      <c r="R31" s="2"/>
    </row>
    <row r="32" spans="1:29" ht="13.5">
      <c r="A32" s="582"/>
      <c r="B32" s="583" t="s">
        <v>745</v>
      </c>
      <c r="C32" s="859"/>
      <c r="D32" s="599"/>
      <c r="E32" s="599"/>
      <c r="F32" s="599"/>
      <c r="G32" s="599"/>
      <c r="H32" s="599"/>
      <c r="I32" s="632"/>
      <c r="J32" s="598">
        <f t="shared" ref="J32:O32" si="0">C32</f>
        <v>0</v>
      </c>
      <c r="K32" s="598">
        <f t="shared" si="0"/>
        <v>0</v>
      </c>
      <c r="L32" s="598">
        <f t="shared" si="0"/>
        <v>0</v>
      </c>
      <c r="M32" s="598">
        <f t="shared" si="0"/>
        <v>0</v>
      </c>
      <c r="N32" s="598">
        <f t="shared" si="0"/>
        <v>0</v>
      </c>
      <c r="O32" s="598">
        <f t="shared" si="0"/>
        <v>0</v>
      </c>
      <c r="P32" s="598"/>
      <c r="Q32" s="587"/>
      <c r="R32" s="2"/>
    </row>
    <row r="33" spans="1:18" ht="13.5">
      <c r="A33" s="582"/>
      <c r="B33" s="583" t="s">
        <v>746</v>
      </c>
      <c r="C33" s="859"/>
      <c r="D33" s="599"/>
      <c r="E33" s="599"/>
      <c r="F33" s="599"/>
      <c r="G33" s="599"/>
      <c r="H33" s="599"/>
      <c r="I33" s="632"/>
      <c r="J33" s="598">
        <f>J32+C33</f>
        <v>0</v>
      </c>
      <c r="K33" s="598">
        <f t="shared" ref="K33:O43" si="1">K32+D33</f>
        <v>0</v>
      </c>
      <c r="L33" s="598">
        <f t="shared" si="1"/>
        <v>0</v>
      </c>
      <c r="M33" s="598">
        <f t="shared" si="1"/>
        <v>0</v>
      </c>
      <c r="N33" s="598">
        <f t="shared" si="1"/>
        <v>0</v>
      </c>
      <c r="O33" s="598">
        <f t="shared" si="1"/>
        <v>0</v>
      </c>
      <c r="P33" s="598"/>
      <c r="Q33" s="587"/>
      <c r="R33" s="2"/>
    </row>
    <row r="34" spans="1:18" ht="13.5">
      <c r="A34" s="582"/>
      <c r="B34" s="583" t="s">
        <v>747</v>
      </c>
      <c r="C34" s="859"/>
      <c r="D34" s="599"/>
      <c r="E34" s="599"/>
      <c r="F34" s="599"/>
      <c r="G34" s="599"/>
      <c r="H34" s="599"/>
      <c r="I34" s="632"/>
      <c r="J34" s="598">
        <f t="shared" ref="J34:J43" si="2">J33+C34</f>
        <v>0</v>
      </c>
      <c r="K34" s="598">
        <f t="shared" si="1"/>
        <v>0</v>
      </c>
      <c r="L34" s="598">
        <f t="shared" si="1"/>
        <v>0</v>
      </c>
      <c r="M34" s="598">
        <f t="shared" si="1"/>
        <v>0</v>
      </c>
      <c r="N34" s="598">
        <f t="shared" si="1"/>
        <v>0</v>
      </c>
      <c r="O34" s="598">
        <f t="shared" si="1"/>
        <v>0</v>
      </c>
      <c r="P34" s="598"/>
      <c r="Q34" s="587"/>
      <c r="R34" s="2"/>
    </row>
    <row r="35" spans="1:18" ht="13.5">
      <c r="A35" s="582"/>
      <c r="B35" s="583" t="s">
        <v>748</v>
      </c>
      <c r="C35" s="859"/>
      <c r="D35" s="599"/>
      <c r="E35" s="599"/>
      <c r="F35" s="599"/>
      <c r="G35" s="599"/>
      <c r="H35" s="599"/>
      <c r="I35" s="632"/>
      <c r="J35" s="598">
        <f t="shared" si="2"/>
        <v>0</v>
      </c>
      <c r="K35" s="598">
        <f t="shared" si="1"/>
        <v>0</v>
      </c>
      <c r="L35" s="598">
        <f t="shared" si="1"/>
        <v>0</v>
      </c>
      <c r="M35" s="598">
        <f t="shared" si="1"/>
        <v>0</v>
      </c>
      <c r="N35" s="598">
        <f t="shared" si="1"/>
        <v>0</v>
      </c>
      <c r="O35" s="598">
        <f t="shared" si="1"/>
        <v>0</v>
      </c>
      <c r="P35" s="598"/>
      <c r="Q35" s="587"/>
      <c r="R35" s="2"/>
    </row>
    <row r="36" spans="1:18" ht="13.5">
      <c r="A36" s="582"/>
      <c r="B36" s="583" t="s">
        <v>743</v>
      </c>
      <c r="C36" s="859"/>
      <c r="D36" s="599"/>
      <c r="E36" s="599"/>
      <c r="F36" s="599"/>
      <c r="G36" s="599"/>
      <c r="H36" s="599"/>
      <c r="I36" s="632"/>
      <c r="J36" s="598">
        <f t="shared" si="2"/>
        <v>0</v>
      </c>
      <c r="K36" s="598">
        <f t="shared" si="1"/>
        <v>0</v>
      </c>
      <c r="L36" s="598">
        <f t="shared" si="1"/>
        <v>0</v>
      </c>
      <c r="M36" s="598">
        <f t="shared" si="1"/>
        <v>0</v>
      </c>
      <c r="N36" s="598">
        <f t="shared" si="1"/>
        <v>0</v>
      </c>
      <c r="O36" s="598">
        <f t="shared" si="1"/>
        <v>0</v>
      </c>
      <c r="P36" s="598"/>
      <c r="Q36" s="587"/>
      <c r="R36" s="2"/>
    </row>
    <row r="37" spans="1:18" ht="13.5">
      <c r="A37" s="582"/>
      <c r="B37" s="583" t="s">
        <v>749</v>
      </c>
      <c r="C37" s="859"/>
      <c r="D37" s="599"/>
      <c r="E37" s="599"/>
      <c r="F37" s="599"/>
      <c r="G37" s="599"/>
      <c r="H37" s="599"/>
      <c r="I37" s="632"/>
      <c r="J37" s="598">
        <f t="shared" si="2"/>
        <v>0</v>
      </c>
      <c r="K37" s="598">
        <f t="shared" si="1"/>
        <v>0</v>
      </c>
      <c r="L37" s="598">
        <f t="shared" si="1"/>
        <v>0</v>
      </c>
      <c r="M37" s="598">
        <f t="shared" si="1"/>
        <v>0</v>
      </c>
      <c r="N37" s="598">
        <f t="shared" si="1"/>
        <v>0</v>
      </c>
      <c r="O37" s="598">
        <f t="shared" si="1"/>
        <v>0</v>
      </c>
      <c r="P37" s="598"/>
      <c r="Q37" s="587"/>
      <c r="R37" s="2"/>
    </row>
    <row r="38" spans="1:18" ht="13.5">
      <c r="A38" s="582"/>
      <c r="B38" s="583" t="s">
        <v>750</v>
      </c>
      <c r="C38" s="859"/>
      <c r="D38" s="599"/>
      <c r="E38" s="599"/>
      <c r="F38" s="599"/>
      <c r="G38" s="599"/>
      <c r="H38" s="599"/>
      <c r="I38" s="632"/>
      <c r="J38" s="598">
        <f t="shared" si="2"/>
        <v>0</v>
      </c>
      <c r="K38" s="598">
        <f t="shared" si="1"/>
        <v>0</v>
      </c>
      <c r="L38" s="598">
        <f t="shared" si="1"/>
        <v>0</v>
      </c>
      <c r="M38" s="598">
        <f t="shared" si="1"/>
        <v>0</v>
      </c>
      <c r="N38" s="598">
        <f t="shared" si="1"/>
        <v>0</v>
      </c>
      <c r="O38" s="598">
        <f t="shared" si="1"/>
        <v>0</v>
      </c>
      <c r="P38" s="598"/>
      <c r="Q38" s="587"/>
      <c r="R38" s="2"/>
    </row>
    <row r="39" spans="1:18" ht="13.5">
      <c r="A39" s="582"/>
      <c r="B39" s="583" t="s">
        <v>751</v>
      </c>
      <c r="C39" s="859"/>
      <c r="D39" s="599"/>
      <c r="E39" s="599"/>
      <c r="F39" s="599"/>
      <c r="G39" s="599"/>
      <c r="H39" s="599"/>
      <c r="I39" s="632"/>
      <c r="J39" s="598">
        <f t="shared" si="2"/>
        <v>0</v>
      </c>
      <c r="K39" s="598">
        <f t="shared" si="1"/>
        <v>0</v>
      </c>
      <c r="L39" s="598">
        <f t="shared" si="1"/>
        <v>0</v>
      </c>
      <c r="M39" s="598">
        <f t="shared" si="1"/>
        <v>0</v>
      </c>
      <c r="N39" s="598">
        <f t="shared" si="1"/>
        <v>0</v>
      </c>
      <c r="O39" s="598">
        <f t="shared" si="1"/>
        <v>0</v>
      </c>
      <c r="P39" s="598"/>
      <c r="Q39" s="587"/>
      <c r="R39" s="2"/>
    </row>
    <row r="40" spans="1:18" ht="13.5">
      <c r="A40" s="582"/>
      <c r="B40" s="583" t="s">
        <v>752</v>
      </c>
      <c r="C40" s="859"/>
      <c r="D40" s="599"/>
      <c r="E40" s="599"/>
      <c r="F40" s="599"/>
      <c r="G40" s="599"/>
      <c r="H40" s="599"/>
      <c r="I40" s="632"/>
      <c r="J40" s="598">
        <f t="shared" si="2"/>
        <v>0</v>
      </c>
      <c r="K40" s="598">
        <f t="shared" si="1"/>
        <v>0</v>
      </c>
      <c r="L40" s="598">
        <f t="shared" si="1"/>
        <v>0</v>
      </c>
      <c r="M40" s="598">
        <f t="shared" si="1"/>
        <v>0</v>
      </c>
      <c r="N40" s="598">
        <f t="shared" si="1"/>
        <v>0</v>
      </c>
      <c r="O40" s="598">
        <f t="shared" si="1"/>
        <v>0</v>
      </c>
      <c r="P40" s="598"/>
      <c r="Q40" s="587"/>
      <c r="R40" s="2"/>
    </row>
    <row r="41" spans="1:18" ht="13.5">
      <c r="A41" s="582"/>
      <c r="B41" s="583" t="s">
        <v>753</v>
      </c>
      <c r="C41" s="859"/>
      <c r="D41" s="599"/>
      <c r="E41" s="599"/>
      <c r="F41" s="599"/>
      <c r="G41" s="599"/>
      <c r="H41" s="599"/>
      <c r="I41" s="632"/>
      <c r="J41" s="598">
        <f t="shared" si="2"/>
        <v>0</v>
      </c>
      <c r="K41" s="598">
        <f t="shared" si="1"/>
        <v>0</v>
      </c>
      <c r="L41" s="598">
        <f t="shared" si="1"/>
        <v>0</v>
      </c>
      <c r="M41" s="598">
        <f t="shared" si="1"/>
        <v>0</v>
      </c>
      <c r="N41" s="598">
        <f t="shared" si="1"/>
        <v>0</v>
      </c>
      <c r="O41" s="598">
        <f t="shared" si="1"/>
        <v>0</v>
      </c>
      <c r="P41" s="598"/>
      <c r="Q41" s="587"/>
      <c r="R41" s="2"/>
    </row>
    <row r="42" spans="1:18" ht="13.5">
      <c r="A42" s="582"/>
      <c r="B42" s="583" t="s">
        <v>754</v>
      </c>
      <c r="C42" s="859"/>
      <c r="D42" s="599"/>
      <c r="E42" s="599"/>
      <c r="F42" s="599"/>
      <c r="G42" s="599"/>
      <c r="H42" s="599"/>
      <c r="I42" s="632"/>
      <c r="J42" s="598">
        <f t="shared" si="2"/>
        <v>0</v>
      </c>
      <c r="K42" s="598">
        <f t="shared" si="1"/>
        <v>0</v>
      </c>
      <c r="L42" s="598">
        <f t="shared" si="1"/>
        <v>0</v>
      </c>
      <c r="M42" s="598">
        <f t="shared" si="1"/>
        <v>0</v>
      </c>
      <c r="N42" s="598">
        <f t="shared" si="1"/>
        <v>0</v>
      </c>
      <c r="O42" s="598">
        <f t="shared" si="1"/>
        <v>0</v>
      </c>
      <c r="P42" s="598"/>
      <c r="Q42" s="587"/>
      <c r="R42" s="2"/>
    </row>
    <row r="43" spans="1:18" ht="13.5">
      <c r="A43" s="582"/>
      <c r="B43" s="583" t="s">
        <v>755</v>
      </c>
      <c r="C43" s="859"/>
      <c r="D43" s="599"/>
      <c r="E43" s="599"/>
      <c r="F43" s="599"/>
      <c r="G43" s="599"/>
      <c r="H43" s="599"/>
      <c r="I43" s="632"/>
      <c r="J43" s="598">
        <f t="shared" si="2"/>
        <v>0</v>
      </c>
      <c r="K43" s="598">
        <f t="shared" si="1"/>
        <v>0</v>
      </c>
      <c r="L43" s="598">
        <f t="shared" si="1"/>
        <v>0</v>
      </c>
      <c r="M43" s="598">
        <f t="shared" si="1"/>
        <v>0</v>
      </c>
      <c r="N43" s="598">
        <f t="shared" si="1"/>
        <v>0</v>
      </c>
      <c r="O43" s="598">
        <f t="shared" si="1"/>
        <v>0</v>
      </c>
      <c r="P43" s="598"/>
      <c r="Q43" s="587"/>
      <c r="R43" s="2"/>
    </row>
    <row r="44" spans="1:18" ht="13.5">
      <c r="A44" s="582"/>
      <c r="B44" s="583" t="s">
        <v>972</v>
      </c>
      <c r="C44" s="598">
        <f t="shared" ref="C44:H44" si="3">SUM(C32:C43)</f>
        <v>0</v>
      </c>
      <c r="D44" s="598">
        <f t="shared" si="3"/>
        <v>0</v>
      </c>
      <c r="E44" s="598">
        <f t="shared" si="3"/>
        <v>0</v>
      </c>
      <c r="F44" s="598">
        <f t="shared" si="3"/>
        <v>0</v>
      </c>
      <c r="G44" s="598">
        <f t="shared" si="3"/>
        <v>0</v>
      </c>
      <c r="H44" s="598">
        <f t="shared" si="3"/>
        <v>0</v>
      </c>
      <c r="I44" s="598" t="s">
        <v>81</v>
      </c>
      <c r="J44" s="598">
        <f t="shared" ref="J44:O44" si="4">AVERAGE(J32:J43)</f>
        <v>0</v>
      </c>
      <c r="K44" s="598">
        <f t="shared" si="4"/>
        <v>0</v>
      </c>
      <c r="L44" s="598">
        <f t="shared" si="4"/>
        <v>0</v>
      </c>
      <c r="M44" s="598">
        <f t="shared" si="4"/>
        <v>0</v>
      </c>
      <c r="N44" s="598">
        <f t="shared" si="4"/>
        <v>0</v>
      </c>
      <c r="O44" s="598">
        <f t="shared" si="4"/>
        <v>0</v>
      </c>
      <c r="P44" s="598"/>
      <c r="Q44" s="619"/>
      <c r="R44" s="2"/>
    </row>
    <row r="45" spans="1:18" ht="13.5">
      <c r="A45" s="582"/>
      <c r="C45" s="583"/>
      <c r="D45" s="424"/>
      <c r="E45" s="424"/>
      <c r="F45" s="424"/>
      <c r="G45" s="424"/>
      <c r="H45" s="424"/>
      <c r="I45" s="424"/>
      <c r="J45" s="424"/>
      <c r="K45" s="424"/>
      <c r="L45" s="600"/>
      <c r="M45" s="583"/>
      <c r="N45" s="583"/>
      <c r="O45" s="583"/>
      <c r="Q45" s="587"/>
      <c r="R45" s="2"/>
    </row>
    <row r="46" spans="1:18" ht="13.5">
      <c r="A46" s="582"/>
      <c r="B46" s="583" t="s">
        <v>83</v>
      </c>
      <c r="C46" s="583"/>
      <c r="D46" s="424"/>
      <c r="E46" s="424"/>
      <c r="F46" s="424"/>
      <c r="G46" s="424"/>
      <c r="H46" s="424"/>
      <c r="I46" s="424"/>
      <c r="J46" s="583"/>
      <c r="K46" s="634" t="s">
        <v>82</v>
      </c>
      <c r="L46" s="424"/>
      <c r="M46" s="598">
        <f>SUM(J44:O44)</f>
        <v>0</v>
      </c>
      <c r="N46" s="598"/>
      <c r="O46" s="598"/>
      <c r="Q46" s="619"/>
      <c r="R46" s="2"/>
    </row>
    <row r="47" spans="1:18" ht="13.5">
      <c r="A47" s="582"/>
      <c r="B47" s="583"/>
      <c r="C47" s="583"/>
      <c r="D47" s="424"/>
      <c r="E47" s="424"/>
      <c r="F47" s="424"/>
      <c r="G47" s="424"/>
      <c r="H47" s="424"/>
      <c r="I47" s="424"/>
      <c r="J47" s="583"/>
      <c r="K47" s="583"/>
      <c r="L47" s="424"/>
      <c r="M47" s="598"/>
      <c r="N47" s="583"/>
      <c r="O47" s="598"/>
      <c r="Q47" s="619"/>
      <c r="R47" s="2"/>
    </row>
    <row r="48" spans="1:18" ht="13.5">
      <c r="A48" s="582"/>
      <c r="B48" s="582"/>
      <c r="C48" s="582"/>
      <c r="D48" s="583"/>
      <c r="E48" s="583"/>
      <c r="F48" s="424"/>
      <c r="G48" s="424"/>
      <c r="H48" s="424"/>
      <c r="I48" s="424"/>
      <c r="J48" s="583"/>
      <c r="L48" s="424"/>
      <c r="M48" s="601"/>
      <c r="N48" s="601"/>
      <c r="O48" s="602"/>
      <c r="Q48" s="587"/>
      <c r="R48" s="2"/>
    </row>
    <row r="49" spans="1:19" ht="13.5">
      <c r="A49" s="582">
        <v>3</v>
      </c>
      <c r="B49" s="582" t="s">
        <v>742</v>
      </c>
      <c r="C49" s="582" t="s">
        <v>717</v>
      </c>
      <c r="D49" s="589" t="s">
        <v>1294</v>
      </c>
      <c r="E49" s="583"/>
      <c r="F49" s="583"/>
      <c r="G49" s="583"/>
      <c r="H49" s="583"/>
      <c r="I49" s="583"/>
      <c r="J49" s="583"/>
      <c r="K49" s="583"/>
      <c r="L49" s="598"/>
      <c r="M49" s="583"/>
      <c r="N49" s="583"/>
      <c r="O49" s="583"/>
      <c r="P49" s="583"/>
      <c r="Q49" s="583"/>
      <c r="R49" s="583"/>
      <c r="S49" s="583"/>
    </row>
    <row r="50" spans="1:19" ht="13.5">
      <c r="A50" s="582"/>
      <c r="B50" s="582"/>
      <c r="C50" s="582"/>
      <c r="D50" s="603">
        <f>D23</f>
        <v>0</v>
      </c>
      <c r="E50" s="1544"/>
      <c r="F50" s="1545"/>
      <c r="G50" s="1835" t="s">
        <v>1288</v>
      </c>
      <c r="H50" s="1545"/>
      <c r="I50" s="1546"/>
      <c r="J50" s="1546"/>
      <c r="K50" s="1546"/>
      <c r="L50" s="1545"/>
      <c r="M50" s="583"/>
      <c r="N50" s="583"/>
      <c r="O50" s="583"/>
      <c r="P50" s="583"/>
      <c r="Q50" s="583"/>
      <c r="R50" s="583"/>
      <c r="S50" s="583"/>
    </row>
    <row r="51" spans="1:19" ht="13.5">
      <c r="A51" s="582"/>
      <c r="B51" s="582"/>
      <c r="C51" s="582"/>
      <c r="D51" s="604"/>
      <c r="E51" s="1547"/>
      <c r="F51" s="1545"/>
      <c r="G51" s="1836"/>
      <c r="H51" s="1545"/>
      <c r="I51" s="1546"/>
      <c r="J51" s="1546"/>
      <c r="K51" s="1546"/>
      <c r="L51" s="1546"/>
      <c r="M51" s="583"/>
      <c r="N51" s="583"/>
      <c r="O51" s="583"/>
      <c r="P51" s="583"/>
      <c r="Q51" s="583"/>
      <c r="R51" s="583"/>
      <c r="S51" s="583"/>
    </row>
    <row r="52" spans="1:19" ht="13.5">
      <c r="A52" s="582">
        <v>4</v>
      </c>
      <c r="B52" s="582" t="s">
        <v>743</v>
      </c>
      <c r="C52" s="582" t="s">
        <v>717</v>
      </c>
      <c r="D52" s="583" t="s">
        <v>1084</v>
      </c>
      <c r="E52" s="1546"/>
      <c r="F52" s="1546"/>
      <c r="G52" s="1837"/>
      <c r="H52" s="1546"/>
      <c r="I52" s="1546"/>
      <c r="J52" s="1546"/>
      <c r="K52" s="1546"/>
      <c r="L52" s="1546"/>
      <c r="M52" s="583"/>
      <c r="N52" s="583"/>
      <c r="O52" s="583"/>
      <c r="P52" s="583"/>
      <c r="Q52" s="583"/>
      <c r="R52" s="583"/>
      <c r="S52" s="583"/>
    </row>
    <row r="53" spans="1:19" ht="13.5">
      <c r="A53" s="582"/>
      <c r="B53" s="582"/>
      <c r="C53" s="582"/>
      <c r="D53" s="594">
        <f>D50</f>
        <v>0</v>
      </c>
      <c r="E53" s="1548"/>
      <c r="F53" s="1549"/>
      <c r="G53" s="1835" t="s">
        <v>1288</v>
      </c>
      <c r="H53" s="1546"/>
      <c r="I53" s="1546"/>
      <c r="J53" s="1546"/>
      <c r="K53" s="1546"/>
      <c r="L53" s="1546"/>
      <c r="M53" s="583"/>
      <c r="N53" s="583"/>
      <c r="O53" s="583"/>
      <c r="P53" s="583"/>
      <c r="Q53" s="583"/>
      <c r="R53" s="583"/>
      <c r="S53" s="583"/>
    </row>
    <row r="54" spans="1:19" ht="13.5">
      <c r="A54" s="582"/>
      <c r="B54" s="582"/>
      <c r="C54" s="582"/>
      <c r="D54" s="605"/>
      <c r="E54" s="1546"/>
      <c r="F54" s="1546"/>
      <c r="G54" s="1837"/>
      <c r="H54" s="1546"/>
      <c r="I54" s="1546"/>
      <c r="J54" s="1546"/>
      <c r="K54" s="1546"/>
      <c r="L54" s="1546"/>
      <c r="M54" s="583"/>
      <c r="N54" s="583"/>
      <c r="O54" s="583"/>
      <c r="P54" s="583"/>
      <c r="Q54" s="583"/>
      <c r="R54" s="583"/>
      <c r="S54" s="583"/>
    </row>
    <row r="55" spans="1:19" ht="13.5">
      <c r="A55" s="582">
        <v>5</v>
      </c>
      <c r="B55" s="582" t="s">
        <v>744</v>
      </c>
      <c r="C55" s="582" t="s">
        <v>717</v>
      </c>
      <c r="D55" s="586" t="s">
        <v>1295</v>
      </c>
      <c r="E55" s="1546"/>
      <c r="F55" s="1546"/>
      <c r="G55" s="1837"/>
      <c r="H55" s="1546"/>
      <c r="I55" s="1546"/>
      <c r="J55" s="1546"/>
      <c r="K55" s="1546"/>
      <c r="L55" s="1546"/>
      <c r="M55" s="583"/>
      <c r="N55" s="583"/>
      <c r="O55" s="583"/>
      <c r="P55" s="583"/>
      <c r="Q55" s="583"/>
      <c r="R55" s="583"/>
      <c r="S55" s="583"/>
    </row>
    <row r="56" spans="1:19" ht="13.5">
      <c r="A56" s="582"/>
      <c r="B56" s="582"/>
      <c r="C56" s="582"/>
      <c r="D56" s="603">
        <f>D53</f>
        <v>0</v>
      </c>
      <c r="E56" s="583"/>
      <c r="F56" s="583"/>
      <c r="G56" s="1837"/>
      <c r="H56" s="583"/>
      <c r="I56" s="583"/>
      <c r="J56" s="583"/>
      <c r="K56" s="583"/>
      <c r="L56" s="583"/>
      <c r="M56" s="583"/>
      <c r="N56" s="583"/>
      <c r="O56" s="583"/>
      <c r="P56" s="583"/>
      <c r="Q56" s="583"/>
      <c r="R56" s="583"/>
      <c r="S56" s="583"/>
    </row>
    <row r="57" spans="1:19" ht="13.5">
      <c r="A57" s="606"/>
      <c r="B57" s="606"/>
      <c r="C57" s="606"/>
      <c r="D57" s="607"/>
      <c r="E57" s="607"/>
      <c r="F57" s="607"/>
      <c r="G57" s="1838"/>
      <c r="H57" s="607"/>
      <c r="I57" s="607"/>
      <c r="J57" s="607"/>
      <c r="K57" s="607"/>
      <c r="L57" s="583"/>
      <c r="M57" s="583"/>
      <c r="N57" s="583"/>
      <c r="O57" s="583"/>
      <c r="P57" s="583"/>
      <c r="Q57" s="583"/>
      <c r="R57" s="583"/>
      <c r="S57" s="583"/>
    </row>
    <row r="58" spans="1:19" ht="15.75">
      <c r="A58" s="606"/>
      <c r="B58" s="606"/>
      <c r="C58" s="606"/>
      <c r="D58" s="607"/>
      <c r="E58" s="607"/>
      <c r="F58" s="607"/>
      <c r="G58" s="1838"/>
      <c r="H58" s="607"/>
      <c r="I58" s="607"/>
      <c r="J58" s="608"/>
      <c r="K58" s="607"/>
      <c r="L58" s="583"/>
      <c r="M58" s="583"/>
      <c r="N58" s="583"/>
      <c r="O58" s="583"/>
      <c r="P58" s="583"/>
      <c r="Q58" s="583"/>
      <c r="R58" s="583"/>
      <c r="S58" s="583"/>
    </row>
    <row r="59" spans="1:19" ht="15.75">
      <c r="A59" s="606"/>
      <c r="B59" s="606"/>
      <c r="C59" s="606"/>
      <c r="D59" s="607"/>
      <c r="E59" s="607"/>
      <c r="F59" s="607"/>
      <c r="G59" s="1838"/>
      <c r="H59" s="607"/>
      <c r="I59" s="607"/>
      <c r="J59" s="608"/>
      <c r="K59" s="607"/>
      <c r="L59" s="583"/>
      <c r="M59" s="583"/>
      <c r="N59" s="583"/>
      <c r="O59" s="583"/>
      <c r="P59" s="583"/>
      <c r="Q59" s="583"/>
      <c r="R59" s="583"/>
      <c r="S59" s="583"/>
    </row>
    <row r="60" spans="1:19" ht="13.5">
      <c r="A60" s="582">
        <v>6</v>
      </c>
      <c r="B60" s="582" t="s">
        <v>742</v>
      </c>
      <c r="C60" s="582" t="s">
        <v>718</v>
      </c>
      <c r="D60" s="589" t="s">
        <v>1296</v>
      </c>
      <c r="E60" s="583"/>
      <c r="F60" s="583"/>
      <c r="G60" s="1837"/>
      <c r="H60" s="583"/>
      <c r="I60" s="583"/>
      <c r="J60" s="583"/>
      <c r="K60" s="583"/>
      <c r="L60" s="583"/>
      <c r="M60" s="583"/>
      <c r="N60" s="583"/>
      <c r="O60" s="583"/>
      <c r="P60" s="583"/>
      <c r="Q60" s="583"/>
      <c r="R60" s="583"/>
      <c r="S60" s="583"/>
    </row>
    <row r="61" spans="1:19" ht="13.5">
      <c r="A61" s="582"/>
      <c r="B61" s="582"/>
      <c r="C61" s="582"/>
      <c r="D61" s="609">
        <v>0</v>
      </c>
      <c r="E61" s="583" t="s">
        <v>773</v>
      </c>
      <c r="F61" s="583"/>
      <c r="G61" s="1835" t="s">
        <v>1288</v>
      </c>
      <c r="H61" s="583"/>
      <c r="I61" s="583"/>
      <c r="J61" s="424"/>
      <c r="K61" s="583"/>
      <c r="L61" s="583"/>
      <c r="M61" s="583"/>
      <c r="N61" s="583"/>
      <c r="O61" s="583"/>
      <c r="P61" s="583"/>
      <c r="Q61" s="583"/>
      <c r="R61" s="583"/>
      <c r="S61" s="583"/>
    </row>
    <row r="62" spans="1:19" ht="13.5">
      <c r="A62" s="582"/>
      <c r="B62" s="582"/>
      <c r="C62" s="582"/>
      <c r="D62" s="610"/>
      <c r="E62" s="583"/>
      <c r="F62" s="583"/>
      <c r="G62" s="1839"/>
      <c r="H62" s="583"/>
      <c r="I62" s="583"/>
      <c r="J62" s="583"/>
      <c r="K62" s="583"/>
      <c r="L62" s="583"/>
      <c r="M62" s="583"/>
      <c r="N62" s="583"/>
      <c r="O62" s="583"/>
      <c r="P62" s="583"/>
      <c r="Q62" s="583"/>
      <c r="R62" s="583"/>
      <c r="S62" s="583"/>
    </row>
    <row r="63" spans="1:19" ht="13.5">
      <c r="A63" s="582"/>
      <c r="B63" s="582"/>
      <c r="C63" s="582"/>
      <c r="D63" s="611"/>
      <c r="E63" s="583"/>
      <c r="F63" s="583"/>
      <c r="G63" s="1837"/>
      <c r="H63" s="583"/>
      <c r="I63" s="583"/>
      <c r="J63" s="583"/>
      <c r="K63" s="583"/>
      <c r="L63" s="583"/>
      <c r="M63" s="583"/>
      <c r="N63" s="583"/>
      <c r="O63" s="583"/>
      <c r="P63" s="583"/>
      <c r="Q63" s="583"/>
      <c r="R63" s="583"/>
      <c r="S63" s="583"/>
    </row>
    <row r="64" spans="1:19" ht="13.5">
      <c r="A64" s="582"/>
      <c r="B64" s="582"/>
      <c r="C64" s="582"/>
      <c r="D64" s="583"/>
      <c r="E64" s="583"/>
      <c r="F64" s="583"/>
      <c r="G64" s="1837"/>
      <c r="H64" s="598"/>
      <c r="I64" s="583"/>
      <c r="J64" s="583"/>
      <c r="K64" s="583"/>
      <c r="L64" s="583"/>
      <c r="M64" s="583"/>
      <c r="N64" s="583"/>
      <c r="O64" s="583"/>
      <c r="P64" s="583"/>
      <c r="Q64" s="583"/>
      <c r="R64" s="583"/>
      <c r="S64" s="583"/>
    </row>
    <row r="65" spans="1:19" ht="13.5">
      <c r="A65" s="582">
        <v>7</v>
      </c>
      <c r="B65" s="582" t="s">
        <v>742</v>
      </c>
      <c r="C65" s="582" t="s">
        <v>718</v>
      </c>
      <c r="D65" s="589" t="str">
        <f>+'6 - Est and True up'!D65</f>
        <v>Reconciliation</v>
      </c>
      <c r="E65" s="590"/>
      <c r="F65" s="590"/>
      <c r="G65" s="1840"/>
      <c r="H65" s="590"/>
      <c r="I65" s="590"/>
      <c r="J65" s="590"/>
      <c r="K65" s="583"/>
      <c r="L65" s="583"/>
      <c r="M65" s="583"/>
      <c r="N65" s="583"/>
      <c r="O65" s="583"/>
      <c r="P65" s="583"/>
      <c r="Q65" s="583"/>
      <c r="R65" s="583"/>
      <c r="S65" s="583"/>
    </row>
    <row r="66" spans="1:19" ht="13.5">
      <c r="A66" s="582"/>
      <c r="B66" s="582"/>
      <c r="C66" s="582"/>
      <c r="D66" s="612"/>
      <c r="E66" s="613"/>
      <c r="F66" s="613"/>
      <c r="G66" s="1841"/>
      <c r="H66" s="590"/>
      <c r="I66" s="590"/>
      <c r="J66" s="590"/>
      <c r="K66" s="583"/>
      <c r="L66" s="583"/>
      <c r="M66" s="583"/>
      <c r="N66" s="583"/>
      <c r="O66" s="583"/>
      <c r="P66" s="583"/>
      <c r="Q66" s="583"/>
      <c r="R66" s="583"/>
      <c r="S66" s="583"/>
    </row>
    <row r="67" spans="1:19" ht="13.5">
      <c r="A67" s="582"/>
      <c r="B67" s="583"/>
      <c r="C67" s="583"/>
      <c r="D67" s="424"/>
      <c r="E67" s="424"/>
      <c r="F67" s="424"/>
      <c r="G67" s="1842"/>
      <c r="H67" s="424"/>
      <c r="I67" s="424"/>
      <c r="J67" s="583"/>
      <c r="K67" s="583"/>
      <c r="L67" s="598"/>
      <c r="M67" s="583"/>
      <c r="N67" s="424"/>
      <c r="O67" s="583"/>
      <c r="P67" s="583"/>
      <c r="Q67" s="587"/>
      <c r="R67" s="628"/>
      <c r="S67" s="628"/>
    </row>
    <row r="68" spans="1:19" ht="13.5">
      <c r="A68" s="582"/>
      <c r="B68" s="582"/>
      <c r="C68" s="582"/>
      <c r="D68" s="609">
        <f>'ATT H-1 '!K282</f>
        <v>17046289.654455557</v>
      </c>
      <c r="E68" s="615" t="s">
        <v>1102</v>
      </c>
      <c r="F68" s="583"/>
      <c r="G68" s="1835" t="s">
        <v>1288</v>
      </c>
      <c r="H68" s="583"/>
      <c r="I68" s="583"/>
      <c r="J68" s="583"/>
      <c r="K68" s="583"/>
      <c r="L68" s="598"/>
      <c r="M68" s="583"/>
      <c r="N68" s="424"/>
      <c r="O68" s="617"/>
      <c r="P68" s="618"/>
      <c r="Q68" s="618"/>
      <c r="R68" s="618"/>
      <c r="S68" s="587"/>
    </row>
    <row r="69" spans="1:19" ht="13.5">
      <c r="A69" s="425"/>
      <c r="B69" s="582"/>
      <c r="C69" s="582"/>
      <c r="D69" s="424"/>
      <c r="E69" s="583" t="s">
        <v>1122</v>
      </c>
      <c r="F69" s="583"/>
      <c r="G69" s="587"/>
      <c r="H69" s="619"/>
      <c r="I69" s="587"/>
      <c r="J69" s="583"/>
      <c r="K69" s="583"/>
      <c r="L69" s="583"/>
      <c r="M69" s="583"/>
      <c r="N69" s="583"/>
      <c r="O69" s="583"/>
      <c r="P69" s="583"/>
      <c r="Q69" s="583"/>
      <c r="R69" s="583"/>
      <c r="S69" s="583"/>
    </row>
    <row r="70" spans="1:19" ht="13.5">
      <c r="A70" s="582"/>
      <c r="B70" s="582"/>
      <c r="C70" s="582"/>
      <c r="D70" s="615"/>
      <c r="E70" s="583"/>
      <c r="F70" s="583"/>
      <c r="G70" s="587"/>
      <c r="H70" s="619"/>
      <c r="I70" s="587"/>
      <c r="J70" s="583"/>
      <c r="K70" s="583"/>
      <c r="L70" s="583"/>
      <c r="M70" s="583"/>
      <c r="N70" s="583"/>
      <c r="O70" s="583"/>
      <c r="P70" s="583"/>
      <c r="Q70" s="583"/>
      <c r="R70" s="583"/>
      <c r="S70" s="583"/>
    </row>
    <row r="71" spans="1:19" ht="13.5">
      <c r="A71" s="425"/>
      <c r="B71" s="582"/>
      <c r="C71" s="582"/>
      <c r="D71" s="620">
        <v>0</v>
      </c>
      <c r="E71" s="583" t="s">
        <v>487</v>
      </c>
      <c r="F71" s="583"/>
      <c r="G71" s="587"/>
      <c r="H71" s="619"/>
      <c r="I71" s="587"/>
      <c r="J71" s="583"/>
      <c r="K71" s="583"/>
      <c r="L71" s="583"/>
      <c r="M71" s="583"/>
      <c r="N71" s="583"/>
      <c r="O71" s="583"/>
      <c r="P71" s="583"/>
      <c r="Q71" s="583"/>
      <c r="R71" s="583"/>
      <c r="S71" s="583"/>
    </row>
    <row r="72" spans="1:19" ht="13.5">
      <c r="A72" s="425"/>
      <c r="B72" s="582"/>
      <c r="C72" s="582"/>
      <c r="D72" s="424"/>
      <c r="E72" s="583"/>
      <c r="F72" s="583"/>
      <c r="G72" s="587"/>
      <c r="H72" s="619"/>
      <c r="I72" s="587"/>
      <c r="J72" s="583"/>
      <c r="K72" s="583"/>
      <c r="L72" s="583"/>
      <c r="M72" s="583"/>
      <c r="N72" s="583"/>
      <c r="O72" s="583"/>
      <c r="P72" s="583"/>
      <c r="Q72" s="583"/>
      <c r="R72" s="583"/>
      <c r="S72" s="583"/>
    </row>
    <row r="73" spans="1:19" ht="13.5">
      <c r="A73" s="582"/>
      <c r="B73" s="582"/>
      <c r="C73" s="582"/>
      <c r="D73" s="615"/>
      <c r="E73" s="583"/>
      <c r="F73" s="583"/>
      <c r="G73" s="587"/>
      <c r="H73" s="619"/>
      <c r="I73" s="587"/>
      <c r="J73" s="583"/>
      <c r="K73" s="583"/>
      <c r="L73" s="583"/>
      <c r="M73" s="583"/>
      <c r="N73" s="583"/>
      <c r="O73" s="583"/>
      <c r="P73" s="583"/>
      <c r="Q73" s="583"/>
      <c r="R73" s="583"/>
      <c r="S73" s="583"/>
    </row>
    <row r="74" spans="1:19" ht="13.5">
      <c r="A74" s="582">
        <v>8</v>
      </c>
      <c r="B74" s="582" t="s">
        <v>742</v>
      </c>
      <c r="C74" s="582" t="s">
        <v>718</v>
      </c>
      <c r="D74" s="589" t="str">
        <f>+'6 - Est and True up'!D75</f>
        <v>True-Up Adjustment</v>
      </c>
      <c r="E74" s="583"/>
      <c r="F74" s="583"/>
      <c r="G74" s="583"/>
      <c r="H74" s="583"/>
      <c r="I74" s="583"/>
      <c r="J74" s="583"/>
      <c r="K74" s="583"/>
      <c r="L74" s="583"/>
      <c r="M74" s="583"/>
      <c r="N74" s="583"/>
      <c r="O74" s="583"/>
      <c r="P74" s="583"/>
      <c r="Q74" s="583"/>
      <c r="R74" s="583"/>
      <c r="S74" s="583"/>
    </row>
    <row r="75" spans="1:19" ht="13.5">
      <c r="A75" s="582"/>
      <c r="B75" s="582"/>
      <c r="C75" s="582"/>
      <c r="D75" s="589"/>
      <c r="E75" s="583"/>
      <c r="F75" s="583"/>
      <c r="G75" s="583"/>
      <c r="H75" s="583"/>
      <c r="I75" s="583"/>
      <c r="J75" s="583"/>
      <c r="K75" s="583"/>
      <c r="L75" s="583"/>
      <c r="M75" s="583"/>
      <c r="N75" s="583"/>
      <c r="O75" s="583"/>
      <c r="P75" s="583"/>
      <c r="Q75" s="583"/>
      <c r="R75" s="583"/>
      <c r="S75" s="583"/>
    </row>
    <row r="76" spans="1:19" ht="13.5">
      <c r="A76" s="585"/>
      <c r="B76" s="585"/>
      <c r="C76" s="582"/>
      <c r="D76" s="422" t="s">
        <v>1065</v>
      </c>
      <c r="E76" s="424"/>
      <c r="F76" s="424"/>
      <c r="G76" s="424"/>
      <c r="H76" s="424"/>
      <c r="I76" s="424"/>
      <c r="J76" s="424"/>
      <c r="K76" s="424"/>
      <c r="L76" s="583"/>
      <c r="M76" s="583"/>
      <c r="N76" s="583"/>
      <c r="O76" s="583"/>
      <c r="P76" s="583"/>
      <c r="Q76" s="583"/>
      <c r="R76" s="583"/>
      <c r="S76" s="583"/>
    </row>
    <row r="77" spans="1:19" ht="13.5">
      <c r="A77" s="585"/>
      <c r="B77" s="585"/>
      <c r="C77" s="582"/>
      <c r="D77" s="424"/>
      <c r="E77" s="583" t="s">
        <v>1123</v>
      </c>
      <c r="F77" s="583"/>
      <c r="G77" s="583"/>
      <c r="H77" s="583"/>
      <c r="I77" s="583"/>
      <c r="J77" s="583"/>
      <c r="K77" s="424"/>
      <c r="L77" s="583"/>
      <c r="M77" s="583"/>
      <c r="N77" s="583"/>
      <c r="O77" s="583"/>
      <c r="P77" s="583"/>
      <c r="Q77" s="583"/>
      <c r="R77" s="583"/>
      <c r="S77" s="583"/>
    </row>
    <row r="78" spans="1:19" ht="27">
      <c r="A78" s="585"/>
      <c r="B78" s="585"/>
      <c r="C78" s="582"/>
      <c r="D78" s="424"/>
      <c r="E78" s="842" t="s">
        <v>738</v>
      </c>
      <c r="F78" s="842" t="s">
        <v>1124</v>
      </c>
      <c r="G78" s="842" t="s">
        <v>1125</v>
      </c>
      <c r="H78" s="842" t="s">
        <v>1126</v>
      </c>
      <c r="I78" s="842" t="s">
        <v>1127</v>
      </c>
      <c r="J78" s="842" t="s">
        <v>1128</v>
      </c>
      <c r="K78" s="614"/>
      <c r="L78" s="583"/>
      <c r="M78" s="1822" t="s">
        <v>1300</v>
      </c>
      <c r="N78" s="635"/>
      <c r="O78" s="583"/>
      <c r="P78" s="583"/>
      <c r="Q78" s="583"/>
      <c r="R78" s="583"/>
      <c r="S78" s="583"/>
    </row>
    <row r="79" spans="1:19" ht="13.5">
      <c r="A79" s="585"/>
      <c r="B79" s="585"/>
      <c r="C79" s="582"/>
      <c r="D79" s="424"/>
      <c r="E79" s="583" t="s">
        <v>745</v>
      </c>
      <c r="F79" s="858">
        <v>2.2210000000000001</v>
      </c>
      <c r="G79" s="621">
        <f>'WKSHT4 - Monthly Tx System Peak'!C57</f>
        <v>663</v>
      </c>
      <c r="H79" s="636">
        <f>+F79*G79*1000</f>
        <v>1472523.0000000002</v>
      </c>
      <c r="I79" s="621">
        <v>0</v>
      </c>
      <c r="J79" s="636">
        <f>+H79-I79</f>
        <v>1472523.0000000002</v>
      </c>
      <c r="K79" s="424"/>
      <c r="L79" s="583"/>
      <c r="M79" s="1378">
        <v>182690</v>
      </c>
      <c r="N79" s="621" t="s">
        <v>1416</v>
      </c>
      <c r="O79" s="583"/>
      <c r="P79" s="583"/>
      <c r="Q79" s="583"/>
      <c r="R79" s="583"/>
      <c r="S79" s="583"/>
    </row>
    <row r="80" spans="1:19" ht="13.5">
      <c r="A80" s="585"/>
      <c r="B80" s="585"/>
      <c r="C80" s="582"/>
      <c r="D80" s="424"/>
      <c r="E80" s="583" t="s">
        <v>746</v>
      </c>
      <c r="F80" s="858">
        <f>F79</f>
        <v>2.2210000000000001</v>
      </c>
      <c r="G80" s="621">
        <f>'WKSHT4 - Monthly Tx System Peak'!C58</f>
        <v>663</v>
      </c>
      <c r="H80" s="636">
        <f t="shared" ref="H80:H90" si="5">+F80*G80*1000</f>
        <v>1472523.0000000002</v>
      </c>
      <c r="I80" s="621">
        <v>0</v>
      </c>
      <c r="J80" s="636">
        <f t="shared" ref="J80:J90" si="6">+H80-I80</f>
        <v>1472523.0000000002</v>
      </c>
      <c r="K80" s="424"/>
      <c r="L80" s="583"/>
      <c r="M80" s="621"/>
      <c r="N80" s="621"/>
      <c r="O80" s="583"/>
      <c r="P80" s="583"/>
      <c r="Q80" s="583"/>
      <c r="R80" s="583"/>
      <c r="S80" s="583"/>
    </row>
    <row r="81" spans="1:19" ht="13.5">
      <c r="A81" s="585"/>
      <c r="B81" s="585"/>
      <c r="C81" s="582"/>
      <c r="D81" s="424"/>
      <c r="E81" s="583" t="s">
        <v>747</v>
      </c>
      <c r="F81" s="858">
        <f>F80</f>
        <v>2.2210000000000001</v>
      </c>
      <c r="G81" s="621">
        <f>'WKSHT4 - Monthly Tx System Peak'!C59</f>
        <v>663</v>
      </c>
      <c r="H81" s="636">
        <f t="shared" si="5"/>
        <v>1472523.0000000002</v>
      </c>
      <c r="I81" s="621">
        <v>0</v>
      </c>
      <c r="J81" s="636">
        <f t="shared" si="6"/>
        <v>1472523.0000000002</v>
      </c>
      <c r="K81" s="424"/>
      <c r="L81" s="583"/>
      <c r="M81" s="621"/>
      <c r="N81" s="621"/>
      <c r="O81" s="583"/>
      <c r="P81" s="583"/>
      <c r="Q81" s="583"/>
      <c r="R81" s="583"/>
      <c r="S81" s="583"/>
    </row>
    <row r="82" spans="1:19" ht="13.5">
      <c r="A82" s="585"/>
      <c r="B82" s="585"/>
      <c r="C82" s="582"/>
      <c r="D82" s="424"/>
      <c r="E82" s="583" t="s">
        <v>748</v>
      </c>
      <c r="F82" s="858">
        <f>F81</f>
        <v>2.2210000000000001</v>
      </c>
      <c r="G82" s="621">
        <f>'WKSHT4 - Monthly Tx System Peak'!C61</f>
        <v>663</v>
      </c>
      <c r="H82" s="636">
        <f>+F82*G82*1000</f>
        <v>1472523.0000000002</v>
      </c>
      <c r="I82" s="621">
        <v>0</v>
      </c>
      <c r="J82" s="636">
        <f t="shared" si="6"/>
        <v>1472523.0000000002</v>
      </c>
      <c r="K82" s="424"/>
      <c r="L82" s="583"/>
      <c r="M82" s="621"/>
      <c r="N82" s="621"/>
      <c r="O82" s="583"/>
      <c r="P82" s="583"/>
      <c r="Q82" s="583"/>
      <c r="R82" s="583"/>
      <c r="S82" s="583"/>
    </row>
    <row r="83" spans="1:19" ht="13.5">
      <c r="A83" s="585"/>
      <c r="B83" s="585"/>
      <c r="C83" s="582"/>
      <c r="D83" s="424"/>
      <c r="E83" s="583" t="s">
        <v>743</v>
      </c>
      <c r="F83" s="858">
        <f>F82</f>
        <v>2.2210000000000001</v>
      </c>
      <c r="G83" s="621">
        <f>'WKSHT4 - Monthly Tx System Peak'!C62</f>
        <v>663</v>
      </c>
      <c r="H83" s="636">
        <f>+F83*G83*1000</f>
        <v>1472523.0000000002</v>
      </c>
      <c r="I83" s="621">
        <v>0</v>
      </c>
      <c r="J83" s="636">
        <f t="shared" si="6"/>
        <v>1472523.0000000002</v>
      </c>
      <c r="K83" s="424"/>
      <c r="L83" s="583"/>
      <c r="M83" s="621"/>
      <c r="N83" s="621"/>
      <c r="O83" s="583"/>
      <c r="P83" s="583"/>
      <c r="Q83" s="583"/>
      <c r="R83" s="583"/>
      <c r="S83" s="583"/>
    </row>
    <row r="84" spans="1:19" ht="15.75">
      <c r="A84" s="585"/>
      <c r="B84" s="585"/>
      <c r="C84" s="582"/>
      <c r="D84" s="424"/>
      <c r="E84" s="583" t="s">
        <v>749</v>
      </c>
      <c r="F84" s="858">
        <v>2.6523069399967278</v>
      </c>
      <c r="G84" s="621">
        <f>'WKSHT4 - Monthly Tx System Peak'!C63</f>
        <v>663</v>
      </c>
      <c r="H84" s="636">
        <f t="shared" si="5"/>
        <v>1758479.5012178307</v>
      </c>
      <c r="I84" s="1378">
        <f>6523947/12</f>
        <v>543662.25</v>
      </c>
      <c r="J84" s="636">
        <f t="shared" si="6"/>
        <v>1214817.2512178307</v>
      </c>
      <c r="K84" s="424"/>
      <c r="L84" s="583"/>
      <c r="M84" s="1823">
        <f>SUM(M79:M83)</f>
        <v>182690</v>
      </c>
      <c r="N84" s="587" t="s">
        <v>1301</v>
      </c>
      <c r="O84" s="583"/>
      <c r="P84" s="583"/>
      <c r="Q84" s="583"/>
      <c r="R84" s="583"/>
      <c r="S84" s="583"/>
    </row>
    <row r="85" spans="1:19" ht="13.5">
      <c r="A85" s="585"/>
      <c r="B85" s="585"/>
      <c r="C85" s="582"/>
      <c r="D85" s="424"/>
      <c r="E85" s="583" t="s">
        <v>750</v>
      </c>
      <c r="F85" s="858">
        <f>F84</f>
        <v>2.6523069399967278</v>
      </c>
      <c r="G85" s="621">
        <f>'WKSHT4 - Monthly Tx System Peak'!C65</f>
        <v>663</v>
      </c>
      <c r="H85" s="636">
        <f t="shared" si="5"/>
        <v>1758479.5012178307</v>
      </c>
      <c r="I85" s="1378">
        <f t="shared" ref="I85:I90" si="7">I84</f>
        <v>543662.25</v>
      </c>
      <c r="J85" s="636">
        <f t="shared" si="6"/>
        <v>1214817.2512178307</v>
      </c>
      <c r="K85" s="424"/>
      <c r="L85" s="583"/>
      <c r="M85" s="583"/>
      <c r="N85" s="583"/>
      <c r="O85" s="583"/>
      <c r="P85" s="583"/>
      <c r="Q85" s="583"/>
      <c r="R85" s="583"/>
      <c r="S85" s="583"/>
    </row>
    <row r="86" spans="1:19" ht="13.5">
      <c r="A86" s="585"/>
      <c r="B86" s="585"/>
      <c r="C86" s="582"/>
      <c r="D86" s="424"/>
      <c r="E86" s="583" t="s">
        <v>751</v>
      </c>
      <c r="F86" s="858">
        <f>F84</f>
        <v>2.6523069399967278</v>
      </c>
      <c r="G86" s="621">
        <f>'WKSHT4 - Monthly Tx System Peak'!C66</f>
        <v>663</v>
      </c>
      <c r="H86" s="636">
        <f t="shared" si="5"/>
        <v>1758479.5012178307</v>
      </c>
      <c r="I86" s="1378">
        <f t="shared" si="7"/>
        <v>543662.25</v>
      </c>
      <c r="J86" s="636">
        <f t="shared" si="6"/>
        <v>1214817.2512178307</v>
      </c>
      <c r="K86" s="424"/>
      <c r="L86" s="583"/>
      <c r="M86" s="583"/>
      <c r="N86" s="583"/>
      <c r="O86" s="583"/>
      <c r="P86" s="583"/>
      <c r="Q86" s="583"/>
      <c r="R86" s="583"/>
      <c r="S86" s="583"/>
    </row>
    <row r="87" spans="1:19" ht="13.5">
      <c r="A87" s="585"/>
      <c r="B87" s="585"/>
      <c r="C87" s="582"/>
      <c r="D87" s="424"/>
      <c r="E87" s="583" t="s">
        <v>752</v>
      </c>
      <c r="F87" s="858">
        <f>F84</f>
        <v>2.6523069399967278</v>
      </c>
      <c r="G87" s="621">
        <f>'WKSHT4 - Monthly Tx System Peak'!C67</f>
        <v>663</v>
      </c>
      <c r="H87" s="636">
        <f t="shared" si="5"/>
        <v>1758479.5012178307</v>
      </c>
      <c r="I87" s="1378">
        <f t="shared" si="7"/>
        <v>543662.25</v>
      </c>
      <c r="J87" s="636">
        <f t="shared" si="6"/>
        <v>1214817.2512178307</v>
      </c>
      <c r="K87" s="424"/>
      <c r="L87" s="583"/>
      <c r="M87" s="583"/>
      <c r="N87" s="583"/>
      <c r="O87" s="583"/>
      <c r="P87" s="583"/>
      <c r="Q87" s="583"/>
      <c r="R87" s="583"/>
      <c r="S87" s="583"/>
    </row>
    <row r="88" spans="1:19" ht="13.5">
      <c r="A88" s="585"/>
      <c r="B88" s="585"/>
      <c r="C88" s="582"/>
      <c r="D88" s="424"/>
      <c r="E88" s="583" t="s">
        <v>753</v>
      </c>
      <c r="F88" s="858">
        <f>F84</f>
        <v>2.6523069399967278</v>
      </c>
      <c r="G88" s="621">
        <f>'WKSHT4 - Monthly Tx System Peak'!C69</f>
        <v>663</v>
      </c>
      <c r="H88" s="636">
        <f t="shared" si="5"/>
        <v>1758479.5012178307</v>
      </c>
      <c r="I88" s="1378">
        <f t="shared" si="7"/>
        <v>543662.25</v>
      </c>
      <c r="J88" s="636">
        <f t="shared" si="6"/>
        <v>1214817.2512178307</v>
      </c>
      <c r="K88" s="424"/>
      <c r="L88" s="583"/>
      <c r="M88" s="583"/>
      <c r="N88" s="583"/>
      <c r="O88" s="583"/>
      <c r="P88" s="583"/>
      <c r="Q88" s="583"/>
      <c r="R88" s="583"/>
      <c r="S88" s="583"/>
    </row>
    <row r="89" spans="1:19" ht="13.5">
      <c r="A89" s="585"/>
      <c r="B89" s="585"/>
      <c r="C89" s="582"/>
      <c r="D89" s="424"/>
      <c r="E89" s="583" t="s">
        <v>754</v>
      </c>
      <c r="F89" s="858">
        <f>F84</f>
        <v>2.6523069399967278</v>
      </c>
      <c r="G89" s="621">
        <f>'WKSHT4 - Monthly Tx System Peak'!C70</f>
        <v>663</v>
      </c>
      <c r="H89" s="636">
        <f t="shared" si="5"/>
        <v>1758479.5012178307</v>
      </c>
      <c r="I89" s="1378">
        <f t="shared" si="7"/>
        <v>543662.25</v>
      </c>
      <c r="J89" s="636">
        <f t="shared" si="6"/>
        <v>1214817.2512178307</v>
      </c>
      <c r="K89" s="424"/>
      <c r="L89" s="583"/>
      <c r="M89" s="583"/>
      <c r="N89" s="583"/>
      <c r="O89" s="583"/>
      <c r="P89" s="583"/>
      <c r="Q89" s="583"/>
      <c r="R89" s="583"/>
      <c r="S89" s="583"/>
    </row>
    <row r="90" spans="1:19" ht="13.5">
      <c r="A90" s="585"/>
      <c r="B90" s="585"/>
      <c r="C90" s="582"/>
      <c r="D90" s="424"/>
      <c r="E90" s="583" t="s">
        <v>755</v>
      </c>
      <c r="F90" s="858">
        <f>F84</f>
        <v>2.6523069399967278</v>
      </c>
      <c r="G90" s="621">
        <f>'WKSHT4 - Monthly Tx System Peak'!C71</f>
        <v>663</v>
      </c>
      <c r="H90" s="636">
        <f t="shared" si="5"/>
        <v>1758479.5012178307</v>
      </c>
      <c r="I90" s="1378">
        <f t="shared" si="7"/>
        <v>543662.25</v>
      </c>
      <c r="J90" s="636">
        <f t="shared" si="6"/>
        <v>1214817.2512178307</v>
      </c>
      <c r="K90" s="424"/>
      <c r="L90" s="583"/>
      <c r="M90" s="583"/>
      <c r="N90" s="583"/>
      <c r="O90" s="583"/>
      <c r="P90" s="583"/>
      <c r="Q90" s="583"/>
      <c r="R90" s="583"/>
      <c r="S90" s="583"/>
    </row>
    <row r="91" spans="1:19" ht="13.5">
      <c r="A91" s="585"/>
      <c r="B91" s="585"/>
      <c r="C91" s="582"/>
      <c r="D91" s="583"/>
      <c r="E91" s="583" t="s">
        <v>1129</v>
      </c>
      <c r="F91" s="622"/>
      <c r="G91" s="622"/>
      <c r="H91" s="622"/>
      <c r="I91" s="622"/>
      <c r="J91" s="636">
        <f>SUM(J79:J90)</f>
        <v>15866335.758524816</v>
      </c>
      <c r="K91" s="424"/>
      <c r="L91" s="583"/>
      <c r="M91" s="583"/>
      <c r="N91" s="583"/>
      <c r="O91" s="583"/>
      <c r="P91" s="583"/>
      <c r="Q91" s="583"/>
      <c r="R91" s="583"/>
      <c r="S91" s="583"/>
    </row>
    <row r="92" spans="1:19" ht="13.5">
      <c r="A92" s="585"/>
      <c r="B92" s="585"/>
      <c r="C92" s="582"/>
      <c r="D92" s="583"/>
      <c r="E92" s="622"/>
      <c r="F92" s="622"/>
      <c r="G92" s="622"/>
      <c r="H92" s="622"/>
      <c r="I92" s="622"/>
      <c r="J92" s="424"/>
      <c r="K92" s="424"/>
      <c r="L92" s="583"/>
      <c r="M92" s="583"/>
      <c r="N92" s="583"/>
      <c r="O92" s="583"/>
      <c r="P92" s="583"/>
      <c r="Q92" s="583"/>
      <c r="R92" s="583"/>
      <c r="S92" s="583"/>
    </row>
    <row r="93" spans="1:19" ht="13.5">
      <c r="A93" s="585"/>
      <c r="B93" s="585"/>
      <c r="C93" s="582"/>
      <c r="D93" s="583"/>
      <c r="E93" s="622"/>
      <c r="F93" s="622"/>
      <c r="G93" s="622"/>
      <c r="H93" s="622"/>
      <c r="I93" s="622"/>
      <c r="J93" s="424"/>
      <c r="K93" s="424"/>
      <c r="L93" s="583"/>
      <c r="M93" s="583"/>
      <c r="N93" s="583"/>
      <c r="O93" s="583"/>
      <c r="P93" s="583"/>
      <c r="Q93" s="583"/>
      <c r="R93" s="583"/>
      <c r="S93" s="583"/>
    </row>
    <row r="94" spans="1:19" ht="13.5">
      <c r="A94" s="585"/>
      <c r="B94" s="585"/>
      <c r="C94" s="582"/>
      <c r="D94" s="589"/>
      <c r="E94" s="583"/>
      <c r="F94" s="424"/>
      <c r="G94" s="583"/>
      <c r="H94" s="583"/>
      <c r="I94" s="583"/>
      <c r="J94" s="583"/>
      <c r="K94" s="583"/>
      <c r="L94" s="583"/>
      <c r="M94" s="583"/>
      <c r="N94" s="583"/>
      <c r="O94" s="583"/>
      <c r="P94" s="583"/>
      <c r="Q94" s="583"/>
      <c r="R94" s="583"/>
      <c r="S94" s="583"/>
    </row>
    <row r="95" spans="1:19" ht="31.5">
      <c r="A95" s="585"/>
      <c r="B95" s="585"/>
      <c r="C95" s="582"/>
      <c r="D95" s="584" t="s">
        <v>1130</v>
      </c>
      <c r="E95" s="1825"/>
      <c r="F95" s="1825" t="s">
        <v>1105</v>
      </c>
      <c r="G95" s="583"/>
      <c r="H95" s="1826" t="s">
        <v>1302</v>
      </c>
      <c r="I95" s="583"/>
      <c r="J95" s="1827" t="s">
        <v>1303</v>
      </c>
      <c r="K95" s="185"/>
      <c r="L95" s="1828" t="s">
        <v>1304</v>
      </c>
      <c r="M95" s="583"/>
      <c r="N95" s="583"/>
      <c r="O95" s="583"/>
      <c r="P95" s="583"/>
      <c r="Q95" s="583"/>
      <c r="R95" s="583"/>
      <c r="S95" s="583"/>
    </row>
    <row r="96" spans="1:19" ht="15.75">
      <c r="A96" s="585"/>
      <c r="B96" s="585"/>
      <c r="C96" s="589" t="s">
        <v>1131</v>
      </c>
      <c r="D96" s="619">
        <f>D68</f>
        <v>17046289.654455557</v>
      </c>
      <c r="E96" s="582" t="s">
        <v>488</v>
      </c>
      <c r="F96" s="619">
        <f>J91</f>
        <v>15866335.758524816</v>
      </c>
      <c r="G96" s="582" t="s">
        <v>489</v>
      </c>
      <c r="H96" s="598">
        <f>D96-F96</f>
        <v>1179953.895930741</v>
      </c>
      <c r="I96" s="582" t="s">
        <v>488</v>
      </c>
      <c r="J96" s="1843">
        <f>M84</f>
        <v>182690</v>
      </c>
      <c r="K96" s="1821" t="s">
        <v>489</v>
      </c>
      <c r="L96" s="1803">
        <f>H96-J96</f>
        <v>997263.89593074098</v>
      </c>
      <c r="M96" s="183"/>
      <c r="N96" s="583"/>
      <c r="O96" s="583"/>
      <c r="P96" s="583"/>
      <c r="Q96" s="583"/>
      <c r="R96" s="583"/>
      <c r="S96" s="583"/>
    </row>
    <row r="97" spans="1:19" ht="15.75">
      <c r="A97" s="582"/>
      <c r="B97" s="582"/>
      <c r="C97" s="582"/>
      <c r="D97" s="623"/>
      <c r="E97" s="582"/>
      <c r="F97" s="598"/>
      <c r="G97" s="582"/>
      <c r="H97" s="598"/>
      <c r="I97" s="583"/>
      <c r="J97" s="176"/>
      <c r="K97" s="12"/>
      <c r="L97" s="12"/>
      <c r="M97" s="183"/>
      <c r="N97" s="583"/>
      <c r="O97" s="583"/>
      <c r="P97" s="583"/>
      <c r="Q97" s="583"/>
      <c r="R97" s="583"/>
      <c r="S97" s="583"/>
    </row>
    <row r="98" spans="1:19" ht="15.75">
      <c r="A98" s="582"/>
      <c r="B98" s="582"/>
      <c r="C98" s="582"/>
      <c r="D98" s="623"/>
      <c r="E98" s="582"/>
      <c r="F98" s="598"/>
      <c r="G98" s="582"/>
      <c r="H98" s="598"/>
      <c r="I98" s="583"/>
      <c r="J98" s="176"/>
      <c r="K98" s="12"/>
      <c r="L98" s="12"/>
      <c r="M98" s="183"/>
      <c r="N98" s="583"/>
      <c r="O98" s="583"/>
      <c r="P98" s="583"/>
      <c r="Q98" s="583"/>
      <c r="R98" s="583"/>
      <c r="S98" s="583"/>
    </row>
    <row r="99" spans="1:19" ht="15.75">
      <c r="A99" s="582"/>
      <c r="B99" s="582"/>
      <c r="C99" s="582"/>
      <c r="D99" s="1350" t="s">
        <v>756</v>
      </c>
      <c r="E99" s="585"/>
      <c r="F99" s="619"/>
      <c r="G99" s="582"/>
      <c r="H99" s="598"/>
      <c r="I99" s="583"/>
      <c r="J99" s="176"/>
      <c r="K99" s="12"/>
      <c r="L99" s="12"/>
      <c r="M99" s="183"/>
      <c r="N99" s="583"/>
      <c r="O99" s="583"/>
      <c r="P99" s="583"/>
      <c r="Q99" s="583"/>
      <c r="R99" s="583"/>
      <c r="S99" s="583"/>
    </row>
    <row r="100" spans="1:19" ht="15.75">
      <c r="A100" s="582"/>
      <c r="B100" s="582"/>
      <c r="C100" s="582"/>
      <c r="D100" s="1947" t="s">
        <v>1132</v>
      </c>
      <c r="E100" s="1947"/>
      <c r="F100" s="176">
        <f>'6 - Est and True up'!F119</f>
        <v>2.8999999999999998E-3</v>
      </c>
      <c r="G100" s="585"/>
      <c r="H100" s="619"/>
      <c r="I100" s="583"/>
      <c r="J100" s="176"/>
      <c r="K100" s="12"/>
      <c r="L100" s="12"/>
      <c r="M100" s="183"/>
      <c r="N100" s="583"/>
      <c r="O100" s="583"/>
      <c r="P100" s="583"/>
      <c r="Q100" s="583"/>
      <c r="R100" s="583"/>
      <c r="S100" s="583"/>
    </row>
    <row r="101" spans="1:19" ht="13.5">
      <c r="A101" s="582"/>
      <c r="B101" s="582"/>
      <c r="C101" s="582"/>
      <c r="D101" s="616" t="s">
        <v>738</v>
      </c>
      <c r="E101" s="582" t="s">
        <v>757</v>
      </c>
      <c r="F101" s="585" t="s">
        <v>1133</v>
      </c>
      <c r="G101" s="1800" t="s">
        <v>1134</v>
      </c>
      <c r="H101" s="585"/>
      <c r="I101" s="616" t="s">
        <v>758</v>
      </c>
      <c r="J101" s="586" t="s">
        <v>1135</v>
      </c>
      <c r="K101" s="583"/>
      <c r="L101" s="583"/>
      <c r="M101" s="583"/>
      <c r="N101" s="583"/>
      <c r="O101" s="583"/>
      <c r="P101" s="583"/>
      <c r="Q101" s="583"/>
      <c r="R101" s="583"/>
      <c r="S101" s="583"/>
    </row>
    <row r="102" spans="1:19" ht="13.5">
      <c r="A102" s="582"/>
      <c r="B102" s="582"/>
      <c r="C102" s="582"/>
      <c r="D102" s="582"/>
      <c r="E102" s="582"/>
      <c r="F102" s="585" t="s">
        <v>1136</v>
      </c>
      <c r="G102" s="585" t="s">
        <v>1137</v>
      </c>
      <c r="H102" s="585" t="s">
        <v>759</v>
      </c>
      <c r="I102" s="582"/>
      <c r="J102" s="582"/>
      <c r="K102" s="583" t="s">
        <v>1138</v>
      </c>
      <c r="L102" s="583"/>
      <c r="M102" s="583"/>
      <c r="N102" s="583"/>
      <c r="O102" s="583"/>
      <c r="P102" s="583"/>
      <c r="Q102" s="583"/>
      <c r="R102" s="583"/>
      <c r="S102" s="583"/>
    </row>
    <row r="103" spans="1:19" ht="13.5">
      <c r="A103" s="582"/>
      <c r="B103" s="582"/>
      <c r="C103" s="582"/>
      <c r="D103" s="583" t="s">
        <v>745</v>
      </c>
      <c r="E103" s="583" t="s">
        <v>427</v>
      </c>
      <c r="F103" s="1801">
        <f>L96/12</f>
        <v>83105.324660895087</v>
      </c>
      <c r="G103" s="1796">
        <f>+F100</f>
        <v>2.8999999999999998E-3</v>
      </c>
      <c r="H103" s="587">
        <v>12</v>
      </c>
      <c r="I103" s="593">
        <f>+F103*G103*H103</f>
        <v>2892.0652981991489</v>
      </c>
      <c r="J103" s="593">
        <f>+F103+I103</f>
        <v>85997.389959094231</v>
      </c>
      <c r="K103" s="583" t="s">
        <v>1139</v>
      </c>
      <c r="L103" s="583"/>
      <c r="M103" s="583"/>
      <c r="N103" s="583"/>
      <c r="O103" s="583"/>
      <c r="P103" s="583"/>
      <c r="Q103" s="583"/>
      <c r="R103" s="583"/>
      <c r="S103" s="583"/>
    </row>
    <row r="104" spans="1:19" ht="13.5">
      <c r="A104" s="582"/>
      <c r="B104" s="582"/>
      <c r="C104" s="582"/>
      <c r="D104" s="583" t="s">
        <v>746</v>
      </c>
      <c r="E104" s="583" t="s">
        <v>427</v>
      </c>
      <c r="F104" s="619">
        <f t="shared" ref="F104:G114" si="8">+F103</f>
        <v>83105.324660895087</v>
      </c>
      <c r="G104" s="1797">
        <f>+G103</f>
        <v>2.8999999999999998E-3</v>
      </c>
      <c r="H104" s="587">
        <v>11</v>
      </c>
      <c r="I104" s="593">
        <f t="shared" ref="I104:I114" si="9">+F104*G104*H104</f>
        <v>2651.0598566825529</v>
      </c>
      <c r="J104" s="593">
        <f t="shared" ref="J104:J114" si="10">+F104+I104</f>
        <v>85756.384517577637</v>
      </c>
      <c r="K104" s="583" t="s">
        <v>1140</v>
      </c>
      <c r="L104" s="583"/>
      <c r="M104" s="583"/>
      <c r="N104" s="583"/>
      <c r="O104" s="583"/>
      <c r="P104" s="583"/>
      <c r="Q104" s="583"/>
      <c r="R104" s="583"/>
      <c r="S104" s="583"/>
    </row>
    <row r="105" spans="1:19" ht="13.5">
      <c r="A105" s="582"/>
      <c r="B105" s="582"/>
      <c r="C105" s="582"/>
      <c r="D105" s="583" t="s">
        <v>747</v>
      </c>
      <c r="E105" s="583" t="s">
        <v>427</v>
      </c>
      <c r="F105" s="619">
        <f t="shared" si="8"/>
        <v>83105.324660895087</v>
      </c>
      <c r="G105" s="1797">
        <f t="shared" si="8"/>
        <v>2.8999999999999998E-3</v>
      </c>
      <c r="H105" s="587">
        <v>10</v>
      </c>
      <c r="I105" s="593">
        <f t="shared" si="9"/>
        <v>2410.0544151659574</v>
      </c>
      <c r="J105" s="593">
        <f t="shared" si="10"/>
        <v>85515.379076061043</v>
      </c>
      <c r="K105" s="583"/>
      <c r="L105" s="583"/>
      <c r="M105" s="583"/>
      <c r="N105" s="583"/>
      <c r="O105" s="583"/>
      <c r="P105" s="583"/>
      <c r="Q105" s="583"/>
      <c r="R105" s="583"/>
      <c r="S105" s="583"/>
    </row>
    <row r="106" spans="1:19" ht="13.5">
      <c r="A106" s="582"/>
      <c r="B106" s="582"/>
      <c r="C106" s="582"/>
      <c r="D106" s="583" t="s">
        <v>748</v>
      </c>
      <c r="E106" s="583" t="s">
        <v>427</v>
      </c>
      <c r="F106" s="619">
        <f t="shared" si="8"/>
        <v>83105.324660895087</v>
      </c>
      <c r="G106" s="1797">
        <f t="shared" si="8"/>
        <v>2.8999999999999998E-3</v>
      </c>
      <c r="H106" s="587">
        <v>9</v>
      </c>
      <c r="I106" s="593">
        <f t="shared" si="9"/>
        <v>2169.0489736493619</v>
      </c>
      <c r="J106" s="593">
        <f t="shared" si="10"/>
        <v>85274.373634544449</v>
      </c>
      <c r="K106" s="583"/>
      <c r="L106" s="583"/>
      <c r="M106" s="583"/>
      <c r="N106" s="583"/>
      <c r="O106" s="583"/>
      <c r="P106" s="583"/>
      <c r="Q106" s="583"/>
      <c r="R106" s="583"/>
      <c r="S106" s="583"/>
    </row>
    <row r="107" spans="1:19" ht="13.5">
      <c r="A107" s="582"/>
      <c r="B107" s="582"/>
      <c r="C107" s="582"/>
      <c r="D107" s="583" t="s">
        <v>743</v>
      </c>
      <c r="E107" s="583" t="s">
        <v>427</v>
      </c>
      <c r="F107" s="619">
        <f t="shared" si="8"/>
        <v>83105.324660895087</v>
      </c>
      <c r="G107" s="1797">
        <f t="shared" si="8"/>
        <v>2.8999999999999998E-3</v>
      </c>
      <c r="H107" s="587">
        <v>8</v>
      </c>
      <c r="I107" s="593">
        <f t="shared" si="9"/>
        <v>1928.0435321327659</v>
      </c>
      <c r="J107" s="593">
        <f t="shared" si="10"/>
        <v>85033.368193027854</v>
      </c>
      <c r="K107" s="583"/>
      <c r="L107" s="583"/>
      <c r="M107" s="583"/>
      <c r="N107" s="583"/>
      <c r="O107" s="583"/>
      <c r="P107" s="583"/>
      <c r="Q107" s="583"/>
      <c r="R107" s="583"/>
      <c r="S107" s="583"/>
    </row>
    <row r="108" spans="1:19" ht="13.5">
      <c r="A108" s="582"/>
      <c r="B108" s="582"/>
      <c r="C108" s="582"/>
      <c r="D108" s="583" t="s">
        <v>749</v>
      </c>
      <c r="E108" s="583" t="s">
        <v>427</v>
      </c>
      <c r="F108" s="619">
        <f t="shared" si="8"/>
        <v>83105.324660895087</v>
      </c>
      <c r="G108" s="1797">
        <f t="shared" si="8"/>
        <v>2.8999999999999998E-3</v>
      </c>
      <c r="H108" s="587">
        <v>7</v>
      </c>
      <c r="I108" s="593">
        <f t="shared" si="9"/>
        <v>1687.0380906161702</v>
      </c>
      <c r="J108" s="593">
        <f t="shared" si="10"/>
        <v>84792.36275151126</v>
      </c>
      <c r="K108" s="583"/>
      <c r="L108" s="583"/>
      <c r="M108" s="583"/>
      <c r="N108" s="583"/>
      <c r="O108" s="583"/>
      <c r="P108" s="583"/>
      <c r="Q108" s="583"/>
      <c r="R108" s="583"/>
      <c r="S108" s="583"/>
    </row>
    <row r="109" spans="1:19" ht="13.5">
      <c r="A109" s="582"/>
      <c r="B109" s="582"/>
      <c r="C109" s="582"/>
      <c r="D109" s="583" t="s">
        <v>750</v>
      </c>
      <c r="E109" s="583" t="s">
        <v>427</v>
      </c>
      <c r="F109" s="619">
        <f t="shared" si="8"/>
        <v>83105.324660895087</v>
      </c>
      <c r="G109" s="1797">
        <f t="shared" si="8"/>
        <v>2.8999999999999998E-3</v>
      </c>
      <c r="H109" s="587">
        <v>6</v>
      </c>
      <c r="I109" s="593">
        <f t="shared" si="9"/>
        <v>1446.0326490995744</v>
      </c>
      <c r="J109" s="593">
        <f t="shared" si="10"/>
        <v>84551.357309994666</v>
      </c>
      <c r="K109" s="583"/>
      <c r="L109" s="583"/>
      <c r="M109" s="583"/>
      <c r="N109" s="583"/>
      <c r="O109" s="583"/>
      <c r="P109" s="583"/>
      <c r="Q109" s="583"/>
      <c r="R109" s="583"/>
      <c r="S109" s="583"/>
    </row>
    <row r="110" spans="1:19" ht="13.5">
      <c r="A110" s="582"/>
      <c r="B110" s="582"/>
      <c r="C110" s="582"/>
      <c r="D110" s="583" t="s">
        <v>751</v>
      </c>
      <c r="E110" s="583" t="s">
        <v>717</v>
      </c>
      <c r="F110" s="619">
        <f t="shared" si="8"/>
        <v>83105.324660895087</v>
      </c>
      <c r="G110" s="1797">
        <f t="shared" si="8"/>
        <v>2.8999999999999998E-3</v>
      </c>
      <c r="H110" s="587">
        <v>5</v>
      </c>
      <c r="I110" s="593">
        <f t="shared" si="9"/>
        <v>1205.0272075829787</v>
      </c>
      <c r="J110" s="593">
        <f t="shared" si="10"/>
        <v>84310.351868478072</v>
      </c>
      <c r="K110" s="583"/>
      <c r="L110" s="583"/>
      <c r="M110" s="583"/>
      <c r="N110" s="583"/>
      <c r="O110" s="583"/>
      <c r="P110" s="583"/>
      <c r="Q110" s="583"/>
      <c r="R110" s="583"/>
      <c r="S110" s="583"/>
    </row>
    <row r="111" spans="1:19" ht="13.5">
      <c r="A111" s="582"/>
      <c r="B111" s="582"/>
      <c r="C111" s="582"/>
      <c r="D111" s="583" t="s">
        <v>752</v>
      </c>
      <c r="E111" s="583" t="s">
        <v>717</v>
      </c>
      <c r="F111" s="619">
        <f t="shared" si="8"/>
        <v>83105.324660895087</v>
      </c>
      <c r="G111" s="1797">
        <f t="shared" si="8"/>
        <v>2.8999999999999998E-3</v>
      </c>
      <c r="H111" s="587">
        <v>4</v>
      </c>
      <c r="I111" s="593">
        <f t="shared" si="9"/>
        <v>964.02176606638295</v>
      </c>
      <c r="J111" s="593">
        <f t="shared" si="10"/>
        <v>84069.346426961463</v>
      </c>
      <c r="K111" s="583"/>
      <c r="L111" s="583"/>
      <c r="M111" s="583"/>
      <c r="N111" s="583"/>
      <c r="O111" s="583"/>
      <c r="P111" s="583"/>
      <c r="Q111" s="583"/>
      <c r="R111" s="583"/>
      <c r="S111" s="583"/>
    </row>
    <row r="112" spans="1:19" ht="13.5">
      <c r="A112" s="582"/>
      <c r="B112" s="582"/>
      <c r="C112" s="582"/>
      <c r="D112" s="583" t="s">
        <v>753</v>
      </c>
      <c r="E112" s="583" t="s">
        <v>717</v>
      </c>
      <c r="F112" s="619">
        <f t="shared" si="8"/>
        <v>83105.324660895087</v>
      </c>
      <c r="G112" s="1797">
        <f t="shared" si="8"/>
        <v>2.8999999999999998E-3</v>
      </c>
      <c r="H112" s="587">
        <v>3</v>
      </c>
      <c r="I112" s="593">
        <f t="shared" si="9"/>
        <v>723.01632454978721</v>
      </c>
      <c r="J112" s="593">
        <f t="shared" si="10"/>
        <v>83828.340985444869</v>
      </c>
      <c r="K112" s="583"/>
      <c r="L112" s="583"/>
      <c r="M112" s="583"/>
      <c r="N112" s="583"/>
      <c r="O112" s="583"/>
      <c r="P112" s="583"/>
      <c r="Q112" s="583"/>
      <c r="R112" s="583"/>
      <c r="S112" s="583"/>
    </row>
    <row r="113" spans="1:19" ht="13.5">
      <c r="A113" s="582"/>
      <c r="B113" s="582"/>
      <c r="C113" s="582"/>
      <c r="D113" s="583" t="s">
        <v>754</v>
      </c>
      <c r="E113" s="583" t="s">
        <v>717</v>
      </c>
      <c r="F113" s="619">
        <f t="shared" si="8"/>
        <v>83105.324660895087</v>
      </c>
      <c r="G113" s="1797">
        <f t="shared" si="8"/>
        <v>2.8999999999999998E-3</v>
      </c>
      <c r="H113" s="587">
        <v>2</v>
      </c>
      <c r="I113" s="593">
        <f t="shared" si="9"/>
        <v>482.01088303319148</v>
      </c>
      <c r="J113" s="593">
        <f t="shared" si="10"/>
        <v>83587.335543928275</v>
      </c>
      <c r="K113" s="583"/>
      <c r="L113" s="583"/>
      <c r="M113" s="583"/>
      <c r="N113" s="583"/>
      <c r="O113" s="583"/>
      <c r="P113" s="583"/>
      <c r="Q113" s="583"/>
      <c r="R113" s="583"/>
      <c r="S113" s="583"/>
    </row>
    <row r="114" spans="1:19" ht="13.5">
      <c r="A114" s="582"/>
      <c r="B114" s="582"/>
      <c r="C114" s="582"/>
      <c r="D114" s="583" t="s">
        <v>755</v>
      </c>
      <c r="E114" s="583" t="s">
        <v>717</v>
      </c>
      <c r="F114" s="619">
        <f t="shared" si="8"/>
        <v>83105.324660895087</v>
      </c>
      <c r="G114" s="1797">
        <f t="shared" si="8"/>
        <v>2.8999999999999998E-3</v>
      </c>
      <c r="H114" s="587">
        <v>1</v>
      </c>
      <c r="I114" s="593">
        <f t="shared" si="9"/>
        <v>241.00544151659574</v>
      </c>
      <c r="J114" s="593">
        <f t="shared" si="10"/>
        <v>83346.330102411681</v>
      </c>
      <c r="K114" s="583"/>
      <c r="L114" s="583"/>
      <c r="M114" s="583"/>
      <c r="N114" s="583"/>
      <c r="O114" s="583"/>
      <c r="P114" s="583"/>
      <c r="Q114" s="583"/>
      <c r="R114" s="583"/>
      <c r="S114" s="583"/>
    </row>
    <row r="115" spans="1:19" ht="13.5">
      <c r="A115" s="582"/>
      <c r="B115" s="582"/>
      <c r="C115" s="582"/>
      <c r="D115" s="583" t="s">
        <v>972</v>
      </c>
      <c r="E115" s="583"/>
      <c r="F115" s="619">
        <v>0</v>
      </c>
      <c r="G115" s="587"/>
      <c r="H115" s="587"/>
      <c r="I115" s="583"/>
      <c r="J115" s="593">
        <f>SUM(J103:J114)</f>
        <v>1016062.3203690356</v>
      </c>
      <c r="K115" s="583"/>
      <c r="L115" s="583"/>
      <c r="M115" s="583"/>
      <c r="N115" s="583"/>
      <c r="O115" s="583"/>
      <c r="P115" s="583"/>
      <c r="Q115" s="583"/>
      <c r="R115" s="583"/>
      <c r="S115" s="583"/>
    </row>
    <row r="116" spans="1:19" ht="27">
      <c r="A116" s="582"/>
      <c r="B116" s="582"/>
      <c r="C116" s="582"/>
      <c r="D116" s="583"/>
      <c r="E116" s="583"/>
      <c r="F116" s="1800" t="s">
        <v>760</v>
      </c>
      <c r="G116" s="1798" t="s">
        <v>1141</v>
      </c>
      <c r="H116" s="1798" t="s">
        <v>1142</v>
      </c>
      <c r="I116" s="616" t="s">
        <v>758</v>
      </c>
      <c r="J116" s="593" t="str">
        <f>+J101</f>
        <v>Surcharge (Refund) Owed</v>
      </c>
      <c r="K116" s="583"/>
      <c r="L116" s="583"/>
      <c r="M116" s="583"/>
      <c r="N116" s="583"/>
      <c r="O116" s="583"/>
      <c r="P116" s="583"/>
      <c r="Q116" s="583"/>
      <c r="R116" s="583"/>
      <c r="S116" s="583"/>
    </row>
    <row r="117" spans="1:19" ht="13.5">
      <c r="A117" s="582"/>
      <c r="B117" s="582"/>
      <c r="C117" s="582"/>
      <c r="D117" s="583" t="s">
        <v>745</v>
      </c>
      <c r="E117" s="583" t="s">
        <v>717</v>
      </c>
      <c r="F117" s="619">
        <f>+J115</f>
        <v>1016062.3203690356</v>
      </c>
      <c r="G117" s="1797">
        <f>+G114</f>
        <v>2.8999999999999998E-3</v>
      </c>
      <c r="H117" s="600">
        <v>0</v>
      </c>
      <c r="I117" s="593">
        <f t="shared" ref="I117:I133" si="11">+F117*G117</f>
        <v>2946.5807290702028</v>
      </c>
      <c r="J117" s="593">
        <f>+F117+I117-H117</f>
        <v>1019008.9010981058</v>
      </c>
      <c r="K117" s="583"/>
      <c r="L117" s="583"/>
      <c r="M117" s="583"/>
      <c r="N117" s="583"/>
      <c r="O117" s="583"/>
      <c r="P117" s="583"/>
      <c r="Q117" s="583"/>
      <c r="R117" s="583"/>
      <c r="S117" s="583"/>
    </row>
    <row r="118" spans="1:19" ht="13.5">
      <c r="A118" s="582"/>
      <c r="B118" s="582"/>
      <c r="C118" s="582"/>
      <c r="D118" s="583" t="s">
        <v>746</v>
      </c>
      <c r="E118" s="583" t="s">
        <v>717</v>
      </c>
      <c r="F118" s="619">
        <f>+J117</f>
        <v>1019008.9010981058</v>
      </c>
      <c r="G118" s="1797">
        <f>+G117</f>
        <v>2.8999999999999998E-3</v>
      </c>
      <c r="H118" s="600">
        <f>H117</f>
        <v>0</v>
      </c>
      <c r="I118" s="593">
        <f t="shared" si="11"/>
        <v>2955.1258131845066</v>
      </c>
      <c r="J118" s="593">
        <f t="shared" ref="J118:J133" si="12">+F118+I118-H118</f>
        <v>1021964.0269112904</v>
      </c>
      <c r="K118" s="583"/>
      <c r="L118" s="583"/>
      <c r="M118" s="583"/>
      <c r="N118" s="583"/>
      <c r="O118" s="583"/>
      <c r="P118" s="583"/>
      <c r="Q118" s="583"/>
      <c r="R118" s="583"/>
      <c r="S118" s="583"/>
    </row>
    <row r="119" spans="1:19" ht="13.5">
      <c r="A119" s="582"/>
      <c r="B119" s="582"/>
      <c r="C119" s="582"/>
      <c r="D119" s="583" t="s">
        <v>747</v>
      </c>
      <c r="E119" s="583" t="s">
        <v>717</v>
      </c>
      <c r="F119" s="619">
        <f t="shared" ref="F119:F133" si="13">+J118</f>
        <v>1021964.0269112904</v>
      </c>
      <c r="G119" s="1797">
        <f t="shared" ref="G119:G133" si="14">+G118</f>
        <v>2.8999999999999998E-3</v>
      </c>
      <c r="H119" s="600">
        <f t="shared" ref="H119:H133" si="15">H118</f>
        <v>0</v>
      </c>
      <c r="I119" s="593">
        <f t="shared" si="11"/>
        <v>2963.6956780427417</v>
      </c>
      <c r="J119" s="593">
        <f t="shared" si="12"/>
        <v>1024927.7225893331</v>
      </c>
      <c r="K119" s="583"/>
      <c r="L119" s="583"/>
      <c r="M119" s="583"/>
      <c r="N119" s="583"/>
      <c r="O119" s="583"/>
      <c r="P119" s="583"/>
      <c r="Q119" s="583"/>
      <c r="R119" s="583"/>
      <c r="S119" s="583"/>
    </row>
    <row r="120" spans="1:19" ht="13.5">
      <c r="A120" s="582"/>
      <c r="B120" s="582"/>
      <c r="C120" s="582"/>
      <c r="D120" s="583" t="s">
        <v>748</v>
      </c>
      <c r="E120" s="583" t="s">
        <v>717</v>
      </c>
      <c r="F120" s="619">
        <f t="shared" si="13"/>
        <v>1024927.7225893331</v>
      </c>
      <c r="G120" s="1797">
        <f t="shared" si="14"/>
        <v>2.8999999999999998E-3</v>
      </c>
      <c r="H120" s="600">
        <f t="shared" si="15"/>
        <v>0</v>
      </c>
      <c r="I120" s="593">
        <f t="shared" si="11"/>
        <v>2972.2903955090655</v>
      </c>
      <c r="J120" s="593">
        <f t="shared" si="12"/>
        <v>1027900.0129848422</v>
      </c>
      <c r="K120" s="626"/>
      <c r="L120" s="583"/>
      <c r="M120" s="583"/>
      <c r="N120" s="583"/>
      <c r="O120" s="583"/>
      <c r="P120" s="583"/>
      <c r="Q120" s="583"/>
      <c r="R120" s="583"/>
      <c r="S120" s="583"/>
    </row>
    <row r="121" spans="1:19" ht="13.5">
      <c r="A121" s="582"/>
      <c r="B121" s="582"/>
      <c r="C121" s="582"/>
      <c r="D121" s="583" t="s">
        <v>743</v>
      </c>
      <c r="E121" s="583" t="s">
        <v>717</v>
      </c>
      <c r="F121" s="619">
        <f t="shared" si="13"/>
        <v>1027900.0129848422</v>
      </c>
      <c r="G121" s="1797">
        <f t="shared" si="14"/>
        <v>2.8999999999999998E-3</v>
      </c>
      <c r="H121" s="600">
        <f t="shared" si="15"/>
        <v>0</v>
      </c>
      <c r="I121" s="593">
        <f t="shared" si="11"/>
        <v>2980.9100376560423</v>
      </c>
      <c r="J121" s="593">
        <f t="shared" si="12"/>
        <v>1030880.9230224983</v>
      </c>
      <c r="K121" s="625"/>
      <c r="L121" s="583"/>
      <c r="M121" s="583"/>
      <c r="N121" s="583"/>
      <c r="O121" s="583"/>
      <c r="P121" s="583"/>
      <c r="Q121" s="583"/>
      <c r="R121" s="583"/>
      <c r="S121" s="583"/>
    </row>
    <row r="122" spans="1:19" ht="13.5">
      <c r="A122" s="582"/>
      <c r="B122" s="582"/>
      <c r="C122" s="582"/>
      <c r="D122" s="583" t="s">
        <v>749</v>
      </c>
      <c r="E122" s="583" t="s">
        <v>717</v>
      </c>
      <c r="F122" s="619">
        <f t="shared" si="13"/>
        <v>1030880.9230224983</v>
      </c>
      <c r="G122" s="1797">
        <f t="shared" si="14"/>
        <v>2.8999999999999998E-3</v>
      </c>
      <c r="H122" s="600">
        <f>-PMT(G122,12,J121)</f>
        <v>87534.682570129822</v>
      </c>
      <c r="I122" s="593">
        <f t="shared" si="11"/>
        <v>2989.5546767652449</v>
      </c>
      <c r="J122" s="593">
        <f t="shared" si="12"/>
        <v>946335.79512913362</v>
      </c>
      <c r="K122" s="583"/>
      <c r="L122" s="583"/>
      <c r="M122" s="583"/>
      <c r="N122" s="583"/>
      <c r="O122" s="583"/>
      <c r="P122" s="583"/>
      <c r="Q122" s="583"/>
      <c r="R122" s="583"/>
      <c r="S122" s="583"/>
    </row>
    <row r="123" spans="1:19" ht="13.5">
      <c r="A123" s="582"/>
      <c r="B123" s="582"/>
      <c r="C123" s="582"/>
      <c r="D123" s="583" t="s">
        <v>750</v>
      </c>
      <c r="E123" s="583" t="s">
        <v>717</v>
      </c>
      <c r="F123" s="619">
        <f t="shared" si="13"/>
        <v>946335.79512913362</v>
      </c>
      <c r="G123" s="1797">
        <f t="shared" si="14"/>
        <v>2.8999999999999998E-3</v>
      </c>
      <c r="H123" s="600">
        <f t="shared" si="15"/>
        <v>87534.682570129822</v>
      </c>
      <c r="I123" s="593">
        <f t="shared" si="11"/>
        <v>2744.3738058744875</v>
      </c>
      <c r="J123" s="593">
        <f t="shared" si="12"/>
        <v>861545.48636487825</v>
      </c>
      <c r="K123" s="583"/>
      <c r="L123" s="583"/>
      <c r="M123" s="583"/>
      <c r="N123" s="583"/>
      <c r="O123" s="583"/>
      <c r="P123" s="583"/>
      <c r="Q123" s="583"/>
      <c r="R123" s="583"/>
      <c r="S123" s="583"/>
    </row>
    <row r="124" spans="1:19" ht="13.5">
      <c r="A124" s="582"/>
      <c r="B124" s="582"/>
      <c r="C124" s="582"/>
      <c r="D124" s="583" t="s">
        <v>751</v>
      </c>
      <c r="E124" s="583" t="s">
        <v>717</v>
      </c>
      <c r="F124" s="619">
        <f t="shared" si="13"/>
        <v>861545.48636487825</v>
      </c>
      <c r="G124" s="1797">
        <f t="shared" si="14"/>
        <v>2.8999999999999998E-3</v>
      </c>
      <c r="H124" s="600">
        <f t="shared" si="15"/>
        <v>87534.682570129822</v>
      </c>
      <c r="I124" s="593">
        <f t="shared" si="11"/>
        <v>2498.4819104581466</v>
      </c>
      <c r="J124" s="593">
        <f t="shared" si="12"/>
        <v>776509.28570520657</v>
      </c>
      <c r="K124" s="583"/>
      <c r="L124" s="583"/>
      <c r="M124" s="583"/>
      <c r="N124" s="583"/>
      <c r="O124" s="583"/>
      <c r="P124" s="583"/>
      <c r="Q124" s="583"/>
      <c r="R124" s="583"/>
      <c r="S124" s="583"/>
    </row>
    <row r="125" spans="1:19" ht="13.5">
      <c r="A125" s="582"/>
      <c r="B125" s="582"/>
      <c r="C125" s="582"/>
      <c r="D125" s="583" t="s">
        <v>752</v>
      </c>
      <c r="E125" s="583" t="s">
        <v>717</v>
      </c>
      <c r="F125" s="619">
        <f t="shared" si="13"/>
        <v>776509.28570520657</v>
      </c>
      <c r="G125" s="1797">
        <f t="shared" si="14"/>
        <v>2.8999999999999998E-3</v>
      </c>
      <c r="H125" s="600">
        <f t="shared" si="15"/>
        <v>87534.682570129822</v>
      </c>
      <c r="I125" s="593">
        <f t="shared" si="11"/>
        <v>2251.876928545099</v>
      </c>
      <c r="J125" s="593">
        <f t="shared" si="12"/>
        <v>691226.48006362177</v>
      </c>
      <c r="K125" s="583"/>
      <c r="L125" s="583"/>
      <c r="M125" s="583"/>
      <c r="N125" s="583"/>
      <c r="O125" s="583"/>
      <c r="P125" s="583"/>
      <c r="Q125" s="583"/>
      <c r="R125" s="583"/>
      <c r="S125" s="583"/>
    </row>
    <row r="126" spans="1:19" ht="13.5">
      <c r="A126" s="582"/>
      <c r="B126" s="582"/>
      <c r="C126" s="582"/>
      <c r="D126" s="583" t="s">
        <v>753</v>
      </c>
      <c r="E126" s="583" t="s">
        <v>717</v>
      </c>
      <c r="F126" s="619">
        <f t="shared" si="13"/>
        <v>691226.48006362177</v>
      </c>
      <c r="G126" s="1797">
        <f t="shared" si="14"/>
        <v>2.8999999999999998E-3</v>
      </c>
      <c r="H126" s="600">
        <f t="shared" si="15"/>
        <v>87534.682570129822</v>
      </c>
      <c r="I126" s="593">
        <f t="shared" si="11"/>
        <v>2004.5567921845029</v>
      </c>
      <c r="J126" s="593">
        <f t="shared" si="12"/>
        <v>605696.35428567638</v>
      </c>
      <c r="K126" s="583"/>
      <c r="L126" s="583"/>
      <c r="M126" s="583"/>
      <c r="N126" s="583"/>
      <c r="O126" s="583"/>
      <c r="P126" s="583"/>
      <c r="Q126" s="583"/>
      <c r="R126" s="583"/>
      <c r="S126" s="583"/>
    </row>
    <row r="127" spans="1:19" ht="13.5">
      <c r="A127" s="582"/>
      <c r="B127" s="582"/>
      <c r="C127" s="582"/>
      <c r="D127" s="583" t="s">
        <v>754</v>
      </c>
      <c r="E127" s="583" t="s">
        <v>717</v>
      </c>
      <c r="F127" s="619">
        <f t="shared" si="13"/>
        <v>605696.35428567638</v>
      </c>
      <c r="G127" s="1797">
        <f t="shared" si="14"/>
        <v>2.8999999999999998E-3</v>
      </c>
      <c r="H127" s="600">
        <f t="shared" si="15"/>
        <v>87534.682570129822</v>
      </c>
      <c r="I127" s="593">
        <f t="shared" si="11"/>
        <v>1756.5194274284613</v>
      </c>
      <c r="J127" s="593">
        <f t="shared" si="12"/>
        <v>519918.19114297506</v>
      </c>
      <c r="K127" s="583"/>
      <c r="L127" s="583"/>
      <c r="M127" s="583"/>
      <c r="N127" s="583"/>
      <c r="O127" s="583"/>
      <c r="P127" s="583"/>
      <c r="Q127" s="583"/>
      <c r="R127" s="583"/>
      <c r="S127" s="583"/>
    </row>
    <row r="128" spans="1:19" ht="13.5">
      <c r="A128" s="582"/>
      <c r="B128" s="582"/>
      <c r="C128" s="582"/>
      <c r="D128" s="583" t="s">
        <v>755</v>
      </c>
      <c r="E128" s="583" t="s">
        <v>717</v>
      </c>
      <c r="F128" s="619">
        <f t="shared" si="13"/>
        <v>519918.19114297506</v>
      </c>
      <c r="G128" s="1797">
        <f t="shared" si="14"/>
        <v>2.8999999999999998E-3</v>
      </c>
      <c r="H128" s="600">
        <f t="shared" si="15"/>
        <v>87534.682570129822</v>
      </c>
      <c r="I128" s="593">
        <f t="shared" si="11"/>
        <v>1507.7627543146275</v>
      </c>
      <c r="J128" s="593">
        <f t="shared" si="12"/>
        <v>433891.27132715989</v>
      </c>
      <c r="K128" s="583"/>
      <c r="L128" s="583"/>
      <c r="M128" s="583"/>
      <c r="N128" s="583"/>
      <c r="O128" s="583"/>
      <c r="P128" s="583"/>
      <c r="Q128" s="583"/>
      <c r="R128" s="583"/>
      <c r="S128" s="583"/>
    </row>
    <row r="129" spans="1:19" ht="13.5">
      <c r="A129" s="582"/>
      <c r="B129" s="582"/>
      <c r="C129" s="582"/>
      <c r="D129" s="583" t="s">
        <v>745</v>
      </c>
      <c r="E129" s="583" t="s">
        <v>718</v>
      </c>
      <c r="F129" s="619">
        <f t="shared" si="13"/>
        <v>433891.27132715989</v>
      </c>
      <c r="G129" s="1797">
        <f t="shared" si="14"/>
        <v>2.8999999999999998E-3</v>
      </c>
      <c r="H129" s="600">
        <f t="shared" si="15"/>
        <v>87534.682570129822</v>
      </c>
      <c r="I129" s="593">
        <f t="shared" si="11"/>
        <v>1258.2846868487636</v>
      </c>
      <c r="J129" s="593">
        <f t="shared" si="12"/>
        <v>347614.87344387884</v>
      </c>
      <c r="K129" s="583"/>
      <c r="L129" s="583"/>
      <c r="M129" s="583"/>
      <c r="N129" s="583"/>
      <c r="O129" s="583"/>
      <c r="P129" s="583"/>
      <c r="Q129" s="583"/>
      <c r="R129" s="583"/>
      <c r="S129" s="583"/>
    </row>
    <row r="130" spans="1:19" ht="13.5">
      <c r="A130" s="582"/>
      <c r="B130" s="582"/>
      <c r="C130" s="582"/>
      <c r="D130" s="583" t="s">
        <v>746</v>
      </c>
      <c r="E130" s="583" t="s">
        <v>718</v>
      </c>
      <c r="F130" s="619">
        <f t="shared" si="13"/>
        <v>347614.87344387884</v>
      </c>
      <c r="G130" s="1797">
        <f t="shared" si="14"/>
        <v>2.8999999999999998E-3</v>
      </c>
      <c r="H130" s="600">
        <f t="shared" si="15"/>
        <v>87534.682570129822</v>
      </c>
      <c r="I130" s="593">
        <f t="shared" si="11"/>
        <v>1008.0831329872485</v>
      </c>
      <c r="J130" s="593">
        <f t="shared" si="12"/>
        <v>261088.27400673629</v>
      </c>
      <c r="K130" s="583"/>
      <c r="L130" s="583"/>
      <c r="M130" s="583"/>
      <c r="N130" s="583"/>
      <c r="O130" s="583"/>
      <c r="P130" s="583"/>
      <c r="Q130" s="583"/>
      <c r="R130" s="583"/>
      <c r="S130" s="583"/>
    </row>
    <row r="131" spans="1:19" ht="13.5">
      <c r="A131" s="582"/>
      <c r="B131" s="582"/>
      <c r="C131" s="582"/>
      <c r="D131" s="583" t="s">
        <v>747</v>
      </c>
      <c r="E131" s="583" t="s">
        <v>718</v>
      </c>
      <c r="F131" s="619">
        <f t="shared" si="13"/>
        <v>261088.27400673629</v>
      </c>
      <c r="G131" s="1797">
        <f t="shared" si="14"/>
        <v>2.8999999999999998E-3</v>
      </c>
      <c r="H131" s="600">
        <f t="shared" si="15"/>
        <v>87534.682570129822</v>
      </c>
      <c r="I131" s="593">
        <f t="shared" si="11"/>
        <v>757.15599461953514</v>
      </c>
      <c r="J131" s="593">
        <f t="shared" si="12"/>
        <v>174310.74743122602</v>
      </c>
      <c r="K131" s="583"/>
      <c r="L131" s="583"/>
      <c r="M131" s="583"/>
      <c r="N131" s="583"/>
      <c r="O131" s="583"/>
      <c r="P131" s="583"/>
      <c r="Q131" s="583"/>
      <c r="R131" s="583"/>
      <c r="S131" s="583"/>
    </row>
    <row r="132" spans="1:19" ht="13.5">
      <c r="A132" s="582"/>
      <c r="B132" s="582"/>
      <c r="C132" s="582"/>
      <c r="D132" s="583" t="s">
        <v>748</v>
      </c>
      <c r="E132" s="583" t="s">
        <v>718</v>
      </c>
      <c r="F132" s="619">
        <f t="shared" si="13"/>
        <v>174310.74743122602</v>
      </c>
      <c r="G132" s="1797">
        <f t="shared" si="14"/>
        <v>2.8999999999999998E-3</v>
      </c>
      <c r="H132" s="600">
        <f t="shared" si="15"/>
        <v>87534.682570129822</v>
      </c>
      <c r="I132" s="593">
        <f t="shared" si="11"/>
        <v>505.50116755055541</v>
      </c>
      <c r="J132" s="593">
        <f t="shared" si="12"/>
        <v>87281.566028646761</v>
      </c>
      <c r="K132" s="583"/>
      <c r="L132" s="583"/>
      <c r="M132" s="583"/>
      <c r="N132" s="583"/>
      <c r="O132" s="583"/>
      <c r="P132" s="583"/>
      <c r="Q132" s="583"/>
      <c r="R132" s="583"/>
      <c r="S132" s="583"/>
    </row>
    <row r="133" spans="1:19" ht="13.5">
      <c r="A133" s="582"/>
      <c r="B133" s="582"/>
      <c r="C133" s="582"/>
      <c r="D133" s="583" t="s">
        <v>743</v>
      </c>
      <c r="E133" s="583" t="s">
        <v>718</v>
      </c>
      <c r="F133" s="619">
        <f t="shared" si="13"/>
        <v>87281.566028646761</v>
      </c>
      <c r="G133" s="1797">
        <f t="shared" si="14"/>
        <v>2.8999999999999998E-3</v>
      </c>
      <c r="H133" s="600">
        <f t="shared" si="15"/>
        <v>87534.682570129822</v>
      </c>
      <c r="I133" s="593">
        <f t="shared" si="11"/>
        <v>253.11654148307559</v>
      </c>
      <c r="J133" s="593">
        <f t="shared" si="12"/>
        <v>0</v>
      </c>
      <c r="K133" s="583"/>
      <c r="L133" s="583"/>
      <c r="M133" s="583"/>
      <c r="N133" s="583"/>
      <c r="O133" s="583"/>
      <c r="P133" s="583"/>
      <c r="Q133" s="583"/>
      <c r="R133" s="583"/>
      <c r="S133" s="583"/>
    </row>
    <row r="134" spans="1:19" ht="13.5">
      <c r="A134" s="582"/>
      <c r="B134" s="582"/>
      <c r="C134" s="582"/>
      <c r="D134" s="583" t="s">
        <v>774</v>
      </c>
      <c r="E134" s="583"/>
      <c r="F134" s="583"/>
      <c r="G134" s="583"/>
      <c r="H134" s="598">
        <f>SUM(H117:H133)</f>
        <v>1050416.1908415582</v>
      </c>
      <c r="I134" s="583"/>
      <c r="J134" s="583"/>
      <c r="K134" s="583"/>
      <c r="L134" s="583"/>
      <c r="M134" s="583"/>
      <c r="N134" s="583"/>
      <c r="O134" s="583"/>
      <c r="P134" s="583"/>
      <c r="Q134" s="583"/>
      <c r="R134" s="583"/>
      <c r="S134" s="583"/>
    </row>
    <row r="135" spans="1:19" ht="13.5">
      <c r="A135" s="582"/>
      <c r="B135" s="582"/>
      <c r="C135" s="582"/>
      <c r="D135" s="583"/>
      <c r="E135" s="583"/>
      <c r="F135" s="583"/>
      <c r="G135" s="583"/>
      <c r="H135" s="583"/>
      <c r="I135" s="583"/>
      <c r="J135" s="583"/>
      <c r="K135" s="583"/>
      <c r="L135" s="583"/>
      <c r="M135" s="583"/>
      <c r="N135" s="583"/>
      <c r="O135" s="583"/>
      <c r="P135" s="583"/>
      <c r="Q135" s="583"/>
      <c r="R135" s="583"/>
      <c r="S135" s="583"/>
    </row>
    <row r="136" spans="1:19" ht="13.5">
      <c r="A136" s="425"/>
      <c r="B136" s="582"/>
      <c r="C136" s="582"/>
      <c r="D136" s="624" t="str">
        <f>+D134</f>
        <v>Total with interest</v>
      </c>
      <c r="E136" s="582"/>
      <c r="F136" s="424"/>
      <c r="G136" s="582"/>
      <c r="H136" s="598">
        <f>+H134</f>
        <v>1050416.1908415582</v>
      </c>
      <c r="I136" s="582"/>
      <c r="J136" s="598"/>
      <c r="K136" s="583"/>
      <c r="L136" s="583"/>
      <c r="M136" s="583"/>
      <c r="N136" s="583"/>
      <c r="O136" s="583"/>
      <c r="P136" s="583"/>
      <c r="Q136" s="583"/>
      <c r="R136" s="583"/>
      <c r="S136" s="583"/>
    </row>
    <row r="137" spans="1:19" ht="13.5">
      <c r="A137" s="425"/>
      <c r="B137" s="582"/>
      <c r="C137" s="582"/>
      <c r="D137" s="624" t="s">
        <v>68</v>
      </c>
      <c r="E137" s="582"/>
      <c r="F137" s="424"/>
      <c r="G137" s="582"/>
      <c r="H137" s="627">
        <f>'ATT H-1 '!K282</f>
        <v>17046289.654455557</v>
      </c>
      <c r="I137" s="595"/>
      <c r="J137" s="619"/>
      <c r="K137" s="583"/>
      <c r="L137" s="583"/>
      <c r="M137" s="583"/>
      <c r="N137" s="583"/>
      <c r="O137" s="583"/>
      <c r="P137" s="583"/>
      <c r="Q137" s="583"/>
      <c r="R137" s="583"/>
      <c r="S137" s="583"/>
    </row>
    <row r="138" spans="1:19" ht="13.5">
      <c r="A138" s="425"/>
      <c r="B138" s="582"/>
      <c r="C138" s="582"/>
      <c r="D138" s="624" t="s">
        <v>69</v>
      </c>
      <c r="E138" s="582"/>
      <c r="F138" s="424"/>
      <c r="G138" s="582"/>
      <c r="H138" s="598">
        <f>+H136+H137</f>
        <v>18096705.845297117</v>
      </c>
      <c r="I138" s="586"/>
      <c r="J138" s="619"/>
      <c r="K138" s="583"/>
      <c r="L138" s="583"/>
      <c r="M138" s="583"/>
      <c r="N138" s="583"/>
      <c r="O138" s="583"/>
      <c r="P138" s="583"/>
      <c r="Q138" s="583"/>
      <c r="R138" s="583"/>
      <c r="S138" s="583"/>
    </row>
    <row r="139" spans="1:19" ht="13.5">
      <c r="A139" s="582"/>
      <c r="B139" s="582"/>
      <c r="C139" s="582"/>
      <c r="D139" s="615"/>
      <c r="E139" s="583"/>
      <c r="F139" s="583"/>
      <c r="G139" s="587"/>
      <c r="H139" s="619"/>
      <c r="I139" s="587"/>
      <c r="J139" s="583"/>
      <c r="K139" s="583"/>
      <c r="L139" s="583"/>
      <c r="M139" s="583"/>
      <c r="N139" s="583"/>
      <c r="O139" s="583"/>
      <c r="P139" s="583"/>
      <c r="Q139" s="583"/>
      <c r="R139" s="583"/>
      <c r="S139" s="583"/>
    </row>
    <row r="140" spans="1:19" ht="13.5">
      <c r="A140" s="582">
        <v>9</v>
      </c>
      <c r="B140" s="582" t="s">
        <v>742</v>
      </c>
      <c r="C140" s="582" t="s">
        <v>718</v>
      </c>
      <c r="D140" s="589" t="s">
        <v>1308</v>
      </c>
      <c r="E140" s="583"/>
      <c r="F140" s="583"/>
      <c r="G140" s="583"/>
      <c r="H140" s="583"/>
      <c r="I140" s="583"/>
      <c r="J140" s="424"/>
      <c r="K140" s="583"/>
      <c r="L140" s="583"/>
      <c r="M140" s="583"/>
      <c r="N140" s="583"/>
      <c r="O140" s="583"/>
      <c r="P140" s="583"/>
      <c r="Q140" s="583"/>
      <c r="R140" s="583"/>
      <c r="S140" s="583"/>
    </row>
    <row r="141" spans="1:19" ht="13.5">
      <c r="A141" s="582"/>
      <c r="B141" s="582"/>
      <c r="C141" s="582"/>
      <c r="D141" s="589"/>
      <c r="E141" s="583"/>
      <c r="F141" s="583"/>
      <c r="G141" s="583"/>
      <c r="H141" s="583"/>
      <c r="I141" s="583"/>
      <c r="J141" s="424"/>
      <c r="K141" s="583"/>
      <c r="L141" s="583"/>
      <c r="M141" s="583"/>
      <c r="N141" s="583"/>
      <c r="O141" s="583"/>
      <c r="P141" s="583"/>
      <c r="Q141" s="583"/>
      <c r="R141" s="583"/>
      <c r="S141" s="583"/>
    </row>
    <row r="142" spans="1:19" ht="13.5">
      <c r="A142" s="582"/>
      <c r="B142" s="424"/>
      <c r="C142" s="485" t="s">
        <v>323</v>
      </c>
      <c r="D142" s="485" t="s">
        <v>324</v>
      </c>
      <c r="E142" s="485" t="s">
        <v>416</v>
      </c>
      <c r="F142" s="485" t="s">
        <v>325</v>
      </c>
      <c r="G142" s="485" t="s">
        <v>326</v>
      </c>
      <c r="H142" s="485" t="s">
        <v>322</v>
      </c>
      <c r="I142" s="485"/>
      <c r="J142" s="485" t="s">
        <v>678</v>
      </c>
      <c r="K142" s="485" t="s">
        <v>679</v>
      </c>
      <c r="L142" s="485" t="s">
        <v>1085</v>
      </c>
      <c r="M142" s="585" t="s">
        <v>1086</v>
      </c>
      <c r="N142" s="582" t="s">
        <v>1087</v>
      </c>
      <c r="O142" s="582" t="s">
        <v>1088</v>
      </c>
      <c r="P142" s="582"/>
      <c r="Q142" s="582"/>
      <c r="R142" s="582"/>
      <c r="S142" s="582"/>
    </row>
    <row r="143" spans="1:19" ht="13.5">
      <c r="A143" s="582"/>
      <c r="B143" s="424"/>
      <c r="C143" s="582" t="s">
        <v>279</v>
      </c>
      <c r="D143" s="582" t="s">
        <v>279</v>
      </c>
      <c r="E143" s="582" t="s">
        <v>279</v>
      </c>
      <c r="F143" s="582" t="s">
        <v>279</v>
      </c>
      <c r="G143" s="582" t="s">
        <v>279</v>
      </c>
      <c r="H143" s="582" t="s">
        <v>279</v>
      </c>
      <c r="I143" s="582"/>
      <c r="J143" s="582" t="s">
        <v>74</v>
      </c>
      <c r="K143" s="582" t="s">
        <v>74</v>
      </c>
      <c r="L143" s="582" t="s">
        <v>74</v>
      </c>
      <c r="M143" s="582" t="s">
        <v>74</v>
      </c>
      <c r="N143" s="582" t="s">
        <v>74</v>
      </c>
      <c r="O143" s="582" t="s">
        <v>74</v>
      </c>
      <c r="P143" s="582"/>
      <c r="Q143" s="582"/>
      <c r="R143" s="582"/>
      <c r="S143" s="582"/>
    </row>
    <row r="144" spans="1:19" ht="13.5">
      <c r="A144" s="582"/>
      <c r="B144" s="583"/>
      <c r="C144" s="582" t="s">
        <v>70</v>
      </c>
      <c r="D144" s="582" t="s">
        <v>70</v>
      </c>
      <c r="E144" s="582" t="s">
        <v>70</v>
      </c>
      <c r="F144" s="633"/>
      <c r="G144" s="633"/>
      <c r="H144" s="633"/>
      <c r="I144" s="582"/>
      <c r="J144" s="582" t="s">
        <v>75</v>
      </c>
      <c r="K144" s="582" t="s">
        <v>76</v>
      </c>
      <c r="L144" s="582" t="s">
        <v>77</v>
      </c>
      <c r="M144" s="582" t="s">
        <v>78</v>
      </c>
      <c r="N144" s="582" t="s">
        <v>79</v>
      </c>
      <c r="O144" s="582" t="s">
        <v>80</v>
      </c>
      <c r="P144" s="582"/>
      <c r="Q144" s="582"/>
      <c r="R144" s="582"/>
      <c r="S144" s="582"/>
    </row>
    <row r="145" spans="1:19" ht="13.5">
      <c r="A145" s="582"/>
      <c r="B145" s="583"/>
      <c r="C145" s="582"/>
      <c r="D145" s="582"/>
      <c r="E145" s="582"/>
      <c r="F145" s="582" t="s">
        <v>71</v>
      </c>
      <c r="G145" s="582" t="s">
        <v>72</v>
      </c>
      <c r="H145" s="582" t="s">
        <v>73</v>
      </c>
      <c r="I145" s="582"/>
      <c r="J145" s="582"/>
      <c r="K145" s="582"/>
      <c r="L145" s="582"/>
      <c r="M145" s="582"/>
      <c r="N145" s="582"/>
      <c r="O145" s="582"/>
      <c r="P145" s="582"/>
      <c r="Q145" s="582"/>
      <c r="R145" s="582"/>
      <c r="S145" s="582"/>
    </row>
    <row r="146" spans="1:19" ht="13.5">
      <c r="A146" s="582"/>
      <c r="B146" s="583"/>
      <c r="C146" s="582"/>
      <c r="D146" s="597"/>
      <c r="E146" s="597"/>
      <c r="F146" s="597"/>
      <c r="G146" s="582"/>
      <c r="H146" s="582"/>
      <c r="I146" s="632"/>
      <c r="J146" s="582"/>
      <c r="K146" s="582"/>
      <c r="L146" s="598"/>
      <c r="M146" s="582"/>
      <c r="N146" s="582"/>
      <c r="O146" s="593"/>
      <c r="P146" s="582"/>
      <c r="Q146" s="616"/>
      <c r="R146" s="598"/>
      <c r="S146" s="582"/>
    </row>
    <row r="147" spans="1:19" ht="13.5">
      <c r="A147" s="582"/>
      <c r="B147" s="583" t="s">
        <v>745</v>
      </c>
      <c r="C147" s="599"/>
      <c r="D147" s="599"/>
      <c r="E147" s="599"/>
      <c r="F147" s="599"/>
      <c r="G147" s="599"/>
      <c r="H147" s="599"/>
      <c r="I147" s="632"/>
      <c r="J147" s="598">
        <f t="shared" ref="J147:O147" si="16">C147</f>
        <v>0</v>
      </c>
      <c r="K147" s="598">
        <f t="shared" si="16"/>
        <v>0</v>
      </c>
      <c r="L147" s="598">
        <f t="shared" si="16"/>
        <v>0</v>
      </c>
      <c r="M147" s="598">
        <f t="shared" si="16"/>
        <v>0</v>
      </c>
      <c r="N147" s="598">
        <f t="shared" si="16"/>
        <v>0</v>
      </c>
      <c r="O147" s="598">
        <f t="shared" si="16"/>
        <v>0</v>
      </c>
      <c r="P147" s="598"/>
      <c r="Q147" s="598"/>
      <c r="R147" s="598"/>
      <c r="S147" s="593"/>
    </row>
    <row r="148" spans="1:19" ht="13.5">
      <c r="A148" s="582"/>
      <c r="B148" s="583" t="s">
        <v>746</v>
      </c>
      <c r="C148" s="599"/>
      <c r="D148" s="599"/>
      <c r="E148" s="599"/>
      <c r="F148" s="599"/>
      <c r="G148" s="599"/>
      <c r="H148" s="599"/>
      <c r="I148" s="632"/>
      <c r="J148" s="598">
        <f>J147+C148</f>
        <v>0</v>
      </c>
      <c r="K148" s="598">
        <f t="shared" ref="K148:K158" si="17">K147+D148</f>
        <v>0</v>
      </c>
      <c r="L148" s="598">
        <f t="shared" ref="L148:L158" si="18">L147+E148</f>
        <v>0</v>
      </c>
      <c r="M148" s="598">
        <f t="shared" ref="M148:M158" si="19">M147+F148</f>
        <v>0</v>
      </c>
      <c r="N148" s="598">
        <f t="shared" ref="N148:N158" si="20">N147+G148</f>
        <v>0</v>
      </c>
      <c r="O148" s="598">
        <f t="shared" ref="O148:O158" si="21">O147+H148</f>
        <v>0</v>
      </c>
      <c r="P148" s="598"/>
      <c r="Q148" s="598"/>
      <c r="R148" s="598"/>
      <c r="S148" s="593"/>
    </row>
    <row r="149" spans="1:19" ht="13.5">
      <c r="A149" s="582"/>
      <c r="B149" s="583" t="s">
        <v>747</v>
      </c>
      <c r="C149" s="599"/>
      <c r="D149" s="599"/>
      <c r="E149" s="599"/>
      <c r="F149" s="599"/>
      <c r="G149" s="599"/>
      <c r="H149" s="599"/>
      <c r="I149" s="632"/>
      <c r="J149" s="598">
        <f t="shared" ref="J149:J158" si="22">J148+C149</f>
        <v>0</v>
      </c>
      <c r="K149" s="598">
        <f t="shared" si="17"/>
        <v>0</v>
      </c>
      <c r="L149" s="598">
        <f t="shared" si="18"/>
        <v>0</v>
      </c>
      <c r="M149" s="598">
        <f t="shared" si="19"/>
        <v>0</v>
      </c>
      <c r="N149" s="598">
        <f t="shared" si="20"/>
        <v>0</v>
      </c>
      <c r="O149" s="598">
        <f t="shared" si="21"/>
        <v>0</v>
      </c>
      <c r="P149" s="598"/>
      <c r="Q149" s="598"/>
      <c r="R149" s="598"/>
      <c r="S149" s="593"/>
    </row>
    <row r="150" spans="1:19" ht="13.5">
      <c r="A150" s="582"/>
      <c r="B150" s="583" t="s">
        <v>748</v>
      </c>
      <c r="C150" s="599"/>
      <c r="D150" s="599"/>
      <c r="E150" s="599"/>
      <c r="F150" s="599"/>
      <c r="G150" s="599"/>
      <c r="H150" s="599"/>
      <c r="I150" s="632"/>
      <c r="J150" s="598">
        <f t="shared" si="22"/>
        <v>0</v>
      </c>
      <c r="K150" s="598">
        <f t="shared" si="17"/>
        <v>0</v>
      </c>
      <c r="L150" s="598">
        <f t="shared" si="18"/>
        <v>0</v>
      </c>
      <c r="M150" s="598">
        <f t="shared" si="19"/>
        <v>0</v>
      </c>
      <c r="N150" s="598">
        <f t="shared" si="20"/>
        <v>0</v>
      </c>
      <c r="O150" s="598">
        <f t="shared" si="21"/>
        <v>0</v>
      </c>
      <c r="P150" s="598"/>
      <c r="Q150" s="598"/>
      <c r="R150" s="598"/>
      <c r="S150" s="593"/>
    </row>
    <row r="151" spans="1:19" ht="13.5">
      <c r="A151" s="582"/>
      <c r="B151" s="583" t="s">
        <v>743</v>
      </c>
      <c r="C151" s="599"/>
      <c r="D151" s="599"/>
      <c r="E151" s="599"/>
      <c r="F151" s="599"/>
      <c r="G151" s="599"/>
      <c r="H151" s="599"/>
      <c r="I151" s="632"/>
      <c r="J151" s="598">
        <f t="shared" si="22"/>
        <v>0</v>
      </c>
      <c r="K151" s="598">
        <f t="shared" si="17"/>
        <v>0</v>
      </c>
      <c r="L151" s="598">
        <f t="shared" si="18"/>
        <v>0</v>
      </c>
      <c r="M151" s="598">
        <f t="shared" si="19"/>
        <v>0</v>
      </c>
      <c r="N151" s="598">
        <f t="shared" si="20"/>
        <v>0</v>
      </c>
      <c r="O151" s="598">
        <f t="shared" si="21"/>
        <v>0</v>
      </c>
      <c r="P151" s="598"/>
      <c r="Q151" s="598"/>
      <c r="R151" s="598"/>
      <c r="S151" s="593"/>
    </row>
    <row r="152" spans="1:19" ht="13.5">
      <c r="A152" s="582"/>
      <c r="B152" s="583" t="s">
        <v>749</v>
      </c>
      <c r="C152" s="599"/>
      <c r="D152" s="599"/>
      <c r="E152" s="599"/>
      <c r="F152" s="599"/>
      <c r="G152" s="599"/>
      <c r="H152" s="599"/>
      <c r="I152" s="632"/>
      <c r="J152" s="598">
        <f t="shared" si="22"/>
        <v>0</v>
      </c>
      <c r="K152" s="598">
        <f t="shared" si="17"/>
        <v>0</v>
      </c>
      <c r="L152" s="598">
        <f t="shared" si="18"/>
        <v>0</v>
      </c>
      <c r="M152" s="598">
        <f t="shared" si="19"/>
        <v>0</v>
      </c>
      <c r="N152" s="598">
        <f t="shared" si="20"/>
        <v>0</v>
      </c>
      <c r="O152" s="598">
        <f t="shared" si="21"/>
        <v>0</v>
      </c>
      <c r="P152" s="598"/>
      <c r="Q152" s="598"/>
      <c r="R152" s="598"/>
      <c r="S152" s="593"/>
    </row>
    <row r="153" spans="1:19" ht="13.5">
      <c r="A153" s="582"/>
      <c r="B153" s="583" t="s">
        <v>750</v>
      </c>
      <c r="C153" s="599"/>
      <c r="D153" s="599"/>
      <c r="E153" s="599"/>
      <c r="F153" s="599"/>
      <c r="G153" s="599"/>
      <c r="H153" s="599"/>
      <c r="I153" s="632"/>
      <c r="J153" s="598">
        <f t="shared" si="22"/>
        <v>0</v>
      </c>
      <c r="K153" s="598">
        <f t="shared" si="17"/>
        <v>0</v>
      </c>
      <c r="L153" s="598">
        <f t="shared" si="18"/>
        <v>0</v>
      </c>
      <c r="M153" s="598">
        <f t="shared" si="19"/>
        <v>0</v>
      </c>
      <c r="N153" s="598">
        <f t="shared" si="20"/>
        <v>0</v>
      </c>
      <c r="O153" s="598">
        <f t="shared" si="21"/>
        <v>0</v>
      </c>
      <c r="P153" s="598"/>
      <c r="Q153" s="598"/>
      <c r="R153" s="598"/>
      <c r="S153" s="593"/>
    </row>
    <row r="154" spans="1:19" ht="13.5">
      <c r="A154" s="582"/>
      <c r="B154" s="583" t="s">
        <v>751</v>
      </c>
      <c r="C154" s="599"/>
      <c r="D154" s="599"/>
      <c r="E154" s="599"/>
      <c r="F154" s="599"/>
      <c r="G154" s="599"/>
      <c r="H154" s="599"/>
      <c r="I154" s="632"/>
      <c r="J154" s="598">
        <f t="shared" si="22"/>
        <v>0</v>
      </c>
      <c r="K154" s="598">
        <f t="shared" si="17"/>
        <v>0</v>
      </c>
      <c r="L154" s="598">
        <f t="shared" si="18"/>
        <v>0</v>
      </c>
      <c r="M154" s="598">
        <f t="shared" si="19"/>
        <v>0</v>
      </c>
      <c r="N154" s="598">
        <f t="shared" si="20"/>
        <v>0</v>
      </c>
      <c r="O154" s="598">
        <f t="shared" si="21"/>
        <v>0</v>
      </c>
      <c r="P154" s="598"/>
      <c r="Q154" s="598"/>
      <c r="R154" s="598"/>
      <c r="S154" s="593"/>
    </row>
    <row r="155" spans="1:19" ht="13.5">
      <c r="A155" s="582"/>
      <c r="B155" s="583" t="s">
        <v>752</v>
      </c>
      <c r="C155" s="599"/>
      <c r="D155" s="599"/>
      <c r="E155" s="599"/>
      <c r="F155" s="599"/>
      <c r="G155" s="599"/>
      <c r="H155" s="599"/>
      <c r="I155" s="632"/>
      <c r="J155" s="598">
        <f t="shared" si="22"/>
        <v>0</v>
      </c>
      <c r="K155" s="598">
        <f t="shared" si="17"/>
        <v>0</v>
      </c>
      <c r="L155" s="598">
        <f t="shared" si="18"/>
        <v>0</v>
      </c>
      <c r="M155" s="598">
        <f t="shared" si="19"/>
        <v>0</v>
      </c>
      <c r="N155" s="598">
        <f t="shared" si="20"/>
        <v>0</v>
      </c>
      <c r="O155" s="598">
        <f t="shared" si="21"/>
        <v>0</v>
      </c>
      <c r="P155" s="598"/>
      <c r="Q155" s="598"/>
      <c r="R155" s="598"/>
      <c r="S155" s="593"/>
    </row>
    <row r="156" spans="1:19" ht="13.5">
      <c r="A156" s="582"/>
      <c r="B156" s="583" t="s">
        <v>753</v>
      </c>
      <c r="C156" s="599"/>
      <c r="D156" s="599"/>
      <c r="E156" s="599"/>
      <c r="F156" s="599"/>
      <c r="G156" s="599"/>
      <c r="H156" s="599"/>
      <c r="I156" s="632"/>
      <c r="J156" s="598">
        <f t="shared" si="22"/>
        <v>0</v>
      </c>
      <c r="K156" s="598">
        <f t="shared" si="17"/>
        <v>0</v>
      </c>
      <c r="L156" s="598">
        <f t="shared" si="18"/>
        <v>0</v>
      </c>
      <c r="M156" s="598">
        <f t="shared" si="19"/>
        <v>0</v>
      </c>
      <c r="N156" s="598">
        <f t="shared" si="20"/>
        <v>0</v>
      </c>
      <c r="O156" s="598">
        <f t="shared" si="21"/>
        <v>0</v>
      </c>
      <c r="P156" s="598"/>
      <c r="Q156" s="598"/>
      <c r="R156" s="598"/>
      <c r="S156" s="593"/>
    </row>
    <row r="157" spans="1:19" ht="13.5">
      <c r="A157" s="582"/>
      <c r="B157" s="583" t="s">
        <v>754</v>
      </c>
      <c r="C157" s="599"/>
      <c r="D157" s="599"/>
      <c r="E157" s="599"/>
      <c r="F157" s="599"/>
      <c r="G157" s="599"/>
      <c r="H157" s="599"/>
      <c r="I157" s="632"/>
      <c r="J157" s="598">
        <f t="shared" si="22"/>
        <v>0</v>
      </c>
      <c r="K157" s="598">
        <f t="shared" si="17"/>
        <v>0</v>
      </c>
      <c r="L157" s="598">
        <f t="shared" si="18"/>
        <v>0</v>
      </c>
      <c r="M157" s="598">
        <f t="shared" si="19"/>
        <v>0</v>
      </c>
      <c r="N157" s="598">
        <f t="shared" si="20"/>
        <v>0</v>
      </c>
      <c r="O157" s="598">
        <f t="shared" si="21"/>
        <v>0</v>
      </c>
      <c r="P157" s="598"/>
      <c r="Q157" s="598"/>
      <c r="R157" s="598"/>
      <c r="S157" s="593"/>
    </row>
    <row r="158" spans="1:19" ht="13.5">
      <c r="A158" s="582"/>
      <c r="B158" s="583" t="s">
        <v>755</v>
      </c>
      <c r="C158" s="599"/>
      <c r="D158" s="599"/>
      <c r="E158" s="599"/>
      <c r="F158" s="599"/>
      <c r="G158" s="599"/>
      <c r="H158" s="599"/>
      <c r="I158" s="632"/>
      <c r="J158" s="598">
        <f t="shared" si="22"/>
        <v>0</v>
      </c>
      <c r="K158" s="598">
        <f t="shared" si="17"/>
        <v>0</v>
      </c>
      <c r="L158" s="598">
        <f t="shared" si="18"/>
        <v>0</v>
      </c>
      <c r="M158" s="598">
        <f t="shared" si="19"/>
        <v>0</v>
      </c>
      <c r="N158" s="598">
        <f t="shared" si="20"/>
        <v>0</v>
      </c>
      <c r="O158" s="598">
        <f t="shared" si="21"/>
        <v>0</v>
      </c>
      <c r="P158" s="598"/>
      <c r="Q158" s="598"/>
      <c r="R158" s="598"/>
      <c r="S158" s="593"/>
    </row>
    <row r="159" spans="1:19" ht="13.5">
      <c r="A159" s="582"/>
      <c r="B159" s="583" t="s">
        <v>972</v>
      </c>
      <c r="C159" s="598">
        <f t="shared" ref="C159:H159" si="23">SUM(C147:C158)</f>
        <v>0</v>
      </c>
      <c r="D159" s="598">
        <f t="shared" si="23"/>
        <v>0</v>
      </c>
      <c r="E159" s="598">
        <f t="shared" si="23"/>
        <v>0</v>
      </c>
      <c r="F159" s="598">
        <f t="shared" si="23"/>
        <v>0</v>
      </c>
      <c r="G159" s="598">
        <f t="shared" si="23"/>
        <v>0</v>
      </c>
      <c r="H159" s="598">
        <f t="shared" si="23"/>
        <v>0</v>
      </c>
      <c r="I159" s="598" t="s">
        <v>81</v>
      </c>
      <c r="J159" s="598">
        <f t="shared" ref="J159:O159" si="24">AVERAGE(J147:J158)</f>
        <v>0</v>
      </c>
      <c r="K159" s="598">
        <f t="shared" si="24"/>
        <v>0</v>
      </c>
      <c r="L159" s="598">
        <f t="shared" si="24"/>
        <v>0</v>
      </c>
      <c r="M159" s="598">
        <f t="shared" si="24"/>
        <v>0</v>
      </c>
      <c r="N159" s="598">
        <f t="shared" si="24"/>
        <v>0</v>
      </c>
      <c r="O159" s="598">
        <f t="shared" si="24"/>
        <v>0</v>
      </c>
      <c r="P159" s="598"/>
      <c r="Q159" s="598"/>
      <c r="R159" s="598"/>
      <c r="S159" s="598"/>
    </row>
    <row r="160" spans="1:19" ht="13.5">
      <c r="A160" s="582"/>
      <c r="C160" s="583"/>
      <c r="D160" s="424"/>
      <c r="E160" s="424"/>
      <c r="F160" s="424"/>
      <c r="G160" s="424"/>
      <c r="H160" s="424"/>
      <c r="I160" s="424"/>
      <c r="J160" s="424"/>
      <c r="K160" s="424"/>
      <c r="L160" s="600"/>
      <c r="M160" s="583"/>
      <c r="N160" s="583"/>
      <c r="O160" s="583"/>
      <c r="P160" s="424"/>
      <c r="Q160" s="600"/>
      <c r="R160" s="583"/>
      <c r="S160" s="583"/>
    </row>
    <row r="161" spans="1:19" ht="15.75">
      <c r="A161" s="582" t="s">
        <v>876</v>
      </c>
      <c r="B161" s="583" t="s">
        <v>83</v>
      </c>
      <c r="C161" s="583"/>
      <c r="D161" s="424"/>
      <c r="E161" s="424"/>
      <c r="F161" s="424"/>
      <c r="G161" s="424"/>
      <c r="H161" s="424"/>
      <c r="I161" s="424"/>
      <c r="J161" s="583"/>
      <c r="K161" s="634" t="s">
        <v>82</v>
      </c>
      <c r="L161" s="424"/>
      <c r="M161" s="598">
        <f>SUM(J159:O159)</f>
        <v>0</v>
      </c>
      <c r="N161" s="598"/>
      <c r="O161" s="1834" t="s">
        <v>1309</v>
      </c>
      <c r="P161" s="583"/>
      <c r="Q161" s="600"/>
      <c r="R161" s="598"/>
      <c r="S161" s="598"/>
    </row>
    <row r="162" spans="1:19" ht="13.5">
      <c r="A162" s="582"/>
      <c r="B162" s="583"/>
      <c r="C162" s="583"/>
      <c r="D162" s="424"/>
      <c r="E162" s="424"/>
      <c r="F162" s="424"/>
      <c r="G162" s="424"/>
      <c r="H162" s="424"/>
      <c r="I162" s="424"/>
      <c r="J162" s="583"/>
      <c r="K162" s="583"/>
      <c r="L162" s="598"/>
      <c r="M162" s="583"/>
      <c r="N162" s="424"/>
      <c r="O162" s="583"/>
      <c r="P162" s="583"/>
      <c r="Q162" s="583"/>
      <c r="R162" s="583"/>
      <c r="S162" s="583"/>
    </row>
    <row r="163" spans="1:19" ht="13.5">
      <c r="A163" s="582"/>
      <c r="B163" s="582"/>
      <c r="C163" s="582"/>
      <c r="D163" s="604"/>
      <c r="E163" s="582"/>
      <c r="F163" s="598"/>
      <c r="G163" s="582"/>
      <c r="H163" s="598"/>
      <c r="I163" s="586"/>
      <c r="J163" s="619"/>
      <c r="K163" s="583"/>
      <c r="L163" s="583"/>
      <c r="M163" s="583"/>
      <c r="N163" s="583"/>
      <c r="O163" s="583"/>
      <c r="P163" s="583"/>
      <c r="Q163" s="583"/>
      <c r="R163" s="583"/>
      <c r="S163" s="583"/>
    </row>
    <row r="164" spans="1:19" ht="13.5">
      <c r="A164" s="582">
        <v>10</v>
      </c>
      <c r="B164" s="582" t="s">
        <v>743</v>
      </c>
      <c r="C164" s="582" t="s">
        <v>718</v>
      </c>
      <c r="D164" s="589" t="s">
        <v>528</v>
      </c>
      <c r="E164" s="583"/>
      <c r="F164" s="583"/>
      <c r="G164" s="583"/>
      <c r="H164" s="583"/>
      <c r="I164" s="586"/>
      <c r="J164" s="587"/>
      <c r="K164" s="583"/>
      <c r="L164" s="583"/>
      <c r="M164" s="583"/>
      <c r="N164" s="583"/>
      <c r="O164" s="583"/>
      <c r="P164" s="583"/>
      <c r="Q164" s="587"/>
      <c r="R164" s="628"/>
      <c r="S164" s="628"/>
    </row>
    <row r="165" spans="1:19" ht="13.5">
      <c r="A165" s="582"/>
      <c r="B165" s="582"/>
      <c r="C165" s="582"/>
      <c r="D165" s="605"/>
      <c r="E165" s="583" t="s">
        <v>1084</v>
      </c>
      <c r="F165" s="583"/>
      <c r="G165" s="583"/>
      <c r="H165" s="583"/>
      <c r="I165" s="587"/>
      <c r="J165" s="587"/>
      <c r="K165" s="583"/>
      <c r="L165" s="583"/>
      <c r="M165" s="583"/>
      <c r="N165" s="583"/>
      <c r="O165" s="583"/>
      <c r="P165" s="583"/>
      <c r="Q165" s="583"/>
      <c r="R165" s="583"/>
      <c r="S165" s="583"/>
    </row>
    <row r="166" spans="1:19" ht="13.5">
      <c r="A166" s="582"/>
      <c r="B166" s="582"/>
      <c r="C166" s="582"/>
      <c r="D166" s="611"/>
      <c r="E166" s="604"/>
      <c r="F166" s="583"/>
      <c r="G166" s="583"/>
      <c r="H166" s="583"/>
      <c r="I166" s="587"/>
      <c r="J166" s="587"/>
      <c r="K166" s="583"/>
      <c r="L166" s="583"/>
      <c r="M166" s="583"/>
      <c r="N166" s="583"/>
      <c r="O166" s="583"/>
      <c r="P166" s="583"/>
      <c r="Q166" s="583"/>
      <c r="R166" s="583"/>
      <c r="S166" s="583"/>
    </row>
    <row r="167" spans="1:19" ht="13.5">
      <c r="A167" s="582"/>
      <c r="B167" s="582"/>
      <c r="C167" s="582"/>
      <c r="D167" s="605"/>
      <c r="E167" s="583"/>
      <c r="F167" s="583"/>
      <c r="G167" s="583"/>
      <c r="H167" s="583"/>
      <c r="I167" s="587"/>
      <c r="J167" s="587"/>
      <c r="K167" s="583"/>
      <c r="L167" s="583"/>
      <c r="M167" s="583"/>
      <c r="N167" s="583"/>
      <c r="O167" s="583"/>
      <c r="P167" s="583"/>
      <c r="Q167" s="583"/>
      <c r="R167" s="583"/>
      <c r="S167" s="583"/>
    </row>
    <row r="168" spans="1:19" ht="13.5">
      <c r="A168" s="582">
        <v>11</v>
      </c>
      <c r="B168" s="582" t="s">
        <v>744</v>
      </c>
      <c r="C168" s="582" t="s">
        <v>718</v>
      </c>
      <c r="D168" s="612" t="s">
        <v>1298</v>
      </c>
      <c r="E168" s="583"/>
      <c r="F168" s="583"/>
      <c r="G168" s="583"/>
      <c r="H168" s="583"/>
      <c r="I168" s="583"/>
      <c r="J168" s="583"/>
      <c r="K168" s="583"/>
      <c r="L168" s="583"/>
      <c r="M168" s="583"/>
      <c r="N168" s="583"/>
      <c r="O168" s="583"/>
      <c r="P168" s="583"/>
      <c r="Q168" s="583"/>
      <c r="R168" s="583"/>
      <c r="S168" s="583"/>
    </row>
    <row r="169" spans="1:19" ht="13.5">
      <c r="A169" s="582"/>
      <c r="B169" s="582"/>
      <c r="C169" s="582"/>
      <c r="D169" s="629">
        <v>0</v>
      </c>
      <c r="E169" s="583"/>
      <c r="F169" s="583"/>
      <c r="G169" s="583"/>
      <c r="H169" s="583"/>
      <c r="I169" s="583"/>
      <c r="J169" s="583"/>
      <c r="K169" s="583"/>
      <c r="L169" s="583"/>
      <c r="M169" s="583"/>
      <c r="N169" s="583"/>
      <c r="O169" s="583"/>
      <c r="P169" s="583"/>
      <c r="Q169" s="583"/>
      <c r="R169" s="583"/>
      <c r="S169" s="583"/>
    </row>
    <row r="170" spans="1:19" ht="13.5">
      <c r="A170" s="582"/>
      <c r="B170" s="582"/>
      <c r="C170" s="582"/>
      <c r="D170" s="583"/>
      <c r="E170" s="583"/>
      <c r="F170" s="583"/>
      <c r="G170" s="583"/>
      <c r="H170" s="583"/>
      <c r="I170" s="583"/>
      <c r="J170" s="583"/>
      <c r="K170" s="583"/>
      <c r="L170" s="583"/>
      <c r="M170" s="583"/>
      <c r="N170" s="583"/>
      <c r="O170" s="583"/>
      <c r="P170" s="583"/>
      <c r="Q170" s="583"/>
      <c r="R170" s="583"/>
      <c r="S170" s="583"/>
    </row>
    <row r="171" spans="1:19" ht="13.5">
      <c r="A171" s="582"/>
      <c r="B171" s="583"/>
      <c r="C171" s="582"/>
      <c r="D171" s="604"/>
      <c r="E171" s="583"/>
      <c r="F171" s="583"/>
      <c r="G171" s="583"/>
      <c r="H171" s="583"/>
      <c r="I171" s="583"/>
      <c r="J171" s="583"/>
      <c r="K171" s="583"/>
      <c r="L171" s="583"/>
      <c r="M171" s="583"/>
      <c r="N171" s="583"/>
      <c r="O171" s="583"/>
      <c r="P171" s="583"/>
      <c r="Q171" s="583"/>
      <c r="R171" s="583"/>
      <c r="S171" s="583"/>
    </row>
    <row r="172" spans="1:19" ht="13.5">
      <c r="A172" s="582"/>
      <c r="B172" s="582"/>
      <c r="C172" s="582"/>
      <c r="D172" s="583"/>
      <c r="E172" s="583"/>
      <c r="F172" s="583"/>
      <c r="G172" s="583"/>
      <c r="H172" s="583"/>
      <c r="I172" s="583"/>
      <c r="J172" s="583"/>
      <c r="K172" s="583"/>
      <c r="L172" s="583"/>
      <c r="M172" s="583"/>
      <c r="N172" s="583"/>
      <c r="O172" s="583"/>
      <c r="P172" s="583"/>
      <c r="Q172" s="583"/>
      <c r="R172" s="583"/>
      <c r="S172" s="583"/>
    </row>
    <row r="173" spans="1:19" ht="13.5">
      <c r="A173" s="582"/>
      <c r="B173" s="582"/>
      <c r="C173" s="582"/>
      <c r="D173" s="583"/>
      <c r="E173" s="583"/>
      <c r="F173" s="583"/>
      <c r="G173" s="583"/>
      <c r="H173" s="583"/>
      <c r="I173" s="583"/>
      <c r="J173" s="583"/>
      <c r="K173" s="583"/>
      <c r="L173" s="583"/>
      <c r="M173" s="583"/>
      <c r="N173" s="583"/>
      <c r="O173" s="583"/>
      <c r="P173" s="583"/>
      <c r="Q173" s="583"/>
      <c r="R173" s="583"/>
      <c r="S173" s="583"/>
    </row>
    <row r="174" spans="1:19" ht="13.5">
      <c r="A174" s="582"/>
      <c r="B174" s="582"/>
      <c r="C174" s="582"/>
      <c r="D174" s="583"/>
      <c r="E174" s="583"/>
      <c r="F174" s="583"/>
      <c r="G174" s="583"/>
      <c r="H174" s="583"/>
      <c r="I174" s="583"/>
      <c r="J174" s="583"/>
      <c r="K174" s="583"/>
      <c r="L174" s="583"/>
      <c r="M174" s="583"/>
      <c r="N174" s="583"/>
      <c r="O174" s="583"/>
      <c r="P174" s="583"/>
      <c r="Q174" s="583"/>
      <c r="R174" s="583"/>
      <c r="S174" s="583"/>
    </row>
    <row r="175" spans="1:19" ht="13.5">
      <c r="A175" s="582"/>
      <c r="B175" s="582"/>
      <c r="C175" s="582"/>
      <c r="D175" s="583"/>
      <c r="E175" s="583"/>
      <c r="F175" s="583"/>
      <c r="G175" s="583"/>
      <c r="H175" s="583"/>
      <c r="I175" s="583"/>
      <c r="J175" s="583"/>
      <c r="K175" s="583"/>
      <c r="L175" s="583"/>
      <c r="M175" s="583"/>
      <c r="N175" s="583"/>
      <c r="O175" s="583"/>
      <c r="P175" s="583"/>
      <c r="Q175" s="583"/>
      <c r="R175" s="583"/>
      <c r="S175" s="583"/>
    </row>
    <row r="176" spans="1:19" ht="13.5">
      <c r="A176" s="582"/>
      <c r="B176" s="582"/>
      <c r="C176" s="582"/>
      <c r="D176" s="583"/>
      <c r="E176" s="583"/>
      <c r="F176" s="583"/>
      <c r="G176" s="583"/>
      <c r="H176" s="583"/>
      <c r="I176" s="583"/>
      <c r="J176" s="583"/>
      <c r="K176" s="583"/>
      <c r="L176" s="583"/>
      <c r="M176" s="583"/>
      <c r="N176" s="583"/>
      <c r="O176" s="583"/>
      <c r="P176" s="583"/>
      <c r="Q176" s="583"/>
      <c r="R176" s="583"/>
      <c r="S176" s="583"/>
    </row>
    <row r="177" spans="1:19" ht="13.5">
      <c r="A177" s="582"/>
      <c r="B177" s="582"/>
      <c r="C177" s="582"/>
      <c r="D177" s="583"/>
      <c r="E177" s="583"/>
      <c r="F177" s="583"/>
      <c r="G177" s="583"/>
      <c r="H177" s="583"/>
      <c r="I177" s="583"/>
      <c r="J177" s="583"/>
      <c r="K177" s="583"/>
      <c r="L177" s="583"/>
      <c r="M177" s="583"/>
      <c r="N177" s="583"/>
      <c r="O177" s="583"/>
      <c r="P177" s="583"/>
      <c r="Q177" s="583"/>
      <c r="R177" s="583"/>
      <c r="S177" s="583"/>
    </row>
    <row r="178" spans="1:19" ht="13.5">
      <c r="A178" s="582"/>
      <c r="B178" s="582"/>
      <c r="C178" s="582"/>
      <c r="D178" s="583"/>
      <c r="E178" s="583"/>
      <c r="F178" s="583"/>
      <c r="G178" s="583"/>
      <c r="H178" s="583"/>
      <c r="I178" s="583"/>
      <c r="J178" s="583"/>
      <c r="K178" s="583"/>
      <c r="L178" s="583"/>
      <c r="M178" s="583"/>
      <c r="N178" s="583"/>
      <c r="O178" s="583"/>
      <c r="P178" s="583"/>
      <c r="Q178" s="583"/>
      <c r="R178" s="583"/>
      <c r="S178" s="583"/>
    </row>
    <row r="179" spans="1:19" ht="13.5">
      <c r="A179" s="582"/>
      <c r="B179" s="582"/>
      <c r="C179" s="582"/>
      <c r="D179" s="583"/>
      <c r="E179" s="583"/>
      <c r="F179" s="583"/>
      <c r="G179" s="583"/>
      <c r="H179" s="583"/>
      <c r="I179" s="583"/>
      <c r="J179" s="583"/>
      <c r="K179" s="583"/>
      <c r="L179" s="583"/>
      <c r="M179" s="583"/>
      <c r="N179" s="583"/>
      <c r="O179" s="583"/>
      <c r="P179" s="583"/>
      <c r="Q179" s="583"/>
      <c r="R179" s="583"/>
      <c r="S179" s="583"/>
    </row>
    <row r="180" spans="1:19" ht="13.5">
      <c r="A180" s="582"/>
      <c r="B180" s="582"/>
      <c r="C180" s="582"/>
      <c r="D180" s="583"/>
      <c r="E180" s="583"/>
      <c r="F180" s="583"/>
      <c r="G180" s="583"/>
      <c r="H180" s="583"/>
      <c r="I180" s="583"/>
      <c r="J180" s="583"/>
      <c r="K180" s="583"/>
      <c r="L180" s="583"/>
      <c r="M180" s="583"/>
      <c r="N180" s="583"/>
      <c r="O180" s="583"/>
      <c r="P180" s="583"/>
      <c r="Q180" s="583"/>
      <c r="R180" s="583"/>
      <c r="S180" s="583"/>
    </row>
    <row r="181" spans="1:19" ht="13.5">
      <c r="A181" s="582"/>
      <c r="B181" s="582"/>
      <c r="C181" s="582"/>
      <c r="D181" s="583"/>
      <c r="E181" s="583"/>
      <c r="F181" s="583"/>
      <c r="G181" s="583"/>
      <c r="H181" s="583"/>
      <c r="I181" s="583"/>
      <c r="J181" s="583"/>
      <c r="K181" s="583"/>
      <c r="L181" s="583"/>
      <c r="M181" s="583"/>
      <c r="N181" s="583"/>
      <c r="O181" s="583"/>
      <c r="P181" s="583"/>
      <c r="Q181" s="583"/>
      <c r="R181" s="583"/>
      <c r="S181" s="583"/>
    </row>
    <row r="182" spans="1:19" ht="13.5">
      <c r="A182" s="582"/>
      <c r="B182" s="582"/>
      <c r="C182" s="582"/>
      <c r="D182" s="583"/>
      <c r="E182" s="583"/>
      <c r="F182" s="583"/>
      <c r="G182" s="583"/>
      <c r="H182" s="583"/>
      <c r="I182" s="583"/>
      <c r="J182" s="583"/>
      <c r="K182" s="583"/>
      <c r="L182" s="583"/>
      <c r="M182" s="583"/>
      <c r="N182" s="583"/>
      <c r="O182" s="583"/>
      <c r="P182" s="583"/>
      <c r="Q182" s="583"/>
      <c r="R182" s="583"/>
      <c r="S182" s="583"/>
    </row>
    <row r="183" spans="1:19" ht="13.5">
      <c r="A183" s="582"/>
      <c r="B183" s="582"/>
      <c r="C183" s="582"/>
      <c r="D183" s="583"/>
      <c r="E183" s="583"/>
      <c r="F183" s="583"/>
      <c r="G183" s="583"/>
      <c r="H183" s="583"/>
      <c r="I183" s="583"/>
      <c r="J183" s="583"/>
      <c r="K183" s="583"/>
      <c r="L183" s="583"/>
      <c r="M183" s="583"/>
      <c r="N183" s="583"/>
      <c r="O183" s="583"/>
      <c r="P183" s="583"/>
      <c r="Q183" s="583"/>
      <c r="R183" s="583"/>
      <c r="S183" s="583"/>
    </row>
    <row r="184" spans="1:19" ht="13.5">
      <c r="A184" s="582"/>
      <c r="B184" s="582"/>
      <c r="C184" s="582"/>
      <c r="D184" s="583"/>
      <c r="E184" s="583"/>
      <c r="F184" s="583"/>
      <c r="G184" s="583"/>
      <c r="H184" s="583"/>
      <c r="I184" s="583"/>
      <c r="J184" s="583"/>
      <c r="K184" s="583"/>
      <c r="L184" s="583"/>
      <c r="M184" s="583"/>
      <c r="N184" s="583"/>
      <c r="O184" s="583"/>
      <c r="P184" s="583"/>
      <c r="Q184" s="583"/>
      <c r="R184" s="583"/>
      <c r="S184" s="583"/>
    </row>
    <row r="185" spans="1:19" ht="13.5">
      <c r="A185" s="582"/>
      <c r="B185" s="582"/>
      <c r="C185" s="582"/>
      <c r="D185" s="583"/>
      <c r="E185" s="583"/>
      <c r="F185" s="583"/>
      <c r="G185" s="583"/>
      <c r="H185" s="583"/>
      <c r="I185" s="583"/>
      <c r="J185" s="583"/>
      <c r="K185" s="583"/>
      <c r="L185" s="583"/>
      <c r="M185" s="583"/>
      <c r="N185" s="583"/>
      <c r="O185" s="583"/>
      <c r="P185" s="583"/>
      <c r="Q185" s="583"/>
      <c r="R185" s="583"/>
      <c r="S185" s="583"/>
    </row>
    <row r="186" spans="1:19" ht="13.5">
      <c r="A186" s="582"/>
      <c r="B186" s="582"/>
      <c r="C186" s="582"/>
      <c r="D186" s="583"/>
      <c r="E186" s="583"/>
      <c r="F186" s="583"/>
      <c r="G186" s="583"/>
      <c r="H186" s="583"/>
      <c r="I186" s="583"/>
      <c r="J186" s="583"/>
      <c r="K186" s="583"/>
      <c r="L186" s="583"/>
      <c r="M186" s="583"/>
      <c r="N186" s="583"/>
      <c r="O186" s="583"/>
      <c r="P186" s="583"/>
      <c r="Q186" s="583"/>
      <c r="R186" s="583"/>
      <c r="S186" s="583"/>
    </row>
    <row r="187" spans="1:19" ht="15.75">
      <c r="A187" s="630"/>
      <c r="B187" s="582"/>
      <c r="C187" s="582"/>
      <c r="D187" s="583"/>
      <c r="E187" s="583"/>
      <c r="F187" s="583"/>
      <c r="G187" s="583"/>
      <c r="H187" s="583"/>
      <c r="I187" s="583"/>
      <c r="J187" s="583"/>
      <c r="K187" s="583"/>
      <c r="L187" s="583"/>
      <c r="M187" s="583"/>
      <c r="N187" s="583"/>
      <c r="O187" s="583"/>
      <c r="P187" s="583"/>
      <c r="Q187" s="583"/>
      <c r="R187" s="583"/>
      <c r="S187" s="583"/>
    </row>
    <row r="188" spans="1:19" ht="15.75">
      <c r="A188" s="630"/>
      <c r="B188" s="582"/>
      <c r="C188" s="582"/>
      <c r="D188" s="583"/>
      <c r="E188" s="583"/>
      <c r="F188" s="583"/>
      <c r="G188" s="583"/>
      <c r="H188" s="583"/>
      <c r="I188" s="583"/>
      <c r="J188" s="583"/>
      <c r="K188" s="583"/>
      <c r="L188" s="583"/>
      <c r="M188" s="583"/>
      <c r="N188" s="583"/>
      <c r="O188" s="583"/>
      <c r="P188" s="583"/>
      <c r="Q188" s="583"/>
      <c r="R188" s="583"/>
      <c r="S188" s="583"/>
    </row>
    <row r="189" spans="1:19" ht="15.75">
      <c r="A189" s="630"/>
      <c r="B189" s="630"/>
      <c r="C189" s="630"/>
      <c r="D189" s="631"/>
      <c r="E189" s="631"/>
      <c r="F189" s="631"/>
      <c r="G189" s="631"/>
      <c r="H189" s="631"/>
      <c r="I189" s="631"/>
      <c r="J189" s="631"/>
      <c r="K189" s="631"/>
      <c r="L189" s="631"/>
      <c r="M189" s="631"/>
      <c r="N189" s="631"/>
      <c r="O189" s="631"/>
      <c r="P189" s="631"/>
      <c r="Q189" s="631"/>
      <c r="R189" s="631"/>
      <c r="S189" s="631"/>
    </row>
  </sheetData>
  <mergeCells count="3">
    <mergeCell ref="D100:E100"/>
    <mergeCell ref="A3:Q3"/>
    <mergeCell ref="A2:Q2"/>
  </mergeCells>
  <phoneticPr fontId="74" type="noConversion"/>
  <pageMargins left="0.75" right="0.75" top="1" bottom="1" header="0.5" footer="0.5"/>
  <pageSetup scale="47" fitToHeight="4" orientation="landscape" r:id="rId1"/>
  <headerFooter alignWithMargins="0"/>
  <rowBreaks count="2" manualBreakCount="2">
    <brk id="73" max="16" man="1"/>
    <brk id="13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Sch 1</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'WKSHT4 - Monthly Tx System Peak'!Print_Area</vt:lpstr>
      <vt:lpstr>'WKSHT6 - Cost of Capital'!Print_Area</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Puget Sound Energy</cp:lastModifiedBy>
  <cp:lastPrinted>2017-05-30T18:12:32Z</cp:lastPrinted>
  <dcterms:created xsi:type="dcterms:W3CDTF">2004-01-21T20:42:01Z</dcterms:created>
  <dcterms:modified xsi:type="dcterms:W3CDTF">2017-05-30T19:52:56Z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