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0" windowWidth="25065" windowHeight="12045" tabRatio="826" activeTab="9"/>
  </bookViews>
  <sheets>
    <sheet name="Sch 1" sheetId="33" r:id="rId1"/>
    <sheet name="ATT H-1 " sheetId="31" r:id="rId2"/>
    <sheet name="1 - ADIT" sheetId="2" r:id="rId3"/>
    <sheet name="2 - Other Tax" sheetId="3" r:id="rId4"/>
    <sheet name="3 - Revenue Credits" sheetId="5" r:id="rId5"/>
    <sheet name="4 - 100 Basis Pt ROE" sheetId="22" r:id="rId6"/>
    <sheet name="5 - Cost Support" sheetId="20" r:id="rId7"/>
    <sheet name="6 - Est and True up" sheetId="34" r:id="rId8"/>
    <sheet name="6A-Colstrip" sheetId="45" r:id="rId9"/>
    <sheet name="6B-So Intertie" sheetId="46" r:id="rId10"/>
    <sheet name="7 - Cap Add WS" sheetId="39" r:id="rId11"/>
    <sheet name="8 - Depreciation Rates" sheetId="40" r:id="rId12"/>
    <sheet name="WKSHT1 - Rev Credits" sheetId="19" r:id="rId13"/>
    <sheet name="WKSHT2 - Prepaid" sheetId="23" r:id="rId14"/>
    <sheet name="WKSHT3 - All GIFs" sheetId="38" r:id="rId15"/>
    <sheet name="WKSHT4 - Monthly Tx System Peak" sheetId="41" r:id="rId16"/>
    <sheet name="WKSHT5 - Plant in Service 13mo " sheetId="43" r:id="rId17"/>
    <sheet name="WKSHT6 - Cost of Capital" sheetId="44" r:id="rId18"/>
  </sheets>
  <externalReferences>
    <externalReference r:id="rId19"/>
    <externalReference r:id="rId20"/>
    <externalReference r:id="rId21"/>
    <externalReference r:id="rId22"/>
    <externalReference r:id="rId23"/>
  </externalReferences>
  <definedNames>
    <definedName name="\0" localSheetId="17">'[1]Header Data'!#REF!</definedName>
    <definedName name="\0">#N/A</definedName>
    <definedName name="\1">'[1]Header Data'!#REF!</definedName>
    <definedName name="\b">#N/A</definedName>
    <definedName name="\c">#N/A</definedName>
    <definedName name="\d">#N/A</definedName>
    <definedName name="\E">#REF!</definedName>
    <definedName name="\f">#N/A</definedName>
    <definedName name="\m">#N/A</definedName>
    <definedName name="__123Graph_A" hidden="1">'[2]AL2 151'!#REF!</definedName>
    <definedName name="__123Graph_B" hidden="1">'[2]AL2 151'!#REF!</definedName>
    <definedName name="__123Graph_C" hidden="1">'[2]AL2 151'!#REF!</definedName>
    <definedName name="__123Graph_D" hidden="1">'[2]AL2 151'!#REF!</definedName>
    <definedName name="__123Graph_E" hidden="1">'[2]AL2 151'!#REF!</definedName>
    <definedName name="__123Graph_F" hidden="1">'[2]AL2 151'!#REF!</definedName>
    <definedName name="__123Graph_X" hidden="1">'[2]AL2 151'!#REF!</definedName>
    <definedName name="__CPK1" localSheetId="10">#REF!</definedName>
    <definedName name="__CPK1">#REF!</definedName>
    <definedName name="__CPK2">#REF!</definedName>
    <definedName name="__CPK3">#REF!</definedName>
    <definedName name="__EGR1">#N/A</definedName>
    <definedName name="__EGR2">#N/A</definedName>
    <definedName name="__EGR3">#N/A</definedName>
    <definedName name="_CPK1" localSheetId="10">#REF!</definedName>
    <definedName name="_CPK1">#REF!</definedName>
    <definedName name="_CPK2">#REF!</definedName>
    <definedName name="_CPK3">#REF!</definedName>
    <definedName name="_EGR1">#N/A</definedName>
    <definedName name="_EGR2">#N/A</definedName>
    <definedName name="_EGR3">#N/A</definedName>
    <definedName name="_Fill" hidden="1">#REF!</definedName>
    <definedName name="_Key1" hidden="1">#REF!</definedName>
    <definedName name="_Order1" hidden="1">0</definedName>
    <definedName name="_Sort" hidden="1">#REF!</definedName>
    <definedName name="A">#REF!</definedName>
    <definedName name="ACCTTextLen">#REF!</definedName>
    <definedName name="ACTTextLen">#REF!</definedName>
    <definedName name="ALOC">#REF!</definedName>
    <definedName name="ALOC_2">#REF!</definedName>
    <definedName name="AMOUNT">#REF!</definedName>
    <definedName name="APR">#N/A</definedName>
    <definedName name="AREA">#N/A</definedName>
    <definedName name="AUG">#N/A</definedName>
    <definedName name="AVG">#N/A</definedName>
    <definedName name="B">#REF!</definedName>
    <definedName name="BadErrMsg">#REF!</definedName>
    <definedName name="BalanceSheet">#REF!</definedName>
    <definedName name="Bio_Flora">#REF!</definedName>
    <definedName name="C_">'[3]RR 8 2'!#REF!</definedName>
    <definedName name="CALC_C03">#REF!</definedName>
    <definedName name="CALC_C04">#REF!</definedName>
    <definedName name="CALC_C09">#REF!</definedName>
    <definedName name="CALC_LRG">#REF!</definedName>
    <definedName name="CALC_XLG">#REF!</definedName>
    <definedName name="CELL">#N/A</definedName>
    <definedName name="CLASSES">#N/A</definedName>
    <definedName name="CompanyTextLen">#REF!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REDITS">#REF!</definedName>
    <definedName name="CSTextLen">#REF!</definedName>
    <definedName name="CUST">#N/A</definedName>
    <definedName name="CUST1">#N/A</definedName>
    <definedName name="CUSTOM1">#REF!</definedName>
    <definedName name="CUSTOM2">#REF!</definedName>
    <definedName name="DATALINE">'[1]Header Data'!#REF!</definedName>
    <definedName name="DB_CPK">#N/A</definedName>
    <definedName name="DB_CPK1">[4]FERCFACT!#REF!</definedName>
    <definedName name="DB_CPK2">#REF!</definedName>
    <definedName name="DB_CPK3">#REF!</definedName>
    <definedName name="DB_CUST">#N/A</definedName>
    <definedName name="DB_EGR">#N/A</definedName>
    <definedName name="DB_EGR1">[4]FERCFACT!#REF!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EBITS">#REF!</definedName>
    <definedName name="DEC">#N/A</definedName>
    <definedName name="DecCP">#REF!</definedName>
    <definedName name="DISPLAY">#N/A</definedName>
    <definedName name="DR_1">#N/A</definedName>
    <definedName name="ED8_BIOFLORA_Print">#REF!</definedName>
    <definedName name="EFF_DATE">'[1]Header Data'!#REF!</definedName>
    <definedName name="EGR">#N/A</definedName>
    <definedName name="EGR1X">#REF!</definedName>
    <definedName name="EIGHT">#N/A</definedName>
    <definedName name="ELEVEN">#N/A</definedName>
    <definedName name="END">#REF!</definedName>
    <definedName name="ENERGY">#REF!</definedName>
    <definedName name="ENERGY_SUP" localSheetId="10">[4]FERCFACT!#REF!</definedName>
    <definedName name="ENERGY_SUP">[4]FERCFACT!#REF!</definedName>
    <definedName name="ENERGY1">#N/A</definedName>
    <definedName name="EST_BY_ACCT">#REF!</definedName>
    <definedName name="FACTORS">#REF!</definedName>
    <definedName name="FACTRS">#REF!</definedName>
    <definedName name="FIVE">#N/A</definedName>
    <definedName name="FOUR">#N/A</definedName>
    <definedName name="GJC_03">#REF!</definedName>
    <definedName name="GJC_04">#REF!</definedName>
    <definedName name="GJC_09">#REF!</definedName>
    <definedName name="HCTextLen">#REF!</definedName>
    <definedName name="head">#REF!</definedName>
    <definedName name="IMAX1">#REF!</definedName>
    <definedName name="IMAX2">#REF!</definedName>
    <definedName name="IMAX3">#REF!</definedName>
    <definedName name="IncomeStatement">#REF!</definedName>
    <definedName name="IND.MAX">#N/A</definedName>
    <definedName name="IND.MAX1">#N/A</definedName>
    <definedName name="INPUT" localSheetId="17">#REF!</definedName>
    <definedName name="INPUT">#N/A</definedName>
    <definedName name="INPUT_AREA">#REF!</definedName>
    <definedName name="INPUT_DATA">#REF!</definedName>
    <definedName name="JanCP">#REF!</definedName>
    <definedName name="jor">#REF!</definedName>
    <definedName name="JOUR_ENTRY">#REF!</definedName>
    <definedName name="JUL">#N/A</definedName>
    <definedName name="JUN">#N/A</definedName>
    <definedName name="LOCATE3">#N/A</definedName>
    <definedName name="LOCTABLE">#REF!</definedName>
    <definedName name="LOCTextLen">#REF!</definedName>
    <definedName name="losses">#REF!</definedName>
    <definedName name="LRG_GE">#REF!</definedName>
    <definedName name="LRG_GJ">#REF!</definedName>
    <definedName name="M">[4]FERCFACT!#REF!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ONTHS">#N/A</definedName>
    <definedName name="MOVE">#N/A</definedName>
    <definedName name="MTH">#N/A</definedName>
    <definedName name="NCP">#N/A</definedName>
    <definedName name="NCP_1">#N/A</definedName>
    <definedName name="NCPK1">#N/A</definedName>
    <definedName name="NCPK1X">#REF!</definedName>
    <definedName name="NCPK2">#REF!</definedName>
    <definedName name="NCPK2X">#REF!</definedName>
    <definedName name="NCPK3">#REF!</definedName>
    <definedName name="NETWK_TRANS_PK_RPT_Print_Area" localSheetId="10">#REF!</definedName>
    <definedName name="NETWK_TRANS_PK_RPT_Print_Area">#REF!</definedName>
    <definedName name="NINE">#N/A</definedName>
    <definedName name="NoErrMsg">#REF!</definedName>
    <definedName name="NormErrMsg">#REF!</definedName>
    <definedName name="NOTE">#REF!</definedName>
    <definedName name="NOTE_A">#REF!</definedName>
    <definedName name="NOTE_B">#REF!</definedName>
    <definedName name="NOTE2">#REF!</definedName>
    <definedName name="NOV">#N/A</definedName>
    <definedName name="OCT">#N/A</definedName>
    <definedName name="ONE">#N/A</definedName>
    <definedName name="P_TYPE">#N/A</definedName>
    <definedName name="page1" localSheetId="17">'[5]W&amp;S by group'!#REF!</definedName>
    <definedName name="PAGE1">[4]FERCFACT!#REF!</definedName>
    <definedName name="page10">'[5]W&amp;S by group'!#REF!</definedName>
    <definedName name="page11">'[5]W&amp;S by group'!#REF!</definedName>
    <definedName name="page12">'[5]W&amp;S by group'!#REF!</definedName>
    <definedName name="page13">'[5]W&amp;S by group'!#REF!</definedName>
    <definedName name="page14">'[5]W&amp;S by group'!#REF!</definedName>
    <definedName name="page15">'[5]W&amp;S by group'!#REF!</definedName>
    <definedName name="page16">'[5]W&amp;S by group'!#REF!</definedName>
    <definedName name="page2" localSheetId="17">'[5]W&amp;S by group'!#REF!</definedName>
    <definedName name="PAGE2">#REF!</definedName>
    <definedName name="PAGE3" localSheetId="10">[4]FERCFACT!#REF!</definedName>
    <definedName name="page3" localSheetId="17">'[5]W&amp;S by group'!#REF!</definedName>
    <definedName name="PAGE3">[4]FERCFACT!#REF!</definedName>
    <definedName name="page4" localSheetId="17">'[5]W&amp;S by group'!#REF!</definedName>
    <definedName name="PAGE4">#REF!</definedName>
    <definedName name="page5" localSheetId="17">#REF!</definedName>
    <definedName name="PAGE5">#REF!</definedName>
    <definedName name="page6" localSheetId="17">#REF!</definedName>
    <definedName name="PAGE6">#REF!</definedName>
    <definedName name="page7" localSheetId="17">'[5]W&amp;S by group'!#REF!</definedName>
    <definedName name="PAGE7">#REF!</definedName>
    <definedName name="page8" localSheetId="17">'[5]W&amp;S by group'!#REF!</definedName>
    <definedName name="PAGE8">#REF!</definedName>
    <definedName name="page9" localSheetId="17">'[5]W&amp;S by group'!#REF!</definedName>
    <definedName name="PAGE9">#REF!</definedName>
    <definedName name="PageA">#REF!</definedName>
    <definedName name="PageB">#REF!</definedName>
    <definedName name="PageC">#REF!</definedName>
    <definedName name="PEAK">#N/A</definedName>
    <definedName name="PK_1">#N/A</definedName>
    <definedName name="_xlnm.Print_Area" localSheetId="3">'2 - Other Tax'!$A$1:$L$86</definedName>
    <definedName name="_xlnm.Print_Area" localSheetId="4">'3 - Revenue Credits'!$A$1:$I$34</definedName>
    <definedName name="_xlnm.Print_Area" localSheetId="6">'5 - Cost Support'!$A$1:$Q$240</definedName>
    <definedName name="_xlnm.Print_Area" localSheetId="7">'6 - Est and True up'!$A$1:$O$190</definedName>
    <definedName name="_xlnm.Print_Area" localSheetId="8">'6A-Colstrip'!$A$1:$Q$169</definedName>
    <definedName name="_xlnm.Print_Area" localSheetId="9">'6B-So Intertie'!$A$1:$R$172</definedName>
    <definedName name="_xlnm.Print_Area" localSheetId="10">'7 - Cap Add WS'!$A$1:$M$77</definedName>
    <definedName name="_xlnm.Print_Area" localSheetId="11">'8 - Depreciation Rates'!$A$1:$E$46</definedName>
    <definedName name="_xlnm.Print_Area" localSheetId="1">'ATT H-1 '!$A$1:$L$311</definedName>
    <definedName name="_xlnm.Print_Area" localSheetId="0">'Sch 1'!$A$2:$E$40</definedName>
    <definedName name="_xlnm.Print_Area" localSheetId="12">'WKSHT1 - Rev Credits'!$A$1:$L$147</definedName>
    <definedName name="_xlnm.Print_Area" localSheetId="15">'WKSHT4 - Monthly Tx System Peak'!$A$1:$K$74</definedName>
    <definedName name="_xlnm.Print_Area" localSheetId="17">'WKSHT6 - Cost of Capital'!$A$1:$P$58</definedName>
    <definedName name="_xlnm.Print_Area">'[2]BC 2 2005BC'!#REF!</definedName>
    <definedName name="PRINT_AREA_MI">'[2]BC 2 2005BC'!#REF!</definedName>
    <definedName name="PRINTFILE">#REF!</definedName>
    <definedName name="PROJ_WOTextLen">#REF!</definedName>
    <definedName name="PSLJ8LG">#N/A</definedName>
    <definedName name="PSOKI6">#N/A</definedName>
    <definedName name="Q">#REF!</definedName>
    <definedName name="_xlnm.Recorder">#REF!</definedName>
    <definedName name="RES_CPB">#REF!</definedName>
    <definedName name="SELECT">#N/A</definedName>
    <definedName name="SEP">#N/A</definedName>
    <definedName name="SEVEN">#N/A</definedName>
    <definedName name="SIX">#N/A</definedName>
    <definedName name="SORT">#N/A</definedName>
    <definedName name="SPACE">#N/A</definedName>
    <definedName name="Spot_Purchases_and_Tailgate">#REF!</definedName>
    <definedName name="SPOTE_04">#REF!</definedName>
    <definedName name="START">#REF!</definedName>
    <definedName name="STARTCR">#REF!</definedName>
    <definedName name="STARTDR">#REF!</definedName>
    <definedName name="SUBTITLE">#N/A</definedName>
    <definedName name="SUPPORTING_DATA_TO_UPLOAD">#REF!</definedName>
    <definedName name="suz">'[2]BC 2 2005BC'!#REF!</definedName>
    <definedName name="TEN">#N/A</definedName>
    <definedName name="THREE">#N/A</definedName>
    <definedName name="TWELVE">#N/A</definedName>
    <definedName name="TWO">#N/A</definedName>
    <definedName name="TYE">#N/A</definedName>
    <definedName name="TYE_1">#N/A</definedName>
    <definedName name="TYPETextLen">#REF!</definedName>
    <definedName name="Underground_Storage_Activity">#REF!</definedName>
    <definedName name="WELL_HEAD_ESTIMATES">#REF!</definedName>
    <definedName name="WITHSTD">#REF!</definedName>
    <definedName name="wrn.CP._.Demand." localSheetId="10" hidden="1">{"Retail CP pg1",#N/A,FALSE,"FACTOR3";"Retail CP pg2",#N/A,FALSE,"FACTOR3";"Retail CP pg3",#N/A,FALSE,"FACTOR3"}</definedName>
    <definedName name="wrn.CP._.Demand." hidden="1">{"Retail CP pg1",#N/A,FALSE,"FACTOR3";"Retail CP pg2",#N/A,FALSE,"FACTOR3";"Retail CP pg3",#N/A,FALSE,"FACTOR3"}</definedName>
    <definedName name="wrn.CP._.Demand2." localSheetId="10" hidden="1">{"Retail CP pg1",#N/A,FALSE,"FACTOR3";"Retail CP pg2",#N/A,FALSE,"FACTOR3";"Retail CP pg3",#N/A,FALSE,"FACTOR3"}</definedName>
    <definedName name="wrn.CP._.Demand2." hidden="1">{"Retail CP pg1",#N/A,FALSE,"FACTOR3";"Retail CP pg2",#N/A,FALSE,"FACTOR3";"Retail CP pg3",#N/A,FALSE,"FACTOR3"}</definedName>
    <definedName name="XLRG_GE">#REF!</definedName>
    <definedName name="XLRG_GJ">#REF!</definedName>
    <definedName name="Z_1155D18F_BFDD_426B_8E78_817CEB25FB23_.wvu.Cols" localSheetId="2" hidden="1">'1 - ADIT'!#REF!</definedName>
    <definedName name="Z_1155D18F_BFDD_426B_8E78_817CEB25FB23_.wvu.PrintArea" localSheetId="2" hidden="1">'1 - ADIT'!$A$1:$J$144</definedName>
    <definedName name="Z_1155D18F_BFDD_426B_8E78_817CEB25FB23_.wvu.PrintArea" localSheetId="4" hidden="1">'3 - Revenue Credits'!$A$1:$D$35</definedName>
    <definedName name="Z_16940A0E_2B20_4241_BF05_A4686E5A0274_.wvu.Cols" localSheetId="2" hidden="1">'1 - ADIT'!#REF!</definedName>
    <definedName name="Z_16940A0E_2B20_4241_BF05_A4686E5A0274_.wvu.PrintArea" localSheetId="2" hidden="1">'1 - ADIT'!$A$1:$J$145</definedName>
    <definedName name="Z_16940A0E_2B20_4241_BF05_A4686E5A0274_.wvu.PrintArea" localSheetId="4" hidden="1">'3 - Revenue Credits'!$A$1:$D$35</definedName>
    <definedName name="Z_28948E05_8F34_4F1E_96FB_A80A6A844600_.wvu.Cols" localSheetId="2" hidden="1">'1 - ADIT'!#REF!</definedName>
    <definedName name="Z_28948E05_8F34_4F1E_96FB_A80A6A844600_.wvu.PrintArea" localSheetId="2" hidden="1">'1 - ADIT'!$A$1:$J$144</definedName>
    <definedName name="Z_28948E05_8F34_4F1E_96FB_A80A6A844600_.wvu.PrintArea" localSheetId="4" hidden="1">'3 - Revenue Credits'!$A$1:$D$35</definedName>
    <definedName name="Z_3768C7C8_9953_11DA_B318_000FB55D51DC_.wvu.Cols" localSheetId="10" hidden="1">'7 - Cap Add WS'!#REF!</definedName>
    <definedName name="Z_3768C7C8_9953_11DA_B318_000FB55D51DC_.wvu.PrintArea" localSheetId="5" hidden="1">'4 - 100 Basis Pt ROE'!$A$9:$G$48</definedName>
    <definedName name="Z_3768C7C8_9953_11DA_B318_000FB55D51DC_.wvu.PrintArea" localSheetId="6" hidden="1">'5 - Cost Support'!$A$74:$N$232</definedName>
    <definedName name="Z_3768C7C8_9953_11DA_B318_000FB55D51DC_.wvu.PrintTitles" localSheetId="6" hidden="1">'5 - Cost Support'!#REF!</definedName>
    <definedName name="Z_3768C7C8_9953_11DA_B318_000FB55D51DC_.wvu.PrintTitles" localSheetId="10" hidden="1">'7 - Cap Add WS'!$B:$C</definedName>
    <definedName name="Z_3768C7C8_9953_11DA_B318_000FB55D51DC_.wvu.Rows" localSheetId="6" hidden="1">'5 - Cost Support'!#REF!</definedName>
    <definedName name="Z_3BDD6235_B127_4929_8311_BDAF7BB89818_.wvu.Cols" localSheetId="10" hidden="1">'7 - Cap Add WS'!#REF!</definedName>
    <definedName name="Z_3BDD6235_B127_4929_8311_BDAF7BB89818_.wvu.PrintArea" localSheetId="5" hidden="1">'4 - 100 Basis Pt ROE'!$A$9:$G$48</definedName>
    <definedName name="Z_3BDD6235_B127_4929_8311_BDAF7BB89818_.wvu.PrintArea" localSheetId="6" hidden="1">'5 - Cost Support'!$A$74:$N$232</definedName>
    <definedName name="Z_3BDD6235_B127_4929_8311_BDAF7BB89818_.wvu.PrintTitles" localSheetId="6" hidden="1">'5 - Cost Support'!#REF!</definedName>
    <definedName name="Z_3BDD6235_B127_4929_8311_BDAF7BB89818_.wvu.PrintTitles" localSheetId="10" hidden="1">'7 - Cap Add WS'!$B:$C</definedName>
    <definedName name="Z_3BDD6235_B127_4929_8311_BDAF7BB89818_.wvu.Rows" localSheetId="6" hidden="1">'5 - Cost Support'!#REF!</definedName>
    <definedName name="Z_44504B44_F20F_4B6F_B585_74D55BA74563_.wvu.Cols" localSheetId="2" hidden="1">'1 - ADIT'!#REF!</definedName>
    <definedName name="Z_44504B44_F20F_4B6F_B585_74D55BA74563_.wvu.PrintArea" localSheetId="2" hidden="1">'1 - ADIT'!$A$1:$J$145</definedName>
    <definedName name="Z_44504B44_F20F_4B6F_B585_74D55BA74563_.wvu.PrintArea" localSheetId="4" hidden="1">'3 - Revenue Credits'!$A$1:$D$35</definedName>
    <definedName name="Z_63011E91_4609_4523_98FE_FD252E915668_.wvu.Cols" localSheetId="2" hidden="1">'1 - ADIT'!#REF!</definedName>
    <definedName name="Z_63011E91_4609_4523_98FE_FD252E915668_.wvu.PrintArea" localSheetId="2" hidden="1">'1 - ADIT'!$A$1:$J$144</definedName>
    <definedName name="Z_63011E91_4609_4523_98FE_FD252E915668_.wvu.PrintArea" localSheetId="3" hidden="1">'2 - Other Tax'!$A$1:$H$86</definedName>
    <definedName name="Z_63011E91_4609_4523_98FE_FD252E915668_.wvu.PrintArea" localSheetId="4" hidden="1">'3 - Revenue Credits'!$A$1:$D$35</definedName>
    <definedName name="Z_71B42B22_A376_44B5_B0C1_23FC1AA3DBA2_.wvu.Cols" localSheetId="2" hidden="1">'1 - ADIT'!#REF!</definedName>
    <definedName name="Z_71B42B22_A376_44B5_B0C1_23FC1AA3DBA2_.wvu.PrintArea" localSheetId="2" hidden="1">'1 - ADIT'!$A$1:$J$144</definedName>
    <definedName name="Z_71B42B22_A376_44B5_B0C1_23FC1AA3DBA2_.wvu.PrintArea" localSheetId="4" hidden="1">'3 - Revenue Credits'!$A$1:$D$35</definedName>
    <definedName name="Z_B0241363_5C8A_48FC_89A6_56D55586BABE_.wvu.Cols" localSheetId="10" hidden="1">'7 - Cap Add WS'!#REF!</definedName>
    <definedName name="Z_B0241363_5C8A_48FC_89A6_56D55586BABE_.wvu.PrintArea" localSheetId="5" hidden="1">'4 - 100 Basis Pt ROE'!$A$9:$G$48</definedName>
    <definedName name="Z_B0241363_5C8A_48FC_89A6_56D55586BABE_.wvu.PrintArea" localSheetId="6" hidden="1">'5 - Cost Support'!$A$74:$N$232</definedName>
    <definedName name="Z_B0241363_5C8A_48FC_89A6_56D55586BABE_.wvu.PrintTitles" localSheetId="6" hidden="1">'5 - Cost Support'!#REF!</definedName>
    <definedName name="Z_B0241363_5C8A_48FC_89A6_56D55586BABE_.wvu.PrintTitles" localSheetId="10" hidden="1">'7 - Cap Add WS'!$B:$C</definedName>
    <definedName name="Z_B0241363_5C8A_48FC_89A6_56D55586BABE_.wvu.Rows" localSheetId="6" hidden="1">'5 - Cost Support'!#REF!</definedName>
    <definedName name="Z_B647CB7F_C846_4278_B6B1_1EF7F3C004F5_.wvu.Cols" localSheetId="2" hidden="1">'1 - ADIT'!#REF!</definedName>
    <definedName name="Z_B647CB7F_C846_4278_B6B1_1EF7F3C004F5_.wvu.PrintArea" localSheetId="2" hidden="1">'1 - ADIT'!$A$1:$J$144</definedName>
    <definedName name="Z_B647CB7F_C846_4278_B6B1_1EF7F3C004F5_.wvu.PrintArea" localSheetId="4" hidden="1">'3 - Revenue Credits'!$A$1:$D$35</definedName>
    <definedName name="Z_C0EA0F9F_7310_4201_82C9_7B8FC8DB9137_.wvu.Cols" localSheetId="10" hidden="1">'7 - Cap Add WS'!#REF!</definedName>
    <definedName name="Z_C0EA0F9F_7310_4201_82C9_7B8FC8DB9137_.wvu.PrintArea" localSheetId="5" hidden="1">'4 - 100 Basis Pt ROE'!$A$9:$G$48</definedName>
    <definedName name="Z_C0EA0F9F_7310_4201_82C9_7B8FC8DB9137_.wvu.PrintArea" localSheetId="6" hidden="1">'5 - Cost Support'!$A$74:$N$232</definedName>
    <definedName name="Z_C0EA0F9F_7310_4201_82C9_7B8FC8DB9137_.wvu.PrintTitles" localSheetId="6" hidden="1">'5 - Cost Support'!#REF!</definedName>
    <definedName name="Z_C0EA0F9F_7310_4201_82C9_7B8FC8DB9137_.wvu.PrintTitles" localSheetId="10" hidden="1">'7 - Cap Add WS'!$B:$C</definedName>
    <definedName name="Z_C0EA0F9F_7310_4201_82C9_7B8FC8DB9137_.wvu.Rows" localSheetId="6" hidden="1">'5 - Cost Support'!#REF!</definedName>
    <definedName name="Z_DC91DEF3_837B_4BB9_A81E_3B78C5914E6C_.wvu.Cols" localSheetId="2" hidden="1">'1 - ADIT'!#REF!</definedName>
    <definedName name="Z_DC91DEF3_837B_4BB9_A81E_3B78C5914E6C_.wvu.PrintArea" localSheetId="2" hidden="1">'1 - ADIT'!$A$1:$J$144</definedName>
    <definedName name="Z_DC91DEF3_837B_4BB9_A81E_3B78C5914E6C_.wvu.PrintArea" localSheetId="4" hidden="1">'3 - Revenue Credits'!$A$1:$D$35</definedName>
    <definedName name="Z_FAAD9AAC_1337_43AB_BF1F_CCF9DFCF5B78_.wvu.Cols" localSheetId="2" hidden="1">'1 - ADIT'!#REF!</definedName>
    <definedName name="Z_FAAD9AAC_1337_43AB_BF1F_CCF9DFCF5B78_.wvu.PrintArea" localSheetId="2" hidden="1">'1 - ADIT'!$A$1:$J$144</definedName>
    <definedName name="Z_FAAD9AAC_1337_43AB_BF1F_CCF9DFCF5B78_.wvu.PrintArea" localSheetId="4" hidden="1">'3 - Revenue Credits'!$A$1:$D$35</definedName>
  </definedNames>
  <calcPr calcId="145621"/>
  <customWorkbookViews>
    <customWorkbookView name="alan - Personal View" guid="{1155D18F-BFDD-426B-8E78-817CEB25FB23}" mergeInterval="0" personalView="1" maximized="1" windowWidth="1009" windowHeight="568" tabRatio="809" activeSheetId="1"/>
    <customWorkbookView name="Preferred Customer - Personal View" guid="{DC91DEF3-837B-4BB9-A81E-3B78C5914E6C}" mergeInterval="0" personalView="1" maximized="1" windowWidth="1020" windowHeight="603" tabRatio="809" activeSheetId="2"/>
    <customWorkbookView name="Dana Olds - Personal View" guid="{63011E91-4609-4523-98FE-FD252E915668}" mergeInterval="0" personalView="1" maximized="1" windowWidth="1020" windowHeight="605" tabRatio="809" activeSheetId="11"/>
    <customWorkbookView name="wdbooth - Personal View" guid="{B647CB7F-C846-4278-B6B1-1EF7F3C004F5}" mergeInterval="0" personalView="1" maximized="1" windowWidth="756" windowHeight="354" tabRatio="809" activeSheetId="9"/>
    <customWorkbookView name="Helen Hight - Personal View" guid="{28948E05-8F34-4F1E-96FB-A80A6A844600}" mergeInterval="0" personalView="1" maximized="1" windowWidth="1020" windowHeight="570" tabRatio="809" activeSheetId="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92" tabRatio="809" activeSheetId="4"/>
    <customWorkbookView name="z93536 - Personal View" guid="{44504B44-F20F-4B6F-B585-74D55BA74563}" mergeInterval="0" personalView="1" maximized="1" windowWidth="1020" windowHeight="579" tabRatio="809" activeSheetId="1"/>
    <customWorkbookView name="Ken Lee - Personal View" guid="{16940A0E-2B20-4241-BF05-A4686E5A0274}" mergeInterval="0" personalView="1" maximized="1" windowWidth="1020" windowHeight="593" tabRatio="809" activeSheetId="1"/>
  </customWorkbookViews>
</workbook>
</file>

<file path=xl/calcChain.xml><?xml version="1.0" encoding="utf-8"?>
<calcChain xmlns="http://schemas.openxmlformats.org/spreadsheetml/2006/main">
  <c r="M84" i="46" l="1"/>
  <c r="J95" i="46" s="1"/>
  <c r="F5" i="46"/>
  <c r="F6" i="46"/>
  <c r="F4" i="46"/>
  <c r="J96" i="45"/>
  <c r="M84" i="45"/>
  <c r="F5" i="45"/>
  <c r="F6" i="45"/>
  <c r="F4" i="45"/>
  <c r="M85" i="34"/>
  <c r="J113" i="34" s="1"/>
  <c r="J115" i="34" s="1"/>
  <c r="E43" i="22" l="1"/>
  <c r="E42" i="22"/>
  <c r="E41" i="22"/>
  <c r="E40" i="22"/>
  <c r="E37" i="22"/>
  <c r="E36" i="22"/>
  <c r="E35" i="22"/>
  <c r="E34" i="22"/>
  <c r="E33" i="22"/>
  <c r="E25" i="22"/>
  <c r="E24" i="22"/>
  <c r="E22" i="22"/>
  <c r="E21" i="22"/>
  <c r="E20" i="22"/>
  <c r="E18" i="22"/>
  <c r="E17" i="22"/>
  <c r="E16" i="22"/>
  <c r="E14" i="22"/>
  <c r="F25" i="31"/>
  <c r="D68" i="46" l="1"/>
  <c r="J16" i="31"/>
  <c r="J140" i="31" l="1"/>
  <c r="F80" i="46" l="1"/>
  <c r="F81" i="46" s="1"/>
  <c r="F82" i="46" s="1"/>
  <c r="F85" i="45"/>
  <c r="F80" i="45"/>
  <c r="F81" i="45" s="1"/>
  <c r="F82" i="45" s="1"/>
  <c r="F83" i="45" s="1"/>
  <c r="J9" i="31" l="1"/>
  <c r="J107" i="31"/>
  <c r="F103" i="34" l="1"/>
  <c r="F104" i="34" s="1"/>
  <c r="F105" i="34" s="1"/>
  <c r="F106" i="34" s="1"/>
  <c r="F107" i="34" s="1"/>
  <c r="F108" i="34" s="1"/>
  <c r="F98" i="34"/>
  <c r="F99" i="34" s="1"/>
  <c r="F100" i="34" s="1"/>
  <c r="F101" i="34" s="1"/>
  <c r="F86" i="34"/>
  <c r="F81" i="34" l="1"/>
  <c r="F82" i="34" s="1"/>
  <c r="F83" i="34" s="1"/>
  <c r="F84" i="34" s="1"/>
  <c r="K146" i="19" l="1"/>
  <c r="T106" i="23" l="1"/>
  <c r="Q66" i="23"/>
  <c r="W66" i="23"/>
  <c r="Q12" i="23"/>
  <c r="V12" i="23"/>
  <c r="V11" i="23"/>
  <c r="Q11" i="23"/>
  <c r="T97" i="23"/>
  <c r="T98" i="23"/>
  <c r="T99" i="23"/>
  <c r="T100" i="23"/>
  <c r="T101" i="23"/>
  <c r="T102" i="23"/>
  <c r="T103" i="23"/>
  <c r="T104" i="23"/>
  <c r="W52" i="23"/>
  <c r="W53" i="23"/>
  <c r="W54" i="23"/>
  <c r="W55" i="23"/>
  <c r="W56" i="23"/>
  <c r="W57" i="23"/>
  <c r="W58" i="23"/>
  <c r="W59" i="23"/>
  <c r="W60" i="23"/>
  <c r="W61" i="23"/>
  <c r="W62" i="23"/>
  <c r="W63" i="23"/>
  <c r="W64" i="23"/>
  <c r="Q9" i="23"/>
  <c r="Q64" i="23"/>
  <c r="Q65" i="23"/>
  <c r="D66" i="23"/>
  <c r="Q97" i="23" l="1"/>
  <c r="Q98" i="23"/>
  <c r="Q99" i="23"/>
  <c r="Q100" i="23"/>
  <c r="Q101" i="23"/>
  <c r="Q102" i="23"/>
  <c r="Q103" i="23"/>
  <c r="Q104" i="23"/>
  <c r="Q52" i="23"/>
  <c r="Q53" i="23"/>
  <c r="Q54" i="23"/>
  <c r="Q55" i="23"/>
  <c r="Q56" i="23"/>
  <c r="Q57" i="23"/>
  <c r="Q58" i="23"/>
  <c r="Q59" i="23"/>
  <c r="Q60" i="23"/>
  <c r="Q61" i="23"/>
  <c r="Q62" i="23"/>
  <c r="Q63" i="23"/>
  <c r="E66" i="23"/>
  <c r="F66" i="23"/>
  <c r="G66" i="23"/>
  <c r="H66" i="23"/>
  <c r="I66" i="23"/>
  <c r="J66" i="23"/>
  <c r="K66" i="23"/>
  <c r="L66" i="23"/>
  <c r="M66" i="23"/>
  <c r="D71" i="23"/>
  <c r="E71" i="23"/>
  <c r="F71" i="23"/>
  <c r="G71" i="23"/>
  <c r="H71" i="23"/>
  <c r="I71" i="23"/>
  <c r="J71" i="23"/>
  <c r="K71" i="23"/>
  <c r="L71" i="23"/>
  <c r="M71" i="23"/>
  <c r="W65" i="23"/>
  <c r="Q16" i="23"/>
  <c r="Q17" i="23"/>
  <c r="Q18" i="23"/>
  <c r="Q19" i="23"/>
  <c r="Q20" i="23"/>
  <c r="Q21" i="23"/>
  <c r="Q22" i="23"/>
  <c r="Q23" i="23"/>
  <c r="Q24" i="23"/>
  <c r="Q25" i="23"/>
  <c r="Q26" i="23"/>
  <c r="Q27" i="23"/>
  <c r="Q28" i="23"/>
  <c r="Q29" i="23"/>
  <c r="Q30" i="23"/>
  <c r="Q31" i="23"/>
  <c r="Q32" i="23"/>
  <c r="Q33" i="23"/>
  <c r="Q34" i="23"/>
  <c r="Q35" i="23"/>
  <c r="Q36" i="23"/>
  <c r="Q37" i="23"/>
  <c r="Q38" i="23"/>
  <c r="Q39" i="23"/>
  <c r="Q40" i="23"/>
  <c r="Q41" i="23"/>
  <c r="Q42" i="23"/>
  <c r="Q43" i="23"/>
  <c r="Q44" i="23"/>
  <c r="Q45" i="23"/>
  <c r="Q46" i="23"/>
  <c r="Q47" i="23"/>
  <c r="Q48" i="23"/>
  <c r="Q49" i="23"/>
  <c r="Q50" i="23"/>
  <c r="Q51" i="23"/>
  <c r="E12" i="23"/>
  <c r="F12" i="23"/>
  <c r="G12" i="23"/>
  <c r="H12" i="23"/>
  <c r="I12" i="23"/>
  <c r="J12" i="23"/>
  <c r="K12" i="23"/>
  <c r="L12" i="23"/>
  <c r="M12" i="23"/>
  <c r="N12" i="23"/>
  <c r="O12" i="23"/>
  <c r="P12" i="23"/>
  <c r="D12" i="23"/>
  <c r="I189" i="20" l="1"/>
  <c r="I148" i="20"/>
  <c r="I133" i="20"/>
  <c r="A16" i="38" l="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48" i="38"/>
  <c r="E49" i="38"/>
  <c r="E50" i="38"/>
  <c r="E51" i="38"/>
  <c r="E52" i="38"/>
  <c r="E53" i="38"/>
  <c r="E54" i="38"/>
  <c r="E55" i="38"/>
  <c r="E56" i="38"/>
  <c r="E57" i="38"/>
  <c r="E58" i="38"/>
  <c r="E59" i="38"/>
  <c r="E60" i="38"/>
  <c r="E61" i="38"/>
  <c r="E62" i="38"/>
  <c r="E63" i="38"/>
  <c r="E64" i="38"/>
  <c r="E65" i="38"/>
  <c r="E66" i="38"/>
  <c r="E67" i="38"/>
  <c r="E68" i="38"/>
  <c r="E69" i="38"/>
  <c r="E70" i="38"/>
  <c r="E71" i="38"/>
  <c r="E72" i="38"/>
  <c r="E73" i="38"/>
  <c r="E74" i="38"/>
  <c r="E75" i="38"/>
  <c r="E76" i="38"/>
  <c r="E77" i="38"/>
  <c r="E78" i="38"/>
  <c r="E79" i="38"/>
  <c r="E80" i="38"/>
  <c r="E81" i="38"/>
  <c r="E82" i="38"/>
  <c r="E83" i="38"/>
  <c r="E84" i="38"/>
  <c r="E85" i="38"/>
  <c r="E86" i="38"/>
  <c r="E87" i="38"/>
  <c r="E14" i="38"/>
  <c r="D89" i="38"/>
  <c r="C89" i="38"/>
  <c r="P23" i="44" l="1"/>
  <c r="P24" i="44"/>
  <c r="H148" i="20" l="1"/>
  <c r="H133" i="20"/>
  <c r="J85" i="20" l="1"/>
  <c r="F108" i="20" l="1"/>
  <c r="K235" i="20" l="1"/>
  <c r="C140" i="19" l="1"/>
  <c r="K95" i="19"/>
  <c r="K94" i="19"/>
  <c r="K93" i="19"/>
  <c r="K92" i="19"/>
  <c r="K91" i="19"/>
  <c r="K90" i="19"/>
  <c r="K89" i="19"/>
  <c r="K88" i="19"/>
  <c r="K87" i="19"/>
  <c r="K86" i="19"/>
  <c r="K85" i="19"/>
  <c r="K84" i="19"/>
  <c r="K83" i="19"/>
  <c r="K82" i="19"/>
  <c r="K81" i="19"/>
  <c r="K80" i="19"/>
  <c r="K79" i="19"/>
  <c r="K78" i="19"/>
  <c r="K77" i="19"/>
  <c r="K76" i="19"/>
  <c r="K75" i="19"/>
  <c r="K74" i="19"/>
  <c r="K72" i="19"/>
  <c r="K71" i="19"/>
  <c r="K70" i="19"/>
  <c r="K69" i="19"/>
  <c r="K68" i="19"/>
  <c r="K67" i="19"/>
  <c r="K66" i="19"/>
  <c r="K144" i="19" l="1"/>
  <c r="F55" i="20"/>
  <c r="D95" i="2" l="1"/>
  <c r="D91" i="2"/>
  <c r="E35" i="2"/>
  <c r="F35" i="2" s="1"/>
  <c r="E36" i="2"/>
  <c r="F36" i="2" s="1"/>
  <c r="E37" i="2"/>
  <c r="F37" i="2" s="1"/>
  <c r="D38" i="2"/>
  <c r="D37" i="2"/>
  <c r="K147" i="19" l="1"/>
  <c r="D56" i="46"/>
  <c r="D56" i="45"/>
  <c r="G103" i="45" l="1"/>
  <c r="G104" i="45" s="1"/>
  <c r="G105" i="45" s="1"/>
  <c r="G106" i="45" s="1"/>
  <c r="G107" i="45" s="1"/>
  <c r="G108" i="45" s="1"/>
  <c r="G109" i="45" s="1"/>
  <c r="G110" i="45" s="1"/>
  <c r="G111" i="45" s="1"/>
  <c r="G112" i="45" s="1"/>
  <c r="G113" i="45" s="1"/>
  <c r="G114" i="45" s="1"/>
  <c r="G117" i="45" s="1"/>
  <c r="G118" i="45" s="1"/>
  <c r="G119" i="45" s="1"/>
  <c r="G120" i="45" s="1"/>
  <c r="G121" i="45" s="1"/>
  <c r="G122" i="45" s="1"/>
  <c r="G123" i="45" s="1"/>
  <c r="G124" i="45" s="1"/>
  <c r="G125" i="45" s="1"/>
  <c r="G126" i="45" s="1"/>
  <c r="G127" i="45" s="1"/>
  <c r="G128" i="45" s="1"/>
  <c r="G129" i="45" s="1"/>
  <c r="G130" i="45" s="1"/>
  <c r="G131" i="45" s="1"/>
  <c r="G132" i="45" s="1"/>
  <c r="G133" i="45" s="1"/>
  <c r="G102" i="46"/>
  <c r="G103" i="46" s="1"/>
  <c r="G104" i="46" s="1"/>
  <c r="G105" i="46" s="1"/>
  <c r="G106" i="46" s="1"/>
  <c r="G107" i="46" s="1"/>
  <c r="G108" i="46" s="1"/>
  <c r="G109" i="46" s="1"/>
  <c r="G110" i="46" s="1"/>
  <c r="G111" i="46" s="1"/>
  <c r="G112" i="46" s="1"/>
  <c r="G113" i="46" s="1"/>
  <c r="G116" i="46" s="1"/>
  <c r="G117" i="46" s="1"/>
  <c r="G118" i="46" s="1"/>
  <c r="G119" i="46" s="1"/>
  <c r="G120" i="46" s="1"/>
  <c r="G121" i="46" s="1"/>
  <c r="G122" i="46" s="1"/>
  <c r="G123" i="46" s="1"/>
  <c r="G124" i="46" s="1"/>
  <c r="G125" i="46" s="1"/>
  <c r="G126" i="46" s="1"/>
  <c r="G127" i="46" s="1"/>
  <c r="G128" i="46" s="1"/>
  <c r="G129" i="46" s="1"/>
  <c r="G130" i="46" s="1"/>
  <c r="G131" i="46" s="1"/>
  <c r="G132" i="46" s="1"/>
  <c r="D95" i="46" l="1"/>
  <c r="D69" i="34"/>
  <c r="D113" i="34" s="1"/>
  <c r="G89" i="45"/>
  <c r="G90" i="45"/>
  <c r="G88" i="45"/>
  <c r="G86" i="45"/>
  <c r="G87" i="45"/>
  <c r="G85" i="45"/>
  <c r="G83" i="45"/>
  <c r="G84" i="45"/>
  <c r="G82" i="45"/>
  <c r="G80" i="45"/>
  <c r="G81" i="45"/>
  <c r="G79" i="45"/>
  <c r="F86" i="45"/>
  <c r="D114" i="34"/>
  <c r="F87" i="34"/>
  <c r="F88" i="34" s="1"/>
  <c r="F89" i="34" s="1"/>
  <c r="F90" i="34" s="1"/>
  <c r="F91" i="34" s="1"/>
  <c r="K236" i="20" l="1"/>
  <c r="B36" i="19"/>
  <c r="H189" i="20" l="1"/>
  <c r="O58" i="44" l="1"/>
  <c r="O42" i="44" s="1"/>
  <c r="P50" i="44"/>
  <c r="P13" i="44"/>
  <c r="G122" i="34"/>
  <c r="G123" i="34" s="1"/>
  <c r="D140" i="19"/>
  <c r="E140" i="19"/>
  <c r="F140" i="19"/>
  <c r="F142" i="19" s="1"/>
  <c r="Q69" i="23"/>
  <c r="H140" i="31" l="1"/>
  <c r="J10" i="31"/>
  <c r="J11" i="31"/>
  <c r="K10" i="31"/>
  <c r="G190" i="20" l="1"/>
  <c r="E88" i="38" l="1"/>
  <c r="J110" i="31" l="1"/>
  <c r="H38" i="31" l="1"/>
  <c r="H39" i="31" s="1"/>
  <c r="H53" i="31"/>
  <c r="J53" i="31" s="1"/>
  <c r="H54" i="31"/>
  <c r="H55" i="31" s="1"/>
  <c r="H130" i="31"/>
  <c r="J130" i="31" s="1"/>
  <c r="H126" i="31"/>
  <c r="J98" i="20"/>
  <c r="H229" i="31"/>
  <c r="J51" i="31"/>
  <c r="J263" i="31"/>
  <c r="F16" i="5"/>
  <c r="J170" i="20"/>
  <c r="E55" i="20"/>
  <c r="E61" i="20" s="1"/>
  <c r="H49" i="41"/>
  <c r="H45" i="41"/>
  <c r="H41" i="41"/>
  <c r="H37" i="41"/>
  <c r="I49" i="41"/>
  <c r="I45" i="41"/>
  <c r="I41" i="41"/>
  <c r="I37" i="41"/>
  <c r="C21" i="41"/>
  <c r="G89" i="34" s="1"/>
  <c r="H89" i="34" s="1"/>
  <c r="J89" i="34" s="1"/>
  <c r="C22" i="41"/>
  <c r="G90" i="34" s="1"/>
  <c r="G107" i="34" s="1"/>
  <c r="H107" i="34" s="1"/>
  <c r="J107" i="34" s="1"/>
  <c r="C23" i="41"/>
  <c r="G91" i="34" s="1"/>
  <c r="G108" i="34" s="1"/>
  <c r="H108" i="34" s="1"/>
  <c r="J108" i="34" s="1"/>
  <c r="C17" i="41"/>
  <c r="C18" i="41"/>
  <c r="C19" i="41"/>
  <c r="G88" i="34" s="1"/>
  <c r="H88" i="34" s="1"/>
  <c r="J88" i="34" s="1"/>
  <c r="C13" i="41"/>
  <c r="C14" i="41"/>
  <c r="C15" i="41"/>
  <c r="C9" i="41"/>
  <c r="G80" i="34" s="1"/>
  <c r="C10" i="41"/>
  <c r="C11" i="41"/>
  <c r="F24" i="41"/>
  <c r="F20" i="41"/>
  <c r="F16" i="41"/>
  <c r="F12" i="41"/>
  <c r="H73" i="41"/>
  <c r="J99" i="20" s="1"/>
  <c r="C46" i="41"/>
  <c r="G88" i="46" s="1"/>
  <c r="C47" i="41"/>
  <c r="G89" i="46" s="1"/>
  <c r="C48" i="41"/>
  <c r="G90" i="46" s="1"/>
  <c r="C49" i="41"/>
  <c r="C42" i="41"/>
  <c r="C43" i="41"/>
  <c r="G86" i="46" s="1"/>
  <c r="C44" i="41"/>
  <c r="G87" i="46" s="1"/>
  <c r="C38" i="41"/>
  <c r="G82" i="46" s="1"/>
  <c r="C39" i="41"/>
  <c r="G83" i="46" s="1"/>
  <c r="C40" i="41"/>
  <c r="G84" i="46" s="1"/>
  <c r="C34" i="41"/>
  <c r="C35" i="41"/>
  <c r="G80" i="46" s="1"/>
  <c r="H80" i="46" s="1"/>
  <c r="J80" i="46" s="1"/>
  <c r="C36" i="41"/>
  <c r="G81" i="46" s="1"/>
  <c r="H12" i="31"/>
  <c r="O59" i="43"/>
  <c r="G9" i="20" s="1"/>
  <c r="O76" i="43"/>
  <c r="H9" i="20" s="1"/>
  <c r="K31" i="31" s="1"/>
  <c r="O87" i="43"/>
  <c r="I9" i="20" s="1"/>
  <c r="L31" i="31" s="1"/>
  <c r="J166" i="34"/>
  <c r="J167" i="34" s="1"/>
  <c r="J168" i="34" s="1"/>
  <c r="J169" i="34" s="1"/>
  <c r="J170" i="34" s="1"/>
  <c r="J171" i="34" s="1"/>
  <c r="J172" i="34" s="1"/>
  <c r="J173" i="34" s="1"/>
  <c r="J174" i="34" s="1"/>
  <c r="J175" i="34" s="1"/>
  <c r="J176" i="34" s="1"/>
  <c r="J177" i="34" s="1"/>
  <c r="H31" i="20"/>
  <c r="J35" i="31" s="1"/>
  <c r="K35" i="31" s="1"/>
  <c r="O143" i="43"/>
  <c r="G38" i="20" s="1"/>
  <c r="O160" i="43"/>
  <c r="H38" i="20" s="1"/>
  <c r="K47" i="31" s="1"/>
  <c r="O174" i="43"/>
  <c r="I38" i="20" s="1"/>
  <c r="L47" i="31" s="1"/>
  <c r="G62" i="20"/>
  <c r="H62" i="20" s="1"/>
  <c r="K110" i="31"/>
  <c r="K237" i="20"/>
  <c r="L110" i="31" s="1"/>
  <c r="G124" i="34"/>
  <c r="G125" i="34" s="1"/>
  <c r="G126" i="34" s="1"/>
  <c r="G127" i="34" s="1"/>
  <c r="G128" i="34" s="1"/>
  <c r="G129" i="34" s="1"/>
  <c r="G130" i="34" s="1"/>
  <c r="G131" i="34" s="1"/>
  <c r="G132" i="34" s="1"/>
  <c r="G133" i="34" s="1"/>
  <c r="G136" i="34" s="1"/>
  <c r="G137" i="34" s="1"/>
  <c r="G138" i="34" s="1"/>
  <c r="G139" i="34" s="1"/>
  <c r="G140" i="34" s="1"/>
  <c r="G141" i="34" s="1"/>
  <c r="G142" i="34" s="1"/>
  <c r="G143" i="34" s="1"/>
  <c r="G144" i="34" s="1"/>
  <c r="G145" i="34" s="1"/>
  <c r="G146" i="34" s="1"/>
  <c r="G147" i="34" s="1"/>
  <c r="G148" i="34" s="1"/>
  <c r="G149" i="34" s="1"/>
  <c r="G150" i="34" s="1"/>
  <c r="G151" i="34" s="1"/>
  <c r="G152" i="34" s="1"/>
  <c r="H108" i="31"/>
  <c r="I86" i="20"/>
  <c r="H115" i="31" s="1"/>
  <c r="H129" i="31"/>
  <c r="I79" i="20"/>
  <c r="H78" i="31" s="1"/>
  <c r="J78" i="31" s="1"/>
  <c r="Q206" i="20"/>
  <c r="H84" i="31" s="1"/>
  <c r="Q207" i="20"/>
  <c r="H87" i="31" s="1"/>
  <c r="F216" i="20"/>
  <c r="J216" i="20" s="1"/>
  <c r="J96" i="31" s="1"/>
  <c r="F221" i="20"/>
  <c r="J221" i="20" s="1"/>
  <c r="J97" i="31" s="1"/>
  <c r="H225" i="31"/>
  <c r="H226" i="31" s="1"/>
  <c r="J36" i="31"/>
  <c r="J92" i="31"/>
  <c r="D208" i="20"/>
  <c r="E208" i="20"/>
  <c r="F208" i="20"/>
  <c r="G208" i="20"/>
  <c r="H208" i="20"/>
  <c r="I208" i="20"/>
  <c r="J208" i="20"/>
  <c r="K208" i="20"/>
  <c r="L208" i="20"/>
  <c r="M208" i="20"/>
  <c r="N208" i="20"/>
  <c r="O208" i="20"/>
  <c r="P208" i="20"/>
  <c r="H148" i="31"/>
  <c r="J148" i="31" s="1"/>
  <c r="K148" i="31" s="1"/>
  <c r="J143" i="31"/>
  <c r="J144" i="31"/>
  <c r="J141" i="31"/>
  <c r="K10" i="19"/>
  <c r="K15" i="19" s="1"/>
  <c r="L10" i="19" s="1"/>
  <c r="G22" i="22"/>
  <c r="F83" i="46"/>
  <c r="H83" i="46" s="1"/>
  <c r="J83" i="46" s="1"/>
  <c r="F85" i="46"/>
  <c r="F87" i="45"/>
  <c r="F88" i="45" s="1"/>
  <c r="F89" i="45" s="1"/>
  <c r="F90" i="45" s="1"/>
  <c r="L10" i="31"/>
  <c r="L11" i="31"/>
  <c r="L53" i="31"/>
  <c r="L92" i="31"/>
  <c r="L93" i="31" s="1"/>
  <c r="L98" i="31"/>
  <c r="L133" i="31"/>
  <c r="L156" i="31"/>
  <c r="L141" i="31"/>
  <c r="L255" i="31"/>
  <c r="H16" i="5"/>
  <c r="H82" i="46"/>
  <c r="J82" i="46" s="1"/>
  <c r="H81" i="46"/>
  <c r="J81" i="46" s="1"/>
  <c r="K11" i="31"/>
  <c r="K12" i="31" s="1"/>
  <c r="K13" i="31" s="1"/>
  <c r="K53" i="31"/>
  <c r="K92" i="31"/>
  <c r="K98" i="31"/>
  <c r="K133" i="31"/>
  <c r="K156" i="31"/>
  <c r="K141" i="31"/>
  <c r="G16" i="5"/>
  <c r="H79" i="45"/>
  <c r="J79" i="45" s="1"/>
  <c r="K289" i="31"/>
  <c r="P20" i="44"/>
  <c r="B38" i="19"/>
  <c r="E40" i="3"/>
  <c r="E45" i="3"/>
  <c r="E31" i="3"/>
  <c r="E20" i="3"/>
  <c r="E70" i="3" s="1"/>
  <c r="J126" i="31"/>
  <c r="J129" i="31"/>
  <c r="P25" i="44"/>
  <c r="H178" i="31" s="1"/>
  <c r="P26" i="44"/>
  <c r="H179" i="31" s="1"/>
  <c r="P27" i="44"/>
  <c r="H180" i="31" s="1"/>
  <c r="P28" i="44"/>
  <c r="H182" i="31" s="1"/>
  <c r="P22" i="44"/>
  <c r="N87" i="43"/>
  <c r="N76" i="43"/>
  <c r="N59" i="43"/>
  <c r="D56" i="34"/>
  <c r="C49" i="2"/>
  <c r="D49" i="2"/>
  <c r="H36" i="2"/>
  <c r="E68" i="2"/>
  <c r="H68" i="2" s="1"/>
  <c r="H70" i="2" s="1"/>
  <c r="H73" i="2" s="1"/>
  <c r="G10" i="2" s="1"/>
  <c r="E94" i="2"/>
  <c r="H94" i="2" s="1"/>
  <c r="E98" i="2"/>
  <c r="H98" i="2" s="1"/>
  <c r="E30" i="2"/>
  <c r="I30" i="2" s="1"/>
  <c r="I46" i="2" s="1"/>
  <c r="E92" i="2"/>
  <c r="I92" i="2" s="1"/>
  <c r="I111" i="2" s="1"/>
  <c r="I32" i="34"/>
  <c r="I33" i="34" s="1"/>
  <c r="C44" i="34"/>
  <c r="D239" i="20"/>
  <c r="K140" i="19"/>
  <c r="K17" i="19"/>
  <c r="L17" i="19" s="1"/>
  <c r="W32" i="23"/>
  <c r="W33" i="23"/>
  <c r="W34" i="23"/>
  <c r="W35" i="23"/>
  <c r="W36" i="23"/>
  <c r="W37" i="23"/>
  <c r="W38" i="23"/>
  <c r="W39" i="23"/>
  <c r="W40" i="23"/>
  <c r="W41" i="23"/>
  <c r="W42" i="23"/>
  <c r="W43" i="23"/>
  <c r="W44" i="23"/>
  <c r="W45" i="23"/>
  <c r="W46" i="23"/>
  <c r="W47" i="23"/>
  <c r="W48" i="23"/>
  <c r="W49" i="23"/>
  <c r="W50" i="23"/>
  <c r="W51" i="23"/>
  <c r="W31" i="23"/>
  <c r="H3" i="23"/>
  <c r="I3" i="23" s="1"/>
  <c r="J3" i="23" s="1"/>
  <c r="K3" i="23" s="1"/>
  <c r="L3" i="23" s="1"/>
  <c r="M3" i="23" s="1"/>
  <c r="N3" i="23" s="1"/>
  <c r="O3" i="23" s="1"/>
  <c r="P3" i="23" s="1"/>
  <c r="J137" i="20"/>
  <c r="J138" i="20"/>
  <c r="J139" i="20"/>
  <c r="J140" i="20"/>
  <c r="J141" i="20"/>
  <c r="J142" i="20"/>
  <c r="J143" i="20"/>
  <c r="J144" i="20"/>
  <c r="J145" i="20"/>
  <c r="J146" i="20"/>
  <c r="J147" i="20"/>
  <c r="F109" i="20"/>
  <c r="E4" i="38"/>
  <c r="E5" i="38"/>
  <c r="E6" i="38"/>
  <c r="E7" i="38"/>
  <c r="E8" i="38"/>
  <c r="E9" i="38"/>
  <c r="E10" i="38"/>
  <c r="E11" i="38"/>
  <c r="D12" i="38"/>
  <c r="D91" i="38" s="1"/>
  <c r="E3" i="38"/>
  <c r="C12" i="38"/>
  <c r="C91" i="38" s="1"/>
  <c r="C143" i="43"/>
  <c r="D143" i="43"/>
  <c r="E143" i="43"/>
  <c r="F143" i="43"/>
  <c r="G143" i="43"/>
  <c r="H143" i="43"/>
  <c r="I143" i="43"/>
  <c r="J143" i="43"/>
  <c r="K143" i="43"/>
  <c r="L143" i="43"/>
  <c r="M143" i="43"/>
  <c r="N143" i="43"/>
  <c r="P160" i="43"/>
  <c r="C174" i="43"/>
  <c r="D174" i="43"/>
  <c r="E174" i="43"/>
  <c r="F174" i="43"/>
  <c r="G174" i="43"/>
  <c r="H174" i="43"/>
  <c r="I174" i="43"/>
  <c r="J174" i="43"/>
  <c r="K174" i="43"/>
  <c r="L174" i="43"/>
  <c r="M174" i="43"/>
  <c r="N174" i="43"/>
  <c r="B174" i="43"/>
  <c r="C160" i="43"/>
  <c r="D160" i="43"/>
  <c r="E160" i="43"/>
  <c r="F160" i="43"/>
  <c r="G160" i="43"/>
  <c r="H160" i="43"/>
  <c r="I160" i="43"/>
  <c r="J160" i="43"/>
  <c r="K160" i="43"/>
  <c r="L160" i="43"/>
  <c r="M160" i="43"/>
  <c r="N160" i="43"/>
  <c r="B160" i="43"/>
  <c r="C63" i="43"/>
  <c r="C91" i="43" s="1"/>
  <c r="C148" i="43" s="1"/>
  <c r="D63" i="43"/>
  <c r="D91" i="43" s="1"/>
  <c r="D148" i="43" s="1"/>
  <c r="E63" i="43"/>
  <c r="E91" i="43" s="1"/>
  <c r="E148" i="43" s="1"/>
  <c r="F63" i="43"/>
  <c r="F91" i="43" s="1"/>
  <c r="F148" i="43" s="1"/>
  <c r="G63" i="43"/>
  <c r="G91" i="43" s="1"/>
  <c r="G148" i="43" s="1"/>
  <c r="H63" i="43"/>
  <c r="H91" i="43" s="1"/>
  <c r="H148" i="43" s="1"/>
  <c r="I63" i="43"/>
  <c r="I91" i="43" s="1"/>
  <c r="I148" i="43" s="1"/>
  <c r="J63" i="43"/>
  <c r="J91" i="43" s="1"/>
  <c r="J148" i="43" s="1"/>
  <c r="K63" i="43"/>
  <c r="K91" i="43" s="1"/>
  <c r="K148" i="43" s="1"/>
  <c r="L63" i="43"/>
  <c r="L91" i="43" s="1"/>
  <c r="L148" i="43" s="1"/>
  <c r="M63" i="43"/>
  <c r="M91" i="43" s="1"/>
  <c r="M148" i="43" s="1"/>
  <c r="N63" i="43"/>
  <c r="N91" i="43" s="1"/>
  <c r="N148" i="43" s="1"/>
  <c r="B63" i="43"/>
  <c r="B91" i="43" s="1"/>
  <c r="B148" i="43" s="1"/>
  <c r="B143" i="43"/>
  <c r="C76" i="43"/>
  <c r="D76" i="43"/>
  <c r="E76" i="43"/>
  <c r="F76" i="43"/>
  <c r="G76" i="43"/>
  <c r="H76" i="43"/>
  <c r="I76" i="43"/>
  <c r="J76" i="43"/>
  <c r="K76" i="43"/>
  <c r="L76" i="43"/>
  <c r="M76" i="43"/>
  <c r="B76" i="43"/>
  <c r="C87" i="43"/>
  <c r="D87" i="43"/>
  <c r="E87" i="43"/>
  <c r="F87" i="43"/>
  <c r="G87" i="43"/>
  <c r="H87" i="43"/>
  <c r="I87" i="43"/>
  <c r="J87" i="43"/>
  <c r="K87" i="43"/>
  <c r="L87" i="43"/>
  <c r="M87" i="43"/>
  <c r="B87" i="43"/>
  <c r="C59" i="43"/>
  <c r="D59" i="43"/>
  <c r="E59" i="43"/>
  <c r="F59" i="43"/>
  <c r="G59" i="43"/>
  <c r="H59" i="43"/>
  <c r="I59" i="43"/>
  <c r="J59" i="43"/>
  <c r="K59" i="43"/>
  <c r="L59" i="43"/>
  <c r="M59" i="43"/>
  <c r="B59" i="43"/>
  <c r="A4" i="38"/>
  <c r="A5" i="38" s="1"/>
  <c r="A6" i="38" s="1"/>
  <c r="A7" i="38" s="1"/>
  <c r="A8" i="38" s="1"/>
  <c r="A9" i="38" s="1"/>
  <c r="A10" i="38" s="1"/>
  <c r="A11" i="38" s="1"/>
  <c r="A12" i="38" s="1"/>
  <c r="A13" i="38" s="1"/>
  <c r="A14" i="38" s="1"/>
  <c r="A15" i="38" s="1"/>
  <c r="P16" i="44"/>
  <c r="H173" i="31" s="1"/>
  <c r="A31" i="39"/>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G32" i="39"/>
  <c r="D32" i="39"/>
  <c r="C34" i="39"/>
  <c r="C35" i="39" s="1"/>
  <c r="H136" i="2"/>
  <c r="E69" i="31"/>
  <c r="D229" i="31"/>
  <c r="D158" i="46"/>
  <c r="E158" i="46"/>
  <c r="F158" i="46"/>
  <c r="G158" i="46"/>
  <c r="H158" i="46"/>
  <c r="C158" i="46"/>
  <c r="O146" i="46"/>
  <c r="N146" i="46"/>
  <c r="N147" i="46" s="1"/>
  <c r="N148" i="46" s="1"/>
  <c r="N149" i="46" s="1"/>
  <c r="N150" i="46" s="1"/>
  <c r="N151" i="46" s="1"/>
  <c r="N152" i="46" s="1"/>
  <c r="N153" i="46" s="1"/>
  <c r="N154" i="46" s="1"/>
  <c r="N155" i="46" s="1"/>
  <c r="N156" i="46" s="1"/>
  <c r="N157" i="46" s="1"/>
  <c r="M146" i="46"/>
  <c r="M147" i="46" s="1"/>
  <c r="L146" i="46"/>
  <c r="L147" i="46" s="1"/>
  <c r="K146" i="46"/>
  <c r="K147" i="46" s="1"/>
  <c r="J146" i="46"/>
  <c r="J147" i="46" s="1"/>
  <c r="J148" i="46" s="1"/>
  <c r="J149" i="46" s="1"/>
  <c r="J150" i="46" s="1"/>
  <c r="J151" i="46" s="1"/>
  <c r="J152" i="46" s="1"/>
  <c r="J153" i="46" s="1"/>
  <c r="J154" i="46" s="1"/>
  <c r="J155" i="46" s="1"/>
  <c r="J156" i="46" s="1"/>
  <c r="J157" i="46" s="1"/>
  <c r="D44" i="46"/>
  <c r="E44" i="46"/>
  <c r="F44" i="46"/>
  <c r="G44" i="46"/>
  <c r="H44" i="46"/>
  <c r="C44" i="46"/>
  <c r="J32" i="46"/>
  <c r="J33" i="46" s="1"/>
  <c r="O32" i="46"/>
  <c r="O33" i="46" s="1"/>
  <c r="N32" i="46"/>
  <c r="M32" i="46"/>
  <c r="M33" i="46" s="1"/>
  <c r="L32" i="46"/>
  <c r="L33" i="46" s="1"/>
  <c r="K32" i="46"/>
  <c r="K33" i="46" s="1"/>
  <c r="D178" i="34"/>
  <c r="E178" i="34"/>
  <c r="F178" i="34"/>
  <c r="G178" i="34"/>
  <c r="H178" i="34"/>
  <c r="C178" i="34"/>
  <c r="N166" i="34"/>
  <c r="N167" i="34" s="1"/>
  <c r="N168" i="34" s="1"/>
  <c r="O166" i="34"/>
  <c r="O167" i="34" s="1"/>
  <c r="O168" i="34" s="1"/>
  <c r="O169" i="34" s="1"/>
  <c r="O170" i="34" s="1"/>
  <c r="O171" i="34" s="1"/>
  <c r="M166" i="34"/>
  <c r="L166" i="34"/>
  <c r="L167" i="34" s="1"/>
  <c r="K166" i="34"/>
  <c r="K167" i="34" s="1"/>
  <c r="D44" i="45"/>
  <c r="E44" i="45"/>
  <c r="F44" i="45"/>
  <c r="G44" i="45"/>
  <c r="H44" i="45"/>
  <c r="C44" i="45"/>
  <c r="D159" i="45"/>
  <c r="E159" i="45"/>
  <c r="F159" i="45"/>
  <c r="G159" i="45"/>
  <c r="H159" i="45"/>
  <c r="C159" i="45"/>
  <c r="J147" i="45"/>
  <c r="J148" i="45" s="1"/>
  <c r="O147" i="45"/>
  <c r="O148" i="45" s="1"/>
  <c r="O149" i="45" s="1"/>
  <c r="N147" i="45"/>
  <c r="N148" i="45" s="1"/>
  <c r="M147" i="45"/>
  <c r="L147" i="45"/>
  <c r="L148" i="45" s="1"/>
  <c r="K147" i="45"/>
  <c r="K32" i="45"/>
  <c r="K33" i="45" s="1"/>
  <c r="K34" i="45" s="1"/>
  <c r="L32" i="45"/>
  <c r="L33" i="45"/>
  <c r="M32" i="45"/>
  <c r="N32" i="45"/>
  <c r="O32" i="45"/>
  <c r="N33" i="45"/>
  <c r="N34" i="45" s="1"/>
  <c r="J32" i="45"/>
  <c r="J32" i="34"/>
  <c r="J33" i="34" s="1"/>
  <c r="K32" i="34"/>
  <c r="K33" i="34" s="1"/>
  <c r="K34" i="34" s="1"/>
  <c r="L32" i="34"/>
  <c r="L33" i="34" s="1"/>
  <c r="L34" i="34" s="1"/>
  <c r="M32" i="34"/>
  <c r="D136" i="45"/>
  <c r="D135" i="46"/>
  <c r="J115" i="46"/>
  <c r="J116" i="45"/>
  <c r="H79" i="20"/>
  <c r="J135" i="34"/>
  <c r="D115" i="34"/>
  <c r="D65" i="46"/>
  <c r="D15" i="46" s="1"/>
  <c r="D74" i="45"/>
  <c r="D65" i="45"/>
  <c r="D16" i="34"/>
  <c r="D15" i="34"/>
  <c r="D20" i="5"/>
  <c r="D19" i="5"/>
  <c r="D18" i="5"/>
  <c r="I134" i="2"/>
  <c r="H69" i="31" s="1"/>
  <c r="E134" i="2"/>
  <c r="H263" i="31"/>
  <c r="E106" i="23"/>
  <c r="F106" i="23"/>
  <c r="G106" i="23"/>
  <c r="H106" i="23"/>
  <c r="I106" i="23"/>
  <c r="J106" i="23"/>
  <c r="K106" i="23"/>
  <c r="L106" i="23"/>
  <c r="M106" i="23"/>
  <c r="N106" i="23"/>
  <c r="N71" i="23"/>
  <c r="N66" i="23"/>
  <c r="O106" i="23"/>
  <c r="O71" i="23"/>
  <c r="O66" i="23"/>
  <c r="P106" i="23"/>
  <c r="P71" i="23"/>
  <c r="P66" i="23"/>
  <c r="D106" i="23"/>
  <c r="G70" i="2"/>
  <c r="G73" i="2"/>
  <c r="F10" i="2" s="1"/>
  <c r="G111" i="2"/>
  <c r="G114" i="2" s="1"/>
  <c r="F11" i="2" s="1"/>
  <c r="G46" i="2"/>
  <c r="G49" i="2" s="1"/>
  <c r="F12" i="2" s="1"/>
  <c r="I70" i="2"/>
  <c r="I73" i="2" s="1"/>
  <c r="H10" i="2" s="1"/>
  <c r="I113" i="2"/>
  <c r="I47" i="2"/>
  <c r="I48" i="2"/>
  <c r="W18" i="23"/>
  <c r="W19" i="23"/>
  <c r="W20" i="23"/>
  <c r="W21" i="23"/>
  <c r="W22" i="23"/>
  <c r="W23" i="23"/>
  <c r="W24" i="23"/>
  <c r="W25" i="23"/>
  <c r="W26" i="23"/>
  <c r="W27" i="23"/>
  <c r="W28" i="23"/>
  <c r="W29" i="23"/>
  <c r="W30" i="23"/>
  <c r="Q5" i="23"/>
  <c r="V5" i="23" s="1"/>
  <c r="Q6" i="23"/>
  <c r="V6" i="23" s="1"/>
  <c r="Q7" i="23"/>
  <c r="V7" i="23" s="1"/>
  <c r="Q8" i="23"/>
  <c r="V8" i="23" s="1"/>
  <c r="V9" i="23"/>
  <c r="Q10" i="23"/>
  <c r="V10" i="23" s="1"/>
  <c r="U69" i="23"/>
  <c r="U71" i="23" s="1"/>
  <c r="J197" i="20" s="1"/>
  <c r="L197" i="20" s="1"/>
  <c r="Q75" i="23"/>
  <c r="T75" i="23" s="1"/>
  <c r="Q76" i="23"/>
  <c r="T76" i="23" s="1"/>
  <c r="Q77" i="23"/>
  <c r="T77" i="23" s="1"/>
  <c r="Q78" i="23"/>
  <c r="T78" i="23" s="1"/>
  <c r="Q79" i="23"/>
  <c r="T79" i="23" s="1"/>
  <c r="Q80" i="23"/>
  <c r="T80" i="23" s="1"/>
  <c r="Q81" i="23"/>
  <c r="T81" i="23" s="1"/>
  <c r="Q82" i="23"/>
  <c r="T82" i="23" s="1"/>
  <c r="Q83" i="23"/>
  <c r="T83" i="23" s="1"/>
  <c r="Q84" i="23"/>
  <c r="T84" i="23" s="1"/>
  <c r="Q85" i="23"/>
  <c r="T85" i="23" s="1"/>
  <c r="Q86" i="23"/>
  <c r="T86" i="23" s="1"/>
  <c r="Q87" i="23"/>
  <c r="T87" i="23" s="1"/>
  <c r="Q88" i="23"/>
  <c r="T88" i="23" s="1"/>
  <c r="Q89" i="23"/>
  <c r="T89" i="23" s="1"/>
  <c r="Q90" i="23"/>
  <c r="T90" i="23" s="1"/>
  <c r="Q91" i="23"/>
  <c r="T91" i="23" s="1"/>
  <c r="Q92" i="23"/>
  <c r="T92" i="23" s="1"/>
  <c r="Q93" i="23"/>
  <c r="T93" i="23" s="1"/>
  <c r="Q94" i="23"/>
  <c r="T94" i="23" s="1"/>
  <c r="Q95" i="23"/>
  <c r="T95" i="23" s="1"/>
  <c r="Q96" i="23"/>
  <c r="T96" i="23" s="1"/>
  <c r="T105" i="23"/>
  <c r="P5" i="44"/>
  <c r="P12" i="44"/>
  <c r="H169" i="31" s="1"/>
  <c r="H170" i="31"/>
  <c r="P14" i="44"/>
  <c r="H171" i="31" s="1"/>
  <c r="P6" i="44"/>
  <c r="H164" i="31" s="1"/>
  <c r="P8" i="44"/>
  <c r="H165" i="31" s="1"/>
  <c r="P9" i="44"/>
  <c r="H166" i="31" s="1"/>
  <c r="P32" i="44"/>
  <c r="H186" i="31" s="1"/>
  <c r="P33" i="44"/>
  <c r="H187" i="31" s="1"/>
  <c r="P34" i="44"/>
  <c r="H188" i="31" s="1"/>
  <c r="P35" i="44"/>
  <c r="H189" i="31" s="1"/>
  <c r="P36" i="44"/>
  <c r="H190" i="31" s="1"/>
  <c r="P37" i="44"/>
  <c r="H191" i="31" s="1"/>
  <c r="C58" i="44"/>
  <c r="D58" i="44"/>
  <c r="D42" i="44" s="1"/>
  <c r="D46" i="44" s="1"/>
  <c r="E58" i="44"/>
  <c r="E42" i="44" s="1"/>
  <c r="F58" i="44"/>
  <c r="F42" i="44" s="1"/>
  <c r="G58" i="44"/>
  <c r="G42" i="44" s="1"/>
  <c r="H58" i="44"/>
  <c r="H42" i="44" s="1"/>
  <c r="I58" i="44"/>
  <c r="I42" i="44" s="1"/>
  <c r="J58" i="44"/>
  <c r="J42" i="44" s="1"/>
  <c r="K58" i="44"/>
  <c r="K42" i="44" s="1"/>
  <c r="L58" i="44"/>
  <c r="L42" i="44" s="1"/>
  <c r="M58" i="44"/>
  <c r="M42" i="44" s="1"/>
  <c r="N58" i="44"/>
  <c r="N42" i="44" s="1"/>
  <c r="O46" i="44"/>
  <c r="P43" i="44"/>
  <c r="H198" i="31" s="1"/>
  <c r="M46" i="44"/>
  <c r="P15" i="44"/>
  <c r="H172" i="31" s="1"/>
  <c r="P39" i="44"/>
  <c r="H194" i="31" s="1"/>
  <c r="G139" i="2"/>
  <c r="G141" i="2" s="1"/>
  <c r="G143" i="2" s="1"/>
  <c r="H145" i="31"/>
  <c r="H121" i="20"/>
  <c r="J255" i="31" s="1"/>
  <c r="D17" i="5"/>
  <c r="A10" i="31"/>
  <c r="A16" i="31"/>
  <c r="A17" i="31" s="1"/>
  <c r="A18" i="31" s="1"/>
  <c r="F19" i="31" s="1"/>
  <c r="W16" i="23"/>
  <c r="W17" i="23"/>
  <c r="I137" i="2"/>
  <c r="I139" i="2" s="1"/>
  <c r="H139" i="2"/>
  <c r="H141" i="2" s="1"/>
  <c r="H143" i="2" s="1"/>
  <c r="G40" i="22"/>
  <c r="D139" i="2"/>
  <c r="D141" i="2" s="1"/>
  <c r="E96" i="2"/>
  <c r="F96" i="2" s="1"/>
  <c r="E97" i="2"/>
  <c r="F97" i="2" s="1"/>
  <c r="E99" i="2"/>
  <c r="F99" i="2" s="1"/>
  <c r="E100" i="2"/>
  <c r="H100" i="2" s="1"/>
  <c r="E101" i="2"/>
  <c r="E112" i="2" s="1"/>
  <c r="E95" i="2"/>
  <c r="F95" i="2" s="1"/>
  <c r="E93" i="2"/>
  <c r="F93" i="2" s="1"/>
  <c r="E91" i="2"/>
  <c r="F91" i="2" s="1"/>
  <c r="E67" i="2"/>
  <c r="E39" i="2"/>
  <c r="F39" i="2" s="1"/>
  <c r="E38" i="2"/>
  <c r="H38" i="2" s="1"/>
  <c r="E34" i="2"/>
  <c r="F34" i="2" s="1"/>
  <c r="E33" i="2"/>
  <c r="F33" i="2" s="1"/>
  <c r="E32" i="2"/>
  <c r="F32" i="2" s="1"/>
  <c r="E31" i="2"/>
  <c r="F31" i="2" s="1"/>
  <c r="E29" i="2"/>
  <c r="F29" i="2" s="1"/>
  <c r="E210" i="31"/>
  <c r="P54" i="44"/>
  <c r="P52" i="44"/>
  <c r="P51" i="44"/>
  <c r="I220" i="20"/>
  <c r="B56" i="3"/>
  <c r="B57" i="3" s="1"/>
  <c r="B58" i="3" s="1"/>
  <c r="B59" i="3" s="1"/>
  <c r="B60" i="3" s="1"/>
  <c r="B61" i="3" s="1"/>
  <c r="B62" i="3" s="1"/>
  <c r="B63" i="3" s="1"/>
  <c r="B64" i="3" s="1"/>
  <c r="B65" i="3" s="1"/>
  <c r="B66" i="3" s="1"/>
  <c r="B67" i="3" s="1"/>
  <c r="B68" i="3" s="1"/>
  <c r="B70" i="3" s="1"/>
  <c r="B72" i="3" s="1"/>
  <c r="B74" i="3" s="1"/>
  <c r="I73" i="41"/>
  <c r="J73" i="41"/>
  <c r="K49" i="41"/>
  <c r="K45" i="41"/>
  <c r="K37" i="41"/>
  <c r="K41" i="41"/>
  <c r="J49" i="41"/>
  <c r="J45" i="41"/>
  <c r="J41" i="41"/>
  <c r="J37" i="41"/>
  <c r="G49" i="41"/>
  <c r="G45" i="41"/>
  <c r="G41" i="41"/>
  <c r="G37" i="41"/>
  <c r="G50" i="41" s="1"/>
  <c r="F49" i="41"/>
  <c r="F45" i="41"/>
  <c r="F37" i="41"/>
  <c r="F41" i="41"/>
  <c r="I24" i="41"/>
  <c r="I20" i="41"/>
  <c r="I16" i="41"/>
  <c r="I12" i="41"/>
  <c r="J24" i="41"/>
  <c r="J12" i="41"/>
  <c r="K24" i="41"/>
  <c r="K25" i="41" s="1"/>
  <c r="K16" i="41"/>
  <c r="K20" i="41"/>
  <c r="G24" i="41"/>
  <c r="G20" i="41"/>
  <c r="G12" i="41"/>
  <c r="G16" i="41"/>
  <c r="H24" i="41"/>
  <c r="H20" i="41"/>
  <c r="H16" i="41"/>
  <c r="H12" i="41"/>
  <c r="H239" i="20"/>
  <c r="I239" i="20"/>
  <c r="F239" i="20"/>
  <c r="G239" i="20"/>
  <c r="A1" i="22"/>
  <c r="A1" i="5"/>
  <c r="A1" i="3"/>
  <c r="A1" i="2"/>
  <c r="C268" i="31"/>
  <c r="E129" i="31"/>
  <c r="A2" i="40"/>
  <c r="C213" i="20"/>
  <c r="A1" i="20"/>
  <c r="C227" i="20"/>
  <c r="H225" i="20" s="1"/>
  <c r="G35" i="22"/>
  <c r="G34" i="22"/>
  <c r="G33" i="22"/>
  <c r="F78" i="31"/>
  <c r="J179" i="20"/>
  <c r="J180" i="20"/>
  <c r="J181" i="20"/>
  <c r="J182" i="20"/>
  <c r="J183" i="20"/>
  <c r="J184" i="20"/>
  <c r="J185" i="20"/>
  <c r="J186" i="20"/>
  <c r="J187" i="20"/>
  <c r="J148" i="20"/>
  <c r="J136" i="20"/>
  <c r="E13" i="33"/>
  <c r="E16" i="33" s="1"/>
  <c r="E12" i="20"/>
  <c r="C278" i="31"/>
  <c r="E263" i="31"/>
  <c r="E255" i="31"/>
  <c r="C254" i="31"/>
  <c r="E228" i="31"/>
  <c r="E223" i="31"/>
  <c r="F149" i="31"/>
  <c r="E147" i="31"/>
  <c r="B139" i="31"/>
  <c r="E126" i="31"/>
  <c r="E125" i="31"/>
  <c r="F121" i="31"/>
  <c r="E119" i="31"/>
  <c r="E117" i="31"/>
  <c r="E96" i="31"/>
  <c r="E97" i="31" s="1"/>
  <c r="F85" i="31"/>
  <c r="E84" i="31"/>
  <c r="E78" i="31"/>
  <c r="F56" i="31"/>
  <c r="C56" i="31"/>
  <c r="E47" i="31"/>
  <c r="F40" i="31"/>
  <c r="E31" i="31"/>
  <c r="B30" i="31"/>
  <c r="E16" i="31"/>
  <c r="U70" i="23"/>
  <c r="Q71" i="23"/>
  <c r="J160" i="20"/>
  <c r="J159" i="20"/>
  <c r="J158" i="20"/>
  <c r="J157" i="20"/>
  <c r="J156" i="20"/>
  <c r="J155" i="20"/>
  <c r="J154" i="20"/>
  <c r="J153" i="20"/>
  <c r="J152" i="20"/>
  <c r="J151" i="20"/>
  <c r="J178" i="20"/>
  <c r="J177" i="20"/>
  <c r="J176" i="20"/>
  <c r="J175" i="20"/>
  <c r="J174" i="20"/>
  <c r="J173" i="20"/>
  <c r="J172" i="20"/>
  <c r="J171" i="20"/>
  <c r="J169" i="20"/>
  <c r="J168" i="20"/>
  <c r="J167" i="20"/>
  <c r="J166" i="20"/>
  <c r="J165" i="20"/>
  <c r="J164" i="20"/>
  <c r="J163" i="20"/>
  <c r="J162" i="20"/>
  <c r="J161" i="20"/>
  <c r="E47" i="20"/>
  <c r="E43" i="20"/>
  <c r="E38" i="20"/>
  <c r="E24" i="20"/>
  <c r="E30" i="20" s="1"/>
  <c r="E20" i="20"/>
  <c r="A28" i="5"/>
  <c r="A30" i="5" s="1"/>
  <c r="I215" i="20"/>
  <c r="J68" i="20"/>
  <c r="B14" i="19"/>
  <c r="B16" i="19" s="1"/>
  <c r="J76" i="20"/>
  <c r="H214" i="20"/>
  <c r="E220" i="20"/>
  <c r="E219" i="20"/>
  <c r="H219" i="20"/>
  <c r="J84" i="20"/>
  <c r="J70" i="20"/>
  <c r="C221" i="20"/>
  <c r="A16" i="22"/>
  <c r="A17" i="22"/>
  <c r="A18" i="22" s="1"/>
  <c r="C11" i="22"/>
  <c r="H118" i="20"/>
  <c r="E71" i="2"/>
  <c r="E72" i="2"/>
  <c r="A121" i="2"/>
  <c r="E51" i="20"/>
  <c r="E16" i="20"/>
  <c r="G36" i="22"/>
  <c r="F17" i="31"/>
  <c r="H141" i="31"/>
  <c r="A19" i="31"/>
  <c r="A20" i="31" s="1"/>
  <c r="A22" i="31" s="1"/>
  <c r="E143" i="2"/>
  <c r="L46" i="44"/>
  <c r="A11" i="31"/>
  <c r="F12" i="31" s="1"/>
  <c r="L34" i="45"/>
  <c r="L35" i="45" s="1"/>
  <c r="L36" i="45" s="1"/>
  <c r="L37" i="45" s="1"/>
  <c r="L38" i="45" s="1"/>
  <c r="L39" i="45" s="1"/>
  <c r="L40" i="45" s="1"/>
  <c r="L41" i="45" s="1"/>
  <c r="L42" i="45" s="1"/>
  <c r="L43" i="45" s="1"/>
  <c r="O147" i="46"/>
  <c r="O148" i="46" s="1"/>
  <c r="M167" i="34"/>
  <c r="M168" i="34" s="1"/>
  <c r="M169" i="34" s="1"/>
  <c r="M170" i="34" s="1"/>
  <c r="M33" i="45"/>
  <c r="M34" i="45" s="1"/>
  <c r="M35" i="45" s="1"/>
  <c r="M36" i="45" s="1"/>
  <c r="M37" i="45" s="1"/>
  <c r="M38" i="45" s="1"/>
  <c r="M39" i="45" s="1"/>
  <c r="M40" i="45" s="1"/>
  <c r="M41" i="45" s="1"/>
  <c r="M42" i="45" s="1"/>
  <c r="M43" i="45" s="1"/>
  <c r="O34" i="46"/>
  <c r="O35" i="46" s="1"/>
  <c r="O36" i="46" s="1"/>
  <c r="M33" i="34"/>
  <c r="M34" i="34" s="1"/>
  <c r="M35" i="34" s="1"/>
  <c r="M36" i="34" s="1"/>
  <c r="M148" i="45"/>
  <c r="M149" i="45" s="1"/>
  <c r="H199" i="31"/>
  <c r="N33" i="46"/>
  <c r="N34" i="46" s="1"/>
  <c r="N35" i="46" s="1"/>
  <c r="J16" i="41"/>
  <c r="J20" i="41"/>
  <c r="F67" i="2"/>
  <c r="F70" i="2" s="1"/>
  <c r="F73" i="2" s="1"/>
  <c r="A20" i="22"/>
  <c r="A21" i="22" s="1"/>
  <c r="A22" i="22" s="1"/>
  <c r="A24" i="22" s="1"/>
  <c r="A25" i="22" s="1"/>
  <c r="L15" i="19"/>
  <c r="K148" i="45"/>
  <c r="K149" i="45" s="1"/>
  <c r="F101" i="2"/>
  <c r="E46" i="44"/>
  <c r="J79" i="20"/>
  <c r="H46" i="44"/>
  <c r="C46" i="44"/>
  <c r="J33" i="45"/>
  <c r="J34" i="45" s="1"/>
  <c r="J35" i="45" s="1"/>
  <c r="J36" i="45" s="1"/>
  <c r="J37" i="45" s="1"/>
  <c r="J38" i="45" s="1"/>
  <c r="J39" i="45" s="1"/>
  <c r="J40" i="45" s="1"/>
  <c r="J41" i="45" s="1"/>
  <c r="J42" i="45" s="1"/>
  <c r="J43" i="45" s="1"/>
  <c r="O33" i="45"/>
  <c r="O34" i="45" s="1"/>
  <c r="O35" i="45" s="1"/>
  <c r="O36" i="45" s="1"/>
  <c r="O37" i="45" s="1"/>
  <c r="O38" i="45" s="1"/>
  <c r="O39" i="45" s="1"/>
  <c r="O40" i="45" s="1"/>
  <c r="O41" i="45" s="1"/>
  <c r="O42" i="45" s="1"/>
  <c r="O43" i="45" s="1"/>
  <c r="K148" i="46"/>
  <c r="K149" i="46" s="1"/>
  <c r="K150" i="46" s="1"/>
  <c r="E111" i="23"/>
  <c r="A26" i="22"/>
  <c r="A27" i="22"/>
  <c r="A29" i="22" s="1"/>
  <c r="A33" i="22" s="1"/>
  <c r="A34" i="22" s="1"/>
  <c r="A35" i="22" s="1"/>
  <c r="A36" i="22" s="1"/>
  <c r="A37" i="22" s="1"/>
  <c r="J158" i="46"/>
  <c r="E29" i="22"/>
  <c r="L44" i="45" l="1"/>
  <c r="F46" i="44"/>
  <c r="G45" i="3"/>
  <c r="I111" i="23"/>
  <c r="J111" i="23"/>
  <c r="F111" i="23"/>
  <c r="H177" i="31"/>
  <c r="P29" i="44"/>
  <c r="D16" i="5"/>
  <c r="J50" i="41"/>
  <c r="L38" i="31"/>
  <c r="L39" i="31" s="1"/>
  <c r="H46" i="2"/>
  <c r="H49" i="2" s="1"/>
  <c r="G12" i="2" s="1"/>
  <c r="L12" i="31"/>
  <c r="L13" i="31" s="1"/>
  <c r="D74" i="46"/>
  <c r="L34" i="46"/>
  <c r="L35" i="46" s="1"/>
  <c r="L36" i="46" s="1"/>
  <c r="L37" i="46" s="1"/>
  <c r="L38" i="46" s="1"/>
  <c r="L39" i="46" s="1"/>
  <c r="L40" i="46" s="1"/>
  <c r="L41" i="46" s="1"/>
  <c r="L42" i="46" s="1"/>
  <c r="L43" i="46" s="1"/>
  <c r="K93" i="31"/>
  <c r="L48" i="31"/>
  <c r="P58" i="44"/>
  <c r="H111" i="2"/>
  <c r="H114" i="2" s="1"/>
  <c r="G11" i="2" s="1"/>
  <c r="E111" i="2"/>
  <c r="E114" i="2" s="1"/>
  <c r="F20" i="31"/>
  <c r="M44" i="45"/>
  <c r="J25" i="41"/>
  <c r="E74" i="3"/>
  <c r="E26" i="22"/>
  <c r="N158" i="46"/>
  <c r="Q106" i="23"/>
  <c r="D6" i="19"/>
  <c r="F7" i="5" s="1"/>
  <c r="D7" i="5" s="1"/>
  <c r="L35" i="31"/>
  <c r="C45" i="41"/>
  <c r="G85" i="46"/>
  <c r="H85" i="46" s="1"/>
  <c r="J85" i="46" s="1"/>
  <c r="E27" i="22"/>
  <c r="E46" i="2"/>
  <c r="E49" i="2" s="1"/>
  <c r="A12" i="31"/>
  <c r="F13" i="31" s="1"/>
  <c r="L148" i="31"/>
  <c r="C37" i="41"/>
  <c r="G79" i="46"/>
  <c r="H79" i="46" s="1"/>
  <c r="J79" i="46" s="1"/>
  <c r="K158" i="31"/>
  <c r="L158" i="31"/>
  <c r="L111" i="31"/>
  <c r="C41" i="41"/>
  <c r="E70" i="2"/>
  <c r="E73" i="2" s="1"/>
  <c r="K111" i="31"/>
  <c r="K33" i="31"/>
  <c r="J54" i="31"/>
  <c r="J38" i="31"/>
  <c r="J39" i="31" s="1"/>
  <c r="H120" i="20"/>
  <c r="K255" i="31" s="1"/>
  <c r="E89" i="38"/>
  <c r="H120" i="31"/>
  <c r="J120" i="31" s="1"/>
  <c r="H209" i="31"/>
  <c r="H97" i="31"/>
  <c r="N46" i="44"/>
  <c r="K46" i="44"/>
  <c r="J46" i="44"/>
  <c r="I46" i="44"/>
  <c r="P42" i="44"/>
  <c r="H197" i="31" s="1"/>
  <c r="G46" i="44"/>
  <c r="L13" i="19"/>
  <c r="D111" i="23"/>
  <c r="L111" i="23"/>
  <c r="K54" i="31"/>
  <c r="L54" i="31"/>
  <c r="L55" i="31" s="1"/>
  <c r="K38" i="31"/>
  <c r="H13" i="31"/>
  <c r="H121" i="31" s="1"/>
  <c r="K50" i="41"/>
  <c r="H25" i="41"/>
  <c r="E12" i="38"/>
  <c r="N88" i="43"/>
  <c r="H50" i="41"/>
  <c r="G25" i="41"/>
  <c r="L121" i="31"/>
  <c r="L85" i="31"/>
  <c r="P111" i="23"/>
  <c r="K111" i="23"/>
  <c r="N111" i="23"/>
  <c r="G111" i="23"/>
  <c r="J189" i="20"/>
  <c r="L189" i="20" s="1"/>
  <c r="J133" i="20"/>
  <c r="L133" i="20" s="1"/>
  <c r="K150" i="45"/>
  <c r="K151" i="45" s="1"/>
  <c r="K152" i="45" s="1"/>
  <c r="K153" i="45" s="1"/>
  <c r="K154" i="45" s="1"/>
  <c r="K155" i="45" s="1"/>
  <c r="K156" i="45" s="1"/>
  <c r="K157" i="45" s="1"/>
  <c r="K158" i="45" s="1"/>
  <c r="M171" i="34"/>
  <c r="M172" i="34" s="1"/>
  <c r="M173" i="34" s="1"/>
  <c r="M174" i="34" s="1"/>
  <c r="M175" i="34" s="1"/>
  <c r="M176" i="34" s="1"/>
  <c r="M177" i="34" s="1"/>
  <c r="A23" i="31"/>
  <c r="A25" i="31" s="1"/>
  <c r="F23" i="31"/>
  <c r="I25" i="41"/>
  <c r="F50" i="41"/>
  <c r="I141" i="2"/>
  <c r="I143" i="2" s="1"/>
  <c r="H163" i="31"/>
  <c r="P10" i="44"/>
  <c r="P17" i="44" s="1"/>
  <c r="L33" i="31"/>
  <c r="L269" i="31"/>
  <c r="H81" i="45"/>
  <c r="J81" i="45" s="1"/>
  <c r="K48" i="31"/>
  <c r="K269" i="31"/>
  <c r="H56" i="31"/>
  <c r="H57" i="31" s="1"/>
  <c r="J196" i="20"/>
  <c r="O111" i="23"/>
  <c r="H111" i="23"/>
  <c r="H80" i="45"/>
  <c r="J80" i="45" s="1"/>
  <c r="K37" i="31"/>
  <c r="J145" i="31"/>
  <c r="J12" i="31"/>
  <c r="H230" i="31"/>
  <c r="G41" i="22" s="1"/>
  <c r="H131" i="31"/>
  <c r="H90" i="34"/>
  <c r="J90" i="34" s="1"/>
  <c r="K239" i="20"/>
  <c r="H110" i="31" s="1"/>
  <c r="F25" i="41"/>
  <c r="I50" i="41"/>
  <c r="M111" i="23"/>
  <c r="C36" i="39"/>
  <c r="I114" i="2"/>
  <c r="H11" i="2" s="1"/>
  <c r="J131" i="31"/>
  <c r="Q208" i="20"/>
  <c r="J87" i="31" s="1"/>
  <c r="F111" i="2"/>
  <c r="F46" i="2"/>
  <c r="F49" i="2" s="1"/>
  <c r="K151" i="46"/>
  <c r="K152" i="46" s="1"/>
  <c r="K153" i="46" s="1"/>
  <c r="K154" i="46" s="1"/>
  <c r="K155" i="46" s="1"/>
  <c r="K156" i="46" s="1"/>
  <c r="K157" i="46" s="1"/>
  <c r="A40" i="22"/>
  <c r="A41" i="22" s="1"/>
  <c r="A42" i="22" s="1"/>
  <c r="A43" i="22" s="1"/>
  <c r="E45" i="22"/>
  <c r="M150" i="45"/>
  <c r="M151" i="45" s="1"/>
  <c r="M152" i="45" s="1"/>
  <c r="M153" i="45" s="1"/>
  <c r="M154" i="45" s="1"/>
  <c r="M155" i="45" s="1"/>
  <c r="M156" i="45" s="1"/>
  <c r="M157" i="45" s="1"/>
  <c r="M158" i="45" s="1"/>
  <c r="O37" i="46"/>
  <c r="O38" i="46" s="1"/>
  <c r="O39" i="46" s="1"/>
  <c r="O40" i="46" s="1"/>
  <c r="O41" i="46" s="1"/>
  <c r="O42" i="46" s="1"/>
  <c r="O43" i="46" s="1"/>
  <c r="O149" i="46"/>
  <c r="O150" i="46" s="1"/>
  <c r="O151" i="46" s="1"/>
  <c r="O152" i="46" s="1"/>
  <c r="O153" i="46" s="1"/>
  <c r="O154" i="46" s="1"/>
  <c r="O155" i="46" s="1"/>
  <c r="O156" i="46" s="1"/>
  <c r="O157" i="46" s="1"/>
  <c r="K35" i="45"/>
  <c r="K36" i="45" s="1"/>
  <c r="K37" i="45" s="1"/>
  <c r="K38" i="45" s="1"/>
  <c r="K39" i="45" s="1"/>
  <c r="K40" i="45" s="1"/>
  <c r="K41" i="45" s="1"/>
  <c r="K42" i="45" s="1"/>
  <c r="K43" i="45" s="1"/>
  <c r="F26" i="31"/>
  <c r="A26" i="31"/>
  <c r="J156" i="34"/>
  <c r="J195" i="20"/>
  <c r="I10" i="2"/>
  <c r="F13" i="2"/>
  <c r="K35" i="34"/>
  <c r="K36" i="34" s="1"/>
  <c r="K37" i="34" s="1"/>
  <c r="K38" i="34" s="1"/>
  <c r="K39" i="34" s="1"/>
  <c r="K40" i="34" s="1"/>
  <c r="K41" i="34" s="1"/>
  <c r="K42" i="34" s="1"/>
  <c r="K43" i="34" s="1"/>
  <c r="L35" i="34"/>
  <c r="L36" i="34" s="1"/>
  <c r="L37" i="34" s="1"/>
  <c r="L38" i="34" s="1"/>
  <c r="L39" i="34" s="1"/>
  <c r="L40" i="34" s="1"/>
  <c r="L41" i="34" s="1"/>
  <c r="L42" i="34" s="1"/>
  <c r="L43" i="34" s="1"/>
  <c r="O150" i="45"/>
  <c r="O151" i="45" s="1"/>
  <c r="O152" i="45" s="1"/>
  <c r="O153" i="45" s="1"/>
  <c r="O154" i="45" s="1"/>
  <c r="O155" i="45" s="1"/>
  <c r="O156" i="45" s="1"/>
  <c r="O157" i="45" s="1"/>
  <c r="O158" i="45" s="1"/>
  <c r="J149" i="45"/>
  <c r="J150" i="45" s="1"/>
  <c r="J151" i="45" s="1"/>
  <c r="J152" i="45" s="1"/>
  <c r="J153" i="45" s="1"/>
  <c r="J154" i="45" s="1"/>
  <c r="J155" i="45" s="1"/>
  <c r="J156" i="45" s="1"/>
  <c r="J157" i="45" s="1"/>
  <c r="J158" i="45" s="1"/>
  <c r="L168" i="34"/>
  <c r="L169" i="34" s="1"/>
  <c r="L170" i="34" s="1"/>
  <c r="L171" i="34" s="1"/>
  <c r="L172" i="34" s="1"/>
  <c r="L173" i="34" s="1"/>
  <c r="L174" i="34" s="1"/>
  <c r="L175" i="34" s="1"/>
  <c r="L176" i="34" s="1"/>
  <c r="L177" i="34" s="1"/>
  <c r="N169" i="34"/>
  <c r="N170" i="34" s="1"/>
  <c r="N171" i="34" s="1"/>
  <c r="N172" i="34" s="1"/>
  <c r="N173" i="34" s="1"/>
  <c r="N174" i="34" s="1"/>
  <c r="N175" i="34" s="1"/>
  <c r="N176" i="34" s="1"/>
  <c r="N177" i="34" s="1"/>
  <c r="K34" i="46"/>
  <c r="K35" i="46" s="1"/>
  <c r="K36" i="46" s="1"/>
  <c r="K37" i="46" s="1"/>
  <c r="K38" i="46" s="1"/>
  <c r="K39" i="46" s="1"/>
  <c r="K40" i="46" s="1"/>
  <c r="K41" i="46" s="1"/>
  <c r="K42" i="46" s="1"/>
  <c r="K43" i="46" s="1"/>
  <c r="M34" i="46"/>
  <c r="M35" i="46" s="1"/>
  <c r="M36" i="46" s="1"/>
  <c r="M37" i="46" s="1"/>
  <c r="M38" i="46" s="1"/>
  <c r="M39" i="46" s="1"/>
  <c r="M40" i="46" s="1"/>
  <c r="M41" i="46" s="1"/>
  <c r="M42" i="46" s="1"/>
  <c r="M43" i="46" s="1"/>
  <c r="J34" i="46"/>
  <c r="J35" i="46" s="1"/>
  <c r="J36" i="46" s="1"/>
  <c r="J37" i="46" s="1"/>
  <c r="J38" i="46" s="1"/>
  <c r="J39" i="46" s="1"/>
  <c r="J40" i="46" s="1"/>
  <c r="J41" i="46" s="1"/>
  <c r="J42" i="46" s="1"/>
  <c r="J43" i="46" s="1"/>
  <c r="M148" i="46"/>
  <c r="M149" i="46" s="1"/>
  <c r="M150" i="46" s="1"/>
  <c r="M151" i="46" s="1"/>
  <c r="M152" i="46" s="1"/>
  <c r="M153" i="46" s="1"/>
  <c r="M154" i="46" s="1"/>
  <c r="M155" i="46" s="1"/>
  <c r="M156" i="46" s="1"/>
  <c r="M157" i="46" s="1"/>
  <c r="O172" i="34"/>
  <c r="O173" i="34" s="1"/>
  <c r="O174" i="34" s="1"/>
  <c r="O175" i="34" s="1"/>
  <c r="O176" i="34" s="1"/>
  <c r="O177" i="34" s="1"/>
  <c r="O178" i="34" s="1"/>
  <c r="N36" i="46"/>
  <c r="N37" i="46" s="1"/>
  <c r="N38" i="46" s="1"/>
  <c r="N39" i="46" s="1"/>
  <c r="N40" i="46" s="1"/>
  <c r="N41" i="46" s="1"/>
  <c r="N42" i="46" s="1"/>
  <c r="N43" i="46" s="1"/>
  <c r="M37" i="34"/>
  <c r="M38" i="34" s="1"/>
  <c r="M39" i="34" s="1"/>
  <c r="M40" i="34" s="1"/>
  <c r="M41" i="34" s="1"/>
  <c r="M42" i="34" s="1"/>
  <c r="M43" i="34" s="1"/>
  <c r="J198" i="20"/>
  <c r="L198" i="20" s="1"/>
  <c r="J34" i="34"/>
  <c r="J35" i="34" s="1"/>
  <c r="J36" i="34" s="1"/>
  <c r="J37" i="34" s="1"/>
  <c r="J38" i="34" s="1"/>
  <c r="J39" i="34" s="1"/>
  <c r="J40" i="34" s="1"/>
  <c r="J41" i="34" s="1"/>
  <c r="J42" i="34" s="1"/>
  <c r="J43" i="34" s="1"/>
  <c r="N35" i="45"/>
  <c r="N36" i="45" s="1"/>
  <c r="N37" i="45" s="1"/>
  <c r="N38" i="45" s="1"/>
  <c r="N39" i="45" s="1"/>
  <c r="N40" i="45" s="1"/>
  <c r="N41" i="45" s="1"/>
  <c r="N42" i="45" s="1"/>
  <c r="N43" i="45" s="1"/>
  <c r="L149" i="45"/>
  <c r="L150" i="45" s="1"/>
  <c r="L151" i="45" s="1"/>
  <c r="L152" i="45" s="1"/>
  <c r="L153" i="45" s="1"/>
  <c r="L154" i="45" s="1"/>
  <c r="L155" i="45" s="1"/>
  <c r="L156" i="45" s="1"/>
  <c r="L157" i="45" s="1"/>
  <c r="L158" i="45" s="1"/>
  <c r="N149" i="45"/>
  <c r="N150" i="45" s="1"/>
  <c r="N151" i="45" s="1"/>
  <c r="N152" i="45" s="1"/>
  <c r="N153" i="45" s="1"/>
  <c r="N154" i="45" s="1"/>
  <c r="N155" i="45" s="1"/>
  <c r="N156" i="45" s="1"/>
  <c r="N157" i="45" s="1"/>
  <c r="N158" i="45" s="1"/>
  <c r="K168" i="34"/>
  <c r="K169" i="34" s="1"/>
  <c r="K170" i="34" s="1"/>
  <c r="K171" i="34" s="1"/>
  <c r="K172" i="34" s="1"/>
  <c r="K173" i="34" s="1"/>
  <c r="K174" i="34" s="1"/>
  <c r="K175" i="34" s="1"/>
  <c r="K176" i="34" s="1"/>
  <c r="K177" i="34" s="1"/>
  <c r="L148" i="46"/>
  <c r="L149" i="46" s="1"/>
  <c r="L150" i="46" s="1"/>
  <c r="L151" i="46" s="1"/>
  <c r="L152" i="46" s="1"/>
  <c r="L153" i="46" s="1"/>
  <c r="L154" i="46" s="1"/>
  <c r="L155" i="46" s="1"/>
  <c r="L156" i="46" s="1"/>
  <c r="L157" i="46" s="1"/>
  <c r="I34" i="34"/>
  <c r="I35" i="34" s="1"/>
  <c r="I36" i="34" s="1"/>
  <c r="I37" i="34" s="1"/>
  <c r="I38" i="34" s="1"/>
  <c r="I39" i="34" s="1"/>
  <c r="I40" i="34" s="1"/>
  <c r="I41" i="34" s="1"/>
  <c r="I42" i="34" s="1"/>
  <c r="I43" i="34" s="1"/>
  <c r="O44" i="45"/>
  <c r="J44" i="45"/>
  <c r="F112" i="2"/>
  <c r="H192" i="31"/>
  <c r="I49" i="2"/>
  <c r="H12" i="2" s="1"/>
  <c r="K149" i="31"/>
  <c r="K40" i="31"/>
  <c r="K56" i="31"/>
  <c r="K85" i="31"/>
  <c r="K121" i="31"/>
  <c r="E4" i="19"/>
  <c r="E20" i="19" s="1"/>
  <c r="G13" i="5" s="1"/>
  <c r="P21" i="44"/>
  <c r="H181" i="31" s="1"/>
  <c r="D33" i="39"/>
  <c r="G33" i="39"/>
  <c r="H82" i="45"/>
  <c r="J82" i="45" s="1"/>
  <c r="L56" i="31"/>
  <c r="L149" i="31"/>
  <c r="F4" i="19"/>
  <c r="F20" i="19" s="1"/>
  <c r="H13" i="5" s="1"/>
  <c r="L40" i="31"/>
  <c r="F86" i="46"/>
  <c r="G37" i="22"/>
  <c r="H96" i="31"/>
  <c r="J98" i="31"/>
  <c r="J84" i="31"/>
  <c r="H50" i="31"/>
  <c r="H52" i="31" s="1"/>
  <c r="J50" i="31"/>
  <c r="F38" i="20"/>
  <c r="H47" i="31" s="1"/>
  <c r="H48" i="31" s="1"/>
  <c r="J47" i="31"/>
  <c r="H35" i="31"/>
  <c r="H37" i="31" s="1"/>
  <c r="J37" i="31"/>
  <c r="F9" i="20"/>
  <c r="J31" i="31"/>
  <c r="H14" i="2"/>
  <c r="H85" i="31"/>
  <c r="H86" i="31" s="1"/>
  <c r="H88" i="31" s="1"/>
  <c r="G99" i="34"/>
  <c r="H99" i="34" s="1"/>
  <c r="J99" i="34" s="1"/>
  <c r="G82" i="34"/>
  <c r="H82" i="34" s="1"/>
  <c r="J82" i="34" s="1"/>
  <c r="H80" i="34"/>
  <c r="J80" i="34" s="1"/>
  <c r="G97" i="34"/>
  <c r="H97" i="34" s="1"/>
  <c r="J97" i="34" s="1"/>
  <c r="G85" i="34"/>
  <c r="H85" i="34" s="1"/>
  <c r="J85" i="34" s="1"/>
  <c r="G103" i="34"/>
  <c r="H103" i="34" s="1"/>
  <c r="J103" i="34" s="1"/>
  <c r="G83" i="34"/>
  <c r="H83" i="34" s="1"/>
  <c r="J83" i="34" s="1"/>
  <c r="G101" i="34"/>
  <c r="H101" i="34" s="1"/>
  <c r="J101" i="34" s="1"/>
  <c r="G105" i="34"/>
  <c r="H105" i="34" s="1"/>
  <c r="J105" i="34" s="1"/>
  <c r="G86" i="34"/>
  <c r="H86" i="34" s="1"/>
  <c r="J86" i="34" s="1"/>
  <c r="J100" i="20"/>
  <c r="H84" i="46"/>
  <c r="J84" i="46" s="1"/>
  <c r="H91" i="34"/>
  <c r="J91" i="34" s="1"/>
  <c r="J178" i="34"/>
  <c r="J32" i="31" s="1"/>
  <c r="H32" i="31" s="1"/>
  <c r="C12" i="41"/>
  <c r="G100" i="34" s="1"/>
  <c r="H100" i="34" s="1"/>
  <c r="J100" i="34" s="1"/>
  <c r="G81" i="34"/>
  <c r="H81" i="34" s="1"/>
  <c r="J81" i="34" s="1"/>
  <c r="G98" i="34"/>
  <c r="H98" i="34" s="1"/>
  <c r="J98" i="34" s="1"/>
  <c r="C16" i="41"/>
  <c r="G104" i="34" s="1"/>
  <c r="H104" i="34" s="1"/>
  <c r="J104" i="34" s="1"/>
  <c r="G84" i="34"/>
  <c r="H84" i="34" s="1"/>
  <c r="J84" i="34" s="1"/>
  <c r="G102" i="34"/>
  <c r="H102" i="34" s="1"/>
  <c r="J102" i="34" s="1"/>
  <c r="C20" i="41"/>
  <c r="G87" i="34"/>
  <c r="H87" i="34" s="1"/>
  <c r="J87" i="34" s="1"/>
  <c r="G106" i="34"/>
  <c r="H106" i="34" s="1"/>
  <c r="J106" i="34" s="1"/>
  <c r="C24" i="41"/>
  <c r="M44" i="46" l="1"/>
  <c r="L44" i="46"/>
  <c r="H59" i="31"/>
  <c r="C50" i="41"/>
  <c r="K98" i="20" s="1"/>
  <c r="G13" i="2"/>
  <c r="F114" i="2"/>
  <c r="J92" i="34"/>
  <c r="F113" i="34" s="1"/>
  <c r="H113" i="34" s="1"/>
  <c r="L41" i="31"/>
  <c r="L278" i="31"/>
  <c r="L150" i="31"/>
  <c r="I11" i="2"/>
  <c r="L254" i="31"/>
  <c r="K254" i="31"/>
  <c r="K55" i="31"/>
  <c r="K57" i="31" s="1"/>
  <c r="J13" i="31"/>
  <c r="J149" i="31" s="1"/>
  <c r="F31" i="3"/>
  <c r="G31" i="3" s="1"/>
  <c r="K44" i="46"/>
  <c r="J55" i="31"/>
  <c r="K278" i="31"/>
  <c r="L247" i="31"/>
  <c r="L57" i="31"/>
  <c r="H255" i="31"/>
  <c r="K247" i="31"/>
  <c r="L37" i="31"/>
  <c r="H40" i="31"/>
  <c r="H41" i="31" s="1"/>
  <c r="K150" i="31"/>
  <c r="N178" i="34"/>
  <c r="K39" i="31"/>
  <c r="K41" i="31" s="1"/>
  <c r="H98" i="31"/>
  <c r="L44" i="34"/>
  <c r="K44" i="34"/>
  <c r="K120" i="31"/>
  <c r="L120" i="31"/>
  <c r="H122" i="31"/>
  <c r="H123" i="20"/>
  <c r="G21" i="22"/>
  <c r="J48" i="31"/>
  <c r="J52" i="31"/>
  <c r="H183" i="31"/>
  <c r="H167" i="31"/>
  <c r="J121" i="31"/>
  <c r="H149" i="31"/>
  <c r="H150" i="31" s="1"/>
  <c r="H152" i="31" s="1"/>
  <c r="H246" i="31" s="1"/>
  <c r="J56" i="31"/>
  <c r="J57" i="31" s="1"/>
  <c r="K195" i="20"/>
  <c r="K148" i="20"/>
  <c r="L148" i="20" s="1"/>
  <c r="L190" i="20" s="1"/>
  <c r="H72" i="31" s="1"/>
  <c r="K99" i="20"/>
  <c r="C29" i="41"/>
  <c r="E91" i="38"/>
  <c r="H13" i="2"/>
  <c r="H16" i="2" s="1"/>
  <c r="C25" i="41"/>
  <c r="I99" i="20" s="1"/>
  <c r="J44" i="34"/>
  <c r="J159" i="45"/>
  <c r="O159" i="45"/>
  <c r="C38" i="39"/>
  <c r="C37" i="39"/>
  <c r="H200" i="31"/>
  <c r="P46" i="44"/>
  <c r="M178" i="34"/>
  <c r="K159" i="45"/>
  <c r="N159" i="45"/>
  <c r="L159" i="45"/>
  <c r="O158" i="46"/>
  <c r="K158" i="46"/>
  <c r="J109" i="34"/>
  <c r="F114" i="34" s="1"/>
  <c r="H114" i="34" s="1"/>
  <c r="L114" i="34" s="1"/>
  <c r="J33" i="31"/>
  <c r="J269" i="31"/>
  <c r="F59" i="20"/>
  <c r="H18" i="31" s="1"/>
  <c r="K84" i="31"/>
  <c r="H83" i="45"/>
  <c r="J83" i="45" s="1"/>
  <c r="I44" i="34"/>
  <c r="L158" i="46"/>
  <c r="K178" i="34"/>
  <c r="N44" i="45"/>
  <c r="I12" i="2"/>
  <c r="M44" i="34"/>
  <c r="N44" i="46"/>
  <c r="J44" i="46"/>
  <c r="I13" i="2"/>
  <c r="F16" i="2"/>
  <c r="I98" i="20"/>
  <c r="H31" i="31"/>
  <c r="F28" i="20"/>
  <c r="H16" i="31" s="1"/>
  <c r="F87" i="46"/>
  <c r="H86" i="46"/>
  <c r="J86" i="46" s="1"/>
  <c r="M158" i="46"/>
  <c r="L178" i="34"/>
  <c r="L195" i="20"/>
  <c r="F132" i="31"/>
  <c r="A31" i="31"/>
  <c r="F231" i="31"/>
  <c r="K44" i="45"/>
  <c r="M46" i="45" s="1"/>
  <c r="O44" i="46"/>
  <c r="M159" i="45"/>
  <c r="M161" i="45" s="1"/>
  <c r="A45" i="22"/>
  <c r="A47" i="22" s="1"/>
  <c r="E9" i="22" s="1"/>
  <c r="H115" i="34" l="1"/>
  <c r="L115" i="34" s="1"/>
  <c r="F122" i="34" s="1"/>
  <c r="L113" i="34"/>
  <c r="M160" i="46"/>
  <c r="D4" i="19"/>
  <c r="D20" i="19" s="1"/>
  <c r="F13" i="5" s="1"/>
  <c r="D13" i="5" s="1"/>
  <c r="I102" i="20"/>
  <c r="K100" i="20"/>
  <c r="C51" i="41"/>
  <c r="L289" i="31" s="1"/>
  <c r="K59" i="31"/>
  <c r="K43" i="31"/>
  <c r="K152" i="31"/>
  <c r="K122" i="31"/>
  <c r="J150" i="31"/>
  <c r="L59" i="31"/>
  <c r="L152" i="31"/>
  <c r="L43" i="31"/>
  <c r="J40" i="31"/>
  <c r="J85" i="31"/>
  <c r="K256" i="31"/>
  <c r="L122" i="31"/>
  <c r="L256" i="31"/>
  <c r="J122" i="31"/>
  <c r="J278" i="31"/>
  <c r="J254" i="31"/>
  <c r="H33" i="31"/>
  <c r="H201" i="31"/>
  <c r="H205" i="31" s="1"/>
  <c r="H214" i="31" s="1"/>
  <c r="J59" i="31"/>
  <c r="H174" i="31"/>
  <c r="J72" i="31"/>
  <c r="C26" i="41"/>
  <c r="H289" i="31" s="1"/>
  <c r="J289" i="31" s="1"/>
  <c r="C28" i="41"/>
  <c r="E47" i="22"/>
  <c r="C39" i="39"/>
  <c r="C40" i="39"/>
  <c r="M180" i="34"/>
  <c r="H87" i="46"/>
  <c r="J87" i="46" s="1"/>
  <c r="F88" i="46"/>
  <c r="H269" i="31"/>
  <c r="H278" i="31" s="1"/>
  <c r="F115" i="34"/>
  <c r="H99" i="20"/>
  <c r="M46" i="46"/>
  <c r="H84" i="45"/>
  <c r="J84" i="45" s="1"/>
  <c r="A32" i="31"/>
  <c r="A33" i="31" s="1"/>
  <c r="H17" i="31"/>
  <c r="I100" i="20"/>
  <c r="H98" i="20"/>
  <c r="L46" i="34"/>
  <c r="L84" i="31"/>
  <c r="L86" i="31" s="1"/>
  <c r="K86" i="31"/>
  <c r="H19" i="31"/>
  <c r="J18" i="31"/>
  <c r="J41" i="31" l="1"/>
  <c r="J152" i="31"/>
  <c r="K257" i="31"/>
  <c r="L61" i="31"/>
  <c r="K246" i="31"/>
  <c r="L22" i="31"/>
  <c r="K22" i="31"/>
  <c r="J86" i="31"/>
  <c r="K61" i="31"/>
  <c r="L246" i="31"/>
  <c r="K88" i="31"/>
  <c r="L88" i="31"/>
  <c r="L257" i="31"/>
  <c r="G18" i="22"/>
  <c r="G26" i="22" s="1"/>
  <c r="H208" i="31"/>
  <c r="H204" i="31"/>
  <c r="J256" i="31"/>
  <c r="H203" i="31"/>
  <c r="E22" i="33"/>
  <c r="E26" i="33" s="1"/>
  <c r="C42" i="39"/>
  <c r="C41" i="39"/>
  <c r="J17" i="31"/>
  <c r="K16" i="31"/>
  <c r="F33" i="31"/>
  <c r="J102" i="20"/>
  <c r="J103" i="20"/>
  <c r="K103" i="20"/>
  <c r="K102" i="20"/>
  <c r="H254" i="31"/>
  <c r="H256" i="31" s="1"/>
  <c r="H257" i="31" s="1"/>
  <c r="H43" i="31"/>
  <c r="K18" i="31"/>
  <c r="J19" i="31"/>
  <c r="H20" i="31"/>
  <c r="A35" i="31"/>
  <c r="A36" i="31" s="1"/>
  <c r="A37" i="31" s="1"/>
  <c r="A38" i="31" s="1"/>
  <c r="F254" i="31"/>
  <c r="H85" i="45"/>
  <c r="J85" i="45" s="1"/>
  <c r="I103" i="20"/>
  <c r="I122" i="34"/>
  <c r="J122" i="34" s="1"/>
  <c r="F123" i="34"/>
  <c r="F89" i="46"/>
  <c r="H88" i="46"/>
  <c r="J88" i="46" s="1"/>
  <c r="E27" i="33" l="1"/>
  <c r="E30" i="33" s="1"/>
  <c r="E33" i="33" s="1"/>
  <c r="E25" i="33"/>
  <c r="J246" i="31"/>
  <c r="K241" i="31"/>
  <c r="K25" i="31"/>
  <c r="J88" i="31"/>
  <c r="L25" i="31"/>
  <c r="L241" i="31"/>
  <c r="H212" i="31"/>
  <c r="K100" i="31"/>
  <c r="K102" i="31" s="1"/>
  <c r="K243" i="31" s="1"/>
  <c r="L100" i="31"/>
  <c r="J43" i="31"/>
  <c r="J22" i="31" s="1"/>
  <c r="J257" i="31"/>
  <c r="G20" i="22"/>
  <c r="G16" i="22"/>
  <c r="H213" i="31"/>
  <c r="G17" i="22"/>
  <c r="I109" i="20"/>
  <c r="J125" i="31" s="1"/>
  <c r="J109" i="20"/>
  <c r="K125" i="31" s="1"/>
  <c r="C44" i="39"/>
  <c r="C43" i="39"/>
  <c r="H61" i="31"/>
  <c r="H25" i="31" s="1"/>
  <c r="H26" i="31" s="1"/>
  <c r="H22" i="31"/>
  <c r="H23" i="31" s="1"/>
  <c r="H89" i="46"/>
  <c r="J89" i="46" s="1"/>
  <c r="F90" i="46"/>
  <c r="H90" i="46" s="1"/>
  <c r="J90" i="46" s="1"/>
  <c r="H103" i="20"/>
  <c r="A39" i="31"/>
  <c r="F39" i="31"/>
  <c r="K19" i="31"/>
  <c r="L18" i="31"/>
  <c r="L19" i="31" s="1"/>
  <c r="H102" i="20"/>
  <c r="K109" i="20"/>
  <c r="L125" i="31" s="1"/>
  <c r="L16" i="31"/>
  <c r="L17" i="31" s="1"/>
  <c r="K17" i="31"/>
  <c r="I123" i="34"/>
  <c r="J123" i="34" s="1"/>
  <c r="F124" i="34"/>
  <c r="H86" i="45"/>
  <c r="J86" i="45" s="1"/>
  <c r="J20" i="31"/>
  <c r="E29" i="33"/>
  <c r="E32" i="33" s="1"/>
  <c r="F19" i="3" l="1"/>
  <c r="F14" i="3"/>
  <c r="L127" i="31"/>
  <c r="L242" i="31"/>
  <c r="L102" i="31"/>
  <c r="G24" i="22"/>
  <c r="H215" i="31"/>
  <c r="K242" i="31"/>
  <c r="K127" i="31"/>
  <c r="J61" i="31"/>
  <c r="J25" i="31" s="1"/>
  <c r="J91" i="46"/>
  <c r="F95" i="46" s="1"/>
  <c r="K217" i="31"/>
  <c r="G25" i="22"/>
  <c r="G27" i="22" s="1"/>
  <c r="J127" i="31"/>
  <c r="H109" i="20"/>
  <c r="H125" i="31" s="1"/>
  <c r="H127" i="31" s="1"/>
  <c r="C45" i="39"/>
  <c r="C46" i="39"/>
  <c r="H87" i="45"/>
  <c r="J87" i="45" s="1"/>
  <c r="I124" i="34"/>
  <c r="J124" i="34" s="1"/>
  <c r="F125" i="34"/>
  <c r="K20" i="31"/>
  <c r="K26" i="31" s="1"/>
  <c r="E3" i="19" s="1"/>
  <c r="K23" i="31"/>
  <c r="A40" i="31"/>
  <c r="A41" i="31" s="1"/>
  <c r="G15" i="2"/>
  <c r="G16" i="2" s="1"/>
  <c r="I16" i="2" s="1"/>
  <c r="H66" i="31" s="1"/>
  <c r="L20" i="31"/>
  <c r="L26" i="31" s="1"/>
  <c r="F3" i="19" s="1"/>
  <c r="L23" i="31"/>
  <c r="H241" i="31"/>
  <c r="L135" i="31" l="1"/>
  <c r="K135" i="31"/>
  <c r="J241" i="31"/>
  <c r="J23" i="31"/>
  <c r="K248" i="31"/>
  <c r="L243" i="31"/>
  <c r="C47" i="39"/>
  <c r="C48" i="39"/>
  <c r="H67" i="31"/>
  <c r="J66" i="31"/>
  <c r="A43" i="31"/>
  <c r="F43" i="31"/>
  <c r="E8" i="19"/>
  <c r="G8" i="5" s="1"/>
  <c r="E9" i="19"/>
  <c r="G9" i="5" s="1"/>
  <c r="H88" i="45"/>
  <c r="J88" i="45" s="1"/>
  <c r="F8" i="19"/>
  <c r="H8" i="5" s="1"/>
  <c r="F9" i="19"/>
  <c r="H9" i="5" s="1"/>
  <c r="H132" i="31"/>
  <c r="H231" i="31"/>
  <c r="K196" i="20"/>
  <c r="L196" i="20" s="1"/>
  <c r="L200" i="20" s="1"/>
  <c r="F40" i="3"/>
  <c r="G40" i="3" s="1"/>
  <c r="F18" i="3"/>
  <c r="G19" i="3"/>
  <c r="F41" i="31"/>
  <c r="I125" i="34"/>
  <c r="J125" i="34" s="1"/>
  <c r="F126" i="34"/>
  <c r="K245" i="31" l="1"/>
  <c r="J26" i="31"/>
  <c r="L245" i="31"/>
  <c r="J67" i="31"/>
  <c r="C49" i="39"/>
  <c r="C50" i="39"/>
  <c r="H10" i="5"/>
  <c r="H22" i="5" s="1"/>
  <c r="L262" i="31" s="1"/>
  <c r="I126" i="34"/>
  <c r="J126" i="34" s="1"/>
  <c r="F127" i="34"/>
  <c r="H75" i="31"/>
  <c r="H76" i="31" s="1"/>
  <c r="J75" i="31"/>
  <c r="J76" i="31" s="1"/>
  <c r="G42" i="22"/>
  <c r="H232" i="31"/>
  <c r="G43" i="22" s="1"/>
  <c r="G10" i="5"/>
  <c r="G22" i="5" s="1"/>
  <c r="K262" i="31" s="1"/>
  <c r="A47" i="31"/>
  <c r="F22" i="31"/>
  <c r="F17" i="3"/>
  <c r="G18" i="3"/>
  <c r="H133" i="31"/>
  <c r="J133" i="31" s="1"/>
  <c r="J132" i="31"/>
  <c r="H89" i="45"/>
  <c r="J89" i="45" s="1"/>
  <c r="H90" i="45"/>
  <c r="J90" i="45" s="1"/>
  <c r="D3" i="19" l="1"/>
  <c r="C52" i="39"/>
  <c r="C51" i="39"/>
  <c r="F16" i="3"/>
  <c r="F15" i="3" s="1"/>
  <c r="G17" i="3"/>
  <c r="I127" i="34"/>
  <c r="J127" i="34" s="1"/>
  <c r="F128" i="34"/>
  <c r="J91" i="45"/>
  <c r="F96" i="45" s="1"/>
  <c r="A48" i="31"/>
  <c r="F48" i="31"/>
  <c r="F269" i="31"/>
  <c r="F278" i="31"/>
  <c r="D9" i="19" l="1"/>
  <c r="F9" i="5" s="1"/>
  <c r="D9" i="5" s="1"/>
  <c r="D8" i="19"/>
  <c r="F8" i="5" s="1"/>
  <c r="C54" i="39"/>
  <c r="C53" i="39"/>
  <c r="I128" i="34"/>
  <c r="J128" i="34" s="1"/>
  <c r="F129" i="34"/>
  <c r="A50" i="31"/>
  <c r="A51" i="31" s="1"/>
  <c r="A52" i="31" s="1"/>
  <c r="A53" i="31" s="1"/>
  <c r="G16" i="3"/>
  <c r="D8" i="5" l="1"/>
  <c r="D10" i="5" s="1"/>
  <c r="D22" i="5" s="1"/>
  <c r="H262" i="31" s="1"/>
  <c r="F10" i="5"/>
  <c r="F22" i="5" s="1"/>
  <c r="J262" i="31" s="1"/>
  <c r="C55" i="39"/>
  <c r="C56" i="39"/>
  <c r="G14" i="3"/>
  <c r="G15" i="3"/>
  <c r="A54" i="31"/>
  <c r="A55" i="31" s="1"/>
  <c r="I129" i="34"/>
  <c r="J129" i="34" s="1"/>
  <c r="F130" i="34"/>
  <c r="F55" i="31" l="1"/>
  <c r="C58" i="39"/>
  <c r="C57" i="39"/>
  <c r="I130" i="34"/>
  <c r="J130" i="34" s="1"/>
  <c r="F131" i="34"/>
  <c r="A56" i="31"/>
  <c r="A57" i="31" s="1"/>
  <c r="G20" i="3"/>
  <c r="G47" i="3" s="1"/>
  <c r="G52" i="3" s="1"/>
  <c r="C59" i="39" l="1"/>
  <c r="C60" i="39"/>
  <c r="J156" i="31"/>
  <c r="H156" i="31" s="1"/>
  <c r="H158" i="31" s="1"/>
  <c r="H247" i="31" s="1"/>
  <c r="A59" i="31"/>
  <c r="F59" i="31"/>
  <c r="F57" i="31"/>
  <c r="I131" i="34"/>
  <c r="J131" i="34" s="1"/>
  <c r="F132" i="34"/>
  <c r="J158" i="31" l="1"/>
  <c r="C61" i="39"/>
  <c r="C62" i="39"/>
  <c r="I132" i="34"/>
  <c r="J132" i="34" s="1"/>
  <c r="F133" i="34"/>
  <c r="A61" i="31"/>
  <c r="F61" i="31"/>
  <c r="J247" i="31" l="1"/>
  <c r="C64" i="39"/>
  <c r="C63" i="39"/>
  <c r="F241" i="31"/>
  <c r="A66" i="31"/>
  <c r="I133" i="34"/>
  <c r="J133" i="34" s="1"/>
  <c r="J134" i="34" s="1"/>
  <c r="F136" i="34" l="1"/>
  <c r="C66" i="39"/>
  <c r="C65" i="39"/>
  <c r="A67" i="31"/>
  <c r="F67" i="31"/>
  <c r="I136" i="34" l="1"/>
  <c r="J136" i="34" s="1"/>
  <c r="F137" i="34" s="1"/>
  <c r="C67" i="39"/>
  <c r="C68" i="39"/>
  <c r="A69" i="31"/>
  <c r="A72" i="31" s="1"/>
  <c r="I137" i="34" l="1"/>
  <c r="J137" i="34" s="1"/>
  <c r="F138" i="34" s="1"/>
  <c r="C69" i="39"/>
  <c r="C70" i="39"/>
  <c r="A75" i="31"/>
  <c r="A128" i="20"/>
  <c r="I138" i="34" l="1"/>
  <c r="J138" i="34" s="1"/>
  <c r="C71" i="39"/>
  <c r="C72" i="39"/>
  <c r="C73" i="39" s="1"/>
  <c r="F76" i="31"/>
  <c r="A76" i="31"/>
  <c r="A194" i="20"/>
  <c r="F139" i="34" l="1"/>
  <c r="A78" i="31"/>
  <c r="I139" i="34" l="1"/>
  <c r="J139" i="34" s="1"/>
  <c r="A76" i="20"/>
  <c r="A80" i="31"/>
  <c r="F140" i="34" l="1"/>
  <c r="A81" i="31"/>
  <c r="A84" i="31" s="1"/>
  <c r="I140" i="34" l="1"/>
  <c r="J140" i="34" s="1"/>
  <c r="H141" i="34" s="1"/>
  <c r="H142" i="34" s="1"/>
  <c r="H143" i="34" s="1"/>
  <c r="H144" i="34" s="1"/>
  <c r="H145" i="34" s="1"/>
  <c r="H146" i="34" s="1"/>
  <c r="H147" i="34" s="1"/>
  <c r="H148" i="34" s="1"/>
  <c r="H149" i="34" s="1"/>
  <c r="H150" i="34" s="1"/>
  <c r="H151" i="34" s="1"/>
  <c r="H152" i="34" s="1"/>
  <c r="A85" i="31"/>
  <c r="A86" i="31" s="1"/>
  <c r="F141" i="34" l="1"/>
  <c r="A87" i="31"/>
  <c r="A88" i="31" s="1"/>
  <c r="F86" i="31"/>
  <c r="F88" i="31" l="1"/>
  <c r="H153" i="34"/>
  <c r="H155" i="34" s="1"/>
  <c r="I141" i="34"/>
  <c r="J141" i="34" s="1"/>
  <c r="A91" i="31"/>
  <c r="I155" i="34" l="1"/>
  <c r="J155" i="34"/>
  <c r="J283" i="31"/>
  <c r="F142" i="34"/>
  <c r="A92" i="31"/>
  <c r="A93" i="31" s="1"/>
  <c r="E17" i="33" l="1"/>
  <c r="E18" i="33" s="1"/>
  <c r="J109" i="31" s="1"/>
  <c r="J157" i="34"/>
  <c r="I142" i="34"/>
  <c r="J142" i="34" s="1"/>
  <c r="F143" i="34" s="1"/>
  <c r="A96" i="31"/>
  <c r="F93" i="31"/>
  <c r="H109" i="31" l="1"/>
  <c r="H111" i="31" s="1"/>
  <c r="H135" i="31" s="1"/>
  <c r="J111" i="31"/>
  <c r="I143" i="34"/>
  <c r="J143" i="34" s="1"/>
  <c r="F144" i="34" s="1"/>
  <c r="A97" i="31"/>
  <c r="A213" i="20"/>
  <c r="F98" i="31"/>
  <c r="J135" i="31" l="1"/>
  <c r="H245" i="31"/>
  <c r="H91" i="31"/>
  <c r="H93" i="31" s="1"/>
  <c r="H100" i="31" s="1"/>
  <c r="I144" i="34"/>
  <c r="J144" i="34" s="1"/>
  <c r="F145" i="34" s="1"/>
  <c r="A98" i="31"/>
  <c r="A218" i="20"/>
  <c r="H102" i="31" l="1"/>
  <c r="H242" i="31"/>
  <c r="J245" i="31"/>
  <c r="J91" i="31"/>
  <c r="I145" i="34"/>
  <c r="J145" i="34" s="1"/>
  <c r="F146" i="34" s="1"/>
  <c r="A100" i="31"/>
  <c r="F100" i="31"/>
  <c r="H217" i="31" l="1"/>
  <c r="K103" i="31"/>
  <c r="H243" i="31"/>
  <c r="L103" i="31"/>
  <c r="G14" i="22"/>
  <c r="G29" i="22" s="1"/>
  <c r="G45" i="22" s="1"/>
  <c r="G47" i="22" s="1"/>
  <c r="G9" i="22" s="1"/>
  <c r="H276" i="31" s="1"/>
  <c r="J93" i="31"/>
  <c r="J100" i="31" s="1"/>
  <c r="I146" i="34"/>
  <c r="J146" i="34" s="1"/>
  <c r="A102" i="31"/>
  <c r="F242" i="31"/>
  <c r="F102" i="31"/>
  <c r="K276" i="31" l="1"/>
  <c r="L276" i="31"/>
  <c r="H248" i="31"/>
  <c r="L217" i="31"/>
  <c r="H234" i="31"/>
  <c r="H236" i="31" s="1"/>
  <c r="J242" i="31"/>
  <c r="J102" i="31"/>
  <c r="F147" i="34"/>
  <c r="F243" i="31"/>
  <c r="A107" i="31"/>
  <c r="J103" i="31" l="1"/>
  <c r="J217" i="31" s="1"/>
  <c r="J243" i="31"/>
  <c r="L236" i="31"/>
  <c r="K236" i="31"/>
  <c r="H249" i="31"/>
  <c r="H251" i="31" s="1"/>
  <c r="L248" i="31"/>
  <c r="I147" i="34"/>
  <c r="J147" i="34" s="1"/>
  <c r="A108" i="31"/>
  <c r="A109" i="31" s="1"/>
  <c r="A110" i="31" s="1"/>
  <c r="F111" i="31" s="1"/>
  <c r="H271" i="31" l="1"/>
  <c r="I8" i="39" s="1"/>
  <c r="H272" i="31"/>
  <c r="I12" i="39" s="1"/>
  <c r="H258" i="31"/>
  <c r="H259" i="31" s="1"/>
  <c r="H270" i="31"/>
  <c r="H275" i="31"/>
  <c r="H277" i="31" s="1"/>
  <c r="L249" i="31"/>
  <c r="J276" i="31"/>
  <c r="J236" i="31"/>
  <c r="K249" i="31"/>
  <c r="F148" i="34"/>
  <c r="A234" i="20"/>
  <c r="A111" i="31"/>
  <c r="K251" i="31" l="1"/>
  <c r="L251" i="31"/>
  <c r="H280" i="31"/>
  <c r="I9" i="39" s="1"/>
  <c r="I10" i="39" s="1"/>
  <c r="H279" i="31"/>
  <c r="H268" i="31"/>
  <c r="H265" i="31"/>
  <c r="H282" i="31" s="1"/>
  <c r="J249" i="31"/>
  <c r="J248" i="31"/>
  <c r="I148" i="34"/>
  <c r="J148" i="34" s="1"/>
  <c r="A114" i="31"/>
  <c r="J251" i="31" l="1"/>
  <c r="L258" i="31"/>
  <c r="K258" i="31"/>
  <c r="F149" i="34"/>
  <c r="A115" i="31"/>
  <c r="K259" i="31" l="1"/>
  <c r="L259" i="31"/>
  <c r="J258" i="31"/>
  <c r="I149" i="34"/>
  <c r="J149" i="34" s="1"/>
  <c r="A116" i="31"/>
  <c r="A83" i="20"/>
  <c r="L268" i="31" l="1"/>
  <c r="L265" i="31"/>
  <c r="L275" i="31"/>
  <c r="K265" i="31"/>
  <c r="K275" i="31"/>
  <c r="K268" i="31"/>
  <c r="J259" i="31"/>
  <c r="F150" i="34"/>
  <c r="A117" i="31"/>
  <c r="A118" i="31" s="1"/>
  <c r="A119" i="31" s="1"/>
  <c r="F129" i="31"/>
  <c r="K282" i="31" l="1"/>
  <c r="D23" i="45"/>
  <c r="L277" i="31"/>
  <c r="J275" i="31"/>
  <c r="J277" i="31" s="1"/>
  <c r="J265" i="31"/>
  <c r="J268" i="31"/>
  <c r="K271" i="31"/>
  <c r="K270" i="31"/>
  <c r="K272" i="31"/>
  <c r="K277" i="31"/>
  <c r="L282" i="31"/>
  <c r="L270" i="31"/>
  <c r="L272" i="31"/>
  <c r="L271" i="31"/>
  <c r="I150" i="34"/>
  <c r="J150" i="34" s="1"/>
  <c r="A120" i="31"/>
  <c r="A93" i="20"/>
  <c r="F120" i="31"/>
  <c r="L12" i="39" l="1"/>
  <c r="K12" i="39"/>
  <c r="J282" i="31"/>
  <c r="L280" i="31"/>
  <c r="L279" i="31"/>
  <c r="L8" i="39"/>
  <c r="H136" i="46"/>
  <c r="H95" i="46"/>
  <c r="L95" i="46" s="1"/>
  <c r="F102" i="46" s="1"/>
  <c r="K280" i="31"/>
  <c r="K279" i="31"/>
  <c r="K8" i="39"/>
  <c r="J272" i="31"/>
  <c r="J270" i="31"/>
  <c r="J271" i="31"/>
  <c r="D68" i="45"/>
  <c r="H137" i="45"/>
  <c r="F151" i="34"/>
  <c r="A121" i="31"/>
  <c r="A122" i="31" s="1"/>
  <c r="D96" i="45" l="1"/>
  <c r="H96" i="45" s="1"/>
  <c r="D61" i="45"/>
  <c r="I102" i="46"/>
  <c r="J102" i="46" s="1"/>
  <c r="F103" i="46"/>
  <c r="J12" i="39"/>
  <c r="I156" i="34"/>
  <c r="I157" i="34" s="1"/>
  <c r="C185" i="34" s="1"/>
  <c r="D189" i="34" s="1"/>
  <c r="J8" i="39"/>
  <c r="K9" i="39"/>
  <c r="K10" i="39" s="1"/>
  <c r="L9" i="39"/>
  <c r="L10" i="39" s="1"/>
  <c r="J280" i="31"/>
  <c r="J279" i="31"/>
  <c r="I151" i="34"/>
  <c r="J151" i="34" s="1"/>
  <c r="A125" i="31"/>
  <c r="F122" i="31"/>
  <c r="F104" i="45" l="1"/>
  <c r="F105" i="45" s="1"/>
  <c r="L96" i="45"/>
  <c r="F103" i="45" s="1"/>
  <c r="I103" i="45"/>
  <c r="J103" i="45" s="1"/>
  <c r="F104" i="46"/>
  <c r="I103" i="46"/>
  <c r="J103" i="46" s="1"/>
  <c r="J9" i="39"/>
  <c r="J10" i="39" s="1"/>
  <c r="I104" i="45"/>
  <c r="J104" i="45" s="1"/>
  <c r="G26" i="39"/>
  <c r="D26" i="39"/>
  <c r="F152" i="34"/>
  <c r="A126" i="31"/>
  <c r="F127" i="31" s="1"/>
  <c r="I104" i="46" l="1"/>
  <c r="J104" i="46" s="1"/>
  <c r="F105" i="46"/>
  <c r="F64" i="39"/>
  <c r="F44" i="39"/>
  <c r="F42" i="39"/>
  <c r="F38" i="39"/>
  <c r="F54" i="39"/>
  <c r="F66" i="39"/>
  <c r="F36" i="39"/>
  <c r="F62" i="39"/>
  <c r="F34" i="39"/>
  <c r="F58" i="39"/>
  <c r="F52" i="39"/>
  <c r="F48" i="39"/>
  <c r="F46" i="39"/>
  <c r="F68" i="39"/>
  <c r="F32" i="39"/>
  <c r="F60" i="39"/>
  <c r="F40" i="39"/>
  <c r="F56" i="39"/>
  <c r="F50" i="39"/>
  <c r="F70" i="39"/>
  <c r="F106" i="45"/>
  <c r="I105" i="45"/>
  <c r="J105" i="45" s="1"/>
  <c r="I60" i="39"/>
  <c r="I66" i="39"/>
  <c r="I42" i="39"/>
  <c r="I52" i="39"/>
  <c r="I70" i="39"/>
  <c r="I58" i="39"/>
  <c r="I46" i="39"/>
  <c r="I68" i="39"/>
  <c r="I64" i="39"/>
  <c r="I44" i="39"/>
  <c r="I40" i="39"/>
  <c r="I62" i="39"/>
  <c r="I50" i="39"/>
  <c r="I32" i="39"/>
  <c r="I38" i="39"/>
  <c r="I34" i="39"/>
  <c r="I36" i="39"/>
  <c r="I54" i="39"/>
  <c r="I48" i="39"/>
  <c r="I56" i="39"/>
  <c r="D27" i="39"/>
  <c r="G27" i="39"/>
  <c r="I152" i="34"/>
  <c r="J152" i="34" s="1"/>
  <c r="A127" i="31"/>
  <c r="A109" i="20"/>
  <c r="I105" i="46" l="1"/>
  <c r="J105" i="46" s="1"/>
  <c r="F106" i="46"/>
  <c r="J70" i="39"/>
  <c r="L70" i="39" s="1"/>
  <c r="J60" i="39"/>
  <c r="L60" i="39" s="1"/>
  <c r="J48" i="39"/>
  <c r="L48" i="39" s="1"/>
  <c r="J38" i="39"/>
  <c r="L38" i="39" s="1"/>
  <c r="I41" i="39"/>
  <c r="I55" i="39"/>
  <c r="I53" i="39"/>
  <c r="I45" i="39"/>
  <c r="I43" i="39"/>
  <c r="I39" i="39"/>
  <c r="I63" i="39"/>
  <c r="I47" i="39"/>
  <c r="I71" i="39"/>
  <c r="I59" i="39"/>
  <c r="I65" i="39"/>
  <c r="I69" i="39"/>
  <c r="I33" i="39"/>
  <c r="I49" i="39"/>
  <c r="I67" i="39"/>
  <c r="I61" i="39"/>
  <c r="I57" i="39"/>
  <c r="I35" i="39"/>
  <c r="I51" i="39"/>
  <c r="I37" i="39"/>
  <c r="J56" i="39"/>
  <c r="L56" i="39" s="1"/>
  <c r="J68" i="39"/>
  <c r="L68" i="39" s="1"/>
  <c r="J58" i="39"/>
  <c r="L58" i="39" s="1"/>
  <c r="J62" i="39"/>
  <c r="L62" i="39" s="1"/>
  <c r="J66" i="39"/>
  <c r="L66" i="39" s="1"/>
  <c r="J44" i="39"/>
  <c r="L44" i="39" s="1"/>
  <c r="F57" i="39"/>
  <c r="F51" i="39"/>
  <c r="F43" i="39"/>
  <c r="J43" i="39" s="1"/>
  <c r="K43" i="39" s="1"/>
  <c r="F37" i="39"/>
  <c r="F59" i="39"/>
  <c r="F67" i="39"/>
  <c r="F63" i="39"/>
  <c r="F41" i="39"/>
  <c r="F53" i="39"/>
  <c r="J53" i="39" s="1"/>
  <c r="K53" i="39" s="1"/>
  <c r="F49" i="39"/>
  <c r="F55" i="39"/>
  <c r="F69" i="39"/>
  <c r="F45" i="39"/>
  <c r="F47" i="39"/>
  <c r="J47" i="39" s="1"/>
  <c r="K47" i="39" s="1"/>
  <c r="F33" i="39"/>
  <c r="F65" i="39"/>
  <c r="F71" i="39"/>
  <c r="F39" i="39"/>
  <c r="F35" i="39"/>
  <c r="F61" i="39"/>
  <c r="F107" i="45"/>
  <c r="I106" i="45"/>
  <c r="J106" i="45" s="1"/>
  <c r="J50" i="39"/>
  <c r="L50" i="39" s="1"/>
  <c r="J40" i="39"/>
  <c r="L40" i="39" s="1"/>
  <c r="J32" i="39"/>
  <c r="L32" i="39" s="1"/>
  <c r="J46" i="39"/>
  <c r="L46" i="39" s="1"/>
  <c r="J52" i="39"/>
  <c r="L52" i="39" s="1"/>
  <c r="J34" i="39"/>
  <c r="L34" i="39" s="1"/>
  <c r="J36" i="39"/>
  <c r="L36" i="39" s="1"/>
  <c r="J54" i="39"/>
  <c r="L54" i="39" s="1"/>
  <c r="J42" i="39"/>
  <c r="L42" i="39" s="1"/>
  <c r="J64" i="39"/>
  <c r="L64" i="39" s="1"/>
  <c r="A129" i="31"/>
  <c r="J69" i="39" l="1"/>
  <c r="K69" i="39" s="1"/>
  <c r="M68" i="39" s="1"/>
  <c r="J37" i="39"/>
  <c r="K37" i="39" s="1"/>
  <c r="M36" i="39" s="1"/>
  <c r="J71" i="39"/>
  <c r="K71" i="39" s="1"/>
  <c r="M70" i="39" s="1"/>
  <c r="J57" i="39"/>
  <c r="K57" i="39" s="1"/>
  <c r="M56" i="39" s="1"/>
  <c r="J61" i="39"/>
  <c r="K61" i="39" s="1"/>
  <c r="M60" i="39" s="1"/>
  <c r="J33" i="39"/>
  <c r="K33" i="39" s="1"/>
  <c r="M32" i="39" s="1"/>
  <c r="H284" i="31" s="1"/>
  <c r="J284" i="31" s="1"/>
  <c r="J63" i="39"/>
  <c r="K63" i="39" s="1"/>
  <c r="M62" i="39" s="1"/>
  <c r="J39" i="39"/>
  <c r="K39" i="39" s="1"/>
  <c r="M38" i="39" s="1"/>
  <c r="J49" i="39"/>
  <c r="K49" i="39" s="1"/>
  <c r="M48" i="39" s="1"/>
  <c r="I106" i="46"/>
  <c r="J106" i="46" s="1"/>
  <c r="F107" i="46"/>
  <c r="J65" i="39"/>
  <c r="K65" i="39" s="1"/>
  <c r="M64" i="39" s="1"/>
  <c r="J41" i="39"/>
  <c r="K41" i="39" s="1"/>
  <c r="M40" i="39" s="1"/>
  <c r="J67" i="39"/>
  <c r="K67" i="39" s="1"/>
  <c r="M66" i="39" s="1"/>
  <c r="J51" i="39"/>
  <c r="K51" i="39" s="1"/>
  <c r="M50" i="39" s="1"/>
  <c r="M46" i="39"/>
  <c r="F108" i="45"/>
  <c r="I107" i="45"/>
  <c r="J107" i="45" s="1"/>
  <c r="J35" i="39"/>
  <c r="K35" i="39" s="1"/>
  <c r="M34" i="39" s="1"/>
  <c r="J45" i="39"/>
  <c r="K45" i="39" s="1"/>
  <c r="M44" i="39" s="1"/>
  <c r="J55" i="39"/>
  <c r="K55" i="39" s="1"/>
  <c r="M54" i="39" s="1"/>
  <c r="M52" i="39"/>
  <c r="J59" i="39"/>
  <c r="K59" i="39" s="1"/>
  <c r="M58" i="39" s="1"/>
  <c r="M42" i="39"/>
  <c r="A130" i="31"/>
  <c r="A131" i="31" s="1"/>
  <c r="I107" i="46" l="1"/>
  <c r="J107" i="46" s="1"/>
  <c r="F108" i="46"/>
  <c r="F131" i="31"/>
  <c r="F109" i="45"/>
  <c r="I108" i="45"/>
  <c r="J108" i="45" s="1"/>
  <c r="J286" i="31"/>
  <c r="A132" i="31"/>
  <c r="A133" i="31" s="1"/>
  <c r="I108" i="46" l="1"/>
  <c r="J108" i="46" s="1"/>
  <c r="F109" i="46"/>
  <c r="J290" i="31"/>
  <c r="I109" i="45"/>
  <c r="J109" i="45" s="1"/>
  <c r="F110" i="45"/>
  <c r="F133" i="31"/>
  <c r="A135" i="31"/>
  <c r="F135" i="31"/>
  <c r="F110" i="46" l="1"/>
  <c r="I109" i="46"/>
  <c r="J109" i="46" s="1"/>
  <c r="F111" i="45"/>
  <c r="I110" i="45"/>
  <c r="J110" i="45" s="1"/>
  <c r="J291" i="31"/>
  <c r="F91" i="31"/>
  <c r="A140" i="31"/>
  <c r="F245" i="31"/>
  <c r="I110" i="46" l="1"/>
  <c r="J110" i="46" s="1"/>
  <c r="F111" i="46"/>
  <c r="F112" i="45"/>
  <c r="I111" i="45"/>
  <c r="J111" i="45" s="1"/>
  <c r="A141" i="31"/>
  <c r="A143" i="31"/>
  <c r="A144" i="31" s="1"/>
  <c r="A145" i="31" s="1"/>
  <c r="A146" i="31" s="1"/>
  <c r="F141" i="31"/>
  <c r="I111" i="46" l="1"/>
  <c r="J111" i="46" s="1"/>
  <c r="F112" i="46"/>
  <c r="F113" i="45"/>
  <c r="I112" i="45"/>
  <c r="J112" i="45" s="1"/>
  <c r="A147" i="31"/>
  <c r="A148" i="31" s="1"/>
  <c r="F148" i="31" l="1"/>
  <c r="I112" i="46"/>
  <c r="J112" i="46" s="1"/>
  <c r="F113" i="46"/>
  <c r="I113" i="46" s="1"/>
  <c r="J113" i="46" s="1"/>
  <c r="I113" i="45"/>
  <c r="J113" i="45" s="1"/>
  <c r="F114" i="45"/>
  <c r="I114" i="45" s="1"/>
  <c r="J114" i="45" s="1"/>
  <c r="A149" i="31"/>
  <c r="A150" i="31" s="1"/>
  <c r="F150" i="31" l="1"/>
  <c r="J114" i="46"/>
  <c r="J115" i="45"/>
  <c r="A152" i="31"/>
  <c r="F152" i="31"/>
  <c r="F116" i="46" l="1"/>
  <c r="H118" i="46"/>
  <c r="H119" i="46" s="1"/>
  <c r="H120" i="46" s="1"/>
  <c r="F117" i="45"/>
  <c r="I117" i="45" s="1"/>
  <c r="H118" i="45"/>
  <c r="H119" i="45" s="1"/>
  <c r="H120" i="45" s="1"/>
  <c r="H121" i="45" s="1"/>
  <c r="A156" i="31"/>
  <c r="F246" i="31"/>
  <c r="I116" i="46" l="1"/>
  <c r="J117" i="45"/>
  <c r="F118" i="45" s="1"/>
  <c r="I118" i="45" s="1"/>
  <c r="J118" i="45" s="1"/>
  <c r="F119" i="45" s="1"/>
  <c r="I119" i="45" s="1"/>
  <c r="J119" i="45" s="1"/>
  <c r="F120" i="45" s="1"/>
  <c r="I120" i="45" s="1"/>
  <c r="J120" i="45" s="1"/>
  <c r="F121" i="45" s="1"/>
  <c r="I121" i="45" s="1"/>
  <c r="J121" i="45" s="1"/>
  <c r="H122" i="45" s="1"/>
  <c r="A158" i="31"/>
  <c r="F158" i="31"/>
  <c r="J116" i="46" l="1"/>
  <c r="F117" i="46" s="1"/>
  <c r="F122" i="45"/>
  <c r="I122" i="45" s="1"/>
  <c r="H123" i="45"/>
  <c r="H124" i="45" s="1"/>
  <c r="H125" i="45" s="1"/>
  <c r="H126" i="45" s="1"/>
  <c r="H127" i="45" s="1"/>
  <c r="H128" i="45" s="1"/>
  <c r="H129" i="45" s="1"/>
  <c r="H130" i="45" s="1"/>
  <c r="H131" i="45" s="1"/>
  <c r="H132" i="45" s="1"/>
  <c r="H133" i="45" s="1"/>
  <c r="F247" i="31"/>
  <c r="A163" i="31"/>
  <c r="I117" i="46" l="1"/>
  <c r="J117" i="46" s="1"/>
  <c r="J122" i="45"/>
  <c r="F123" i="45" s="1"/>
  <c r="I123" i="45" s="1"/>
  <c r="J123" i="45" s="1"/>
  <c r="H134" i="45"/>
  <c r="H136" i="45" s="1"/>
  <c r="A164" i="31"/>
  <c r="A165" i="31" s="1"/>
  <c r="A166" i="31" s="1"/>
  <c r="A167" i="31" s="1"/>
  <c r="A169" i="31" s="1"/>
  <c r="D167" i="31" l="1"/>
  <c r="F118" i="46"/>
  <c r="H138" i="45"/>
  <c r="K283" i="31"/>
  <c r="F124" i="45"/>
  <c r="A170" i="31"/>
  <c r="A171" i="31" s="1"/>
  <c r="A172" i="31" s="1"/>
  <c r="A173" i="31" s="1"/>
  <c r="A174" i="31" s="1"/>
  <c r="A177" i="31" s="1"/>
  <c r="I118" i="46" l="1"/>
  <c r="J118" i="46" s="1"/>
  <c r="F119" i="46" s="1"/>
  <c r="K286" i="31"/>
  <c r="I124" i="45"/>
  <c r="J124" i="45" s="1"/>
  <c r="D174" i="31"/>
  <c r="A178" i="31"/>
  <c r="A179" i="31" s="1"/>
  <c r="A180" i="31" s="1"/>
  <c r="A181" i="31" s="1"/>
  <c r="A182" i="31" s="1"/>
  <c r="A183" i="31" s="1"/>
  <c r="D183" i="31" s="1"/>
  <c r="I119" i="46" l="1"/>
  <c r="J119" i="46" s="1"/>
  <c r="F120" i="46" s="1"/>
  <c r="K290" i="31"/>
  <c r="F125" i="45"/>
  <c r="F208" i="31"/>
  <c r="A186" i="31"/>
  <c r="I120" i="46" l="1"/>
  <c r="J120" i="46" s="1"/>
  <c r="K291" i="31"/>
  <c r="I125" i="45"/>
  <c r="J125" i="45" s="1"/>
  <c r="A187" i="31"/>
  <c r="A188" i="31" s="1"/>
  <c r="A189" i="31" s="1"/>
  <c r="A190" i="31" s="1"/>
  <c r="A191" i="31" s="1"/>
  <c r="A192" i="31" s="1"/>
  <c r="F121" i="46" l="1"/>
  <c r="H121" i="46"/>
  <c r="I121" i="46"/>
  <c r="F126" i="45"/>
  <c r="D192" i="31"/>
  <c r="A194" i="31"/>
  <c r="J121" i="46" l="1"/>
  <c r="F122" i="46" s="1"/>
  <c r="H122" i="46"/>
  <c r="H123" i="46" s="1"/>
  <c r="H124" i="46" s="1"/>
  <c r="H125" i="46" s="1"/>
  <c r="H126" i="46" s="1"/>
  <c r="H127" i="46" s="1"/>
  <c r="H128" i="46" s="1"/>
  <c r="H129" i="46" s="1"/>
  <c r="H130" i="46" s="1"/>
  <c r="H131" i="46" s="1"/>
  <c r="H132" i="46" s="1"/>
  <c r="I122" i="46"/>
  <c r="I126" i="45"/>
  <c r="J126" i="45" s="1"/>
  <c r="F209" i="31"/>
  <c r="A197" i="31"/>
  <c r="J122" i="46" l="1"/>
  <c r="F123" i="46" s="1"/>
  <c r="H133" i="46"/>
  <c r="H135" i="46" s="1"/>
  <c r="H137" i="46" s="1"/>
  <c r="I123" i="46"/>
  <c r="J123" i="46" s="1"/>
  <c r="F124" i="46" s="1"/>
  <c r="F127" i="45"/>
  <c r="A198" i="31"/>
  <c r="A199" i="31" s="1"/>
  <c r="A200" i="31" s="1"/>
  <c r="A201" i="31" s="1"/>
  <c r="D201" i="31"/>
  <c r="L283" i="31" l="1"/>
  <c r="L286" i="31" s="1"/>
  <c r="L290" i="31" s="1"/>
  <c r="L291" i="31" s="1"/>
  <c r="I124" i="46"/>
  <c r="J124" i="46" s="1"/>
  <c r="F125" i="46" s="1"/>
  <c r="I127" i="45"/>
  <c r="J127" i="45" s="1"/>
  <c r="F205" i="31"/>
  <c r="A203" i="31"/>
  <c r="F204" i="31"/>
  <c r="H283" i="31" l="1"/>
  <c r="H286" i="31" s="1"/>
  <c r="I125" i="46"/>
  <c r="J125" i="46" s="1"/>
  <c r="F126" i="46" s="1"/>
  <c r="F128" i="45"/>
  <c r="A204" i="31"/>
  <c r="I126" i="46" l="1"/>
  <c r="J126" i="46" s="1"/>
  <c r="F127" i="46" s="1"/>
  <c r="I127" i="46" s="1"/>
  <c r="I128" i="45"/>
  <c r="J128" i="45" s="1"/>
  <c r="A205" i="31"/>
  <c r="J127" i="46" l="1"/>
  <c r="F128" i="46" s="1"/>
  <c r="F129" i="45"/>
  <c r="A208" i="31"/>
  <c r="F203" i="31"/>
  <c r="I128" i="46" l="1"/>
  <c r="J128" i="46" s="1"/>
  <c r="I129" i="45"/>
  <c r="J129" i="45" s="1"/>
  <c r="A209" i="31"/>
  <c r="F212" i="31"/>
  <c r="F129" i="46" l="1"/>
  <c r="F130" i="45"/>
  <c r="A210" i="31"/>
  <c r="F213" i="31"/>
  <c r="I129" i="46" l="1"/>
  <c r="J129" i="46" s="1"/>
  <c r="I130" i="45"/>
  <c r="J130" i="45" s="1"/>
  <c r="A212" i="31"/>
  <c r="F214" i="31"/>
  <c r="F130" i="46" l="1"/>
  <c r="F131" i="45"/>
  <c r="A213" i="31"/>
  <c r="I130" i="46" l="1"/>
  <c r="J130" i="46" s="1"/>
  <c r="I131" i="45"/>
  <c r="J131" i="45" s="1"/>
  <c r="A214" i="31"/>
  <c r="F131" i="46" l="1"/>
  <c r="F132" i="45"/>
  <c r="A215" i="31"/>
  <c r="F215" i="31"/>
  <c r="I131" i="46" l="1"/>
  <c r="J131" i="46" s="1"/>
  <c r="I132" i="45"/>
  <c r="J132" i="45" s="1"/>
  <c r="A217" i="31"/>
  <c r="F217" i="31"/>
  <c r="F132" i="46" l="1"/>
  <c r="F133" i="45"/>
  <c r="A222" i="31"/>
  <c r="F248" i="31"/>
  <c r="I132" i="46" l="1"/>
  <c r="J132" i="46" s="1"/>
  <c r="I133" i="45"/>
  <c r="J133" i="45" s="1"/>
  <c r="A223" i="31"/>
  <c r="A224" i="31" l="1"/>
  <c r="A225" i="31" l="1"/>
  <c r="A226" i="31" l="1"/>
  <c r="F230" i="31"/>
  <c r="A229" i="31" l="1"/>
  <c r="F234" i="31"/>
  <c r="A230" i="31" l="1"/>
  <c r="A231" i="31" l="1"/>
  <c r="A232" i="31" l="1"/>
  <c r="F232" i="31"/>
  <c r="A234" i="31" l="1"/>
  <c r="A236" i="31" s="1"/>
  <c r="F236" i="31" l="1"/>
  <c r="A241" i="31"/>
  <c r="A242" i="31" s="1"/>
  <c r="A243" i="31" s="1"/>
  <c r="A245" i="31" s="1"/>
  <c r="F249" i="31"/>
  <c r="A246" i="31" l="1"/>
  <c r="A247" i="31" s="1"/>
  <c r="A248" i="31" s="1"/>
  <c r="A249" i="31" s="1"/>
  <c r="A251" i="31" s="1"/>
  <c r="F251" i="31" l="1"/>
  <c r="F275" i="31"/>
  <c r="A254" i="31"/>
  <c r="F258" i="31"/>
  <c r="F268" i="31"/>
  <c r="A255" i="31" l="1"/>
  <c r="F256" i="31" s="1"/>
  <c r="A256" i="31" l="1"/>
  <c r="A120" i="20"/>
  <c r="F257" i="31" l="1"/>
  <c r="A257" i="31"/>
  <c r="A258" i="31" l="1"/>
  <c r="A259" i="31" s="1"/>
  <c r="F259" i="31" l="1"/>
  <c r="A262" i="31"/>
  <c r="A263" i="31" s="1"/>
  <c r="F265" i="31"/>
  <c r="A265" i="31" l="1"/>
  <c r="A227" i="20"/>
  <c r="F282" i="31" l="1"/>
  <c r="A268" i="31"/>
  <c r="A269" i="31" s="1"/>
  <c r="A270" i="31" l="1"/>
  <c r="A271" i="31" s="1"/>
  <c r="F271" i="31"/>
  <c r="F270" i="31"/>
  <c r="F272" i="31"/>
  <c r="C8" i="39" l="1"/>
  <c r="A272" i="31"/>
  <c r="C12" i="39" l="1"/>
  <c r="A275" i="31"/>
  <c r="A276" i="31" l="1"/>
  <c r="A277" i="31" s="1"/>
  <c r="F277" i="31" l="1"/>
  <c r="A278" i="31"/>
  <c r="A279" i="31" s="1"/>
  <c r="A280" i="31" s="1"/>
  <c r="F280" i="31"/>
  <c r="F279" i="31"/>
  <c r="A282" i="31" l="1"/>
  <c r="C9" i="39"/>
  <c r="A283" i="31" l="1"/>
  <c r="A284" i="31" s="1"/>
  <c r="A285" i="31" s="1"/>
  <c r="F286" i="31" l="1"/>
  <c r="A286" i="31"/>
  <c r="FH285" i="31"/>
  <c r="A289" i="31" l="1"/>
  <c r="F290" i="31" s="1"/>
  <c r="F291" i="31" l="1"/>
  <c r="A290" i="31"/>
  <c r="A291" i="31" s="1"/>
</calcChain>
</file>

<file path=xl/sharedStrings.xml><?xml version="1.0" encoding="utf-8"?>
<sst xmlns="http://schemas.openxmlformats.org/spreadsheetml/2006/main" count="3171" uniqueCount="1446">
  <si>
    <t>E3539 (GIF) Sta Eq, Upper Baker</t>
  </si>
  <si>
    <t>E3539 (GIF) Sta Eq, WHDE sub@plant</t>
  </si>
  <si>
    <t>E3539 (GIF) Sta Eq, Whitehorn</t>
  </si>
  <si>
    <t>E3539 (GIF) Sta Eq, Wild H sub@plt</t>
  </si>
  <si>
    <t xml:space="preserve">E3539 (GIF) Sta Eq, Wild Horse </t>
  </si>
  <si>
    <t>E3539 (GIF) Sta Eq, Wild Horse Exp</t>
  </si>
  <si>
    <t>E3539 (GIF) Sta Eq, Wind Ridge</t>
  </si>
  <si>
    <t>E3539 (GIF) Sta Eq, WindRid NonProj</t>
  </si>
  <si>
    <t xml:space="preserve">E3549 (GIF) Twr/Fixt, Colstrip 1-2 </t>
  </si>
  <si>
    <t>E3549 (GIF) Twr/Fixt, Colstrip 3-4</t>
  </si>
  <si>
    <t>E3559 (GIF) Poles, Colstrip 1-2</t>
  </si>
  <si>
    <t>E3559 (GIF) Poles, Colstrip 3-4</t>
  </si>
  <si>
    <t>E3559 (GIF) Poles, Electron</t>
  </si>
  <si>
    <t>E3559 (GIF) Poles, Hopkins Ridge</t>
  </si>
  <si>
    <t>E3559 (GIF) Poles, Lower Baker</t>
  </si>
  <si>
    <t>E3559 (GIF) Poles, Poison Spring</t>
  </si>
  <si>
    <t>E3559 (GIF) Poles, Scl-Tolt</t>
  </si>
  <si>
    <t>E3559 (GIF) Poles, Snoqualmie 1</t>
  </si>
  <si>
    <t>E3559 (GIF) Poles, Snoqualmie 2</t>
  </si>
  <si>
    <t>E3559 (GIF) Poles, Sumas</t>
  </si>
  <si>
    <t>E3559 (GIF) Poles, Upper Baker</t>
  </si>
  <si>
    <t>E3559 (GIF) Poles, Wild Horse</t>
  </si>
  <si>
    <t>E3569 (GIF) O/H Cond, Colstrip 1-2</t>
  </si>
  <si>
    <t>E3569 (GIF) O/H Cond, Colstrip 3-4</t>
  </si>
  <si>
    <t>E3569 (GIF) O/H Cond, Electron</t>
  </si>
  <si>
    <t>E3569 (GIF) O/H Cond, Hopkins</t>
  </si>
  <si>
    <t>E3569 (GIF) O/H Cond, Lower Baker</t>
  </si>
  <si>
    <t>E3569 (GIF) O/H Cond, Poison Spring</t>
  </si>
  <si>
    <t>E3569 (GIF) O/H Cond, Scl-Tolt</t>
  </si>
  <si>
    <t>E3569 (GIF) O/H Cond, Snoqualmie 1</t>
  </si>
  <si>
    <t>E3569 (GIF) O/H Cond, Snoqualmie 2</t>
  </si>
  <si>
    <t>E3569 (GIF) O/H Cond, Sumas</t>
  </si>
  <si>
    <t>E3569 (GIF) O/H Cond, Upper Baker</t>
  </si>
  <si>
    <t>E3569 (GIF) O/H Cond, Wild Horse</t>
  </si>
  <si>
    <t>E3589 (GIF) U/G Cond, Fred 1/Epcor</t>
  </si>
  <si>
    <t>E35999 (GIF) Rd/Trail, Upper Baker</t>
  </si>
  <si>
    <t>"Pursuant to the Settlement Agreement approved by the Commission in Docket No. ER12-778-000 et al. PSE is entitled to earn a return of 10.3 percent with respect to its transmission rate base comprising those facilities identified in the Memorandum of Agreement between BPA, PSE, and Seattle City Light dated 1/1/2012.  The Increased ROE (Basis Points) for PSE's share of the PSANI Project in Line 7 of this Attachment 7 shall be calculated by subtracting the ROE stated in Note J of Attachment H Direct from 10.3." </t>
  </si>
  <si>
    <t>ROE of 9.8%.  Changes to the ROE require a filing under Section 205 or 206 of the Federal Power Act after the Moratorium in Article II, Section F.1. of the settlement agreement in Docket No. ER12-778 et al. The equity component of the capital structure is capped at 50%.  If the actual equity ratio exceeds 50%, the debt ratio will be equal to 1 minus sum of the preferred stock ratio and common stock ratio.</t>
  </si>
  <si>
    <t>Reference</t>
  </si>
  <si>
    <t>p.256, various lines, col a,b</t>
  </si>
  <si>
    <t>p.112.22.c,d</t>
  </si>
  <si>
    <t>p.113.61.c,d</t>
  </si>
  <si>
    <t>p.257.33.i</t>
  </si>
  <si>
    <t>p.112.18.c,d</t>
  </si>
  <si>
    <t>p.112.19.c,d</t>
  </si>
  <si>
    <t>p.112.21.c,d</t>
  </si>
  <si>
    <t>p.112.23.c,d</t>
  </si>
  <si>
    <t>p.111.69.c,d</t>
  </si>
  <si>
    <t>p.111.81.c,d</t>
  </si>
  <si>
    <t>p.117.63.c</t>
  </si>
  <si>
    <t>p.117.64.c</t>
  </si>
  <si>
    <t>p.117.65.c</t>
  </si>
  <si>
    <t>p.117.66.c</t>
  </si>
  <si>
    <t>p.112.3.c,d</t>
  </si>
  <si>
    <t>p.112.13.c,d (portion)</t>
  </si>
  <si>
    <t>p112.6.c,d (portion)</t>
  </si>
  <si>
    <t>p.112.7.c,d (portion)</t>
  </si>
  <si>
    <t>p.112.9.c,d (portion)</t>
  </si>
  <si>
    <t>p.118.29.c</t>
  </si>
  <si>
    <t>p.112.16.c,d</t>
  </si>
  <si>
    <t>p.112.12.c,d</t>
  </si>
  <si>
    <t>p.112.15.c,d</t>
  </si>
  <si>
    <t>p.112.10.c,d (portion)</t>
  </si>
  <si>
    <t>Acct 208-211 Other Paid in Capital (Pfd)</t>
  </si>
  <si>
    <t>p.112.2.c,d</t>
  </si>
  <si>
    <t>p.112.11.c,d</t>
  </si>
  <si>
    <t>p.112.6.c,d (portion)</t>
  </si>
  <si>
    <t>Other Service                  (j)</t>
  </si>
  <si>
    <t>Monthly Peak MW - Total</t>
  </si>
  <si>
    <t>Day of Monthly Peak</t>
  </si>
  <si>
    <t>Hour of Monthly Peak</t>
  </si>
  <si>
    <t>Firm Network Service for Others</t>
  </si>
  <si>
    <t>Long-Term Firm Point-to-point Reservations</t>
  </si>
  <si>
    <t>Short-Term Firm Point-to-Point Reservation</t>
  </si>
  <si>
    <t>Total for Quarter</t>
  </si>
  <si>
    <t>Total for Year</t>
  </si>
  <si>
    <t xml:space="preserve">NAME OF SYSTEM:  Southern Intertie </t>
  </si>
  <si>
    <t>NAME OF SYSTEM:  WA Area Facilities</t>
  </si>
  <si>
    <t>Rev Req based on Year 2 data with estimated Cap Adds and CWIP for Year 3 (Step 9)</t>
  </si>
  <si>
    <t>Revenue Requirement for Year 3</t>
  </si>
  <si>
    <t>Non-Incentive</t>
  </si>
  <si>
    <t>Project 1</t>
  </si>
  <si>
    <t>Project 2</t>
  </si>
  <si>
    <t>Project 3</t>
  </si>
  <si>
    <t>Cumulative</t>
  </si>
  <si>
    <t>Column (A)</t>
  </si>
  <si>
    <t>Column (B)</t>
  </si>
  <si>
    <t>Column (C)</t>
  </si>
  <si>
    <t>Column (D)</t>
  </si>
  <si>
    <t>Column (E)</t>
  </si>
  <si>
    <t>Column (F)</t>
  </si>
  <si>
    <t>Average</t>
  </si>
  <si>
    <t>Sum average from Columns H-M</t>
  </si>
  <si>
    <t xml:space="preserve">New Transmission Plant Additions </t>
  </si>
  <si>
    <t>Note 1: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</si>
  <si>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 xml:space="preserve">Note 2: If the facilities associated with the revenues are not included in the formula, the revenue is shown here but not included in the total above and is explained in the Cost Support; for example revenues associated with LV distribution facilities.   </t>
  </si>
  <si>
    <t>Liability Reserve - Electric</t>
  </si>
  <si>
    <t>SERP Pension &amp; Benefit Plan Liability</t>
  </si>
  <si>
    <t>Postretirement Benefit Plan Liability</t>
  </si>
  <si>
    <t>Residential Exchange</t>
  </si>
  <si>
    <t>Bond related</t>
  </si>
  <si>
    <t>Contracts</t>
  </si>
  <si>
    <t>Gas</t>
  </si>
  <si>
    <t>Pension and other compensation</t>
  </si>
  <si>
    <t>Derivative Instruments</t>
  </si>
  <si>
    <t>Production Tax Credits</t>
  </si>
  <si>
    <t>Regulatory Assets</t>
  </si>
  <si>
    <t>Land and building sales</t>
  </si>
  <si>
    <t xml:space="preserve">Land Held for Future Use </t>
  </si>
  <si>
    <t>Total Transmission and Distribution</t>
  </si>
  <si>
    <t>Total Allocated to Transmission</t>
  </si>
  <si>
    <t>Losses on sales of land</t>
  </si>
  <si>
    <t>Multiplier</t>
  </si>
  <si>
    <t>Formula rate and OATT compliance matters</t>
  </si>
  <si>
    <t xml:space="preserve">Puget Sound Energy, Inc. </t>
  </si>
  <si>
    <t xml:space="preserve">NAME OF SYSTEM:  Colstrip </t>
  </si>
  <si>
    <t>Sum of Total for Year of: (f) Firm Network Service for Others + (g) Long-Term Firm Point-to-Point Reservations + (h) Other Long-Term Firm Service</t>
  </si>
  <si>
    <t>Worksheet 4</t>
  </si>
  <si>
    <t xml:space="preserve">Total </t>
  </si>
  <si>
    <t>Colstrip Property Tax</t>
  </si>
  <si>
    <t>Southern Intertie Property Tax</t>
  </si>
  <si>
    <t>WA Area Total</t>
  </si>
  <si>
    <t>(Note J)</t>
  </si>
  <si>
    <t>Gains on sales of land</t>
  </si>
  <si>
    <t>Cash Working Capital Allowance</t>
  </si>
  <si>
    <t>Cash working capital allowance is 0.00% of O&amp;M</t>
  </si>
  <si>
    <t>Contributions in aid of construction</t>
  </si>
  <si>
    <t>employee benefits</t>
  </si>
  <si>
    <t>Pursuant to state retail regulatory orders</t>
  </si>
  <si>
    <t>Land and production related</t>
  </si>
  <si>
    <t>Tax net operating loss carryforward</t>
  </si>
  <si>
    <t>Gas related</t>
  </si>
  <si>
    <t>Employee benefit</t>
  </si>
  <si>
    <t>Relates to all plant purchases</t>
  </si>
  <si>
    <t xml:space="preserve">(Note A)             </t>
  </si>
  <si>
    <t>Facility Credits</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</si>
  <si>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</si>
  <si>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</si>
  <si>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</si>
  <si>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</si>
  <si>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</si>
  <si>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</si>
  <si>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</si>
  <si>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</si>
  <si>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</si>
  <si>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</si>
  <si>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</si>
  <si>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</si>
  <si>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</si>
  <si>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</si>
  <si>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</si>
  <si>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</si>
  <si>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</si>
  <si>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</si>
  <si>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</si>
  <si>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</si>
  <si>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</si>
  <si>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</si>
  <si>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</si>
  <si>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Net Transmission Plant</t>
  </si>
  <si>
    <t>Details</t>
  </si>
  <si>
    <t>Network Credits</t>
  </si>
  <si>
    <t>Line No.</t>
  </si>
  <si>
    <t>Facility Name</t>
  </si>
  <si>
    <t>Generation Interconnection Facilities - Colstrip - Transmission</t>
  </si>
  <si>
    <t>Outstanding Network Credits</t>
  </si>
  <si>
    <t>p219.20 thru 219.24</t>
  </si>
  <si>
    <t>p205.46.g</t>
  </si>
  <si>
    <t>Seattle City Light</t>
  </si>
  <si>
    <t>Snohomish County PUD</t>
  </si>
  <si>
    <t>Tacoma City Light</t>
  </si>
  <si>
    <t>Air Liquide</t>
  </si>
  <si>
    <t>Boeing</t>
  </si>
  <si>
    <t>Intel</t>
  </si>
  <si>
    <t>Tesoro</t>
  </si>
  <si>
    <t>Net Outstanding Credits</t>
  </si>
  <si>
    <t>Interest on Network Credits</t>
  </si>
  <si>
    <t>Revenue Credits &amp; Interest on Network Credits</t>
  </si>
  <si>
    <t>Prior Year True Up</t>
  </si>
  <si>
    <t>Total Account 454 (p300,19.b.)</t>
  </si>
  <si>
    <t>Total Account 456 (p300,21.b.)</t>
  </si>
  <si>
    <t>CUSTOMER</t>
  </si>
  <si>
    <t>AD</t>
  </si>
  <si>
    <t>Account 456.1 (p300,22.b.)</t>
  </si>
  <si>
    <t>FERC Form 1  Page # or Instruction</t>
  </si>
  <si>
    <t>Electric Portion</t>
  </si>
  <si>
    <t>Form 1 Amount</t>
  </si>
  <si>
    <t>Non-electric  Portion</t>
  </si>
  <si>
    <t>Transmission Related</t>
  </si>
  <si>
    <t>Safety Related</t>
  </si>
  <si>
    <t>Education &amp; Outreach</t>
  </si>
  <si>
    <t>Other</t>
  </si>
  <si>
    <t>Enter $</t>
  </si>
  <si>
    <t>Description of the Facilities</t>
  </si>
  <si>
    <t>Add more lines if necessary</t>
  </si>
  <si>
    <t>General Description of the Credits</t>
  </si>
  <si>
    <t>Description of the Credits</t>
  </si>
  <si>
    <t>F</t>
  </si>
  <si>
    <t>N</t>
  </si>
  <si>
    <t>Rent from Electric Property - Pole Contacts</t>
  </si>
  <si>
    <t>Rent from PCS (personal cell sites)</t>
  </si>
  <si>
    <t>(Sum Lines 1-3)</t>
  </si>
  <si>
    <t>In filling out this attachment, a full and complete description of each item and justification for the allocation to Columns B-E and each separate ADIT item will be listed, dissimilar items</t>
  </si>
  <si>
    <t>Excludes prior period adjustments in the first year of the formula's operation and reconciliation for the first year</t>
  </si>
  <si>
    <t>Plant in Service Worksheet</t>
  </si>
  <si>
    <t>Source</t>
  </si>
  <si>
    <t>December</t>
  </si>
  <si>
    <t>Distribution Plant In Service</t>
  </si>
  <si>
    <t>Calculation of Intangible Plant In Service</t>
  </si>
  <si>
    <t>Related to</t>
  </si>
  <si>
    <t>GL</t>
  </si>
  <si>
    <t>Texts</t>
  </si>
  <si>
    <t>Not Include</t>
  </si>
  <si>
    <t>100% Trans</t>
  </si>
  <si>
    <t>Plant</t>
  </si>
  <si>
    <t>Insurance</t>
  </si>
  <si>
    <t>Prepmts - BC Auto Liability</t>
  </si>
  <si>
    <t>Prepmts - Puget Workman's Comp - Aegis</t>
  </si>
  <si>
    <t>Prepmts - All Risk Property Insurance</t>
  </si>
  <si>
    <t>Prepmts - King Air Aircraft Insurance</t>
  </si>
  <si>
    <t>System</t>
  </si>
  <si>
    <t xml:space="preserve">  Easements</t>
  </si>
  <si>
    <t xml:space="preserve">  Structures and Improvements</t>
  </si>
  <si>
    <t xml:space="preserve">  Station Equipment</t>
  </si>
  <si>
    <t xml:space="preserve">  Towers and Fixtures</t>
  </si>
  <si>
    <t xml:space="preserve">  Overhead Conductors and Devices</t>
  </si>
  <si>
    <t xml:space="preserve">  Underground Conductors and Devices</t>
  </si>
  <si>
    <t xml:space="preserve">  Roads and Trails</t>
  </si>
  <si>
    <t>Station Equipment</t>
  </si>
  <si>
    <t>Poles, Towers and Fixtures</t>
  </si>
  <si>
    <t>Overhead Conductors and Devices</t>
  </si>
  <si>
    <t>Underground Conduit</t>
  </si>
  <si>
    <t>Underground Conductors and Devices</t>
  </si>
  <si>
    <t>Services</t>
  </si>
  <si>
    <t>Street Lighting and Signal Systems</t>
  </si>
  <si>
    <t>Easements</t>
  </si>
  <si>
    <t>Transportation Equipment</t>
  </si>
  <si>
    <t>Stores and Equipment</t>
  </si>
  <si>
    <t>Power Operated Equipment</t>
  </si>
  <si>
    <t>Prepmts - Puget Auto / General Liability</t>
  </si>
  <si>
    <t>Prepmnts - Datalink Symantec SW Maintenance</t>
  </si>
  <si>
    <t>Prepmts -Fiduciary Liability Insurance</t>
  </si>
  <si>
    <t>Prepmts - FERC Annual Land Use - Lower Baker</t>
  </si>
  <si>
    <t>Prepmts - FERC Annual Land Use - Upper Baker</t>
  </si>
  <si>
    <t>Prepaid- Ecologic Analytics Software</t>
  </si>
  <si>
    <t>Prepaid- OSIsoft Software Renewal</t>
  </si>
  <si>
    <t>Prepaid - Market Data Subscriptions - ERC</t>
  </si>
  <si>
    <t>Prepaid - CISCO Smartnet (Dimension Data) Main</t>
  </si>
  <si>
    <t>Prepaid-GE Smallworld Software Support</t>
  </si>
  <si>
    <t>Prepaid-Optimize Networks Steelhead Support</t>
  </si>
  <si>
    <t>Prepaid-CGI Mobile Workforce SW Support</t>
  </si>
  <si>
    <t>Prepaid - Oracle Software Support</t>
  </si>
  <si>
    <t>Prepayment-SAS SW Maintenance Renewal</t>
  </si>
  <si>
    <t>Prepmts - Colstrip 3&amp;4 Lime Contract - Short-Term</t>
  </si>
  <si>
    <t>Prepaid - Tax SW  ST</t>
  </si>
  <si>
    <t>Prepaid - Wild Horse DVAR Sys Maintenance</t>
  </si>
  <si>
    <t>Prepaid - Swinomish Tribal Res 115kv TSM-Long Term</t>
  </si>
  <si>
    <t>Prepaid - Goldendale Capital Maintenance Major</t>
  </si>
  <si>
    <t>Prepaid - Goldendale Expense Maintenance Major</t>
  </si>
  <si>
    <t>Prepaid - CheckPoint Structure LT</t>
  </si>
  <si>
    <t>Prepaid - LSR Leaseholder Minimum Rent</t>
  </si>
  <si>
    <t>Prepaid - ROW Dist Crossing Rainbow Bridge LT</t>
  </si>
  <si>
    <t>data</t>
  </si>
  <si>
    <t>Prepmts - Microsoft  Maintenance Contract</t>
  </si>
  <si>
    <t>Prepmts - EMC - SW/HW Maintenance Renewal ST</t>
  </si>
  <si>
    <t>Prepmts - JD Power - Residential Survey - Short Term</t>
  </si>
  <si>
    <t>Prepmts -  Linked In Advertising - Short Term</t>
  </si>
  <si>
    <t>Prepmts - Caminus GMS Prepaid Maintenance (gas)</t>
  </si>
  <si>
    <t>Prepmts - Advance/Down Payments</t>
  </si>
  <si>
    <t>WA area credits</t>
  </si>
  <si>
    <t>Colstrip area credits</t>
  </si>
  <si>
    <t>Southern Intertie area credits</t>
  </si>
  <si>
    <t xml:space="preserve">  Poles and Fixtures</t>
  </si>
  <si>
    <t>Prepmts - Heavy Vehicle Licenses</t>
  </si>
  <si>
    <t>Licensing</t>
  </si>
  <si>
    <t>Prepaid- Miscellaneous</t>
  </si>
  <si>
    <t>Prepmts - Licensing Fees (Vehicles)</t>
  </si>
  <si>
    <t>Prepaid Edison Electric Institute dues</t>
  </si>
  <si>
    <t>Prepaid American Gas Association Dues</t>
  </si>
  <si>
    <t>Prepaid - INSSINC - Futrak Maintenance</t>
  </si>
  <si>
    <t>Prepaid - Freddy 1 Capital FFH</t>
  </si>
  <si>
    <t>Prepaid - Freddy 1 Expense FFH</t>
  </si>
  <si>
    <t>Prepaid - Freddy 1 Inventory</t>
  </si>
  <si>
    <t>Prepmts - Treasury Licensing Fees</t>
  </si>
  <si>
    <t>ASCM Allocation</t>
  </si>
  <si>
    <t>Common Plant Allocated to Transmission</t>
  </si>
  <si>
    <t>Common Plant Depreciation Allocated to Transmission</t>
  </si>
  <si>
    <t>Prepaid - Future Year Expenses</t>
  </si>
  <si>
    <t>Prepaid Goldendale Inventory</t>
  </si>
  <si>
    <t>Prepaid - Mint Farm Capital FFH</t>
  </si>
  <si>
    <t>Prepaid - Mint Farm Expense FFH</t>
  </si>
  <si>
    <t>Prepaid - Ellensburg REC - Green Power</t>
  </si>
  <si>
    <t>Plant Related:</t>
  </si>
  <si>
    <t>Labor Related:</t>
  </si>
  <si>
    <t>Transmission Related:</t>
  </si>
  <si>
    <t>Total Transmission Related:</t>
  </si>
  <si>
    <t>Average balance</t>
  </si>
  <si>
    <t>Excluded:</t>
  </si>
  <si>
    <t>Total Excluded</t>
  </si>
  <si>
    <t>Transmission related</t>
  </si>
  <si>
    <t>Monthly Additions</t>
  </si>
  <si>
    <t>Intangible Plant In Service</t>
  </si>
  <si>
    <t>Calculation of General Plant In Service</t>
  </si>
  <si>
    <t>General Plant In Service</t>
  </si>
  <si>
    <t>Calculation of Production Plant In Service</t>
  </si>
  <si>
    <t>Production Plant In Service</t>
  </si>
  <si>
    <t>Accumulated Depreciation Worksheet</t>
  </si>
  <si>
    <t>Distribution Accumulated Depreciation</t>
  </si>
  <si>
    <t>Calculation of Intangible Accumulated Depreciation</t>
  </si>
  <si>
    <t>Calculation of General Accumulated Depreciation</t>
  </si>
  <si>
    <t>Calculation of Production Accumulated Depreciation</t>
  </si>
  <si>
    <t>Production Accumulated Depreciation</t>
  </si>
  <si>
    <t>p200.21.c</t>
  </si>
  <si>
    <t>p227.6c &amp; 15.c</t>
  </si>
  <si>
    <t>p336.1d&amp;e</t>
  </si>
  <si>
    <t>Beg of year</t>
  </si>
  <si>
    <t>End of Year</t>
  </si>
  <si>
    <t>End of Year for Est. Average for Final</t>
  </si>
  <si>
    <t>PBOPs Cost Support</t>
  </si>
  <si>
    <t>PBOBs</t>
  </si>
  <si>
    <t>All other</t>
  </si>
  <si>
    <t>Account 926 (Current Year)</t>
  </si>
  <si>
    <t>Current Year</t>
  </si>
  <si>
    <t>Change in PBOP Expense</t>
  </si>
  <si>
    <t>General Description of the Facilities</t>
  </si>
  <si>
    <t>Materials &amp; Supplies</t>
  </si>
  <si>
    <t>Description of the Interest on the  Credits</t>
  </si>
  <si>
    <t>Credits</t>
  </si>
  <si>
    <t>Transmission of Electricity By Others; Account 565</t>
  </si>
  <si>
    <t xml:space="preserve">  Total</t>
  </si>
  <si>
    <t>FERC Form 1 p321.96b</t>
  </si>
  <si>
    <t>BPA O&amp;M</t>
  </si>
  <si>
    <t>Total 565 to Reduce O&amp;M</t>
  </si>
  <si>
    <t>Whatcom PUD Line Loss</t>
  </si>
  <si>
    <t>BPA Lease Rights</t>
  </si>
  <si>
    <t>Northwestern O&amp;M</t>
  </si>
  <si>
    <t>Common Plant</t>
  </si>
  <si>
    <t>Accumulated Common Plant</t>
  </si>
  <si>
    <t>Excluded Transmission Facilities - Colstrip Facilities</t>
  </si>
  <si>
    <t>Excluded Transmission Facilities - WA Area Transmission</t>
  </si>
  <si>
    <t>Deferred Compensation - Salary Deferred</t>
  </si>
  <si>
    <t>Other Deferred Credits - LTIP Liability</t>
  </si>
  <si>
    <t>Firm Network Service for Self</t>
  </si>
  <si>
    <t>(F)</t>
  </si>
  <si>
    <t>(A)</t>
  </si>
  <si>
    <t>(B)</t>
  </si>
  <si>
    <t>(D)</t>
  </si>
  <si>
    <t>(E)</t>
  </si>
  <si>
    <t>Income Tax Component = CIT=(T/1-T) * Investment Return * (1-(WCLTD/R)) =</t>
  </si>
  <si>
    <t>(B) Sum Labor Related</t>
  </si>
  <si>
    <t>(A) Total</t>
  </si>
  <si>
    <t>(A) - (B)</t>
  </si>
  <si>
    <t>100% Transmission Related</t>
  </si>
  <si>
    <t>Other (Excluded)</t>
  </si>
  <si>
    <t>Average Beginning and End of Year</t>
  </si>
  <si>
    <t xml:space="preserve"> Accumulated Depreciation Associated with Facilities with Outstanding Network Credits</t>
  </si>
  <si>
    <t>p   (percent of federal income tax deductible for state purposes)</t>
  </si>
  <si>
    <t>T   =1 - {[(1 - SIT) * (1 - FIT)] / (1 - SIT * FIT * p)} =</t>
  </si>
  <si>
    <t>1/(1-T)</t>
  </si>
  <si>
    <t>Accumulated Intangible Depreciation</t>
  </si>
  <si>
    <t>A&amp;G</t>
  </si>
  <si>
    <t>Trans Related</t>
  </si>
  <si>
    <t>Total Transmission Accumulated Depreciation</t>
  </si>
  <si>
    <t>Total Transmission Depreciation Expense</t>
  </si>
  <si>
    <t>O</t>
  </si>
  <si>
    <t>Land Held for Future Use</t>
  </si>
  <si>
    <t>FNO</t>
  </si>
  <si>
    <t>LFP</t>
  </si>
  <si>
    <t>OLF</t>
  </si>
  <si>
    <t>NF</t>
  </si>
  <si>
    <t>OS</t>
  </si>
  <si>
    <t>SFP</t>
  </si>
  <si>
    <t>Powerex</t>
  </si>
  <si>
    <t>Rent from Electric Property - Pole Contacts - J</t>
  </si>
  <si>
    <t>Rent from Electric Property - Transformers</t>
  </si>
  <si>
    <t>Rent from Electric Property - Light Pole Rental</t>
  </si>
  <si>
    <t>Difference (must be zero)</t>
  </si>
  <si>
    <t>Total Revenues</t>
  </si>
  <si>
    <t>Other Charges</t>
  </si>
  <si>
    <t>Energy Charges</t>
  </si>
  <si>
    <t>$ Included on Attachment 3</t>
  </si>
  <si>
    <t>Classification</t>
  </si>
  <si>
    <t>Less Account 561.0 to 561.5</t>
  </si>
  <si>
    <t>Sch 1</t>
  </si>
  <si>
    <t xml:space="preserve">  Transmission future use</t>
  </si>
  <si>
    <t>AFUDC shall not be applied to the portion of a Network Upgrade for which the customer has provided the funds.</t>
  </si>
  <si>
    <t>Changes in depreciation or amortization rates must be filed with the Commission, as well as any new depreciation or amortization rates.</t>
  </si>
  <si>
    <t>P</t>
  </si>
  <si>
    <t>Acc 221 Bonds</t>
  </si>
  <si>
    <t>Less Acc 222 Reacq'd Bonds</t>
  </si>
  <si>
    <t>Acc 223 LT Advances from Assoc Cos.</t>
  </si>
  <si>
    <t>Acc 224 Other LT Debt</t>
  </si>
  <si>
    <t>Less Acc 226 Unamort Discount</t>
  </si>
  <si>
    <t>Less Acc 181 Unamort Debt Expense</t>
  </si>
  <si>
    <t>Less Acc 189 Unamort Loss on Reacqd Debt</t>
  </si>
  <si>
    <t>Plus Acc 225 Unamort Premium</t>
  </si>
  <si>
    <t>Plus Acc 257 Unamort Gain on Reacqd Debt</t>
  </si>
  <si>
    <t>Acc 427 and Acc 430 Interest Expense</t>
  </si>
  <si>
    <t>Acc 428 Amort Debt Discount and Expense</t>
  </si>
  <si>
    <t>Acc 428.1 Amort Loss on Reacqd Debt</t>
  </si>
  <si>
    <t>Less Acc 429 Amort Premium</t>
  </si>
  <si>
    <t>Less Acc 429.1 Amort Gain on Reacqd Debt</t>
  </si>
  <si>
    <t>Acc 204 Preferred Stock Issued</t>
  </si>
  <si>
    <t>Less Acc 217 Reacq Capital Stock (Pfd)</t>
  </si>
  <si>
    <t>Acc 207 Premium on Pfd Stock</t>
  </si>
  <si>
    <t>Acc 207-208 Other Paid In Capital (Pfd)</t>
  </si>
  <si>
    <t>Less Acc 213 discount on Capital Stock (Pfd)</t>
  </si>
  <si>
    <t>Less Acc 214 Capital Stock Expense (Pfd)</t>
  </si>
  <si>
    <t xml:space="preserve">Total Preferred Stock </t>
  </si>
  <si>
    <t>Enter Positive</t>
  </si>
  <si>
    <t>Less: Preferred Stock</t>
  </si>
  <si>
    <t>Less Acc 216.1 Unap Undis Subsidiary Earnings</t>
  </si>
  <si>
    <t>Less:  Account 219 (enter negative)</t>
  </si>
  <si>
    <t>Debt percent</t>
  </si>
  <si>
    <t>Preferred percent</t>
  </si>
  <si>
    <t>Common percent</t>
  </si>
  <si>
    <t>Long Term Debt Cost = 
Long Term Debt Cost / 
Net Proceeds Long Term Debt</t>
  </si>
  <si>
    <t>Preferred Stock cost  =  Preferred Dividends / 
Total Preferred Stock</t>
  </si>
  <si>
    <t>Less Hedging Adjustment</t>
  </si>
  <si>
    <t>Q</t>
  </si>
  <si>
    <t>These line items will include only the balances associated with long-term debt and shall exclude balances associated with short-term debt.</t>
  </si>
  <si>
    <t>R</t>
  </si>
  <si>
    <t xml:space="preserve">The gains and losses on hedges, except for interest rate locks for new debt issuances, are removed from the revenue requirement on this line. </t>
  </si>
  <si>
    <t>(Note R)</t>
  </si>
  <si>
    <t>(Notes R &amp; Q)</t>
  </si>
  <si>
    <t>Wksht 6</t>
  </si>
  <si>
    <t xml:space="preserve"> Long Term Debt</t>
  </si>
  <si>
    <t>Preferred Stock and Dividend</t>
  </si>
  <si>
    <t>Beginning of Year</t>
  </si>
  <si>
    <t>Avg BOY EOY</t>
  </si>
  <si>
    <t>BOY</t>
  </si>
  <si>
    <t>EOY</t>
  </si>
  <si>
    <t>avg BOY EOY</t>
  </si>
  <si>
    <t>Attachment 4 - Calculation of 100 Basis Point Increase in ROE</t>
  </si>
  <si>
    <t>Attachment 5 - Cost Support</t>
  </si>
  <si>
    <t>Attachment 6 - Estimate and Reconciliation Worksheet</t>
  </si>
  <si>
    <t>Base year</t>
  </si>
  <si>
    <t>(G)</t>
  </si>
  <si>
    <t>(C)</t>
  </si>
  <si>
    <t>Total General</t>
  </si>
  <si>
    <t>General Allocated to Transmission</t>
  </si>
  <si>
    <t>Allocated General Expenses</t>
  </si>
  <si>
    <t>General Expenses</t>
  </si>
  <si>
    <t>General Plant Allocated to Transmission</t>
  </si>
  <si>
    <t>General Expenses Allocated to Transmission</t>
  </si>
  <si>
    <t>Labor Related, or General plant related</t>
  </si>
  <si>
    <t>Account 253</t>
  </si>
  <si>
    <t>Attachment 7</t>
  </si>
  <si>
    <t>Rev Req based on Year 1 data</t>
  </si>
  <si>
    <t>Year 1</t>
  </si>
  <si>
    <t>Increased Return and Taxes</t>
  </si>
  <si>
    <t>True-up amount</t>
  </si>
  <si>
    <t>Scheduling, System Control and Dispatch Service</t>
  </si>
  <si>
    <t>Schedule 1</t>
  </si>
  <si>
    <t>Line</t>
  </si>
  <si>
    <t>FERC Form 1 page #/ Ref.</t>
  </si>
  <si>
    <t>(561.0) Load Dispatching</t>
  </si>
  <si>
    <t>pg. 321.84b</t>
  </si>
  <si>
    <t>(561.1) Load Dispatch-Reliability</t>
  </si>
  <si>
    <t>pg. 321.85b</t>
  </si>
  <si>
    <t>(561.2) Load Dispatch-Monitor and Operate Transmission System</t>
  </si>
  <si>
    <t>pg. 321.86b</t>
  </si>
  <si>
    <t>(561.3) Load Dispatch-Transmission Service and Scheduling</t>
  </si>
  <si>
    <t>pg. 321.87b</t>
  </si>
  <si>
    <t>(561.4) Scheduling, System Control and Dispatch Services</t>
  </si>
  <si>
    <t>pg. 321.88b</t>
  </si>
  <si>
    <t>(561.5) Reliability, Planning and Standards Development</t>
  </si>
  <si>
    <t>pg. 321.89b</t>
  </si>
  <si>
    <t>Total 561 Costs for Schedule 1 Annual Revenue Requirement</t>
  </si>
  <si>
    <t>(sum of Ln 1 through Ln 6)</t>
  </si>
  <si>
    <t>Schedule 1 Annual Revenue Requirement</t>
  </si>
  <si>
    <t>(Ln 7)</t>
  </si>
  <si>
    <t>Attachment 6 of OATT Attachment H-1</t>
  </si>
  <si>
    <t>(ln 8 + Ln 9)</t>
  </si>
  <si>
    <t>Schedule 1 - Rate Calculations:</t>
  </si>
  <si>
    <t>Average 12-Month Demand - Current Year (kW)</t>
  </si>
  <si>
    <t>Divisor</t>
  </si>
  <si>
    <t>Rate in $/kW - Yearly</t>
  </si>
  <si>
    <t>Rate in $/kW - Monthly</t>
  </si>
  <si>
    <t>Rate in $/kW - Weekly</t>
  </si>
  <si>
    <t>Rate in $/kW - Daily On-Peak</t>
  </si>
  <si>
    <t>Rate in $/kW - Daily Off-Peak</t>
  </si>
  <si>
    <t>(Ln 12/7)</t>
  </si>
  <si>
    <t>Rate in $/MW - Hourly On-Peak</t>
  </si>
  <si>
    <t>((Ln 13/16) * 1000)</t>
  </si>
  <si>
    <t>Rate in $/MW - Hourly Off-Peak</t>
  </si>
  <si>
    <t>((Ln 14/24) * 1000)</t>
  </si>
  <si>
    <t>Notes:</t>
  </si>
  <si>
    <t xml:space="preserve">Prior year True-up Adjustment is calculated on Attachment 6 as well as the related interest on prior year true-up. </t>
  </si>
  <si>
    <t>Puget Sound Energy</t>
  </si>
  <si>
    <t>Account 456 - Other Electric Revenues (Note 1)</t>
  </si>
  <si>
    <t>Wash St Annual Filing Fee-Electric</t>
  </si>
  <si>
    <t>Gross Book Value</t>
  </si>
  <si>
    <t>Accrued - 401(k) 1% Contributions</t>
  </si>
  <si>
    <t>Accrual - 401(k) Match on Incentive Pla</t>
  </si>
  <si>
    <t>Undistr. Stores Exp, Account 163</t>
  </si>
  <si>
    <t>Transmission Plant materials from Account 154</t>
  </si>
  <si>
    <t xml:space="preserve">13 month </t>
  </si>
  <si>
    <t xml:space="preserve">Prepaid - plant accounting software Maintenance </t>
  </si>
  <si>
    <t>vehicle</t>
  </si>
  <si>
    <t>system</t>
  </si>
  <si>
    <t>insurance</t>
  </si>
  <si>
    <t>labor</t>
  </si>
  <si>
    <t>licensing</t>
  </si>
  <si>
    <t>13 month average</t>
  </si>
  <si>
    <t>Monthly rate</t>
  </si>
  <si>
    <t>Attachment 6A - Estimate and Reconciliation Worksheet - Colstrip</t>
  </si>
  <si>
    <t>Note 1</t>
  </si>
  <si>
    <t>PSANI Project (Note 1)</t>
  </si>
  <si>
    <t xml:space="preserve">Schedule 1 Reconciliation </t>
  </si>
  <si>
    <t>-</t>
  </si>
  <si>
    <t>=</t>
  </si>
  <si>
    <t>FCR W base ROE</t>
  </si>
  <si>
    <t xml:space="preserve">FERC/NERC Expenses directly related to transmission service, RTO filings, OATT compliance, costs in maintaining the formula, transmission siting, FERC annual fee, and any other transmission related expenses itemized in Form 1 at 351.h. </t>
  </si>
  <si>
    <t>Wage Alloc</t>
  </si>
  <si>
    <t>E35016 TSM Easements</t>
  </si>
  <si>
    <t>E3506 TSM Land &amp; Land Rights</t>
  </si>
  <si>
    <t>E3526 TSM Structures &amp; Improvement</t>
  </si>
  <si>
    <t xml:space="preserve">E353 TSM Sta Eq, Colstrip 3-4 </t>
  </si>
  <si>
    <t xml:space="preserve">E3556 TSM Poles </t>
  </si>
  <si>
    <t>E3566 TSM O/H Conductor/Devices</t>
  </si>
  <si>
    <t>Months in Thousands</t>
  </si>
  <si>
    <t xml:space="preserve">  Total WA area</t>
  </si>
  <si>
    <t>Depreciation (Note 2)</t>
  </si>
  <si>
    <t>FERC Fees Payable - Power Supply Transaction</t>
  </si>
  <si>
    <t>Stays in rate base</t>
  </si>
  <si>
    <t>Average of the 12 CP</t>
  </si>
  <si>
    <t>p219.28</t>
  </si>
  <si>
    <t>WA Area Transmission</t>
  </si>
  <si>
    <t>Worksheet 5</t>
  </si>
  <si>
    <t>Colstrip</t>
  </si>
  <si>
    <t>Southern Intertie</t>
  </si>
  <si>
    <t xml:space="preserve">Includes all annual membership dues for EPRI and EEI. </t>
  </si>
  <si>
    <t>Property Insurance excludes prior period adjustment in the first year of the formula's operation and reconciliation for the first year.</t>
  </si>
  <si>
    <t xml:space="preserve">Includes all Regulatory Commission Expenses </t>
  </si>
  <si>
    <t xml:space="preserve">Education and outreach expenses relating to transmission, for example siting or billing </t>
  </si>
  <si>
    <t>Gross Revenue Requirement Less Return and Taxes</t>
  </si>
  <si>
    <t>Revenue Requirement per 100 Basis Point increase in ROE</t>
  </si>
  <si>
    <t>Gas Amortization</t>
  </si>
  <si>
    <t>Electric Amortization</t>
  </si>
  <si>
    <t xml:space="preserve">Puget Sound Energy </t>
  </si>
  <si>
    <t>Attachment 8 - Depreciation Rates</t>
  </si>
  <si>
    <t>Plant Type</t>
  </si>
  <si>
    <t>Meters</t>
  </si>
  <si>
    <t>Line Transformers</t>
  </si>
  <si>
    <t>General &amp; Common</t>
  </si>
  <si>
    <t>Structures and Improvements</t>
  </si>
  <si>
    <t>Office Furniture</t>
  </si>
  <si>
    <t>Office Equipment</t>
  </si>
  <si>
    <t>Tools, Shop, Garage and Other Tangible Equipment</t>
  </si>
  <si>
    <t>Laboratory Equipment</t>
  </si>
  <si>
    <t>Communications Equipment</t>
  </si>
  <si>
    <t>Miscellaneous Equipment</t>
  </si>
  <si>
    <t>PSE</t>
  </si>
  <si>
    <t>Projected ARR is based on prior year FERC Form 1 data (lines 1-6 for the prior year) becomes effective with the projected 2012 rate.</t>
  </si>
  <si>
    <t>Post results of Step 9 on OASIS web site</t>
  </si>
  <si>
    <t>Plant related</t>
  </si>
  <si>
    <t>FAS 109 is excluded per note below</t>
  </si>
  <si>
    <t xml:space="preserve">    Less Post Retirement Benefits Other Than Pensions (PBOP) Adjustment</t>
  </si>
  <si>
    <t>Allocator for Pole Contact Rental Revenues:</t>
  </si>
  <si>
    <t>(Ln 8/Ln 11)</t>
  </si>
  <si>
    <t>((Ln 8/Ln 11)/12)</t>
  </si>
  <si>
    <t>((Ln 8/Ln 11)/52)</t>
  </si>
  <si>
    <t>Common Plant Electric Depreciation</t>
  </si>
  <si>
    <t>p336.11f</t>
  </si>
  <si>
    <t xml:space="preserve">  Less Acct 213 discount on Capital Stock (Common)</t>
  </si>
  <si>
    <t>Beginning = 13 month Plant CWIP or Plant balance</t>
  </si>
  <si>
    <t xml:space="preserve">    Less Fish Friendly hydropower turbine development and deployment</t>
  </si>
  <si>
    <t>Hydro power expense</t>
  </si>
  <si>
    <t>Total Transmission</t>
  </si>
  <si>
    <t>January</t>
  </si>
  <si>
    <t>February</t>
  </si>
  <si>
    <t>March</t>
  </si>
  <si>
    <t>July</t>
  </si>
  <si>
    <t>August</t>
  </si>
  <si>
    <t>September</t>
  </si>
  <si>
    <t>October</t>
  </si>
  <si>
    <t>November</t>
  </si>
  <si>
    <t>Amortized Investment Tax Credit-Electric</t>
  </si>
  <si>
    <t>Attachment 7 - Transmission Enhancement Charge Worksheet</t>
  </si>
  <si>
    <t>line #</t>
  </si>
  <si>
    <t>E3500 TSM Land &amp; Land Rights</t>
  </si>
  <si>
    <t>E3500 TSM Land, 3rd AC</t>
  </si>
  <si>
    <t>E3500 TSM Land, Colstrip</t>
  </si>
  <si>
    <t>E3500 TSM Land, N Intertie</t>
  </si>
  <si>
    <t>E3500 TSM Land, Wind Ridge</t>
  </si>
  <si>
    <t>E3501 TSM Easement</t>
  </si>
  <si>
    <t>E3501 TSM Easement, Colstrip 1-2Com</t>
  </si>
  <si>
    <t>E3501 TSM Easement, Colstrip 3-4Com</t>
  </si>
  <si>
    <t>E35017 TSM Easements</t>
  </si>
  <si>
    <t>E3507 TSM Land &amp; Land Rights</t>
  </si>
  <si>
    <t>E352 TSM Str/Impv, 3rd AC Line</t>
  </si>
  <si>
    <t>E352 TSM Str/Impv, Colstrip 3-4 Com</t>
  </si>
  <si>
    <t>E352 TSM Structures &amp; Improvement</t>
  </si>
  <si>
    <t>E3527 TSM Structures &amp; Improvement</t>
  </si>
  <si>
    <t>E353 TSM Sta Eq, 3rd AC Line</t>
  </si>
  <si>
    <t>E353 TSM Sta Eq, Wind Ridge-NonProj</t>
  </si>
  <si>
    <t>E353 TSM Station Equipment</t>
  </si>
  <si>
    <t>E3537 TSM Sta Eq, Fredonia3&amp;4 OP</t>
  </si>
  <si>
    <t>E3537 TSM Sta Eq, Hopkins Ridge Exp</t>
  </si>
  <si>
    <t>E3537 TSM Sub Eq, Sumas OP-SMS</t>
  </si>
  <si>
    <t>E3537 TSM Substation Equipment</t>
  </si>
  <si>
    <t>E354 TSM Towers &amp; Fixtures</t>
  </si>
  <si>
    <t>E354 TSM Twr/Fixt, 3rd AC Line</t>
  </si>
  <si>
    <t>E354 TSM Twr/Fixt, Colstrip 1-2 Com</t>
  </si>
  <si>
    <t>E354 TSM Twr/Fixt, Colstrip 3-4 Com</t>
  </si>
  <si>
    <t>E354 TSM Twr/Fixt, N Intertie</t>
  </si>
  <si>
    <t>E3547 TSM Towers/Fixtures</t>
  </si>
  <si>
    <t>E355 TSM Poles &amp; Fixtures</t>
  </si>
  <si>
    <t>E355 TSM Poles, 3rd AC Line</t>
  </si>
  <si>
    <t>E355 TSM Poles, N Intertie</t>
  </si>
  <si>
    <t>E355 TSM Poles, Wind Ridge-NonProje</t>
  </si>
  <si>
    <t xml:space="preserve">E3557 TSM Poles </t>
  </si>
  <si>
    <t>E356 TSM O/H Cond, 3rd AC Line</t>
  </si>
  <si>
    <t>E356 TSM O/H Cond, Colstrip 1-2 Com</t>
  </si>
  <si>
    <t>E356 TSM O/H Cond, Colstrip 3-4 Com</t>
  </si>
  <si>
    <t>E356 TSM O/H Cond, N Intertie</t>
  </si>
  <si>
    <t>E356 TSM O/H Cond, Wind Ridge-NonPr</t>
  </si>
  <si>
    <t>E356 TSM O/H Conductor &amp; Devices</t>
  </si>
  <si>
    <t>E3567 TSM O/H Conductor/Devices</t>
  </si>
  <si>
    <t>Exclude Construction Work In Progress expensed as O&amp;M (rather than amortized).  New Transmission plant that is expected to be placed in service in the current calendar year weighted by number of months it is expected to be in-service.  New Transmission plant expected to be placed in service in the current calendar year that is not included in the Transmission Plan must be separately detailed on Attachment 5.  For the Reconciliation, new transmission plant that was actually placed in service weighted by the number of months it was actually in service</t>
  </si>
  <si>
    <t>The currently effective income tax rate,  where FIT is the Federal income tax rate; SIT is the State income tax rate, and p ="the percentage of federal income tax deductible for state income taxes".  If the utility includes taxes in more than one state, it must explain in  Attachment 5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</si>
  <si>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The 12 CP monthly peak is the average of the 12 monthly system peaks calculated as the Network customers monthly network load plus the reserve capacity of all long term firm point-to-Point customers.</t>
  </si>
  <si>
    <t>H</t>
  </si>
  <si>
    <t>(Note H)</t>
  </si>
  <si>
    <t>69, 75, 78</t>
  </si>
  <si>
    <t xml:space="preserve">  24200011  Baker SA 318 Law Enf</t>
  </si>
  <si>
    <t xml:space="preserve">  24200451  US Trsr Grnts-Sch95A</t>
  </si>
  <si>
    <t xml:space="preserve">  24200521  FERC Land Use Fee ST</t>
  </si>
  <si>
    <t xml:space="preserve">  24200541  Lower Baker - FERC L</t>
  </si>
  <si>
    <t xml:space="preserve">  24200551  Upper Baker - FERC L</t>
  </si>
  <si>
    <t xml:space="preserve">  24200561  Snoqualmie #1 - FERC</t>
  </si>
  <si>
    <t xml:space="preserve">  24200571  Snoqualmie #2 - FERC</t>
  </si>
  <si>
    <t xml:space="preserve">  24200621  Accrued Real Estate</t>
  </si>
  <si>
    <t xml:space="preserve">  24200622  Accrued WUTC Fee - Gas</t>
  </si>
  <si>
    <t xml:space="preserve">  24200651  Elec-Concrete Fundg</t>
  </si>
  <si>
    <t xml:space="preserve">  24200661  Elec-Up Skag Trb MOU</t>
  </si>
  <si>
    <t xml:space="preserve">  24200671  Elec-Sauk-Suiattle</t>
  </si>
  <si>
    <t xml:space="preserve">  24200681  Elec-Swinomish Tribe</t>
  </si>
  <si>
    <t xml:space="preserve">  24200811  Art 103-Upstream Fsh</t>
  </si>
  <si>
    <t xml:space="preserve">  24200821  Art 105-Dnstream Fsh</t>
  </si>
  <si>
    <t xml:space="preserve">  24200831  Art 511-Decayng Wood</t>
  </si>
  <si>
    <t xml:space="preserve">  24200841  Art 505-O&amp;M Aqua Rpa</t>
  </si>
  <si>
    <t xml:space="preserve">  24200851  Art 602-O&amp;M RecAdap</t>
  </si>
  <si>
    <t xml:space="preserve">  24200861  Art 512-Bald Eagle</t>
  </si>
  <si>
    <t xml:space="preserve">  24200871  Art 514-Use Habitat</t>
  </si>
  <si>
    <t xml:space="preserve">  24200881  Art 101-Fish Pro O&amp;M</t>
  </si>
  <si>
    <t xml:space="preserve">  24200891  Art 110-Shorelin O&amp;M</t>
  </si>
  <si>
    <t xml:space="preserve">  24200901  Art 502-Forest Capit</t>
  </si>
  <si>
    <t xml:space="preserve">  24200911  Art 502-Forest O&amp;M</t>
  </si>
  <si>
    <t xml:space="preserve">  24200921  Art 503-Elk Capital</t>
  </si>
  <si>
    <t xml:space="preserve">  24200931  Art 503-Elk Habi O&amp;M</t>
  </si>
  <si>
    <t xml:space="preserve">  24200941  Art 504-Wetland Capi</t>
  </si>
  <si>
    <t xml:space="preserve">  24200951  Art 504-Wetland O&amp;M</t>
  </si>
  <si>
    <t xml:space="preserve">  24200961  Art 505-Aquatic Capi</t>
  </si>
  <si>
    <t xml:space="preserve">  24200971  Art 508-Noxious O&amp;M</t>
  </si>
  <si>
    <t xml:space="preserve">  24200991  Art 602-Terrestr O&amp;M</t>
  </si>
  <si>
    <t xml:space="preserve">  24201031  Art 302 - Aest Mgmt</t>
  </si>
  <si>
    <t xml:space="preserve">  24201041  Art 304 Bak Rrs Rec</t>
  </si>
  <si>
    <t xml:space="preserve">  Bothell Landlord Incentive</t>
  </si>
  <si>
    <t xml:space="preserve"> NERC Standards Compliance</t>
  </si>
  <si>
    <t xml:space="preserve">  Redmond West Landlord Incentive</t>
  </si>
  <si>
    <t xml:space="preserve">  BofA Rebate</t>
  </si>
  <si>
    <t>Qualified Pension Plan Liability</t>
  </si>
  <si>
    <t/>
  </si>
  <si>
    <t>Bonneville Power Admin</t>
  </si>
  <si>
    <t>Eagle Energy Partners</t>
  </si>
  <si>
    <t>Macquarie Energy, LLC</t>
  </si>
  <si>
    <t>Morgan Stanley Capital</t>
  </si>
  <si>
    <t>Portland General Electric Marketing</t>
  </si>
  <si>
    <t>Shell Energy North America</t>
  </si>
  <si>
    <t>Sierra Pacific Industries</t>
  </si>
  <si>
    <t>Southern California Edison</t>
  </si>
  <si>
    <t>The Energy Authority</t>
  </si>
  <si>
    <t>TransAlta Energy</t>
  </si>
  <si>
    <t>Whatcom County PUD</t>
  </si>
  <si>
    <t>E3577 TSM U/G Conduit</t>
  </si>
  <si>
    <t>E3587 TSM U/G Conductor/Devices</t>
  </si>
  <si>
    <t>E3590 TSM Roads &amp; Trails</t>
  </si>
  <si>
    <t>E3590 TSM Roads, 3rd AC Line</t>
  </si>
  <si>
    <t>E3590 TSM Roads, Colstrip 1-2 Com</t>
  </si>
  <si>
    <t>E3590 TSM Roads, Colstrip 3-4 Com</t>
  </si>
  <si>
    <t>E3597 TSM Roads &amp; Trails</t>
  </si>
  <si>
    <t>E3599 TSM ARO Transmission</t>
  </si>
  <si>
    <t>in Thousands</t>
  </si>
  <si>
    <t>in thousands</t>
  </si>
  <si>
    <t>WA Area Transmission Plant in Service</t>
  </si>
  <si>
    <t>WA Area Transmission Plant Accumulated Depreciation</t>
  </si>
  <si>
    <t>Formula Line</t>
  </si>
  <si>
    <t>Fixed Charge Rate (FCR) if not a CIAC</t>
  </si>
  <si>
    <t xml:space="preserve">Line B less Line A </t>
  </si>
  <si>
    <t>Note 3</t>
  </si>
  <si>
    <t>CWIP is a placeholder that is zero until PSE receives authorization by FERC to include amounts.</t>
  </si>
  <si>
    <t>Worksheet 2 - Prepayments</t>
  </si>
  <si>
    <t>Worksheet 1 - Revenue Credits</t>
  </si>
  <si>
    <t>Worksheet 3 - Generator Interconnection Facilities - Transmission Plant</t>
  </si>
  <si>
    <t>Worksheet 4 - Monthly Transmission System Peak Worksheet</t>
  </si>
  <si>
    <t>Worksheet 5 - Transmission Plant Average Balances</t>
  </si>
  <si>
    <t>Worksheet 6 - Cost of Capital</t>
  </si>
  <si>
    <t>FCR if a CIAC</t>
  </si>
  <si>
    <t>The FCR resulting from Formula in a given year is used for that year only.</t>
  </si>
  <si>
    <t>Therefore actual revenues collected in a year do not change based on cost data for subsequent years</t>
  </si>
  <si>
    <t>Common Plant not allocated to gas or electric</t>
  </si>
  <si>
    <t>p356</t>
  </si>
  <si>
    <t xml:space="preserve">  Common Plant in Service</t>
  </si>
  <si>
    <t xml:space="preserve">  Accumulated Depreciation common plant</t>
  </si>
  <si>
    <t>4 factor allocator</t>
  </si>
  <si>
    <t>Deprec = 13 month avg Accumulated Depreciation</t>
  </si>
  <si>
    <t>Project B</t>
  </si>
  <si>
    <t>Life</t>
  </si>
  <si>
    <t>CIAC</t>
  </si>
  <si>
    <t>Increased ROE (Basis Points)</t>
  </si>
  <si>
    <t>FCR W increased ROE</t>
  </si>
  <si>
    <t>Annual Depreciation Exp</t>
  </si>
  <si>
    <t>Invest Yr</t>
  </si>
  <si>
    <t>W Increased ROE</t>
  </si>
  <si>
    <t>….</t>
  </si>
  <si>
    <t>…..</t>
  </si>
  <si>
    <t>Washington</t>
  </si>
  <si>
    <t>(H)</t>
  </si>
  <si>
    <t>(I)</t>
  </si>
  <si>
    <t>Taxes Other than Income - Transmission</t>
  </si>
  <si>
    <t>1.  ADIT items related only to Non-Electric Operations (e.g., Gas, Water, Sewer) or Production are directly assigned to Column C</t>
  </si>
  <si>
    <t>2.  ADIT items related only to Transmission are directly assigned to Column D</t>
  </si>
  <si>
    <t xml:space="preserve">Short term firm and nonfirm transmission purchased by PSE merchant </t>
  </si>
  <si>
    <t>(Ln 12/6)</t>
  </si>
  <si>
    <t>PCS Revenue (reimbursement, not fees)</t>
  </si>
  <si>
    <t>Other Electric Revenues - Other Misc</t>
  </si>
  <si>
    <t>DBU - Other Electric Revenues</t>
  </si>
  <si>
    <t>Green Energy Option</t>
  </si>
  <si>
    <t>Other Electric Revenues - Sale of Non Core Gas</t>
  </si>
  <si>
    <t>Other Electric Revenues - Cost Non Core Gas Sold</t>
  </si>
  <si>
    <t>Other Electric Revenues - Cedar Hills Facility Fee</t>
  </si>
  <si>
    <t>Sumas DeMinizd H2O Sale - Socco</t>
  </si>
  <si>
    <t>Lifetime O&amp;M Revenue - Elec</t>
  </si>
  <si>
    <t>REC Revenue per Tariff Schedule -E</t>
  </si>
  <si>
    <t>5. Deferred income taxes arise when items are included in taxable income in different periods than they are included in rates, therefore if the item giving rise to the ADIT is not included in the formula, the associated ADIT amount shall be excluded</t>
  </si>
  <si>
    <t>Other taxes that are assessed based on labor will be allocated based on the Wages and Salary Allocator</t>
  </si>
  <si>
    <t>Allocator.  If the taxes are 100% recovered at retail they will not be included</t>
  </si>
  <si>
    <t>p205.5.g</t>
  </si>
  <si>
    <t>p207.96.g</t>
  </si>
  <si>
    <t>p323.191.b</t>
  </si>
  <si>
    <t>Tacoma Power</t>
  </si>
  <si>
    <t>Bellingham Cold Storage - Orchard</t>
  </si>
  <si>
    <t>Bellingham Cold Storage - Roeder</t>
  </si>
  <si>
    <t>BP Westcoast Products</t>
  </si>
  <si>
    <t>Rent from Electric Property - Land and Buildings</t>
  </si>
  <si>
    <t>Rent from PCS</t>
  </si>
  <si>
    <t>Rent from Common Property - Land and Buildings</t>
  </si>
  <si>
    <t>Rent Revenue from Colstrip #1 &amp; #2</t>
  </si>
  <si>
    <t>Rent Revenue from Colstrip #3 &amp; #4</t>
  </si>
  <si>
    <t>p207.75.g</t>
  </si>
  <si>
    <t>Calculation of Distribution Plant In Service</t>
  </si>
  <si>
    <t>Distribution</t>
  </si>
  <si>
    <t>Calculation of Total Transmission Plant In Service</t>
  </si>
  <si>
    <t>Calculation of Total Transmission Accumulated Depreciation</t>
  </si>
  <si>
    <t>p219.26</t>
  </si>
  <si>
    <t>Calculation of Distribution Accumulated Depreciation</t>
  </si>
  <si>
    <t>Other Electric Revenues - Summit Buyout</t>
  </si>
  <si>
    <t>100 Basis Point increase in ROE and Income Taxes</t>
  </si>
  <si>
    <t>Year 2</t>
  </si>
  <si>
    <t>Year 3</t>
  </si>
  <si>
    <t xml:space="preserve">Composite Income Taxes                                                                                                       </t>
  </si>
  <si>
    <t>p354.21.b</t>
  </si>
  <si>
    <t>p354.28b</t>
  </si>
  <si>
    <t>p354.27b</t>
  </si>
  <si>
    <t>p321.112.b</t>
  </si>
  <si>
    <t>p323.197.b</t>
  </si>
  <si>
    <t>p323.185b</t>
  </si>
  <si>
    <t>p323.189b</t>
  </si>
  <si>
    <t>p323.191b</t>
  </si>
  <si>
    <t xml:space="preserve">Plus any increased ROE calculated on Attachment 7 </t>
  </si>
  <si>
    <t>p323.187b</t>
  </si>
  <si>
    <t>p350.1 thru 350.21</t>
  </si>
  <si>
    <t>Production related</t>
  </si>
  <si>
    <t>Net Adjusted Revenue Requirement</t>
  </si>
  <si>
    <t>T = 1-{[(1-SIT) * (1-FIT)]/(1-SIT * FIT * p)}</t>
  </si>
  <si>
    <t>p336.7f</t>
  </si>
  <si>
    <t>p336.10f</t>
  </si>
  <si>
    <t>p336.1f</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</si>
  <si>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</si>
  <si>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</si>
  <si>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</si>
  <si>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</si>
  <si>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</si>
  <si>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</si>
  <si>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</si>
  <si>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</si>
  <si>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</si>
  <si>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</si>
  <si>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</si>
  <si>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</si>
  <si>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</si>
  <si>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</si>
  <si>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</si>
  <si>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</si>
  <si>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</si>
  <si>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</si>
  <si>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</si>
  <si>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</si>
  <si>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</si>
  <si>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</si>
  <si>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</si>
  <si>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</si>
  <si>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</si>
  <si>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</si>
  <si>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</si>
  <si>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Non-safety Related</t>
  </si>
  <si>
    <t>Electric / Non-electric Cost Support</t>
  </si>
  <si>
    <t>Transmission / Non-transmission Cost Support</t>
  </si>
  <si>
    <t>Regulatory Expense Related to Transmission Cost Support</t>
  </si>
  <si>
    <t>Safety Related Advertising Cost Support</t>
  </si>
  <si>
    <t>Excluded Plant Cost Support</t>
  </si>
  <si>
    <t>Outstanding Network Credits Cost Support</t>
  </si>
  <si>
    <t>Interest on Outstanding Network Credits Cost Support</t>
  </si>
  <si>
    <t>Return Calculation</t>
  </si>
  <si>
    <t>Rev Req based on Prior Year data</t>
  </si>
  <si>
    <t>Total with interest</t>
  </si>
  <si>
    <t xml:space="preserve">Taxes Other than Income                                                    </t>
  </si>
  <si>
    <t>Account 454 - Rent from Electric Property</t>
  </si>
  <si>
    <t>Total Rent Revenues</t>
  </si>
  <si>
    <t>None</t>
  </si>
  <si>
    <t>Shaded cells are input cells</t>
  </si>
  <si>
    <t>Attachment 1 - Accumulated Deferred Income Taxes (ADIT) Worksheet</t>
  </si>
  <si>
    <t>Attachment 2 - Taxes Other Than Income Worksheet</t>
  </si>
  <si>
    <t>Attachment 6</t>
  </si>
  <si>
    <t>Attachment 1</t>
  </si>
  <si>
    <t>Attachment 5</t>
  </si>
  <si>
    <t>Attachment 3</t>
  </si>
  <si>
    <t>Attachment 2</t>
  </si>
  <si>
    <t>Less FASB 109 Above if not separately removed</t>
  </si>
  <si>
    <t>Less FASB 106 Above if not separately removed</t>
  </si>
  <si>
    <t>Gross Proceeds Outstanding LT Debt</t>
  </si>
  <si>
    <t>Net Proceeds Long Term Debt</t>
  </si>
  <si>
    <t>Total Long Term Debt Cost</t>
  </si>
  <si>
    <t>Preferred Dividend</t>
  </si>
  <si>
    <t>Total Common Stock</t>
  </si>
  <si>
    <t>Acct 221 - Bonds</t>
  </si>
  <si>
    <t>Acct 223 LT Advances from Assoc Cos.</t>
  </si>
  <si>
    <t xml:space="preserve">  Less Acct 222 Reaq'd Bonds</t>
  </si>
  <si>
    <t>Acct 224 Other LT Debt</t>
  </si>
  <si>
    <t xml:space="preserve">  Less Acct 226 Unamort Discount</t>
  </si>
  <si>
    <t xml:space="preserve">  Less Acct 181 Unamort Debt Expense</t>
  </si>
  <si>
    <t xml:space="preserve">  Less Acct 189 Unamort Loss Reaq'd Debt</t>
  </si>
  <si>
    <t xml:space="preserve">  Plus Acct 225 Unamort Premium</t>
  </si>
  <si>
    <t xml:space="preserve">  Plus Acct 257 Unamort Gain Reaq'd Debt</t>
  </si>
  <si>
    <t>Long Term Debt Cost</t>
  </si>
  <si>
    <t>Acct 428 Amort Debt Discount &amp; Expense</t>
  </si>
  <si>
    <t>Acct 428.1 Amort Loss on Reaq'd Debt</t>
  </si>
  <si>
    <t>PSE merchant short term firm and nonfirm transmission is based on projected 2012 in line with PSE merchant's new business practice implemented in 2012. (No longer applicable after 2012)</t>
  </si>
  <si>
    <t xml:space="preserve">  Less Acct 429 Amort Premium</t>
  </si>
  <si>
    <t xml:space="preserve">  Less Acct 429.1 Amort Gain Reaq'd Debt</t>
  </si>
  <si>
    <t>Preferred Stock &amp; Dividend</t>
  </si>
  <si>
    <t>Acct 204 Preferred Stock Issued</t>
  </si>
  <si>
    <t xml:space="preserve">  Less Acct 217 Reaq'd Capital Stock (Pfd)</t>
  </si>
  <si>
    <t>Acct 207 Premium on Pfd Stock</t>
  </si>
  <si>
    <t xml:space="preserve">  Less Acct 213 discount on Capital Stock (Pfd)</t>
  </si>
  <si>
    <t xml:space="preserve">  Less Acct 214 Capital Stock Exp (Pfd)</t>
  </si>
  <si>
    <t>Total Preferred Stock</t>
  </si>
  <si>
    <t xml:space="preserve">  Less Preferred Stock</t>
  </si>
  <si>
    <t xml:space="preserve">  Less Acct 216.1 Unap Undis Subs Earnings</t>
  </si>
  <si>
    <t xml:space="preserve">  Less Acct 219 (enter negative)</t>
  </si>
  <si>
    <t xml:space="preserve"> Common Stock Issued (201)</t>
  </si>
  <si>
    <t xml:space="preserve"> Premium on Capital Stock (207)</t>
  </si>
  <si>
    <t xml:space="preserve"> Other Pd in Capital (208-211)</t>
  </si>
  <si>
    <t xml:space="preserve">   Less Stock Expense (214)</t>
  </si>
  <si>
    <t xml:space="preserve"> Retained Earnings (215, 215.1, 216)</t>
  </si>
  <si>
    <t>Unappr Undistr Sub Retnd Earn (216.1)</t>
  </si>
  <si>
    <t>Accumulated OCI (219)</t>
  </si>
  <si>
    <t xml:space="preserve">   Adjustments - Hedges</t>
  </si>
  <si>
    <t xml:space="preserve">   Adjustments - Accrued to Cash</t>
  </si>
  <si>
    <t>13 month</t>
  </si>
  <si>
    <t>Total Revenue Credits</t>
  </si>
  <si>
    <t>6.  Re:  Form 1-F filer:  Sum of subtotals for Accounts 282 and 283 should tie to Form No. 1-F, p.113.57.c</t>
  </si>
  <si>
    <t>Subtotal - p275  (Form 1-F filer:  see note 6 below)</t>
  </si>
  <si>
    <t>Subtotal - p277  (Form 1-F filer:  see note 6, below)</t>
  </si>
  <si>
    <t>Transmission O&amp;M Reserves</t>
  </si>
  <si>
    <t>Enter Negative</t>
  </si>
  <si>
    <t xml:space="preserve">Prepayments </t>
  </si>
  <si>
    <t xml:space="preserve">Attachment 5 </t>
  </si>
  <si>
    <t>Difference</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</si>
  <si>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</si>
  <si>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</si>
  <si>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Transmission Related Account 242 Reserves (exclude current year environmental site related reserves)</t>
  </si>
  <si>
    <t>Gross Revenue Credits</t>
  </si>
  <si>
    <t>NOL Carryforward</t>
  </si>
  <si>
    <t>FIT deductible for SIT</t>
  </si>
  <si>
    <t>Pursuant to state retail regulatory order</t>
  </si>
  <si>
    <t>Transmission for Others (Note 3)</t>
  </si>
  <si>
    <t>Net revenues associated with Network Integration Transmission Service (NITS) for which the load is not included in the divisor (Note 3)</t>
  </si>
  <si>
    <t>Attachment 3 - Revenue Credit Worksheet</t>
  </si>
  <si>
    <t>Facilities Charges including Interconnection Agreements (Note 2)</t>
  </si>
  <si>
    <t>Short-tern and non-firm service revenues for which the load is not included in the divisor received by Transmission Owner</t>
  </si>
  <si>
    <t>Air Products</t>
  </si>
  <si>
    <t>Justification</t>
  </si>
  <si>
    <t>Total Income Taxes</t>
  </si>
  <si>
    <t>Summary</t>
  </si>
  <si>
    <t>Net Property, Plant &amp; Equipment</t>
  </si>
  <si>
    <t>Taxes Other than Income</t>
  </si>
  <si>
    <t>Common Stock</t>
  </si>
  <si>
    <t>END</t>
  </si>
  <si>
    <t>Revenue Credits</t>
  </si>
  <si>
    <t>C</t>
  </si>
  <si>
    <t>Gross Plant Allocator</t>
  </si>
  <si>
    <t>Total Long Term Debt</t>
  </si>
  <si>
    <t>Total Return ( R )</t>
  </si>
  <si>
    <t>REVENUE REQUIREMENT</t>
  </si>
  <si>
    <t>I</t>
  </si>
  <si>
    <t>Transmission Storm O&amp;M Deferred to 182.1</t>
  </si>
  <si>
    <t>workpaper</t>
  </si>
  <si>
    <t>Total Taxes Other than Income</t>
  </si>
  <si>
    <t>J</t>
  </si>
  <si>
    <t>Long Term Debt</t>
  </si>
  <si>
    <t>Depreciation Expense</t>
  </si>
  <si>
    <t>Note L</t>
  </si>
  <si>
    <t>Accumulated Depreciation (Total Electric Plant)</t>
  </si>
  <si>
    <t>Transmission Depreciation Expense</t>
  </si>
  <si>
    <t>Transmission Wages Expense</t>
  </si>
  <si>
    <t>Total Wages Expense</t>
  </si>
  <si>
    <t xml:space="preserve"> </t>
  </si>
  <si>
    <t>E</t>
  </si>
  <si>
    <t>A</t>
  </si>
  <si>
    <t>D</t>
  </si>
  <si>
    <t>G</t>
  </si>
  <si>
    <t>Preferred Stock</t>
  </si>
  <si>
    <t>K</t>
  </si>
  <si>
    <t>Other Taxes</t>
  </si>
  <si>
    <t>Total Prepayments Allocated to Transmission</t>
  </si>
  <si>
    <t xml:space="preserve">Accumulated Deferred Income Taxes </t>
  </si>
  <si>
    <t>Common Stock (Note J)</t>
  </si>
  <si>
    <t>Revenue= FCR* 13 Month + Depreciation</t>
  </si>
  <si>
    <t>13 Month * FCR + Depreciation</t>
  </si>
  <si>
    <t>Line 179 Attach H</t>
  </si>
  <si>
    <t>Non-incentive</t>
  </si>
  <si>
    <t>Increase</t>
  </si>
  <si>
    <t>……</t>
  </si>
  <si>
    <t>Line 179 Attach H = Total for "W Increased ROE" row</t>
  </si>
  <si>
    <t>Non-Incentive = Total for ''FCR W base ROE'' row</t>
  </si>
  <si>
    <t>Total = Sum all projects</t>
  </si>
  <si>
    <t>13 Month Balance</t>
  </si>
  <si>
    <t>The depreciation expense will be the estimated amount for the projection based on the projected in-service dates and the actual depreciation expense for the year</t>
  </si>
  <si>
    <t>Note 2</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</si>
  <si>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</si>
  <si>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</si>
  <si>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</si>
  <si>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</si>
  <si>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</si>
  <si>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</si>
  <si>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</si>
  <si>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</si>
  <si>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</si>
  <si>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</si>
  <si>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</si>
  <si>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</si>
  <si>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</si>
  <si>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</si>
  <si>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FERC 354 Towers and Fixtures  (p.207.51.g)</t>
  </si>
  <si>
    <t>FERC 355 Poles and Fixtures (p.308.52.g)</t>
  </si>
  <si>
    <t>FERC 364 Poles, Towers, and Fixtures (p.207.64.g)</t>
  </si>
  <si>
    <t>Allocators</t>
  </si>
  <si>
    <t>Less A&amp;G Wages Expense</t>
  </si>
  <si>
    <t>Transmission Gross Plant</t>
  </si>
  <si>
    <t>Transmission Net Plant</t>
  </si>
  <si>
    <t>Total Accumulated Depreciation</t>
  </si>
  <si>
    <t>Total Plant In Service</t>
  </si>
  <si>
    <t>Wages &amp; Salary Allocation Factor</t>
  </si>
  <si>
    <t>TOTAL Plant In Service</t>
  </si>
  <si>
    <t>Adjustment To Rate Base</t>
  </si>
  <si>
    <t>Net Plant Allocation Factor</t>
  </si>
  <si>
    <t>Intangible Amortization</t>
  </si>
  <si>
    <t>Undistributed Stores Exp</t>
  </si>
  <si>
    <t>General Depreciation Allocated to Transmission</t>
  </si>
  <si>
    <t>Return / Capitalization Calculations</t>
  </si>
  <si>
    <t>ITC Adjustment</t>
  </si>
  <si>
    <t>ITC Adjustment Allocated to Transmission</t>
  </si>
  <si>
    <t>SIT=State Income Tax Rate or Composite</t>
  </si>
  <si>
    <t>FIT=Federal Income Tax Rate</t>
  </si>
  <si>
    <t>Investment Return = Rate Base * Rate of Return</t>
  </si>
  <si>
    <t>Income Tax Rates</t>
  </si>
  <si>
    <t>Depreciation &amp; Amortization</t>
  </si>
  <si>
    <t>Accumulated Deferred Income Taxes Allocated To Transmission</t>
  </si>
  <si>
    <t>Depreciation &amp; Amortization Expense</t>
  </si>
  <si>
    <t>Total Transmission Depreciation &amp; Amortization</t>
  </si>
  <si>
    <t>L</t>
  </si>
  <si>
    <t>M</t>
  </si>
  <si>
    <t>Transmission O&amp;M</t>
  </si>
  <si>
    <t>Wages &amp; Salary Allocator</t>
  </si>
  <si>
    <t>Total Transmission O&amp;M</t>
  </si>
  <si>
    <t>Total A&amp;G</t>
  </si>
  <si>
    <t>General &amp; Intangible</t>
  </si>
  <si>
    <t>Transmission Plant In Service</t>
  </si>
  <si>
    <t>TOTAL Accumulated Depreciation</t>
  </si>
  <si>
    <t>Prepmts - Marsh USA</t>
  </si>
  <si>
    <t>Prepmts - WECC Dues</t>
  </si>
  <si>
    <t>Prepaid SAP Support</t>
  </si>
  <si>
    <t>Prepaid NW Gas Association Dues</t>
  </si>
  <si>
    <t>Prepmts - Interest</t>
  </si>
  <si>
    <t>TOTAL Net Property, Plant &amp; Equipment</t>
  </si>
  <si>
    <t>Adjustment to Rate Base</t>
  </si>
  <si>
    <t>Plant Calculations</t>
  </si>
  <si>
    <t>Net Plant</t>
  </si>
  <si>
    <t>Net Plant Allocator</t>
  </si>
  <si>
    <t>Rate Base</t>
  </si>
  <si>
    <t xml:space="preserve">Income Tax Component = </t>
  </si>
  <si>
    <t>p352-353</t>
  </si>
  <si>
    <t xml:space="preserve">     CIT=(T/1-T) * Investment Return * (1-(WCLTD/R)) =</t>
  </si>
  <si>
    <t>Plant Allocation Factors</t>
  </si>
  <si>
    <t>Wage &amp; Salary Allocation Factor</t>
  </si>
  <si>
    <t>TOTAL Adjustment to Rate Base</t>
  </si>
  <si>
    <t>Description</t>
  </si>
  <si>
    <t>Account 456 - Other Electric Revenues</t>
  </si>
  <si>
    <t>Account 456.1 - Revenues from Transmission of Electricity of Others</t>
  </si>
  <si>
    <t>Demand Charges</t>
  </si>
  <si>
    <t>Exclude PTP Scheduling from Ancillary Services</t>
  </si>
  <si>
    <t>General Depreciation</t>
  </si>
  <si>
    <t>Total</t>
  </si>
  <si>
    <t>B</t>
  </si>
  <si>
    <t>Proprietary Capital</t>
  </si>
  <si>
    <t>Operation &amp; Maintenance Expense</t>
  </si>
  <si>
    <t>Amortized Investment Tax Credit</t>
  </si>
  <si>
    <t>Direct Assigned</t>
  </si>
  <si>
    <t>Total Transmission Allocated</t>
  </si>
  <si>
    <t>Transmission Accumulated Depreciation</t>
  </si>
  <si>
    <t>Electric Plant in Service</t>
  </si>
  <si>
    <t>Investment Return</t>
  </si>
  <si>
    <t>Income Taxes</t>
  </si>
  <si>
    <t>Total Balance Transmission Related Account 242 Reserves</t>
  </si>
  <si>
    <t>ATTACHMENT H</t>
  </si>
  <si>
    <t>with amounts exceeding $100,000 will be listed separately.</t>
  </si>
  <si>
    <t>Attachment 1- Accumulated Deferred Income Taxes (ADIT) Worksheet</t>
  </si>
  <si>
    <t>ADITC-255</t>
  </si>
  <si>
    <t>Amortization</t>
  </si>
  <si>
    <t>Rate Base Treatment</t>
  </si>
  <si>
    <t>Difference  /1</t>
  </si>
  <si>
    <t>/1 Difference must be zero</t>
  </si>
  <si>
    <t>Criteria for Allocation:</t>
  </si>
  <si>
    <t xml:space="preserve">Wages &amp; Salary Allocator </t>
  </si>
  <si>
    <t>Transmission Related Account 242 Reserves</t>
  </si>
  <si>
    <t>Worksheet 2</t>
  </si>
  <si>
    <t>Worksheet 3</t>
  </si>
  <si>
    <t>Directly Assignable to Transmission</t>
  </si>
  <si>
    <t>Allocation</t>
  </si>
  <si>
    <t>Total "Other" Taxes (included on p. 263)</t>
  </si>
  <si>
    <t>Acct 427 &amp; Acc 430 Interest Expense</t>
  </si>
  <si>
    <t>NOTE: p.207.75.g  FERC Form 1 2010 balance was prior to reclass and totaled $3,508,513,900; classified as LV distribution for 2010 was $2,947,625,914 (No longer applicable after 2012)</t>
  </si>
  <si>
    <t>NOTE: p.207.75.g  FERC Form 1 2010 balance was prior to reclass and totaled $1,224,444,770; classified as LV distribution for 2010 was $1,053,043,130 (No longer applicable after 2012)</t>
  </si>
  <si>
    <t>Attachment 6B - Estimate and Reconciliation Worksheet - Southern Intertie</t>
  </si>
  <si>
    <t>Total "Taxes Other Than Income Taxes" - acct 408.10 (p. 114.14)</t>
  </si>
  <si>
    <t>Gross Revenue Requirement</t>
  </si>
  <si>
    <t xml:space="preserve">    Less EPRI Dues</t>
  </si>
  <si>
    <t>Subtotal - Transmission Related</t>
  </si>
  <si>
    <t>T/ (1-T)</t>
  </si>
  <si>
    <t>p</t>
  </si>
  <si>
    <t>(percent of federal income tax deductible for state purposes)</t>
  </si>
  <si>
    <t>Notes</t>
  </si>
  <si>
    <t>Allocator</t>
  </si>
  <si>
    <t>p214</t>
  </si>
  <si>
    <t>enter negative</t>
  </si>
  <si>
    <t>Fixed</t>
  </si>
  <si>
    <t>Net Revenue Requirement</t>
  </si>
  <si>
    <t>O&amp;M</t>
  </si>
  <si>
    <t xml:space="preserve">     Less Account 565</t>
  </si>
  <si>
    <t>p200.21c</t>
  </si>
  <si>
    <t>Subtotal</t>
  </si>
  <si>
    <t>Electric portion only</t>
  </si>
  <si>
    <t>Transmission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</si>
  <si>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</si>
  <si>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</si>
  <si>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</si>
  <si>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</si>
  <si>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</si>
  <si>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</si>
  <si>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</si>
  <si>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</si>
  <si>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</si>
  <si>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</si>
  <si>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</si>
  <si>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</si>
  <si>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</si>
  <si>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</si>
  <si>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</si>
  <si>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</si>
  <si>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</si>
  <si>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</si>
  <si>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</si>
  <si>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3.  ADIT items related to Plant and not in Columns C &amp; D are included in Column E</t>
  </si>
  <si>
    <t>4.  ADIT items related to labor and not in Columns C &amp; D are included in Column F</t>
  </si>
  <si>
    <t>(Sum Lines 4-11)</t>
  </si>
  <si>
    <t>FERC  Annual Fees</t>
  </si>
  <si>
    <t>RTO Filings</t>
  </si>
  <si>
    <t>Transmission Siting</t>
  </si>
  <si>
    <t>Other Transmission regulatory Commission Expenses</t>
  </si>
  <si>
    <t>NERC Compliance</t>
  </si>
  <si>
    <t>Excluded Items</t>
  </si>
  <si>
    <t>Load paying the Formula Rate</t>
  </si>
  <si>
    <t>Total Transmission Load</t>
  </si>
  <si>
    <t>Gains/Losses sale of land held for future use</t>
  </si>
  <si>
    <t>50% of any gain or loss sales of land that have been in Account No. 105, Land Held for Future Use, at any time (gains will be positive numbers and losses will be negative numbers)</t>
  </si>
  <si>
    <t>Amount of transmission plant excluded from rates per Attachment 5.</t>
  </si>
  <si>
    <t>Total Form No. 1 (p 266 &amp; 267)</t>
  </si>
  <si>
    <t>Net Plant Carrying Charge</t>
  </si>
  <si>
    <t>Net Plant Carrying Charge Calculation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</si>
  <si>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</si>
  <si>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</si>
  <si>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</si>
  <si>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</si>
  <si>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</si>
  <si>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</si>
  <si>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</si>
  <si>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</si>
  <si>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</si>
  <si>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</si>
  <si>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Miscellaneous</t>
  </si>
  <si>
    <t>Accumulated Deferred Income Taxes</t>
  </si>
  <si>
    <t>Plant Gas</t>
  </si>
  <si>
    <t>Plant Electric</t>
  </si>
  <si>
    <t>Pension</t>
  </si>
  <si>
    <t>Employment</t>
  </si>
  <si>
    <t>State excise</t>
  </si>
  <si>
    <t>Municipal Excise</t>
  </si>
  <si>
    <t>SFAS 109</t>
  </si>
  <si>
    <t>Storm Damage</t>
  </si>
  <si>
    <t>Depreciation related</t>
  </si>
  <si>
    <t>Regulatory assets</t>
  </si>
  <si>
    <t>Derivative instruments</t>
  </si>
  <si>
    <t>TO populates the formula with Year 1 data from FERC Form No. 1 data for Year 1 (e.g., 2010)</t>
  </si>
  <si>
    <t>TO estimates all transmission Cap Adds and CWIP for Year 2 weighted based on Months expected to be in service in Year 2 (e.g., 2011)</t>
  </si>
  <si>
    <t>Post results of Step 3</t>
  </si>
  <si>
    <t>(J)</t>
  </si>
  <si>
    <t>(K)</t>
  </si>
  <si>
    <t>(L)</t>
  </si>
  <si>
    <t>(M)</t>
  </si>
  <si>
    <t>Other Included - Transmission</t>
  </si>
  <si>
    <t>State Utility Tax</t>
  </si>
  <si>
    <t>Total Other Transmission Included</t>
  </si>
  <si>
    <t>(Note S)</t>
  </si>
  <si>
    <t>S</t>
  </si>
  <si>
    <t>Electric Segment Allocation</t>
  </si>
  <si>
    <t>Total Common Plant</t>
  </si>
  <si>
    <t xml:space="preserve">WA Area </t>
  </si>
  <si>
    <t>End of Year Est. Average for Final</t>
  </si>
  <si>
    <t>WA Area</t>
  </si>
  <si>
    <t xml:space="preserve">Total Distribution </t>
  </si>
  <si>
    <t>Total Prepayments</t>
  </si>
  <si>
    <t>13 Month</t>
  </si>
  <si>
    <t>Washington Area</t>
  </si>
  <si>
    <t>Result of Formula for Reconciliation</t>
  </si>
  <si>
    <t>True-Up Adjustment</t>
  </si>
  <si>
    <t xml:space="preserve">Total with Interest </t>
  </si>
  <si>
    <t>Actual Revenues Received Step 7</t>
  </si>
  <si>
    <t>Wash Area</t>
  </si>
  <si>
    <t>So. Intertie</t>
  </si>
  <si>
    <t>LT loads</t>
  </si>
  <si>
    <t>Long tern Loads charged under the OATT</t>
  </si>
  <si>
    <t>Yes</t>
  </si>
  <si>
    <t>The total is directly assigned to the three areas where</t>
  </si>
  <si>
    <t>possible, if not possible then allocated based on</t>
  </si>
  <si>
    <t>No</t>
  </si>
  <si>
    <t xml:space="preserve"> loads under the tariff</t>
  </si>
  <si>
    <t>NA</t>
  </si>
  <si>
    <t>Property Alloc</t>
  </si>
  <si>
    <t>Reconciliation</t>
  </si>
  <si>
    <t>Excluded Transmission Facilities - Southern Intertie</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</si>
  <si>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on Line "&amp;A262&amp;"."</t>
  </si>
  <si>
    <t>A&amp;G directly assigned to Transmission is for the WA area rate only as the Southern Intertie is 100% operated by BPA and Colstrip 100% operated by Northwestern</t>
  </si>
  <si>
    <t>Attachment 4 Alloc on Rate base</t>
  </si>
  <si>
    <t>(Year 2 data with total of Year 2 Cap Adds removed and monthly weighted average of Year 2 actual Cap Adds added in)</t>
  </si>
  <si>
    <t>Rates in effect in Prior Year times actual loads in each Month</t>
  </si>
  <si>
    <t>Rates Charged</t>
  </si>
  <si>
    <t>Actual Monthly Loads</t>
  </si>
  <si>
    <t>Rate x Loads</t>
  </si>
  <si>
    <t>Less any Prior Year True up</t>
  </si>
  <si>
    <t>Actual Revenues Received</t>
  </si>
  <si>
    <t>Sum</t>
  </si>
  <si>
    <t>The Reconciliation in Step 8</t>
  </si>
  <si>
    <t>Transmission Rate</t>
  </si>
  <si>
    <t>Interest rate pursuant to 35.19a for March of the Current Yr</t>
  </si>
  <si>
    <t>1/12 of Step 8</t>
  </si>
  <si>
    <t>Interest rate for</t>
  </si>
  <si>
    <t>Surcharge (Refund) Owed</t>
  </si>
  <si>
    <t>(See Note #1)</t>
  </si>
  <si>
    <t>March of the Current Yr</t>
  </si>
  <si>
    <t xml:space="preserve">Note #1:  For the initial rate year, enter zero for the first five months, </t>
  </si>
  <si>
    <t xml:space="preserve">              June Year 1 through October Year 1.  Enter 1/12 of Step 8</t>
  </si>
  <si>
    <t xml:space="preserve">             for the months Nov Year 1 through May Year 2.</t>
  </si>
  <si>
    <t>Interest rate from above</t>
  </si>
  <si>
    <t>Amortization over Rate Year</t>
  </si>
  <si>
    <t>FERC Form 1, Page 400</t>
  </si>
  <si>
    <t>Other Long Term Firm Service</t>
  </si>
  <si>
    <t>Other Service</t>
  </si>
  <si>
    <t>Monthly Peak MW - Total   (b)</t>
  </si>
  <si>
    <t>Month (a)</t>
  </si>
  <si>
    <t>Day of Monthly Peak      (c )</t>
  </si>
  <si>
    <t>Hour of Monthly Peak     (d)</t>
  </si>
  <si>
    <t>Firm Network Service for Self                      (e)</t>
  </si>
  <si>
    <t>Firm Network Service for Others                       (f)</t>
  </si>
  <si>
    <t>Long-Term Firm Point-to-point Reservations            (g)</t>
  </si>
  <si>
    <t>Other Long Term Firm Service                    (h)</t>
  </si>
  <si>
    <t>Short-Term Firm Point-to-Point Reservation                        (i)</t>
  </si>
  <si>
    <t xml:space="preserve">Total 427 Interest </t>
  </si>
  <si>
    <t>For 2012</t>
  </si>
  <si>
    <t>E3509 (GIF) Land, Wild Horse</t>
  </si>
  <si>
    <t>E35099 (GIF) Easement, Colstrip 1-2</t>
  </si>
  <si>
    <t>E35099 (GIF) Easement, Hopkins</t>
  </si>
  <si>
    <t>E35099 (GIF) Easement, Poison Sprin</t>
  </si>
  <si>
    <t>E35099 (GIF) Easement, Upper Baker</t>
  </si>
  <si>
    <t>E35099 (GIF) Easement, Wild Horse</t>
  </si>
  <si>
    <t>E3529 (GIF) Struc/Improv, Fredonia</t>
  </si>
  <si>
    <t>E3529 (GIF) Struc/Improv, Mint Farm</t>
  </si>
  <si>
    <t>E3529 (GIF) Struc/Improv, Whitehorn</t>
  </si>
  <si>
    <t>E3538 (LIF) Sta Eq, Sub-Txe</t>
  </si>
  <si>
    <t>E3539 (GIF) Sta Eq, Arco Central</t>
  </si>
  <si>
    <t>E3539 (GIF) Sta Eq, Baker River Sw</t>
  </si>
  <si>
    <t>E3539 (GIF) Sta Eq, Colstrip 1-2</t>
  </si>
  <si>
    <t xml:space="preserve">E3539 (GIF) Sta Eq, Colstrip 3-4 </t>
  </si>
  <si>
    <t>E3539 (GIF) Sta Eq, Electron</t>
  </si>
  <si>
    <t>E3539 (GIF) Sta Eq, Electron Height</t>
  </si>
  <si>
    <t>E3539 (GIF) Sta Eq, Encogen</t>
  </si>
  <si>
    <t>E3539 (GIF) Sta Eq, Fred 1/Epcor</t>
  </si>
  <si>
    <t>E3539 (GIF) Sta Eq, Frederickson</t>
  </si>
  <si>
    <t>E3539 (GIF) Sta Eq, Fredonia 1&amp;2</t>
  </si>
  <si>
    <t>E3539 (GIF) Sta Eq, Fredonia 3&amp;4</t>
  </si>
  <si>
    <t>E3539 (GIF) Sta Eq, Goldendale</t>
  </si>
  <si>
    <t>E3539 (GIF) Sta Eq, Hopkins Ridge</t>
  </si>
  <si>
    <t>E3539 (GIF) Sta Eq, HPK sub@plant</t>
  </si>
  <si>
    <t>E3539 (GIF) Sta Eq, Lower Baker</t>
  </si>
  <si>
    <t>E3539 (GIF) Sta Eq, Mint Farm</t>
  </si>
  <si>
    <t>E3539 (GIF) Sta Eq, Nooksack</t>
  </si>
  <si>
    <t>E3539 (GIF) Sta Eq, Poison Spring</t>
  </si>
  <si>
    <t>E3539 (GIF) Sta Eq, Shannon</t>
  </si>
  <si>
    <t>E3539 (GIF) Sta Eq, Snoqualmie 2</t>
  </si>
  <si>
    <t>E3539 (GIF) Sta Eq, Snoqualmie Sw</t>
  </si>
  <si>
    <t>E3539 (GIF) Sta Eq, Stillwater</t>
  </si>
  <si>
    <t>E3539 (GIF) Sta Eq, Sumas OP-SMC</t>
  </si>
  <si>
    <t>E3539 (GIF) Sta Eq, Terrell</t>
  </si>
  <si>
    <t>E3539 (GIF) Sta Eq, Texaco West</t>
  </si>
  <si>
    <t>E3500 105 TSM Land &amp; Land Rights</t>
  </si>
  <si>
    <t>E3501 105 TSM Easement</t>
  </si>
  <si>
    <t>E35017 105 TSM Easements</t>
  </si>
  <si>
    <t>E3507 105 TSM Land &amp; Land Rights</t>
  </si>
  <si>
    <t>E3539 (GIF) Sta Eq, Ferndale</t>
  </si>
  <si>
    <t>E3539 (GIF) Sta Eq, LB#4 -2013</t>
  </si>
  <si>
    <t>E3539 (GIF) Sta Eq, Snoq 1-2013</t>
  </si>
  <si>
    <t>E3539 (GIF) Sta Eq, Snoq 2-2013</t>
  </si>
  <si>
    <t>E3549 (GIF) Twr/Fixt, Ferndale</t>
  </si>
  <si>
    <t xml:space="preserve">  24200061  Wind Farm Maint Accr</t>
  </si>
  <si>
    <t xml:space="preserve">  24200103  JR Achieve Pld - ST</t>
  </si>
  <si>
    <t xml:space="preserve">  24200461  LSR US Trsr Grnts</t>
  </si>
  <si>
    <t>For 2013</t>
  </si>
  <si>
    <t>PSE/16500083</t>
  </si>
  <si>
    <t>PSE/16500583</t>
  </si>
  <si>
    <t>PSE/16500283</t>
  </si>
  <si>
    <t>PSE/16500673</t>
  </si>
  <si>
    <t>PSE/16500713</t>
  </si>
  <si>
    <t>PSE/16500183</t>
  </si>
  <si>
    <t>Prepaid KWI Maintenance</t>
  </si>
  <si>
    <t>Ppd - Annual Credit Rating Fee Short Term</t>
  </si>
  <si>
    <t>PSE/16500013</t>
  </si>
  <si>
    <t>PSE/16500051</t>
  </si>
  <si>
    <t>PSE/16500063</t>
  </si>
  <si>
    <t>PSE/16500093</t>
  </si>
  <si>
    <t>PSE/16500143</t>
  </si>
  <si>
    <t>PSE/16500333</t>
  </si>
  <si>
    <t>PSE/16500373</t>
  </si>
  <si>
    <t>PSE/16500413</t>
  </si>
  <si>
    <t>PSE/16500123</t>
  </si>
  <si>
    <t>PSE/16500683</t>
  </si>
  <si>
    <t>PSE/16500383</t>
  </si>
  <si>
    <t>PSE/16500563</t>
  </si>
  <si>
    <t>PSE/16500633</t>
  </si>
  <si>
    <t>PSE/16500643</t>
  </si>
  <si>
    <t>PSE/16500933</t>
  </si>
  <si>
    <t>PSE/16500153</t>
  </si>
  <si>
    <t>PSE/16500251</t>
  </si>
  <si>
    <t>PSE/16500433</t>
  </si>
  <si>
    <t>PSE/16500443</t>
  </si>
  <si>
    <t>PSE/16500693</t>
  </si>
  <si>
    <t>PSE/16500743</t>
  </si>
  <si>
    <t>PSE/16500753</t>
  </si>
  <si>
    <t>PSE/16500763</t>
  </si>
  <si>
    <t>PSE/16500783</t>
  </si>
  <si>
    <t>PSE/16500793</t>
  </si>
  <si>
    <t>PSE/16500703</t>
  </si>
  <si>
    <t>PSE/16500893</t>
  </si>
  <si>
    <t>PSE/16501051</t>
  </si>
  <si>
    <t>PSE/16501061</t>
  </si>
  <si>
    <t>PSE/16501062</t>
  </si>
  <si>
    <t>PSE/16501083</t>
  </si>
  <si>
    <t>PSE/16500803</t>
  </si>
  <si>
    <t>PSE/16500193</t>
  </si>
  <si>
    <t>PSE/16502013</t>
  </si>
  <si>
    <t>PSE/16504003</t>
  </si>
  <si>
    <t>PSE/16504013</t>
  </si>
  <si>
    <t>PSE/16502033</t>
  </si>
  <si>
    <t>PSE/16504033</t>
  </si>
  <si>
    <t>PSE/16502003</t>
  </si>
  <si>
    <t>PSE/16501103</t>
  </si>
  <si>
    <t>Prepaid - D&amp;O Insurance (annual)</t>
  </si>
  <si>
    <t>Prepmnts - Alstrom Software Support Services</t>
  </si>
  <si>
    <t>Prepaid - GEC/NICE short-term</t>
  </si>
  <si>
    <t>Prepaid Prometheus Software Maintenance</t>
  </si>
  <si>
    <t>Prepaid - Coriant America</t>
  </si>
  <si>
    <t>Ppd-RSA Envision Renewal</t>
  </si>
  <si>
    <t>Ppd - CISCO Smartnet (Dimension Data) - LT</t>
  </si>
  <si>
    <t>Prepaid Dice Advertising Short-Term</t>
  </si>
  <si>
    <t>Prepaid Voice Print International - Short Term</t>
  </si>
  <si>
    <t>Prepaid - GEC/NICE - Long Term</t>
  </si>
  <si>
    <t>Prepaid Voice Print International - Long Term</t>
  </si>
  <si>
    <t>Prepaid PSE Building Brokerage Fee - Short Term</t>
  </si>
  <si>
    <t>Prepaid PSE Building Brokerage Fee - Long Term</t>
  </si>
  <si>
    <t>Prepaid- Infor Global Solutions - Short Term</t>
  </si>
  <si>
    <t>Prepaid- Sirius Maintenance Contract - Short Term</t>
  </si>
  <si>
    <t>PSE/16500163</t>
  </si>
  <si>
    <t>PSE/16500553</t>
  </si>
  <si>
    <t>PSE/16500582</t>
  </si>
  <si>
    <t>PSE/16500591</t>
  </si>
  <si>
    <t>PSE/16500601</t>
  </si>
  <si>
    <t>PSE/16500611</t>
  </si>
  <si>
    <t>PSE/16500612</t>
  </si>
  <si>
    <t>PSE/16500622</t>
  </si>
  <si>
    <t>PSE/16500623</t>
  </si>
  <si>
    <t>PSE/16500651</t>
  </si>
  <si>
    <t>PSE/16500661</t>
  </si>
  <si>
    <t>PSE/16500671</t>
  </si>
  <si>
    <t>PSE/16500681</t>
  </si>
  <si>
    <t>PSE/16500731</t>
  </si>
  <si>
    <t>PSE/16500741</t>
  </si>
  <si>
    <t>PSE/16500881</t>
  </si>
  <si>
    <t>PSE/16500901</t>
  </si>
  <si>
    <t>PSE/16500911</t>
  </si>
  <si>
    <t>PSE/16501003</t>
  </si>
  <si>
    <t>PSE/16501013</t>
  </si>
  <si>
    <t>PSE/16501031</t>
  </si>
  <si>
    <t>PSE/16501041</t>
  </si>
  <si>
    <t>PSE/16500012</t>
  </si>
  <si>
    <t>PSE/16500401</t>
  </si>
  <si>
    <t>PSE/16500411</t>
  </si>
  <si>
    <t>PSE/16500103</t>
  </si>
  <si>
    <t>PSE/16500532</t>
  </si>
  <si>
    <t>PSE/16502043</t>
  </si>
  <si>
    <t>PSE/16500173</t>
  </si>
  <si>
    <t>PSE/16502023</t>
  </si>
  <si>
    <t>Prepaid- Telvent -Gas Scada Maint ST</t>
  </si>
  <si>
    <t>Prepaid Gas Options</t>
  </si>
  <si>
    <t>Prepaid Glassdoor Invoice - Short Term</t>
  </si>
  <si>
    <t>Ppd - Corporation Executive Board (CEB)</t>
  </si>
  <si>
    <t>Prepaid Platts Subscription - Short Term</t>
  </si>
  <si>
    <t>Excelon Generation Company, LLC</t>
  </si>
  <si>
    <t>Turlock Irrigation District</t>
  </si>
  <si>
    <t>AMCOR Rigid Plastics USA</t>
  </si>
  <si>
    <t>Shell Oil Products (Equilon)</t>
  </si>
  <si>
    <t>OR</t>
  </si>
  <si>
    <t>WA</t>
  </si>
  <si>
    <t>Elec Res Decouling Revenue</t>
  </si>
  <si>
    <t>Account 926 (2012)</t>
  </si>
  <si>
    <t>Additional revenue from redirects from LT to ST</t>
  </si>
  <si>
    <t>E3536 TSM Sta Eq, Sumas SMS</t>
  </si>
  <si>
    <t>E3557 105 TSM Poles</t>
  </si>
  <si>
    <t>E3567 105 TSM O/H Conductor/Devices</t>
  </si>
  <si>
    <t>E358 TSM U/G Conductor &amp; Devices</t>
  </si>
  <si>
    <t xml:space="preserve">E354 TSM Poles, Mint Farm </t>
  </si>
  <si>
    <t>E354 TSM Poles, Mint Farm OP</t>
  </si>
  <si>
    <t>E355 TSM Poles, Ba</t>
  </si>
  <si>
    <t>E3557 TSM Poles, Ba</t>
  </si>
  <si>
    <t>E3567 TSM O/H Cond, Ba</t>
  </si>
  <si>
    <t xml:space="preserve">E3567 TSM O/H Cond, </t>
  </si>
  <si>
    <t xml:space="preserve">E355 TSM Poles, </t>
  </si>
  <si>
    <t xml:space="preserve">E3557 TSM Poles, </t>
  </si>
  <si>
    <t xml:space="preserve">E35017 TSM Easements, </t>
  </si>
  <si>
    <t xml:space="preserve">E353 TSM Sta Eq, </t>
  </si>
  <si>
    <t>E355 TSM Poles,</t>
  </si>
  <si>
    <t>E3557 TSM Poles,</t>
  </si>
  <si>
    <t xml:space="preserve">E356 TSM O/H Cond, </t>
  </si>
  <si>
    <t>E3567 TSM O/H Cond,</t>
  </si>
  <si>
    <t>E3536 TSM Sta Eq,</t>
  </si>
  <si>
    <t>E356 TSM O/H Cond</t>
  </si>
  <si>
    <t>WA $108,859, OR $4,649</t>
  </si>
  <si>
    <t>Vantage Wind Energy LLC- Invenergy</t>
  </si>
  <si>
    <t>Noble Americas Gas and Power</t>
  </si>
  <si>
    <t>Cargill Power Marketers</t>
  </si>
  <si>
    <t>Guzman Power Marketers, LLC</t>
  </si>
  <si>
    <t>Iberdrola Renewables, Inc</t>
  </si>
  <si>
    <t>NextEra Energy Power Marketing, LLC</t>
  </si>
  <si>
    <t>Seattle City Light Marketing</t>
  </si>
  <si>
    <t>Bonneville Power Administration</t>
  </si>
  <si>
    <t xml:space="preserve">  Adjustments - Forward Swap</t>
  </si>
  <si>
    <t>Original Cost 12/31/2014</t>
  </si>
  <si>
    <t>Accumulated Depreciation 12/31/2014</t>
  </si>
  <si>
    <t>Net Plant 12/31/2014</t>
  </si>
  <si>
    <t>E3529 (GIF) Struc/Improv, LSR</t>
  </si>
  <si>
    <t>E3539 (GIF) Sta Eq, LSR</t>
  </si>
  <si>
    <t>E3539 (GIF) Sta Eq, SUB-BRL4-2013</t>
  </si>
  <si>
    <t>E3549 (GIF) Twr/Fixt, LSR</t>
  </si>
  <si>
    <t>E3559 (GIF) TSM Poles, LSR</t>
  </si>
  <si>
    <t>E3569 (GIF) O/H Conductor, LSR</t>
  </si>
  <si>
    <t>E3589 (GIF) UG Conductor, LSR</t>
  </si>
  <si>
    <t xml:space="preserve">  24200071  Cali Carbon Obligati</t>
  </si>
  <si>
    <t>PSE/16502103</t>
  </si>
  <si>
    <t>Ppd -Doble substation equip Lease</t>
  </si>
  <si>
    <t>PSE/16502063</t>
  </si>
  <si>
    <t>Prepaid-Corner Stone-PALMS payments -Short Term</t>
  </si>
  <si>
    <t>PSE/16502053</t>
  </si>
  <si>
    <t>Prepaid RSA - Archer Software Mainten- Short Term</t>
  </si>
  <si>
    <t>PSE/16502083</t>
  </si>
  <si>
    <t>Prepaid - TAIT/Zetron Support Agreement-ST</t>
  </si>
  <si>
    <t>PSE/16502093</t>
  </si>
  <si>
    <t>Prepaid - Structured-Symantec Renewal - Short Term</t>
  </si>
  <si>
    <t>PSE/16502073</t>
  </si>
  <si>
    <t>Prepaid - Smartpros - Short Term</t>
  </si>
  <si>
    <t>PSE/16502113</t>
  </si>
  <si>
    <t>Prepaid-GIS software maint-ST</t>
  </si>
  <si>
    <t>PSE/16504043</t>
  </si>
  <si>
    <t>Prepaid -Futra software maint-LT</t>
  </si>
  <si>
    <t>Biogas proceeds</t>
  </si>
  <si>
    <t>Retail sales and distr revenue</t>
  </si>
  <si>
    <t>WA Property taxes</t>
  </si>
  <si>
    <t>Annual Point-to-Point and Network Transmission Rate</t>
  </si>
  <si>
    <t>Formula Rate -- Attachment H-1</t>
  </si>
  <si>
    <t>Attachment H-1 % plus 100 Basis Pts</t>
  </si>
  <si>
    <t>Attachment H-1 Line #s, Descriptions, Notes, Form 1 Page #s and Instructions</t>
  </si>
  <si>
    <t>Must run Attachment H-1 to get this number (with input on line 16 of Attachment H-1)</t>
  </si>
  <si>
    <t>Must run Attachment H-1 to get this number (without inputs in line 16 of Attachment H-1 )</t>
  </si>
  <si>
    <t>Must run Attachment H-1 to get this number (without inputs on line 16 of Attachment H-1)</t>
  </si>
  <si>
    <t>Must run Attachment H-1 to get this number (with input in line 16 of Attachment H-1 )</t>
  </si>
  <si>
    <t>Transmission Provider (TP) populates the formula with Year 1 data from FERC Form No. 1 data for Year 1 (e.g., 2010)</t>
  </si>
  <si>
    <t>TP estimates all transmission Cap Adds and CWIP for Year 2 weighted based on Months expected to be in service in Year 2 (e.g., 2011)</t>
  </si>
  <si>
    <t>TP adds weighted Cap Adds to plant in service in Formula</t>
  </si>
  <si>
    <t>Results of Step 3 go into effect for the Rate Year 1 (e.g., June 1, 2011 - May 31, 2012)</t>
  </si>
  <si>
    <t>TP populates the formula with Year 2 data from FERC Form No. 1 for Year 2 (e.g., 2011)</t>
  </si>
  <si>
    <t>Reconciliation - TP adds the difference between the Reconciliation in Step 7 and the forecast in Line 5 with interest to the result of Step 7 (this difference is also added to Step 8 in the subsequent year)</t>
  </si>
  <si>
    <t>Results of Step 9 go into effect for the Rate Year 2 (e.g., June 1, 2012 - May 31, 2013)</t>
  </si>
  <si>
    <t>TP populates the formula with Year 1 data from FERC Form No. 1 data for Year 1 (e.g., 2010)</t>
  </si>
  <si>
    <t>Prior Period Adjustments Detail:</t>
  </si>
  <si>
    <t>Total Other Adjustment</t>
  </si>
  <si>
    <t>State utility tax adjustment</t>
  </si>
  <si>
    <t>True Up</t>
  </si>
  <si>
    <t>Prior Period Adjustment</t>
  </si>
  <si>
    <t>Net True up</t>
  </si>
  <si>
    <t>Year 1=</t>
  </si>
  <si>
    <t>Year 2=</t>
  </si>
  <si>
    <t>Year 3=</t>
  </si>
  <si>
    <t>TP estimates Cap Adds and CWIP during Year 3 weighted based on Months expected to be in service in Year 3 (e.g., 2012)</t>
  </si>
  <si>
    <t>Input to Line 16 of Attachment H-1</t>
  </si>
  <si>
    <t>True up adjustments including any prior period adjustments</t>
  </si>
  <si>
    <t>Balance to line 40 of Attachment H-1</t>
  </si>
  <si>
    <t>Amortization to line 142 of Attachment H-1</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</si>
</sst>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_(* #,##0.000_);_(* \(#,##0.000\);_(* &quot;-&quot;??_);_(@_)"/>
    <numFmt numFmtId="176" formatCode="_(* #,##0.00000_);_(* \(#,##0.00000\);_(* &quot;-&quot;??_);_(@_)"/>
    <numFmt numFmtId="177" formatCode="_(* #,##0.000000_);_(* \(#,##0.000000\);_(* &quot;-&quot;??_);_(@_)"/>
    <numFmt numFmtId="178" formatCode=";;;\(@\)"/>
    <numFmt numFmtId="179" formatCode="&quot; &quot;&quot;$&quot;* #,##0.00&quot;/kw  &quot;"/>
    <numFmt numFmtId="180" formatCode="* #,##0&quot;  &quot;\ "/>
    <numFmt numFmtId="181" formatCode="_(* #,##0.0_);_(* \(#,##0.0\);_(* &quot;-&quot;??_);_(@_)"/>
    <numFmt numFmtId="182" formatCode="0.000000"/>
    <numFmt numFmtId="183" formatCode="[$-409]mmm\-yy;@"/>
    <numFmt numFmtId="184" formatCode="[$-409]mmmm\-yy;@"/>
    <numFmt numFmtId="185" formatCode="0.000"/>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sz val="12"/>
      <color indexed="13"/>
      <name val="Arial"/>
      <family val="2"/>
    </font>
    <font>
      <b/>
      <sz val="12"/>
      <color indexed="13"/>
      <name val="Arial"/>
      <family val="2"/>
    </font>
    <font>
      <b/>
      <sz val="12"/>
      <color indexed="13"/>
      <name val="Helv"/>
    </font>
    <font>
      <sz val="14"/>
      <name val="Arial"/>
      <family val="2"/>
    </font>
    <font>
      <sz val="12"/>
      <name val="Arial Narrow"/>
      <family val="2"/>
    </font>
    <font>
      <b/>
      <sz val="18"/>
      <name val="Arial"/>
      <family val="2"/>
    </font>
    <font>
      <sz val="12"/>
      <color indexed="10"/>
      <name val="Helv"/>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b/>
      <sz val="11"/>
      <name val="Arial"/>
      <family val="2"/>
    </font>
    <font>
      <sz val="10"/>
      <color indexed="8"/>
      <name val="Arial"/>
      <family val="2"/>
    </font>
    <font>
      <sz val="10"/>
      <name val="Arial"/>
      <family val="2"/>
    </font>
    <font>
      <b/>
      <sz val="8"/>
      <name val="Arial"/>
      <family val="2"/>
    </font>
    <font>
      <sz val="8"/>
      <name val="Arial"/>
      <family val="2"/>
    </font>
    <font>
      <sz val="9"/>
      <name val="Arial Narrow"/>
      <family val="2"/>
    </font>
    <font>
      <sz val="8"/>
      <name val="Arial"/>
      <family val="2"/>
    </font>
    <font>
      <sz val="10"/>
      <color indexed="17"/>
      <name val="Arial"/>
      <family val="2"/>
    </font>
    <font>
      <sz val="10"/>
      <color indexed="17"/>
      <name val="Arial Narrow"/>
      <family val="2"/>
    </font>
    <font>
      <b/>
      <sz val="10"/>
      <color indexed="17"/>
      <name val="Arial Narrow"/>
      <family val="2"/>
    </font>
    <font>
      <sz val="10"/>
      <color indexed="17"/>
      <name val="Arial"/>
      <family val="2"/>
    </font>
    <font>
      <sz val="8"/>
      <color indexed="17"/>
      <name val="Arial"/>
      <family val="2"/>
    </font>
    <font>
      <sz val="10"/>
      <color indexed="10"/>
      <name val="Arial"/>
      <family val="2"/>
    </font>
    <font>
      <b/>
      <u/>
      <sz val="12"/>
      <name val="Arial"/>
      <family val="2"/>
    </font>
    <font>
      <b/>
      <sz val="12"/>
      <color indexed="12"/>
      <name val="Arial"/>
      <family val="2"/>
    </font>
    <font>
      <b/>
      <sz val="9"/>
      <color indexed="10"/>
      <name val="Arial"/>
      <family val="2"/>
    </font>
    <font>
      <sz val="12"/>
      <color indexed="36"/>
      <name val="Arial Narrow"/>
      <family val="2"/>
    </font>
    <font>
      <sz val="10"/>
      <color indexed="36"/>
      <name val="Arial Narrow"/>
      <family val="2"/>
    </font>
    <font>
      <sz val="10"/>
      <color indexed="14"/>
      <name val="Arial"/>
      <family val="2"/>
    </font>
    <font>
      <sz val="12"/>
      <color indexed="17"/>
      <name val="Arial"/>
      <family val="2"/>
    </font>
    <font>
      <sz val="8"/>
      <name val="Arial"/>
      <family val="2"/>
    </font>
    <font>
      <sz val="10"/>
      <name val="Arial"/>
      <family val="2"/>
    </font>
    <font>
      <sz val="10"/>
      <color indexed="12"/>
      <name val="Arial"/>
      <family val="2"/>
    </font>
    <font>
      <u val="singleAccounting"/>
      <sz val="10"/>
      <name val="Times"/>
      <family val="1"/>
    </font>
    <font>
      <sz val="10"/>
      <name val="MS Sans Serif"/>
      <family val="2"/>
    </font>
    <font>
      <b/>
      <sz val="10"/>
      <name val="MS Sans Serif"/>
      <family val="2"/>
    </font>
    <font>
      <sz val="10"/>
      <color indexed="18"/>
      <name val="Arial"/>
      <family val="2"/>
    </font>
    <font>
      <sz val="10"/>
      <color indexed="14"/>
      <name val="Arial"/>
      <family val="2"/>
    </font>
    <font>
      <b/>
      <sz val="10"/>
      <color indexed="18"/>
      <name val="Arial"/>
      <family val="2"/>
    </font>
    <font>
      <sz val="9"/>
      <name val="Arial"/>
      <family val="2"/>
    </font>
    <font>
      <sz val="12"/>
      <color indexed="10"/>
      <name val="Arial"/>
      <family val="2"/>
    </font>
    <font>
      <sz val="8"/>
      <name val="Arial"/>
      <family val="2"/>
    </font>
    <font>
      <b/>
      <sz val="10"/>
      <color indexed="8"/>
      <name val="Arial"/>
      <family val="2"/>
    </font>
    <font>
      <sz val="10"/>
      <color indexed="8"/>
      <name val="Arial"/>
      <family val="2"/>
    </font>
    <font>
      <b/>
      <u/>
      <sz val="10"/>
      <color indexed="8"/>
      <name val="Arial"/>
      <family val="2"/>
    </font>
    <font>
      <b/>
      <u/>
      <sz val="11"/>
      <color indexed="8"/>
      <name val="Calibri"/>
      <family val="2"/>
    </font>
    <font>
      <sz val="11"/>
      <name val="Calibri"/>
      <family val="2"/>
    </font>
    <font>
      <sz val="11"/>
      <color indexed="8"/>
      <name val="Calibri"/>
      <family val="2"/>
    </font>
    <font>
      <b/>
      <i/>
      <sz val="14"/>
      <name val="Arial Narrow"/>
      <family val="2"/>
    </font>
    <font>
      <i/>
      <sz val="10"/>
      <name val="Arial"/>
      <family val="2"/>
    </font>
    <font>
      <b/>
      <i/>
      <sz val="11"/>
      <name val="Arial Narrow"/>
      <family val="2"/>
    </font>
    <font>
      <b/>
      <sz val="9"/>
      <name val="Arial Narrow"/>
      <family val="2"/>
    </font>
    <font>
      <sz val="9"/>
      <color indexed="10"/>
      <name val="Arial Narrow"/>
      <family val="2"/>
    </font>
    <font>
      <b/>
      <sz val="9"/>
      <color indexed="10"/>
      <name val="Arial Narrow"/>
      <family val="2"/>
    </font>
    <font>
      <b/>
      <i/>
      <sz val="12"/>
      <name val="Arial Narrow"/>
      <family val="2"/>
    </font>
    <font>
      <sz val="10"/>
      <name val="Arial"/>
      <family val="2"/>
    </font>
    <font>
      <sz val="10"/>
      <color indexed="9"/>
      <name val="Arial"/>
      <family val="2"/>
    </font>
    <font>
      <u/>
      <sz val="8"/>
      <name val="Arial"/>
      <family val="2"/>
    </font>
    <font>
      <sz val="14"/>
      <name val="Arial Narrow"/>
      <family val="2"/>
    </font>
    <font>
      <b/>
      <sz val="14"/>
      <color indexed="10"/>
      <name val="Arial Narrow"/>
      <family val="2"/>
    </font>
    <font>
      <b/>
      <sz val="14"/>
      <name val="Arial Narrow"/>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sz val="10"/>
      <color indexed="10"/>
      <name val="Arial"/>
      <family val="2"/>
    </font>
    <font>
      <sz val="11"/>
      <name val="Arial"/>
      <family val="2"/>
    </font>
    <font>
      <sz val="9"/>
      <name val="Arial"/>
      <family val="2"/>
    </font>
    <font>
      <b/>
      <sz val="9"/>
      <name val="Arial"/>
      <family val="2"/>
    </font>
    <font>
      <b/>
      <u/>
      <sz val="9"/>
      <name val="Arial"/>
      <family val="2"/>
    </font>
    <font>
      <b/>
      <sz val="10"/>
      <color indexed="17"/>
      <name val="Arial"/>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ont>
    <font>
      <b/>
      <sz val="18"/>
      <color indexed="56"/>
      <name val="Cambria"/>
      <family val="2"/>
    </font>
    <font>
      <u/>
      <sz val="10"/>
      <name val="Arial"/>
      <family val="2"/>
    </font>
    <font>
      <sz val="10"/>
      <color indexed="10"/>
      <name val="Arial"/>
      <family val="2"/>
    </font>
    <font>
      <vertAlign val="superscript"/>
      <sz val="12"/>
      <name val="Arial"/>
      <family val="2"/>
    </font>
    <font>
      <u/>
      <vertAlign val="superscript"/>
      <sz val="12"/>
      <name val="Arial"/>
      <family val="2"/>
    </font>
    <font>
      <u/>
      <sz val="12"/>
      <name val="Arial"/>
      <family val="2"/>
    </font>
    <font>
      <sz val="14"/>
      <color indexed="8"/>
      <name val="Arial"/>
      <family val="2"/>
    </font>
    <font>
      <sz val="10"/>
      <name val="Segoe UI"/>
      <family val="2"/>
    </font>
    <font>
      <b/>
      <i/>
      <sz val="12"/>
      <name val="Arial"/>
      <family val="2"/>
    </font>
    <font>
      <sz val="10"/>
      <name val="Arial"/>
      <family val="2"/>
    </font>
    <font>
      <b/>
      <sz val="10"/>
      <name val="Helv"/>
    </font>
    <font>
      <sz val="10"/>
      <name val="Arial"/>
      <family val="2"/>
    </font>
    <font>
      <sz val="9"/>
      <color indexed="11"/>
      <name val="Arial Narrow"/>
      <family val="2"/>
    </font>
    <font>
      <b/>
      <sz val="9"/>
      <color indexed="11"/>
      <name val="Arial Narrow"/>
      <family val="2"/>
    </font>
    <font>
      <sz val="10"/>
      <color indexed="11"/>
      <name val="Arial"/>
      <family val="2"/>
    </font>
    <font>
      <sz val="9"/>
      <color indexed="56"/>
      <name val="Arial Narrow"/>
      <family val="2"/>
    </font>
    <font>
      <b/>
      <sz val="14"/>
      <color indexed="12"/>
      <name val="Arial"/>
      <family val="2"/>
    </font>
    <font>
      <sz val="11"/>
      <color theme="1"/>
      <name val="Calibri"/>
      <family val="2"/>
      <scheme val="minor"/>
    </font>
    <font>
      <sz val="11"/>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Arial"/>
      <family val="2"/>
    </font>
    <font>
      <b/>
      <sz val="10"/>
      <color rgb="FFFF0000"/>
      <name val="Arial"/>
      <family val="2"/>
    </font>
    <font>
      <sz val="10"/>
      <color rgb="FF000000"/>
      <name val="Arial"/>
      <family val="2"/>
    </font>
    <font>
      <b/>
      <sz val="10"/>
      <color rgb="FFFF0000"/>
      <name val="Arial Narrow"/>
      <family val="2"/>
    </font>
    <font>
      <b/>
      <sz val="8"/>
      <color rgb="FFFF0000"/>
      <name val="Arial"/>
      <family val="2"/>
    </font>
    <font>
      <b/>
      <sz val="9"/>
      <color rgb="FF7030A0"/>
      <name val="Arial Narrow"/>
      <family val="2"/>
    </font>
    <font>
      <b/>
      <sz val="10"/>
      <color rgb="FF7030A0"/>
      <name val="Arial"/>
      <family val="2"/>
    </font>
    <font>
      <sz val="8"/>
      <color theme="1"/>
      <name val="Calibri"/>
      <family val="2"/>
      <scheme val="minor"/>
    </font>
    <font>
      <sz val="10"/>
      <name val="Arial"/>
    </font>
    <font>
      <sz val="8"/>
      <color theme="1"/>
      <name val="Arial"/>
      <family val="2"/>
    </font>
    <font>
      <b/>
      <u/>
      <sz val="9"/>
      <name val="Arial Narrow"/>
      <family val="2"/>
    </font>
    <font>
      <b/>
      <sz val="12"/>
      <name val="Arial Narrow"/>
      <family val="2"/>
    </font>
    <font>
      <sz val="9"/>
      <color rgb="FFFF0000"/>
      <name val="Arial Narrow"/>
      <family val="2"/>
    </font>
    <font>
      <b/>
      <sz val="9"/>
      <color rgb="FFFF0000"/>
      <name val="Arial Narrow"/>
      <family val="2"/>
    </font>
    <font>
      <sz val="10"/>
      <color indexed="10"/>
      <name val="Arial Narrow"/>
      <family val="2"/>
    </font>
  </fonts>
  <fills count="71">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43"/>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9"/>
        <bgColor indexed="64"/>
      </patternFill>
    </fill>
    <fill>
      <patternFill patternType="solid">
        <fgColor indexed="47"/>
        <bgColor indexed="64"/>
      </patternFill>
    </fill>
    <fill>
      <patternFill patternType="solid">
        <fgColor indexed="13"/>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86"/>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55">
    <xf numFmtId="0" fontId="0" fillId="0" borderId="0"/>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7" fillId="14" borderId="0" applyNumberFormat="0" applyBorder="0" applyAlignment="0" applyProtection="0"/>
    <xf numFmtId="0" fontId="97" fillId="4" borderId="0" applyNumberFormat="0" applyBorder="0" applyAlignment="0" applyProtection="0"/>
    <xf numFmtId="0" fontId="97" fillId="11"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21" borderId="0" applyNumberFormat="0" applyBorder="0" applyAlignment="0" applyProtection="0"/>
    <xf numFmtId="0" fontId="98" fillId="5" borderId="0" applyNumberFormat="0" applyBorder="0" applyAlignment="0" applyProtection="0"/>
    <xf numFmtId="0" fontId="111" fillId="12" borderId="1" applyNumberFormat="0" applyAlignment="0" applyProtection="0"/>
    <xf numFmtId="0" fontId="99" fillId="22" borderId="2" applyNumberFormat="0" applyAlignment="0" applyProtection="0"/>
    <xf numFmtId="178" fontId="69" fillId="0" borderId="0">
      <alignment horizontal="center"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23" borderId="0" applyFont="0" applyFill="0" applyBorder="0" applyAlignment="0" applyProtection="0"/>
    <xf numFmtId="0" fontId="8" fillId="0" borderId="3"/>
    <xf numFmtId="179" fontId="12" fillId="0" borderId="0">
      <protection locked="0"/>
    </xf>
    <xf numFmtId="44" fontId="8" fillId="0" borderId="0" applyFont="0" applyFill="0" applyBorder="0" applyAlignment="0" applyProtection="0"/>
    <xf numFmtId="44" fontId="1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5" fontId="8" fillId="23" borderId="0" applyFont="0" applyFill="0" applyBorder="0" applyAlignment="0" applyProtection="0"/>
    <xf numFmtId="0" fontId="8" fillId="23" borderId="0" applyFont="0" applyFill="0" applyBorder="0" applyAlignment="0" applyProtection="0"/>
    <xf numFmtId="0" fontId="100" fillId="0" borderId="0" applyNumberFormat="0" applyFill="0" applyBorder="0" applyAlignment="0" applyProtection="0"/>
    <xf numFmtId="2" fontId="8" fillId="23" borderId="0" applyFont="0" applyFill="0" applyBorder="0" applyAlignment="0" applyProtection="0"/>
    <xf numFmtId="0" fontId="112" fillId="7" borderId="0" applyNumberFormat="0" applyBorder="0" applyAlignment="0" applyProtection="0"/>
    <xf numFmtId="0" fontId="113" fillId="0" borderId="4" applyNumberFormat="0" applyFill="0" applyAlignment="0" applyProtection="0"/>
    <xf numFmtId="0" fontId="114" fillId="0" borderId="5" applyNumberFormat="0" applyFill="0" applyAlignment="0" applyProtection="0"/>
    <xf numFmtId="0" fontId="115" fillId="0" borderId="6"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01" fillId="8" borderId="1" applyNumberFormat="0" applyAlignment="0" applyProtection="0"/>
    <xf numFmtId="180" fontId="12" fillId="0" borderId="0">
      <alignment horizontal="center"/>
      <protection locked="0"/>
    </xf>
    <xf numFmtId="0" fontId="117" fillId="0" borderId="7" applyNumberFormat="0" applyFill="0" applyAlignment="0" applyProtection="0"/>
    <xf numFmtId="0" fontId="118" fillId="24" borderId="0" applyNumberFormat="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5" fillId="0" borderId="0"/>
    <xf numFmtId="0" fontId="6" fillId="0" borderId="0"/>
    <xf numFmtId="0" fontId="5" fillId="0" borderId="0"/>
    <xf numFmtId="0" fontId="5" fillId="0" borderId="0"/>
    <xf numFmtId="0" fontId="8" fillId="0" borderId="0"/>
    <xf numFmtId="0" fontId="5" fillId="0" borderId="0"/>
    <xf numFmtId="0" fontId="6" fillId="0" borderId="0"/>
    <xf numFmtId="0" fontId="6" fillId="0" borderId="0"/>
    <xf numFmtId="183" fontId="8" fillId="0" borderId="0"/>
    <xf numFmtId="0" fontId="5" fillId="0" borderId="0"/>
    <xf numFmtId="183" fontId="8" fillId="0" borderId="0"/>
    <xf numFmtId="0" fontId="5" fillId="0" borderId="0"/>
    <xf numFmtId="0" fontId="119" fillId="0" borderId="0"/>
    <xf numFmtId="0" fontId="8" fillId="0" borderId="0"/>
    <xf numFmtId="0" fontId="18" fillId="0" borderId="0"/>
    <xf numFmtId="0" fontId="18" fillId="0" borderId="0"/>
    <xf numFmtId="0" fontId="8" fillId="0" borderId="0"/>
    <xf numFmtId="0" fontId="8" fillId="0" borderId="0"/>
    <xf numFmtId="183"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8"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0" fontId="8" fillId="0" borderId="0"/>
    <xf numFmtId="0" fontId="8" fillId="0" borderId="0"/>
    <xf numFmtId="0" fontId="137" fillId="0" borderId="0"/>
    <xf numFmtId="0" fontId="8" fillId="0" borderId="0"/>
    <xf numFmtId="0" fontId="8" fillId="0" borderId="0"/>
    <xf numFmtId="0" fontId="8" fillId="0" borderId="0"/>
    <xf numFmtId="0" fontId="5" fillId="0" borderId="0"/>
    <xf numFmtId="0" fontId="13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5" fillId="0" borderId="0"/>
    <xf numFmtId="0" fontId="8" fillId="0" borderId="0"/>
    <xf numFmtId="0" fontId="8" fillId="0" borderId="0"/>
    <xf numFmtId="0" fontId="6" fillId="0" borderId="0"/>
    <xf numFmtId="0" fontId="6" fillId="0" borderId="0"/>
    <xf numFmtId="0" fontId="8" fillId="0" borderId="0"/>
    <xf numFmtId="0" fontId="5" fillId="0" borderId="0"/>
    <xf numFmtId="0" fontId="8" fillId="0" borderId="0"/>
    <xf numFmtId="0" fontId="8" fillId="0" borderId="0"/>
    <xf numFmtId="39" fontId="13" fillId="0" borderId="0"/>
    <xf numFmtId="170" fontId="19" fillId="0" borderId="0" applyProtection="0"/>
    <xf numFmtId="39" fontId="13" fillId="0" borderId="0"/>
    <xf numFmtId="0" fontId="8" fillId="0" borderId="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8"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50" fillId="6" borderId="8" applyNumberFormat="0" applyFont="0" applyAlignment="0" applyProtection="0"/>
    <xf numFmtId="0" fontId="103" fillId="12" borderId="9" applyNumberFormat="0" applyAlignment="0" applyProtection="0"/>
    <xf numFmtId="9" fontId="8" fillId="0" borderId="0" applyFont="0" applyFill="0" applyBorder="0" applyAlignment="0" applyProtection="0"/>
    <xf numFmtId="9" fontId="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0" fillId="0" borderId="0" applyNumberFormat="0" applyFont="0" applyFill="0" applyBorder="0" applyAlignment="0" applyProtection="0">
      <alignment horizontal="left"/>
    </xf>
    <xf numFmtId="15" fontId="70" fillId="0" borderId="0" applyFont="0" applyFill="0" applyBorder="0" applyAlignment="0" applyProtection="0"/>
    <xf numFmtId="4" fontId="70" fillId="0" borderId="0" applyFont="0" applyFill="0" applyBorder="0" applyAlignment="0" applyProtection="0"/>
    <xf numFmtId="0" fontId="71" fillId="0" borderId="10">
      <alignment horizontal="center"/>
    </xf>
    <xf numFmtId="3" fontId="70" fillId="0" borderId="0" applyFont="0" applyFill="0" applyBorder="0" applyAlignment="0" applyProtection="0"/>
    <xf numFmtId="0" fontId="70" fillId="25" borderId="0" applyNumberFormat="0" applyFont="0" applyBorder="0" applyAlignment="0" applyProtection="0"/>
    <xf numFmtId="0" fontId="8" fillId="26" borderId="9" applyNumberFormat="0" applyProtection="0">
      <alignment horizontal="left" vertical="center" indent="1"/>
    </xf>
    <xf numFmtId="4" fontId="47" fillId="27" borderId="9" applyNumberFormat="0" applyProtection="0">
      <alignment horizontal="right" vertical="center"/>
    </xf>
    <xf numFmtId="0" fontId="8" fillId="26" borderId="9" applyNumberFormat="0" applyProtection="0">
      <alignment horizontal="left" vertical="center" indent="1"/>
    </xf>
    <xf numFmtId="0" fontId="8" fillId="26" borderId="9" applyNumberFormat="0" applyProtection="0">
      <alignment horizontal="left" vertical="center" indent="1"/>
    </xf>
    <xf numFmtId="0" fontId="21" fillId="28" borderId="0"/>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0" fontId="8" fillId="29" borderId="3" applyNumberFormat="0" applyFont="0" applyAlignment="0"/>
    <xf numFmtId="0" fontId="120" fillId="0" borderId="0" applyNumberFormat="0" applyFill="0" applyBorder="0" applyAlignment="0" applyProtection="0"/>
    <xf numFmtId="0" fontId="104" fillId="0" borderId="11" applyNumberFormat="0" applyFill="0" applyAlignment="0" applyProtection="0"/>
    <xf numFmtId="0" fontId="102" fillId="0" borderId="0" applyNumberFormat="0" applyFill="0" applyBorder="0" applyAlignment="0" applyProtection="0"/>
    <xf numFmtId="0" fontId="139" fillId="0" borderId="0" applyNumberFormat="0" applyFill="0" applyBorder="0" applyAlignment="0" applyProtection="0"/>
    <xf numFmtId="0" fontId="140" fillId="0" borderId="73" applyNumberFormat="0" applyFill="0" applyAlignment="0" applyProtection="0"/>
    <xf numFmtId="0" fontId="141" fillId="0" borderId="74" applyNumberFormat="0" applyFill="0" applyAlignment="0" applyProtection="0"/>
    <xf numFmtId="0" fontId="142" fillId="0" borderId="75" applyNumberFormat="0" applyFill="0" applyAlignment="0" applyProtection="0"/>
    <xf numFmtId="0" fontId="142" fillId="0" borderId="0" applyNumberFormat="0" applyFill="0" applyBorder="0" applyAlignment="0" applyProtection="0"/>
    <xf numFmtId="0" fontId="143" fillId="38" borderId="0" applyNumberFormat="0" applyBorder="0" applyAlignment="0" applyProtection="0"/>
    <xf numFmtId="0" fontId="144" fillId="39" borderId="0" applyNumberFormat="0" applyBorder="0" applyAlignment="0" applyProtection="0"/>
    <xf numFmtId="0" fontId="145" fillId="40" borderId="0" applyNumberFormat="0" applyBorder="0" applyAlignment="0" applyProtection="0"/>
    <xf numFmtId="0" fontId="146" fillId="41" borderId="76" applyNumberFormat="0" applyAlignment="0" applyProtection="0"/>
    <xf numFmtId="0" fontId="147" fillId="42" borderId="77" applyNumberFormat="0" applyAlignment="0" applyProtection="0"/>
    <xf numFmtId="0" fontId="148" fillId="42" borderId="76" applyNumberFormat="0" applyAlignment="0" applyProtection="0"/>
    <xf numFmtId="0" fontId="149" fillId="0" borderId="78" applyNumberFormat="0" applyFill="0" applyAlignment="0" applyProtection="0"/>
    <xf numFmtId="0" fontId="150" fillId="43" borderId="79" applyNumberFormat="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81" applyNumberFormat="0" applyFill="0" applyAlignment="0" applyProtection="0"/>
    <xf numFmtId="0" fontId="15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154" fillId="48" borderId="0" applyNumberFormat="0" applyBorder="0" applyAlignment="0" applyProtection="0"/>
    <xf numFmtId="0" fontId="15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154" fillId="52" borderId="0" applyNumberFormat="0" applyBorder="0" applyAlignment="0" applyProtection="0"/>
    <xf numFmtId="0" fontId="154"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154" fillId="56" borderId="0" applyNumberFormat="0" applyBorder="0" applyAlignment="0" applyProtection="0"/>
    <xf numFmtId="0" fontId="15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154" fillId="60" borderId="0" applyNumberFormat="0" applyBorder="0" applyAlignment="0" applyProtection="0"/>
    <xf numFmtId="0" fontId="15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154" fillId="64" borderId="0" applyNumberFormat="0" applyBorder="0" applyAlignment="0" applyProtection="0"/>
    <xf numFmtId="0" fontId="154"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154" fillId="68" borderId="0" applyNumberFormat="0" applyBorder="0" applyAlignment="0" applyProtection="0"/>
    <xf numFmtId="0" fontId="4" fillId="0" borderId="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44" borderId="80" applyNumberFormat="0" applyFont="0" applyAlignment="0" applyProtection="0"/>
    <xf numFmtId="0" fontId="4" fillId="0" borderId="0"/>
    <xf numFmtId="9" fontId="8"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44" borderId="80" applyNumberFormat="0" applyFont="0" applyAlignment="0" applyProtection="0"/>
    <xf numFmtId="0" fontId="4" fillId="44" borderId="80" applyNumberFormat="0" applyFont="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46"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8"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44" borderId="80"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44" borderId="80" applyNumberFormat="0" applyFont="0" applyAlignment="0" applyProtection="0"/>
    <xf numFmtId="0" fontId="3" fillId="0" borderId="0"/>
    <xf numFmtId="0" fontId="3" fillId="44" borderId="80" applyNumberFormat="0" applyFont="0" applyAlignment="0" applyProtection="0"/>
    <xf numFmtId="0" fontId="3" fillId="44" borderId="8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8" fillId="0" borderId="0" applyFont="0" applyFill="0" applyBorder="0" applyAlignment="0" applyProtection="0"/>
    <xf numFmtId="0" fontId="3" fillId="0" borderId="0"/>
    <xf numFmtId="0" fontId="3" fillId="0" borderId="0"/>
    <xf numFmtId="0" fontId="3" fillId="44" borderId="80" applyNumberFormat="0" applyFont="0" applyAlignment="0" applyProtection="0"/>
    <xf numFmtId="0" fontId="8" fillId="0" borderId="0"/>
    <xf numFmtId="0" fontId="3" fillId="44" borderId="80" applyNumberFormat="0" applyFont="0" applyAlignment="0" applyProtection="0"/>
    <xf numFmtId="0" fontId="3" fillId="44" borderId="80" applyNumberFormat="0" applyFont="0" applyAlignment="0" applyProtection="0"/>
    <xf numFmtId="0" fontId="3" fillId="0" borderId="0"/>
    <xf numFmtId="0" fontId="8" fillId="6" borderId="8" applyNumberFormat="0" applyFont="0" applyAlignment="0" applyProtection="0"/>
    <xf numFmtId="0" fontId="3" fillId="44" borderId="80" applyNumberFormat="0" applyFont="0" applyAlignment="0" applyProtection="0"/>
    <xf numFmtId="0" fontId="8" fillId="6" borderId="8" applyNumberFormat="0" applyFont="0" applyAlignment="0" applyProtection="0"/>
    <xf numFmtId="0" fontId="3" fillId="44" borderId="80" applyNumberFormat="0" applyFont="0" applyAlignment="0" applyProtection="0"/>
    <xf numFmtId="0" fontId="3" fillId="0" borderId="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3" fillId="0" borderId="0"/>
    <xf numFmtId="0" fontId="3" fillId="0" borderId="0"/>
    <xf numFmtId="0" fontId="3" fillId="44" borderId="80" applyNumberFormat="0" applyFont="0" applyAlignment="0" applyProtection="0"/>
    <xf numFmtId="0" fontId="8" fillId="6" borderId="8" applyNumberFormat="0" applyFont="0" applyAlignment="0" applyProtection="0"/>
    <xf numFmtId="0" fontId="3" fillId="0" borderId="0"/>
    <xf numFmtId="0" fontId="3" fillId="44" borderId="80" applyNumberFormat="0" applyFont="0" applyAlignment="0" applyProtection="0"/>
    <xf numFmtId="0" fontId="8" fillId="6" borderId="8" applyNumberFormat="0" applyFont="0" applyAlignment="0" applyProtection="0"/>
    <xf numFmtId="0" fontId="3" fillId="0" borderId="0"/>
    <xf numFmtId="0" fontId="8" fillId="6" borderId="8" applyNumberFormat="0" applyFont="0" applyAlignment="0" applyProtection="0"/>
    <xf numFmtId="0" fontId="3" fillId="44" borderId="80" applyNumberFormat="0" applyFont="0" applyAlignment="0" applyProtection="0"/>
    <xf numFmtId="0" fontId="8" fillId="6" borderId="8" applyNumberFormat="0" applyFont="0" applyAlignment="0" applyProtection="0"/>
    <xf numFmtId="43" fontId="8" fillId="0" borderId="0" applyFont="0" applyFill="0" applyBorder="0" applyAlignment="0" applyProtection="0"/>
    <xf numFmtId="0" fontId="8" fillId="0" borderId="0"/>
    <xf numFmtId="0" fontId="3" fillId="0" borderId="0"/>
    <xf numFmtId="44" fontId="8" fillId="0" borderId="0" applyFont="0" applyFill="0" applyBorder="0" applyAlignment="0" applyProtection="0"/>
    <xf numFmtId="0" fontId="8" fillId="6" borderId="8" applyNumberFormat="0" applyFont="0" applyAlignment="0" applyProtection="0"/>
    <xf numFmtId="43" fontId="8" fillId="0" borderId="0" applyFont="0" applyFill="0" applyBorder="0" applyAlignment="0" applyProtection="0"/>
    <xf numFmtId="44" fontId="8" fillId="0" borderId="0" applyFont="0" applyFill="0" applyBorder="0" applyAlignment="0" applyProtection="0"/>
    <xf numFmtId="0" fontId="8" fillId="6" borderId="8" applyNumberFormat="0" applyFont="0" applyAlignment="0" applyProtection="0"/>
    <xf numFmtId="0" fontId="3" fillId="44" borderId="80" applyNumberFormat="0" applyFont="0" applyAlignment="0" applyProtection="0"/>
    <xf numFmtId="0" fontId="8" fillId="6"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44" borderId="80" applyNumberFormat="0" applyFont="0" applyAlignment="0" applyProtection="0"/>
    <xf numFmtId="43" fontId="8" fillId="0" borderId="0" applyNumberFormat="0" applyFill="0" applyBorder="0" applyAlignment="0" applyProtection="0"/>
    <xf numFmtId="0" fontId="3" fillId="44" borderId="80" applyNumberFormat="0" applyFont="0" applyAlignment="0" applyProtection="0"/>
    <xf numFmtId="0" fontId="3" fillId="0" borderId="0"/>
    <xf numFmtId="0" fontId="3" fillId="0" borderId="0"/>
    <xf numFmtId="0" fontId="8" fillId="6" borderId="8" applyNumberFormat="0" applyFont="0" applyAlignment="0" applyProtection="0"/>
    <xf numFmtId="9" fontId="8" fillId="0" borderId="0" applyFont="0" applyFill="0" applyBorder="0" applyAlignment="0" applyProtection="0"/>
    <xf numFmtId="0" fontId="8" fillId="6" borderId="8" applyNumberFormat="0" applyFont="0" applyAlignment="0" applyProtection="0"/>
    <xf numFmtId="0" fontId="3" fillId="44" borderId="80" applyNumberFormat="0" applyFont="0" applyAlignment="0" applyProtection="0"/>
    <xf numFmtId="0" fontId="3" fillId="44" borderId="80" applyNumberFormat="0" applyFont="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44" borderId="80" applyNumberFormat="0" applyFont="0" applyAlignment="0" applyProtection="0"/>
    <xf numFmtId="0" fontId="3" fillId="0" borderId="0"/>
    <xf numFmtId="0" fontId="3" fillId="44" borderId="8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44" borderId="80" applyNumberFormat="0" applyFont="0" applyAlignment="0" applyProtection="0"/>
    <xf numFmtId="0" fontId="3" fillId="44" borderId="80" applyNumberFormat="0" applyFont="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4" borderId="80" applyNumberFormat="0" applyFont="0" applyAlignment="0" applyProtection="0"/>
    <xf numFmtId="0" fontId="3" fillId="0" borderId="0"/>
    <xf numFmtId="0" fontId="3" fillId="44" borderId="80" applyNumberFormat="0" applyFont="0" applyAlignment="0" applyProtection="0"/>
    <xf numFmtId="0" fontId="3" fillId="0" borderId="0"/>
    <xf numFmtId="0" fontId="8" fillId="0" borderId="0"/>
    <xf numFmtId="0" fontId="2" fillId="0" borderId="0"/>
    <xf numFmtId="0" fontId="2" fillId="0" borderId="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44" borderId="80"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44" borderId="80" applyNumberFormat="0" applyFont="0" applyAlignment="0" applyProtection="0"/>
    <xf numFmtId="0" fontId="2" fillId="44" borderId="80" applyNumberFormat="0" applyFont="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4" borderId="80"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44" borderId="80" applyNumberFormat="0" applyFont="0" applyAlignment="0" applyProtection="0"/>
    <xf numFmtId="0" fontId="2" fillId="0" borderId="0"/>
    <xf numFmtId="0" fontId="2" fillId="44" borderId="80" applyNumberFormat="0" applyFont="0" applyAlignment="0" applyProtection="0"/>
    <xf numFmtId="0" fontId="2" fillId="44" borderId="80"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44" borderId="80" applyNumberFormat="0" applyFont="0" applyAlignment="0" applyProtection="0"/>
    <xf numFmtId="0" fontId="2" fillId="44" borderId="80" applyNumberFormat="0" applyFont="0" applyAlignment="0" applyProtection="0"/>
    <xf numFmtId="0" fontId="2" fillId="44" borderId="80" applyNumberFormat="0" applyFont="0" applyAlignment="0" applyProtection="0"/>
    <xf numFmtId="0" fontId="2" fillId="0" borderId="0"/>
    <xf numFmtId="0" fontId="2" fillId="44" borderId="80" applyNumberFormat="0" applyFont="0" applyAlignment="0" applyProtection="0"/>
    <xf numFmtId="0" fontId="2" fillId="44" borderId="80" applyNumberFormat="0" applyFont="0" applyAlignment="0" applyProtection="0"/>
    <xf numFmtId="0" fontId="2" fillId="0" borderId="0"/>
    <xf numFmtId="0" fontId="2" fillId="0" borderId="0"/>
    <xf numFmtId="0" fontId="2" fillId="0" borderId="0"/>
    <xf numFmtId="0" fontId="2" fillId="44" borderId="80" applyNumberFormat="0" applyFont="0" applyAlignment="0" applyProtection="0"/>
    <xf numFmtId="0" fontId="2" fillId="0" borderId="0"/>
    <xf numFmtId="0" fontId="2" fillId="44" borderId="80" applyNumberFormat="0" applyFont="0" applyAlignment="0" applyProtection="0"/>
    <xf numFmtId="0" fontId="2" fillId="0" borderId="0"/>
    <xf numFmtId="0" fontId="2" fillId="44" borderId="80" applyNumberFormat="0" applyFont="0" applyAlignment="0" applyProtection="0"/>
    <xf numFmtId="0" fontId="2" fillId="0" borderId="0"/>
    <xf numFmtId="0" fontId="2" fillId="44" borderId="8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44" borderId="80" applyNumberFormat="0" applyFont="0" applyAlignment="0" applyProtection="0"/>
    <xf numFmtId="0" fontId="2" fillId="44" borderId="80" applyNumberFormat="0" applyFont="0" applyAlignment="0" applyProtection="0"/>
    <xf numFmtId="0" fontId="2" fillId="0" borderId="0"/>
    <xf numFmtId="0" fontId="2" fillId="0" borderId="0"/>
    <xf numFmtId="0" fontId="2" fillId="44" borderId="80" applyNumberFormat="0" applyFont="0" applyAlignment="0" applyProtection="0"/>
    <xf numFmtId="0" fontId="2" fillId="44" borderId="80"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44" borderId="80" applyNumberFormat="0" applyFont="0" applyAlignment="0" applyProtection="0"/>
    <xf numFmtId="0" fontId="2" fillId="0" borderId="0"/>
    <xf numFmtId="0" fontId="2" fillId="44" borderId="80"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44" borderId="80" applyNumberFormat="0" applyFont="0" applyAlignment="0" applyProtection="0"/>
    <xf numFmtId="0" fontId="2" fillId="44" borderId="80" applyNumberFormat="0" applyFont="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4" borderId="80" applyNumberFormat="0" applyFont="0" applyAlignment="0" applyProtection="0"/>
    <xf numFmtId="0" fontId="2" fillId="0" borderId="0"/>
    <xf numFmtId="0" fontId="2" fillId="44" borderId="80" applyNumberFormat="0" applyFont="0" applyAlignment="0" applyProtection="0"/>
    <xf numFmtId="0" fontId="2" fillId="0" borderId="0"/>
    <xf numFmtId="0" fontId="1" fillId="0" borderId="0"/>
    <xf numFmtId="0" fontId="1" fillId="0" borderId="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44" borderId="80" applyNumberFormat="0" applyFont="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44" borderId="80" applyNumberFormat="0" applyFont="0" applyAlignment="0" applyProtection="0"/>
    <xf numFmtId="0" fontId="1" fillId="44" borderId="80" applyNumberFormat="0" applyFon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44" borderId="80"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44" borderId="80" applyNumberFormat="0" applyFont="0" applyAlignment="0" applyProtection="0"/>
    <xf numFmtId="0" fontId="1" fillId="0" borderId="0"/>
    <xf numFmtId="0" fontId="1" fillId="44" borderId="80" applyNumberFormat="0" applyFont="0" applyAlignment="0" applyProtection="0"/>
    <xf numFmtId="0" fontId="1" fillId="44" borderId="8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44" borderId="80" applyNumberFormat="0" applyFont="0" applyAlignment="0" applyProtection="0"/>
    <xf numFmtId="0" fontId="1" fillId="44" borderId="80" applyNumberFormat="0" applyFont="0" applyAlignment="0" applyProtection="0"/>
    <xf numFmtId="0" fontId="1" fillId="44" borderId="80" applyNumberFormat="0" applyFont="0" applyAlignment="0" applyProtection="0"/>
    <xf numFmtId="0" fontId="1" fillId="0" borderId="0"/>
    <xf numFmtId="0" fontId="1" fillId="44" borderId="80" applyNumberFormat="0" applyFont="0" applyAlignment="0" applyProtection="0"/>
    <xf numFmtId="0" fontId="1" fillId="44" borderId="80" applyNumberFormat="0" applyFont="0" applyAlignment="0" applyProtection="0"/>
    <xf numFmtId="0" fontId="1" fillId="0" borderId="0"/>
    <xf numFmtId="0" fontId="1" fillId="0" borderId="0"/>
    <xf numFmtId="0" fontId="1" fillId="0" borderId="0"/>
    <xf numFmtId="0" fontId="1" fillId="44" borderId="80" applyNumberFormat="0" applyFont="0" applyAlignment="0" applyProtection="0"/>
    <xf numFmtId="0" fontId="1" fillId="0" borderId="0"/>
    <xf numFmtId="0" fontId="1" fillId="44" borderId="80" applyNumberFormat="0" applyFont="0" applyAlignment="0" applyProtection="0"/>
    <xf numFmtId="0" fontId="1" fillId="0" borderId="0"/>
    <xf numFmtId="0" fontId="1" fillId="44" borderId="80" applyNumberFormat="0" applyFont="0" applyAlignment="0" applyProtection="0"/>
    <xf numFmtId="0" fontId="1" fillId="0" borderId="0"/>
    <xf numFmtId="0" fontId="1" fillId="44" borderId="8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44" borderId="80" applyNumberFormat="0" applyFont="0" applyAlignment="0" applyProtection="0"/>
    <xf numFmtId="0" fontId="1" fillId="44" borderId="80" applyNumberFormat="0" applyFont="0" applyAlignment="0" applyProtection="0"/>
    <xf numFmtId="0" fontId="1" fillId="0" borderId="0"/>
    <xf numFmtId="0" fontId="1" fillId="0" borderId="0"/>
    <xf numFmtId="0" fontId="1" fillId="44" borderId="80" applyNumberFormat="0" applyFont="0" applyAlignment="0" applyProtection="0"/>
    <xf numFmtId="0" fontId="1" fillId="44" borderId="80"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44" borderId="80" applyNumberFormat="0" applyFont="0" applyAlignment="0" applyProtection="0"/>
    <xf numFmtId="0" fontId="1" fillId="0" borderId="0"/>
    <xf numFmtId="0" fontId="1" fillId="44" borderId="8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44" borderId="80" applyNumberFormat="0" applyFont="0" applyAlignment="0" applyProtection="0"/>
    <xf numFmtId="0" fontId="1" fillId="44" borderId="80" applyNumberFormat="0" applyFon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80" applyNumberFormat="0" applyFont="0" applyAlignment="0" applyProtection="0"/>
    <xf numFmtId="0" fontId="1" fillId="0" borderId="0"/>
    <xf numFmtId="0" fontId="1" fillId="44" borderId="80" applyNumberFormat="0" applyFont="0" applyAlignment="0" applyProtection="0"/>
    <xf numFmtId="0" fontId="1" fillId="0" borderId="0"/>
  </cellStyleXfs>
  <cellXfs count="1974">
    <xf numFmtId="0" fontId="0" fillId="0" borderId="0" xfId="0"/>
    <xf numFmtId="0" fontId="10" fillId="0" borderId="0" xfId="0" applyFont="1"/>
    <xf numFmtId="0" fontId="0" fillId="0" borderId="0" xfId="0" applyFill="1"/>
    <xf numFmtId="0" fontId="10" fillId="0" borderId="0" xfId="0" applyNumberFormat="1" applyFont="1" applyFill="1" applyAlignment="1"/>
    <xf numFmtId="0" fontId="12" fillId="0" borderId="0" xfId="0" applyNumberFormat="1" applyFont="1" applyAlignment="1">
      <alignment horizontal="center"/>
    </xf>
    <xf numFmtId="0" fontId="12" fillId="0" borderId="0" xfId="0" applyFont="1" applyAlignment="1"/>
    <xf numFmtId="0" fontId="10" fillId="0" borderId="12" xfId="0" applyFont="1" applyBorder="1"/>
    <xf numFmtId="173" fontId="10" fillId="0" borderId="0" xfId="633" applyNumberFormat="1" applyFont="1" applyAlignment="1"/>
    <xf numFmtId="0" fontId="10" fillId="0" borderId="12" xfId="0" applyNumberFormat="1" applyFont="1" applyFill="1" applyBorder="1" applyAlignment="1"/>
    <xf numFmtId="0" fontId="10" fillId="0" borderId="13" xfId="0" applyNumberFormat="1" applyFont="1" applyFill="1" applyBorder="1" applyAlignment="1"/>
    <xf numFmtId="0" fontId="10" fillId="0" borderId="13" xfId="0" applyFont="1" applyBorder="1"/>
    <xf numFmtId="0" fontId="10" fillId="0" borderId="0" xfId="0" applyNumberFormat="1" applyFont="1" applyFill="1" applyBorder="1" applyAlignment="1"/>
    <xf numFmtId="0" fontId="12" fillId="0" borderId="0" xfId="0" applyFont="1"/>
    <xf numFmtId="0" fontId="12" fillId="0" borderId="0" xfId="0" applyNumberFormat="1" applyFont="1" applyAlignment="1">
      <alignment horizontal="left"/>
    </xf>
    <xf numFmtId="0" fontId="12" fillId="0" borderId="0" xfId="0" applyFont="1" applyFill="1" applyAlignment="1"/>
    <xf numFmtId="0" fontId="12" fillId="0" borderId="0" xfId="0" applyFont="1" applyFill="1"/>
    <xf numFmtId="0" fontId="12" fillId="0" borderId="12" xfId="0" applyNumberFormat="1" applyFont="1" applyFill="1" applyBorder="1" applyAlignment="1">
      <alignment horizontal="left"/>
    </xf>
    <xf numFmtId="0" fontId="12" fillId="0" borderId="12" xfId="0" applyFont="1" applyFill="1" applyBorder="1" applyAlignment="1"/>
    <xf numFmtId="0" fontId="12" fillId="0" borderId="12" xfId="0" applyFont="1" applyBorder="1"/>
    <xf numFmtId="0" fontId="12" fillId="0" borderId="12" xfId="0" applyFont="1" applyFill="1" applyBorder="1"/>
    <xf numFmtId="0" fontId="12" fillId="0" borderId="12" xfId="0" applyFont="1" applyBorder="1" applyAlignment="1"/>
    <xf numFmtId="0" fontId="12" fillId="0" borderId="0" xfId="0" applyFont="1" applyBorder="1" applyAlignment="1"/>
    <xf numFmtId="0" fontId="12" fillId="0" borderId="0" xfId="0" applyNumberFormat="1" applyFont="1" applyFill="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left"/>
    </xf>
    <xf numFmtId="0" fontId="12" fillId="0" borderId="0" xfId="0" applyFont="1" applyFill="1" applyBorder="1" applyAlignment="1"/>
    <xf numFmtId="0" fontId="12" fillId="0" borderId="0" xfId="0" applyFont="1" applyBorder="1"/>
    <xf numFmtId="0" fontId="10" fillId="0" borderId="0" xfId="0" applyNumberFormat="1" applyFont="1" applyBorder="1" applyAlignment="1"/>
    <xf numFmtId="0" fontId="10" fillId="0" borderId="12" xfId="0" applyNumberFormat="1" applyFont="1" applyBorder="1" applyAlignment="1"/>
    <xf numFmtId="0" fontId="26" fillId="30" borderId="0" xfId="0" applyFont="1" applyFill="1" applyBorder="1" applyAlignment="1"/>
    <xf numFmtId="0" fontId="26" fillId="30" borderId="0" xfId="0" applyFont="1" applyFill="1" applyBorder="1" applyAlignment="1">
      <alignment horizontal="left"/>
    </xf>
    <xf numFmtId="0" fontId="12" fillId="0" borderId="0" xfId="0" applyFont="1" applyAlignment="1">
      <alignment horizontal="center"/>
    </xf>
    <xf numFmtId="0" fontId="12" fillId="0" borderId="14" xfId="0" applyFont="1" applyFill="1" applyBorder="1" applyAlignment="1">
      <alignment horizontal="left"/>
    </xf>
    <xf numFmtId="0" fontId="12" fillId="0" borderId="14" xfId="0" applyNumberFormat="1" applyFont="1" applyBorder="1" applyAlignment="1">
      <alignment horizontal="left"/>
    </xf>
    <xf numFmtId="0" fontId="12" fillId="0" borderId="0" xfId="0" applyFont="1" applyFill="1" applyBorder="1" applyAlignment="1">
      <alignment horizontal="left"/>
    </xf>
    <xf numFmtId="0" fontId="12" fillId="0" borderId="14" xfId="0" applyFont="1" applyBorder="1" applyAlignment="1"/>
    <xf numFmtId="0" fontId="12" fillId="0" borderId="0" xfId="0" applyFont="1" applyFill="1" applyBorder="1"/>
    <xf numFmtId="0" fontId="10" fillId="0" borderId="13" xfId="0" applyFont="1" applyBorder="1" applyAlignment="1"/>
    <xf numFmtId="0" fontId="12" fillId="0" borderId="13" xfId="0" applyFont="1" applyBorder="1"/>
    <xf numFmtId="168" fontId="10" fillId="0" borderId="13" xfId="0" applyNumberFormat="1" applyFont="1" applyBorder="1" applyAlignment="1">
      <alignment horizontal="left"/>
    </xf>
    <xf numFmtId="0" fontId="12" fillId="30" borderId="0" xfId="0" applyFont="1" applyFill="1" applyBorder="1" applyAlignment="1"/>
    <xf numFmtId="0" fontId="12" fillId="30" borderId="0" xfId="0" applyFont="1" applyFill="1" applyBorder="1"/>
    <xf numFmtId="0" fontId="12" fillId="0" borderId="13" xfId="0" applyFont="1" applyFill="1" applyBorder="1" applyAlignment="1"/>
    <xf numFmtId="0" fontId="26" fillId="0" borderId="0" xfId="0" applyFont="1" applyFill="1" applyBorder="1" applyAlignment="1"/>
    <xf numFmtId="0" fontId="12" fillId="30" borderId="0" xfId="0" applyFont="1" applyFill="1" applyAlignment="1"/>
    <xf numFmtId="0" fontId="12" fillId="30" borderId="0" xfId="0" applyFont="1" applyFill="1"/>
    <xf numFmtId="0" fontId="12" fillId="30" borderId="0" xfId="0" applyFont="1" applyFill="1" applyBorder="1" applyAlignment="1">
      <alignment horizontal="center" wrapText="1"/>
    </xf>
    <xf numFmtId="0" fontId="10" fillId="0" borderId="0" xfId="0" applyFont="1" applyBorder="1" applyAlignment="1"/>
    <xf numFmtId="168" fontId="10" fillId="0" borderId="0" xfId="0" applyNumberFormat="1" applyFont="1" applyBorder="1" applyAlignment="1">
      <alignment horizontal="left"/>
    </xf>
    <xf numFmtId="0" fontId="10" fillId="0" borderId="12" xfId="0" applyNumberFormat="1" applyFont="1" applyBorder="1" applyAlignment="1">
      <alignment horizontal="left"/>
    </xf>
    <xf numFmtId="0" fontId="10" fillId="0" borderId="12" xfId="0" applyFont="1" applyFill="1" applyBorder="1" applyAlignment="1"/>
    <xf numFmtId="0" fontId="12" fillId="30" borderId="0" xfId="0" applyNumberFormat="1" applyFont="1" applyFill="1" applyAlignment="1">
      <alignment horizontal="center"/>
    </xf>
    <xf numFmtId="0" fontId="26" fillId="30" borderId="0" xfId="0" applyNumberFormat="1" applyFont="1" applyFill="1" applyAlignment="1">
      <alignment horizontal="left"/>
    </xf>
    <xf numFmtId="0" fontId="11" fillId="0" borderId="0" xfId="0" applyFont="1"/>
    <xf numFmtId="0" fontId="28" fillId="0" borderId="15" xfId="0" applyNumberFormat="1" applyFont="1" applyBorder="1" applyAlignment="1">
      <alignment horizontal="center"/>
    </xf>
    <xf numFmtId="0" fontId="21" fillId="0" borderId="16" xfId="0" applyNumberFormat="1" applyFont="1" applyBorder="1" applyAlignment="1">
      <alignment horizontal="center"/>
    </xf>
    <xf numFmtId="164" fontId="12" fillId="0" borderId="0" xfId="381" applyNumberFormat="1" applyFont="1"/>
    <xf numFmtId="0" fontId="12" fillId="0" borderId="14" xfId="0" applyNumberFormat="1" applyFont="1" applyFill="1" applyBorder="1" applyAlignment="1">
      <alignment horizontal="left"/>
    </xf>
    <xf numFmtId="0" fontId="21" fillId="0" borderId="0" xfId="0" applyNumberFormat="1" applyFont="1" applyBorder="1" applyAlignment="1">
      <alignment horizontal="center"/>
    </xf>
    <xf numFmtId="0" fontId="10" fillId="0" borderId="0" xfId="0" applyNumberFormat="1" applyFont="1" applyBorder="1" applyAlignment="1">
      <alignment horizontal="left"/>
    </xf>
    <xf numFmtId="0" fontId="12" fillId="0" borderId="14" xfId="0" applyNumberFormat="1"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0" fillId="0" borderId="13" xfId="0" applyFont="1" applyBorder="1" applyAlignment="1">
      <alignment horizontal="center"/>
    </xf>
    <xf numFmtId="0" fontId="12" fillId="0" borderId="14" xfId="0" applyNumberFormat="1" applyFont="1" applyFill="1" applyBorder="1" applyAlignment="1">
      <alignment horizontal="center"/>
    </xf>
    <xf numFmtId="0" fontId="12" fillId="0" borderId="12" xfId="0" applyFont="1" applyFill="1" applyBorder="1" applyAlignment="1">
      <alignment horizontal="center"/>
    </xf>
    <xf numFmtId="0" fontId="12" fillId="0" borderId="14" xfId="0" applyFont="1" applyBorder="1" applyAlignment="1">
      <alignment horizontal="center"/>
    </xf>
    <xf numFmtId="0" fontId="10" fillId="0" borderId="0" xfId="0" applyFont="1" applyBorder="1" applyAlignment="1">
      <alignment horizontal="center"/>
    </xf>
    <xf numFmtId="0" fontId="12" fillId="0" borderId="0" xfId="0" applyNumberFormat="1" applyFont="1" applyFill="1" applyBorder="1" applyAlignment="1">
      <alignment horizontal="center"/>
    </xf>
    <xf numFmtId="3" fontId="10" fillId="0" borderId="12" xfId="0" applyNumberFormat="1" applyFont="1" applyBorder="1" applyAlignment="1">
      <alignment horizontal="center"/>
    </xf>
    <xf numFmtId="0" fontId="14" fillId="0" borderId="0" xfId="0" applyFont="1" applyFill="1" applyBorder="1" applyAlignment="1">
      <alignment horizontal="center"/>
    </xf>
    <xf numFmtId="0" fontId="14" fillId="0" borderId="14" xfId="0" applyFont="1" applyFill="1" applyBorder="1" applyAlignment="1"/>
    <xf numFmtId="0" fontId="14" fillId="0" borderId="14" xfId="0" applyFont="1" applyFill="1" applyBorder="1" applyAlignment="1">
      <alignment horizontal="center"/>
    </xf>
    <xf numFmtId="0" fontId="12" fillId="0" borderId="0" xfId="0" applyFont="1" applyFill="1" applyBorder="1" applyAlignment="1">
      <alignment horizontal="center"/>
    </xf>
    <xf numFmtId="0" fontId="28" fillId="0" borderId="0" xfId="0" applyNumberFormat="1" applyFont="1" applyBorder="1" applyAlignment="1">
      <alignment horizontal="center"/>
    </xf>
    <xf numFmtId="0" fontId="10" fillId="0" borderId="0" xfId="0" applyFont="1" applyFill="1"/>
    <xf numFmtId="0" fontId="10" fillId="0" borderId="0" xfId="0" applyFont="1" applyFill="1" applyBorder="1"/>
    <xf numFmtId="3" fontId="10" fillId="0" borderId="0" xfId="0" applyNumberFormat="1" applyFont="1" applyFill="1" applyBorder="1"/>
    <xf numFmtId="0" fontId="16" fillId="0" borderId="0" xfId="0" applyNumberFormat="1" applyFont="1" applyFill="1" applyBorder="1" applyAlignment="1">
      <alignment horizontal="center"/>
    </xf>
    <xf numFmtId="0" fontId="32" fillId="0" borderId="0" xfId="0" applyFont="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8" fillId="0" borderId="0" xfId="0" applyFont="1" applyFill="1"/>
    <xf numFmtId="0" fontId="0" fillId="0" borderId="0" xfId="0" applyAlignment="1"/>
    <xf numFmtId="164" fontId="8" fillId="0" borderId="0" xfId="381" applyNumberFormat="1" applyAlignment="1"/>
    <xf numFmtId="0" fontId="32" fillId="0" borderId="0" xfId="0" applyFont="1" applyFill="1" applyAlignment="1">
      <alignment horizontal="center"/>
    </xf>
    <xf numFmtId="0" fontId="36" fillId="0" borderId="0" xfId="0" applyFont="1" applyBorder="1"/>
    <xf numFmtId="0" fontId="32" fillId="0" borderId="0" xfId="0" applyFont="1" applyAlignment="1">
      <alignment horizontal="center"/>
    </xf>
    <xf numFmtId="0" fontId="0" fillId="0" borderId="0" xfId="0" applyAlignment="1">
      <alignment horizontal="right"/>
    </xf>
    <xf numFmtId="0" fontId="32" fillId="0" borderId="0" xfId="0" applyFont="1" applyFill="1" applyAlignment="1">
      <alignment horizontal="right"/>
    </xf>
    <xf numFmtId="0" fontId="17" fillId="0" borderId="0" xfId="0" applyFont="1"/>
    <xf numFmtId="0" fontId="38" fillId="0" borderId="0" xfId="0" applyFont="1" applyAlignment="1">
      <alignment horizontal="center"/>
    </xf>
    <xf numFmtId="0" fontId="30" fillId="0" borderId="0" xfId="0" applyFont="1" applyFill="1" applyBorder="1" applyAlignment="1">
      <alignment horizontal="left"/>
    </xf>
    <xf numFmtId="0" fontId="10" fillId="0" borderId="0" xfId="0" applyFont="1" applyFill="1" applyBorder="1" applyAlignment="1">
      <alignment horizontal="center" wrapText="1"/>
    </xf>
    <xf numFmtId="0" fontId="12" fillId="0" borderId="14" xfId="0" applyFont="1" applyBorder="1"/>
    <xf numFmtId="0" fontId="0" fillId="0" borderId="0" xfId="0" applyBorder="1"/>
    <xf numFmtId="0" fontId="9" fillId="0" borderId="0" xfId="0" applyFont="1" applyAlignment="1">
      <alignment horizontal="left"/>
    </xf>
    <xf numFmtId="0" fontId="37" fillId="0" borderId="0" xfId="0" applyFont="1" applyFill="1" applyAlignment="1">
      <alignment horizontal="center"/>
    </xf>
    <xf numFmtId="0" fontId="18" fillId="0" borderId="0" xfId="0" applyNumberFormat="1" applyFont="1" applyFill="1" applyBorder="1" applyAlignment="1">
      <alignment horizontal="left"/>
    </xf>
    <xf numFmtId="0" fontId="29" fillId="0" borderId="0" xfId="0" applyNumberFormat="1" applyFont="1" applyFill="1" applyBorder="1" applyAlignment="1">
      <alignment horizontal="center"/>
    </xf>
    <xf numFmtId="0" fontId="26" fillId="30" borderId="0" xfId="0" applyFont="1" applyFill="1" applyBorder="1" applyAlignment="1">
      <alignment horizontal="center"/>
    </xf>
    <xf numFmtId="0" fontId="10"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3" fontId="12" fillId="0" borderId="0" xfId="0" applyNumberFormat="1" applyFont="1" applyAlignment="1">
      <alignment horizontal="center"/>
    </xf>
    <xf numFmtId="0" fontId="21" fillId="0" borderId="0" xfId="0" applyFont="1" applyAlignment="1">
      <alignment horizontal="center"/>
    </xf>
    <xf numFmtId="37" fontId="0" fillId="0" borderId="0" xfId="0" applyNumberFormat="1" applyFill="1"/>
    <xf numFmtId="37" fontId="0" fillId="0" borderId="0" xfId="0" applyNumberFormat="1" applyFill="1" applyAlignment="1">
      <alignment horizontal="right" wrapText="1"/>
    </xf>
    <xf numFmtId="0" fontId="11" fillId="0" borderId="0" xfId="0" applyFont="1" applyFill="1"/>
    <xf numFmtId="0" fontId="0" fillId="0" borderId="0" xfId="0" applyAlignment="1">
      <alignment horizontal="left"/>
    </xf>
    <xf numFmtId="0" fontId="44" fillId="0" borderId="0" xfId="0" applyFont="1"/>
    <xf numFmtId="0" fontId="18" fillId="0" borderId="0" xfId="0" applyFont="1" applyFill="1" applyAlignment="1"/>
    <xf numFmtId="0" fontId="18" fillId="0" borderId="0" xfId="0" applyFont="1"/>
    <xf numFmtId="164" fontId="0" fillId="0" borderId="0" xfId="381" applyNumberFormat="1" applyFont="1" applyAlignment="1"/>
    <xf numFmtId="164" fontId="8" fillId="0" borderId="0" xfId="381" applyNumberFormat="1" applyFill="1" applyBorder="1" applyAlignment="1">
      <alignment wrapText="1"/>
    </xf>
    <xf numFmtId="164" fontId="0" fillId="0" borderId="0" xfId="381" applyNumberFormat="1" applyFont="1" applyFill="1" applyAlignment="1"/>
    <xf numFmtId="164" fontId="0" fillId="0" borderId="0" xfId="381" applyNumberFormat="1" applyFont="1" applyFill="1" applyBorder="1" applyAlignment="1"/>
    <xf numFmtId="0" fontId="14" fillId="0" borderId="14" xfId="0" applyFont="1" applyBorder="1" applyAlignment="1">
      <alignment horizontal="center"/>
    </xf>
    <xf numFmtId="0" fontId="32" fillId="0" borderId="0" xfId="0" applyFont="1" applyFill="1"/>
    <xf numFmtId="41" fontId="0" fillId="0" borderId="0" xfId="0" applyNumberFormat="1" applyFill="1" applyBorder="1" applyAlignment="1">
      <alignment horizontal="right"/>
    </xf>
    <xf numFmtId="0" fontId="11" fillId="0" borderId="0" xfId="0" applyFont="1" applyFill="1" applyBorder="1"/>
    <xf numFmtId="0" fontId="0" fillId="0" borderId="0" xfId="0" applyFill="1" applyAlignment="1">
      <alignment horizontal="right"/>
    </xf>
    <xf numFmtId="164" fontId="0" fillId="0" borderId="0" xfId="381" applyNumberFormat="1" applyFont="1" applyFill="1" applyAlignment="1">
      <alignment horizontal="right"/>
    </xf>
    <xf numFmtId="41" fontId="0" fillId="0" borderId="0" xfId="0" applyNumberFormat="1" applyFill="1" applyAlignment="1">
      <alignment horizontal="right"/>
    </xf>
    <xf numFmtId="164" fontId="0" fillId="0" borderId="0" xfId="0" applyNumberFormat="1" applyFill="1"/>
    <xf numFmtId="0" fontId="0" fillId="0" borderId="0" xfId="0" applyFill="1" applyAlignment="1">
      <alignment horizontal="left"/>
    </xf>
    <xf numFmtId="0" fontId="9" fillId="0" borderId="0" xfId="0" applyFont="1" applyFill="1" applyAlignment="1">
      <alignment horizontal="center"/>
    </xf>
    <xf numFmtId="0" fontId="0" fillId="0" borderId="17" xfId="0" applyBorder="1" applyAlignment="1">
      <alignment horizontal="left"/>
    </xf>
    <xf numFmtId="0" fontId="0" fillId="0" borderId="17" xfId="0" applyBorder="1"/>
    <xf numFmtId="37" fontId="0" fillId="0" borderId="17" xfId="0" applyNumberFormat="1" applyFill="1" applyBorder="1"/>
    <xf numFmtId="164" fontId="8" fillId="0" borderId="17" xfId="381" applyNumberFormat="1" applyFill="1" applyBorder="1" applyAlignment="1">
      <alignment horizontal="right"/>
    </xf>
    <xf numFmtId="0" fontId="17" fillId="0" borderId="0" xfId="0" applyFont="1" applyBorder="1"/>
    <xf numFmtId="0" fontId="11" fillId="0" borderId="0" xfId="0" applyFont="1" applyBorder="1"/>
    <xf numFmtId="0" fontId="33" fillId="0" borderId="0" xfId="0" applyFont="1" applyBorder="1" applyAlignment="1">
      <alignment horizontal="center"/>
    </xf>
    <xf numFmtId="0" fontId="0" fillId="0" borderId="0" xfId="0" applyBorder="1" applyAlignment="1"/>
    <xf numFmtId="0" fontId="0" fillId="0" borderId="0" xfId="0" applyBorder="1" applyAlignment="1">
      <alignment horizontal="left"/>
    </xf>
    <xf numFmtId="0" fontId="35" fillId="0" borderId="0" xfId="0" applyFont="1" applyFill="1" applyBorder="1"/>
    <xf numFmtId="0" fontId="0" fillId="0" borderId="0" xfId="0" applyFill="1" applyBorder="1" applyAlignment="1">
      <alignment wrapText="1"/>
    </xf>
    <xf numFmtId="0" fontId="46" fillId="0" borderId="0" xfId="0" applyFont="1" applyBorder="1"/>
    <xf numFmtId="41" fontId="9" fillId="0" borderId="0" xfId="0" applyNumberFormat="1" applyFont="1" applyBorder="1" applyAlignment="1">
      <alignment horizontal="center"/>
    </xf>
    <xf numFmtId="41" fontId="9" fillId="0" borderId="0" xfId="0" applyNumberFormat="1" applyFont="1" applyFill="1" applyBorder="1" applyAlignment="1">
      <alignment horizontal="center"/>
    </xf>
    <xf numFmtId="0" fontId="20" fillId="0" borderId="0" xfId="0" applyFont="1" applyFill="1" applyBorder="1" applyAlignment="1">
      <alignment wrapText="1"/>
    </xf>
    <xf numFmtId="0" fontId="35" fillId="0" borderId="0" xfId="0" applyFont="1" applyFill="1" applyBorder="1" applyAlignment="1">
      <alignment horizontal="left"/>
    </xf>
    <xf numFmtId="0" fontId="0" fillId="0" borderId="12" xfId="0" applyBorder="1"/>
    <xf numFmtId="0" fontId="0" fillId="0" borderId="14" xfId="0" applyBorder="1"/>
    <xf numFmtId="37" fontId="0" fillId="0" borderId="0" xfId="0" applyNumberFormat="1" applyFill="1" applyBorder="1"/>
    <xf numFmtId="0" fontId="0" fillId="0" borderId="14" xfId="0" applyFill="1" applyBorder="1"/>
    <xf numFmtId="37" fontId="0" fillId="0" borderId="0" xfId="0" applyNumberFormat="1" applyFill="1" applyBorder="1" applyAlignment="1">
      <alignment horizontal="center"/>
    </xf>
    <xf numFmtId="0" fontId="0" fillId="0" borderId="0" xfId="0" applyFill="1" applyAlignment="1"/>
    <xf numFmtId="0" fontId="43" fillId="0" borderId="0" xfId="0" applyFont="1" applyFill="1" applyBorder="1"/>
    <xf numFmtId="37" fontId="18" fillId="0" borderId="0" xfId="0" applyNumberFormat="1" applyFont="1" applyFill="1"/>
    <xf numFmtId="0" fontId="17" fillId="0" borderId="0" xfId="0" applyFont="1" applyAlignment="1">
      <alignment horizontal="center"/>
    </xf>
    <xf numFmtId="164" fontId="12" fillId="0" borderId="0" xfId="381" applyNumberFormat="1" applyFont="1" applyFill="1"/>
    <xf numFmtId="0" fontId="39" fillId="0" borderId="0" xfId="0" applyFont="1" applyFill="1" applyBorder="1"/>
    <xf numFmtId="0" fontId="0" fillId="0" borderId="0" xfId="0" applyAlignment="1">
      <alignment vertical="top"/>
    </xf>
    <xf numFmtId="164" fontId="8" fillId="0" borderId="0" xfId="381" applyNumberFormat="1" applyBorder="1"/>
    <xf numFmtId="0" fontId="9" fillId="0" borderId="0" xfId="0" applyFont="1" applyAlignment="1">
      <alignment horizontal="center"/>
    </xf>
    <xf numFmtId="0" fontId="0" fillId="31" borderId="0" xfId="0" applyFill="1"/>
    <xf numFmtId="164" fontId="8" fillId="0" borderId="17" xfId="381" applyNumberFormat="1" applyBorder="1"/>
    <xf numFmtId="0" fontId="0" fillId="0" borderId="17" xfId="0" applyFill="1" applyBorder="1" applyAlignment="1">
      <alignment wrapText="1"/>
    </xf>
    <xf numFmtId="0" fontId="18" fillId="0" borderId="18" xfId="0" applyFont="1" applyFill="1" applyBorder="1"/>
    <xf numFmtId="0" fontId="18" fillId="0" borderId="19" xfId="0" applyFont="1" applyFill="1" applyBorder="1"/>
    <xf numFmtId="0" fontId="20" fillId="0" borderId="17" xfId="0" applyFont="1" applyFill="1" applyBorder="1" applyAlignment="1">
      <alignment wrapText="1"/>
    </xf>
    <xf numFmtId="0" fontId="21" fillId="0" borderId="0" xfId="0" applyFont="1" applyBorder="1" applyAlignment="1">
      <alignment horizontal="centerContinuous"/>
    </xf>
    <xf numFmtId="0" fontId="0" fillId="0" borderId="0" xfId="0" applyBorder="1" applyAlignment="1">
      <alignment horizontal="centerContinuous"/>
    </xf>
    <xf numFmtId="0" fontId="0" fillId="0" borderId="0" xfId="0" applyFill="1" applyBorder="1" applyAlignment="1">
      <alignment horizontal="centerContinuous"/>
    </xf>
    <xf numFmtId="0" fontId="0" fillId="0" borderId="0" xfId="0" applyFill="1" applyAlignment="1">
      <alignment vertical="top"/>
    </xf>
    <xf numFmtId="0" fontId="33" fillId="0" borderId="0" xfId="0" applyFont="1" applyFill="1" applyAlignment="1">
      <alignment horizontal="center"/>
    </xf>
    <xf numFmtId="0" fontId="42" fillId="0" borderId="0" xfId="0" applyFont="1" applyAlignment="1"/>
    <xf numFmtId="37" fontId="0" fillId="0" borderId="0" xfId="0" applyNumberFormat="1" applyFill="1" applyBorder="1" applyAlignment="1">
      <alignment wrapText="1"/>
    </xf>
    <xf numFmtId="164" fontId="0" fillId="0" borderId="0" xfId="0" applyNumberFormat="1" applyFill="1" applyBorder="1" applyAlignment="1">
      <alignment wrapText="1"/>
    </xf>
    <xf numFmtId="0" fontId="33" fillId="0" borderId="0" xfId="0" applyFont="1" applyFill="1" applyAlignment="1">
      <alignment horizontal="centerContinuous"/>
    </xf>
    <xf numFmtId="0" fontId="0" fillId="0" borderId="0" xfId="0" applyFill="1" applyAlignment="1">
      <alignment horizontal="centerContinuous"/>
    </xf>
    <xf numFmtId="164" fontId="44" fillId="0" borderId="0" xfId="0" applyNumberFormat="1" applyFont="1" applyFill="1"/>
    <xf numFmtId="0" fontId="0" fillId="0" borderId="0" xfId="0" applyFill="1" applyAlignment="1">
      <alignment horizontal="center"/>
    </xf>
    <xf numFmtId="164" fontId="18" fillId="0" borderId="0" xfId="381" applyNumberFormat="1" applyFont="1" applyFill="1" applyAlignment="1"/>
    <xf numFmtId="0" fontId="8" fillId="0" borderId="0" xfId="0" applyFont="1" applyFill="1"/>
    <xf numFmtId="164" fontId="0" fillId="0" borderId="0" xfId="381" applyNumberFormat="1" applyFont="1" applyFill="1"/>
    <xf numFmtId="0" fontId="8" fillId="0" borderId="0" xfId="0" applyFont="1" applyFill="1" applyAlignment="1">
      <alignment horizontal="right"/>
    </xf>
    <xf numFmtId="0" fontId="0" fillId="0" borderId="0" xfId="0" applyFill="1" applyAlignment="1">
      <alignment horizontal="left" wrapText="1"/>
    </xf>
    <xf numFmtId="0" fontId="9" fillId="0" borderId="0" xfId="0" applyFont="1" applyFill="1"/>
    <xf numFmtId="3" fontId="0" fillId="0" borderId="0" xfId="0" applyNumberFormat="1" applyFill="1" applyAlignment="1">
      <alignment horizontal="left"/>
    </xf>
    <xf numFmtId="164" fontId="8" fillId="0" borderId="0" xfId="381" applyNumberFormat="1" applyFont="1" applyFill="1" applyAlignment="1"/>
    <xf numFmtId="0" fontId="8" fillId="0" borderId="0" xfId="0" applyFont="1"/>
    <xf numFmtId="164" fontId="8" fillId="0" borderId="0" xfId="381" applyNumberFormat="1" applyFont="1"/>
    <xf numFmtId="0" fontId="8" fillId="0" borderId="0" xfId="0" applyFont="1" applyAlignment="1">
      <alignment horizontal="center"/>
    </xf>
    <xf numFmtId="0" fontId="8" fillId="0" borderId="0" xfId="0" applyFont="1" applyFill="1" applyBorder="1"/>
    <xf numFmtId="0" fontId="33" fillId="0" borderId="0" xfId="0" applyFont="1" applyBorder="1" applyAlignment="1">
      <alignment horizontal="left"/>
    </xf>
    <xf numFmtId="0" fontId="9" fillId="0" borderId="0" xfId="0" applyFont="1" applyFill="1" applyBorder="1" applyAlignment="1">
      <alignment horizontal="left"/>
    </xf>
    <xf numFmtId="37" fontId="10" fillId="0" borderId="0" xfId="0" applyNumberFormat="1" applyFont="1" applyBorder="1" applyAlignment="1">
      <alignment horizontal="right"/>
    </xf>
    <xf numFmtId="0" fontId="18" fillId="0" borderId="0" xfId="465" applyFont="1"/>
    <xf numFmtId="0" fontId="18" fillId="0" borderId="0" xfId="465" applyNumberFormat="1" applyFont="1" applyFill="1" applyBorder="1" applyAlignment="1"/>
    <xf numFmtId="0" fontId="18" fillId="0" borderId="0" xfId="465" applyFont="1" applyBorder="1" applyAlignment="1"/>
    <xf numFmtId="0" fontId="18" fillId="0" borderId="0" xfId="465" applyFont="1" applyFill="1" applyBorder="1" applyAlignment="1">
      <alignment horizontal="center" wrapText="1"/>
    </xf>
    <xf numFmtId="0" fontId="18" fillId="0" borderId="0" xfId="465" applyFont="1" applyBorder="1"/>
    <xf numFmtId="3" fontId="12" fillId="0" borderId="0" xfId="465" applyNumberFormat="1" applyFont="1" applyFill="1" applyBorder="1" applyAlignment="1"/>
    <xf numFmtId="3" fontId="18" fillId="0" borderId="0" xfId="465" applyNumberFormat="1" applyFont="1" applyBorder="1" applyAlignment="1">
      <alignment horizontal="center"/>
    </xf>
    <xf numFmtId="0" fontId="18" fillId="0" borderId="20" xfId="465" applyNumberFormat="1" applyFont="1" applyFill="1" applyBorder="1" applyAlignment="1">
      <alignment horizontal="center"/>
    </xf>
    <xf numFmtId="0" fontId="18" fillId="0" borderId="0" xfId="465" applyNumberFormat="1" applyFont="1" applyBorder="1" applyAlignment="1">
      <alignment horizontal="center"/>
    </xf>
    <xf numFmtId="0" fontId="18" fillId="0" borderId="0" xfId="465" applyNumberFormat="1" applyFont="1" applyFill="1" applyBorder="1" applyAlignment="1">
      <alignment horizontal="left"/>
    </xf>
    <xf numFmtId="0" fontId="18" fillId="0" borderId="21" xfId="465" applyFont="1" applyBorder="1" applyAlignment="1"/>
    <xf numFmtId="0" fontId="18" fillId="0" borderId="14" xfId="465" applyNumberFormat="1" applyFont="1" applyFill="1" applyBorder="1" applyAlignment="1">
      <alignment horizontal="left"/>
    </xf>
    <xf numFmtId="3" fontId="12" fillId="0" borderId="14" xfId="465" applyNumberFormat="1" applyFont="1" applyFill="1" applyBorder="1" applyAlignment="1"/>
    <xf numFmtId="0" fontId="9" fillId="0" borderId="0" xfId="465" applyNumberFormat="1" applyFont="1" applyFill="1" applyBorder="1" applyAlignment="1">
      <alignment horizontal="left"/>
    </xf>
    <xf numFmtId="0" fontId="20" fillId="0" borderId="0" xfId="465" applyNumberFormat="1" applyFont="1" applyFill="1" applyBorder="1" applyAlignment="1">
      <alignment horizontal="center"/>
    </xf>
    <xf numFmtId="0" fontId="18" fillId="0" borderId="21" xfId="465" applyNumberFormat="1" applyFont="1" applyFill="1" applyBorder="1" applyAlignment="1">
      <alignment horizontal="left"/>
    </xf>
    <xf numFmtId="0" fontId="18" fillId="0" borderId="22" xfId="465" applyNumberFormat="1" applyFont="1" applyFill="1" applyBorder="1" applyAlignment="1">
      <alignment horizontal="center"/>
    </xf>
    <xf numFmtId="0" fontId="18" fillId="0" borderId="10" xfId="465" applyNumberFormat="1" applyFont="1" applyBorder="1" applyAlignment="1">
      <alignment horizontal="center"/>
    </xf>
    <xf numFmtId="0" fontId="18" fillId="0" borderId="10" xfId="465" applyNumberFormat="1" applyFont="1" applyFill="1" applyBorder="1" applyAlignment="1">
      <alignment horizontal="left"/>
    </xf>
    <xf numFmtId="0" fontId="18" fillId="0" borderId="23" xfId="465" applyNumberFormat="1" applyFont="1" applyFill="1" applyBorder="1" applyAlignment="1">
      <alignment horizontal="left"/>
    </xf>
    <xf numFmtId="0" fontId="18" fillId="0" borderId="0" xfId="465" applyNumberFormat="1" applyFont="1" applyFill="1" applyBorder="1" applyAlignment="1">
      <alignment horizontal="center"/>
    </xf>
    <xf numFmtId="164" fontId="18" fillId="0" borderId="0" xfId="390" applyNumberFormat="1" applyFont="1" applyFill="1" applyBorder="1" applyAlignment="1">
      <alignment horizontal="right"/>
    </xf>
    <xf numFmtId="0" fontId="18" fillId="0" borderId="0" xfId="465" applyFont="1" applyFill="1" applyBorder="1" applyAlignment="1"/>
    <xf numFmtId="0" fontId="36" fillId="0" borderId="0" xfId="465" applyFont="1"/>
    <xf numFmtId="0" fontId="18" fillId="0" borderId="0" xfId="465"/>
    <xf numFmtId="0" fontId="36" fillId="0" borderId="20" xfId="465" applyNumberFormat="1" applyFont="1" applyFill="1" applyBorder="1" applyAlignment="1">
      <alignment horizontal="center"/>
    </xf>
    <xf numFmtId="0" fontId="36" fillId="0" borderId="0" xfId="465" applyFont="1" applyFill="1" applyBorder="1" applyAlignment="1">
      <alignment horizontal="left"/>
    </xf>
    <xf numFmtId="0" fontId="40" fillId="0" borderId="0" xfId="465" applyNumberFormat="1" applyFont="1" applyFill="1" applyBorder="1" applyAlignment="1">
      <alignment horizontal="left"/>
    </xf>
    <xf numFmtId="0" fontId="36" fillId="0" borderId="0" xfId="465" applyFont="1" applyFill="1" applyBorder="1"/>
    <xf numFmtId="0" fontId="36" fillId="0" borderId="20" xfId="465" applyFont="1" applyFill="1" applyBorder="1" applyAlignment="1">
      <alignment horizontal="center"/>
    </xf>
    <xf numFmtId="0" fontId="36" fillId="0" borderId="0" xfId="465" applyFont="1" applyFill="1" applyBorder="1" applyAlignment="1"/>
    <xf numFmtId="0" fontId="36" fillId="0" borderId="21" xfId="465" applyFont="1" applyFill="1" applyBorder="1" applyAlignment="1"/>
    <xf numFmtId="3" fontId="36" fillId="0" borderId="0" xfId="465" applyNumberFormat="1" applyFont="1" applyFill="1" applyBorder="1" applyAlignment="1">
      <alignment horizontal="center"/>
    </xf>
    <xf numFmtId="0" fontId="36" fillId="0" borderId="0" xfId="465" applyFont="1" applyFill="1" applyBorder="1" applyAlignment="1">
      <alignment horizontal="left" wrapText="1"/>
    </xf>
    <xf numFmtId="0" fontId="29" fillId="0" borderId="0" xfId="465" applyNumberFormat="1" applyFont="1" applyFill="1" applyBorder="1" applyAlignment="1">
      <alignment horizontal="center"/>
    </xf>
    <xf numFmtId="0" fontId="29" fillId="0" borderId="0" xfId="465" applyNumberFormat="1" applyFont="1" applyFill="1" applyBorder="1" applyAlignment="1">
      <alignment horizontal="right"/>
    </xf>
    <xf numFmtId="0" fontId="29" fillId="0" borderId="0" xfId="465" applyNumberFormat="1" applyFont="1" applyFill="1" applyBorder="1" applyAlignment="1">
      <alignment horizontal="left"/>
    </xf>
    <xf numFmtId="0" fontId="29" fillId="0" borderId="0" xfId="465" applyFont="1" applyFill="1" applyBorder="1" applyAlignment="1"/>
    <xf numFmtId="0" fontId="29" fillId="0" borderId="0" xfId="465" applyNumberFormat="1" applyFont="1" applyFill="1" applyBorder="1" applyAlignment="1"/>
    <xf numFmtId="0" fontId="18" fillId="0" borderId="24" xfId="465" applyNumberFormat="1" applyFont="1" applyFill="1" applyBorder="1" applyAlignment="1">
      <alignment horizontal="center"/>
    </xf>
    <xf numFmtId="0" fontId="20" fillId="0" borderId="0" xfId="465" applyFont="1" applyFill="1" applyBorder="1" applyAlignment="1"/>
    <xf numFmtId="0" fontId="9" fillId="0" borderId="0" xfId="465" applyNumberFormat="1" applyFont="1" applyFill="1" applyBorder="1" applyAlignment="1"/>
    <xf numFmtId="0" fontId="18" fillId="0" borderId="21" xfId="465" applyFont="1" applyBorder="1"/>
    <xf numFmtId="3" fontId="18" fillId="0" borderId="0" xfId="465" applyNumberFormat="1" applyFont="1" applyFill="1" applyBorder="1" applyAlignment="1">
      <alignment horizontal="center"/>
    </xf>
    <xf numFmtId="0" fontId="18" fillId="0" borderId="21" xfId="465" applyFont="1" applyFill="1" applyBorder="1" applyAlignment="1"/>
    <xf numFmtId="0" fontId="18" fillId="0" borderId="0" xfId="465" applyFont="1" applyFill="1"/>
    <xf numFmtId="0" fontId="18" fillId="0" borderId="10" xfId="465" applyNumberFormat="1" applyFont="1" applyFill="1" applyBorder="1" applyAlignment="1">
      <alignment horizontal="center"/>
    </xf>
    <xf numFmtId="0" fontId="18" fillId="0" borderId="10" xfId="465" applyFont="1" applyFill="1" applyBorder="1"/>
    <xf numFmtId="3" fontId="18" fillId="0" borderId="23" xfId="465" applyNumberFormat="1" applyFont="1" applyFill="1" applyBorder="1" applyAlignment="1">
      <alignment horizontal="left"/>
    </xf>
    <xf numFmtId="164" fontId="18" fillId="0" borderId="10" xfId="390" applyNumberFormat="1" applyFont="1" applyFill="1" applyBorder="1" applyAlignment="1">
      <alignment horizontal="center"/>
    </xf>
    <xf numFmtId="164" fontId="18" fillId="0" borderId="10" xfId="465" applyNumberFormat="1" applyFont="1" applyFill="1" applyBorder="1" applyAlignment="1">
      <alignment horizontal="center"/>
    </xf>
    <xf numFmtId="0" fontId="18" fillId="0" borderId="0" xfId="465" applyFont="1" applyFill="1" applyBorder="1" applyAlignment="1">
      <alignment horizontal="left"/>
    </xf>
    <xf numFmtId="0" fontId="18" fillId="0" borderId="10" xfId="465" applyNumberFormat="1" applyFont="1" applyFill="1" applyBorder="1" applyAlignment="1">
      <alignment horizontal="right"/>
    </xf>
    <xf numFmtId="0" fontId="18" fillId="0" borderId="0" xfId="465" applyFont="1" applyFill="1" applyBorder="1"/>
    <xf numFmtId="0" fontId="18" fillId="0" borderId="10" xfId="465" applyFont="1" applyFill="1" applyBorder="1" applyAlignment="1"/>
    <xf numFmtId="0" fontId="9" fillId="0" borderId="0" xfId="465" applyFont="1" applyFill="1" applyBorder="1" applyAlignment="1"/>
    <xf numFmtId="0" fontId="9" fillId="0" borderId="0" xfId="465" applyFont="1" applyFill="1" applyBorder="1" applyAlignment="1">
      <alignment horizontal="center"/>
    </xf>
    <xf numFmtId="0" fontId="18" fillId="0" borderId="20" xfId="465" applyFont="1" applyFill="1" applyBorder="1"/>
    <xf numFmtId="164" fontId="18" fillId="0" borderId="0" xfId="465" applyNumberFormat="1" applyFont="1" applyFill="1" applyBorder="1" applyAlignment="1">
      <alignment horizontal="center"/>
    </xf>
    <xf numFmtId="0" fontId="9" fillId="0" borderId="20" xfId="465" applyFont="1" applyFill="1" applyBorder="1" applyAlignment="1"/>
    <xf numFmtId="0" fontId="9" fillId="0" borderId="0" xfId="465" applyNumberFormat="1" applyFont="1" applyFill="1" applyBorder="1" applyAlignment="1">
      <alignment horizontal="center"/>
    </xf>
    <xf numFmtId="0" fontId="18" fillId="0" borderId="0" xfId="465" applyFont="1" applyFill="1" applyBorder="1" applyAlignment="1">
      <alignment horizontal="center"/>
    </xf>
    <xf numFmtId="0" fontId="12" fillId="0" borderId="0" xfId="465" applyFont="1" applyFill="1" applyAlignment="1">
      <alignment horizontal="center"/>
    </xf>
    <xf numFmtId="0" fontId="12" fillId="0" borderId="0" xfId="465" applyFont="1" applyFill="1"/>
    <xf numFmtId="164" fontId="12" fillId="0" borderId="0" xfId="390" applyNumberFormat="1" applyFont="1" applyFill="1"/>
    <xf numFmtId="10" fontId="12" fillId="0" borderId="0" xfId="634" applyNumberFormat="1" applyFont="1" applyFill="1"/>
    <xf numFmtId="0" fontId="12" fillId="30" borderId="0" xfId="465" applyFont="1" applyFill="1"/>
    <xf numFmtId="0" fontId="12" fillId="0" borderId="0" xfId="465" applyFont="1" applyFill="1" applyAlignment="1">
      <alignment horizontal="left"/>
    </xf>
    <xf numFmtId="0" fontId="12" fillId="0" borderId="0" xfId="465" applyFont="1" applyFill="1" applyAlignment="1">
      <alignment wrapText="1"/>
    </xf>
    <xf numFmtId="0" fontId="12" fillId="0" borderId="0" xfId="465" applyNumberFormat="1" applyFont="1" applyFill="1" applyAlignment="1">
      <alignment horizontal="center"/>
    </xf>
    <xf numFmtId="0" fontId="12" fillId="0" borderId="0" xfId="465" applyNumberFormat="1" applyFont="1" applyFill="1" applyBorder="1" applyAlignment="1">
      <alignment horizontal="left"/>
    </xf>
    <xf numFmtId="0" fontId="12" fillId="0" borderId="0" xfId="465" applyFont="1" applyFill="1" applyBorder="1"/>
    <xf numFmtId="3" fontId="12" fillId="0" borderId="0" xfId="465" applyNumberFormat="1" applyFont="1" applyFill="1" applyAlignment="1"/>
    <xf numFmtId="171" fontId="12" fillId="0" borderId="0" xfId="465" applyNumberFormat="1" applyFont="1" applyFill="1" applyAlignment="1"/>
    <xf numFmtId="3" fontId="12" fillId="0" borderId="0" xfId="465" applyNumberFormat="1" applyFont="1" applyFill="1" applyAlignment="1">
      <alignment horizontal="left"/>
    </xf>
    <xf numFmtId="3" fontId="12" fillId="0" borderId="0" xfId="465" applyNumberFormat="1" applyFont="1" applyFill="1" applyAlignment="1">
      <alignment horizontal="center"/>
    </xf>
    <xf numFmtId="0" fontId="14" fillId="0" borderId="0" xfId="465" applyNumberFormat="1" applyFont="1" applyFill="1" applyAlignment="1"/>
    <xf numFmtId="0" fontId="12" fillId="0" borderId="0" xfId="465" applyFont="1" applyFill="1" applyAlignment="1"/>
    <xf numFmtId="3" fontId="12" fillId="0" borderId="0" xfId="465" quotePrefix="1" applyNumberFormat="1" applyFont="1" applyFill="1" applyAlignment="1">
      <alignment horizontal="right"/>
    </xf>
    <xf numFmtId="0" fontId="12" fillId="0" borderId="0" xfId="465" applyFont="1" applyFill="1" applyAlignment="1">
      <alignment horizontal="right"/>
    </xf>
    <xf numFmtId="0" fontId="12" fillId="0" borderId="14" xfId="465" applyNumberFormat="1" applyFont="1" applyFill="1" applyBorder="1" applyAlignment="1">
      <alignment horizontal="center"/>
    </xf>
    <xf numFmtId="0" fontId="12" fillId="0" borderId="14" xfId="465" applyNumberFormat="1" applyFont="1" applyFill="1" applyBorder="1" applyAlignment="1">
      <alignment horizontal="left"/>
    </xf>
    <xf numFmtId="0" fontId="12" fillId="0" borderId="14" xfId="465" applyFont="1" applyFill="1" applyBorder="1"/>
    <xf numFmtId="3" fontId="12" fillId="0" borderId="14" xfId="465" applyNumberFormat="1" applyFont="1" applyFill="1" applyBorder="1" applyAlignment="1">
      <alignment horizontal="right"/>
    </xf>
    <xf numFmtId="166" fontId="12" fillId="0" borderId="14" xfId="465" applyNumberFormat="1" applyFont="1" applyFill="1" applyBorder="1" applyAlignment="1"/>
    <xf numFmtId="0" fontId="10" fillId="0" borderId="0" xfId="465" applyNumberFormat="1" applyFont="1" applyFill="1" applyBorder="1" applyAlignment="1"/>
    <xf numFmtId="3" fontId="10" fillId="0" borderId="0" xfId="465" quotePrefix="1" applyNumberFormat="1" applyFont="1" applyFill="1" applyBorder="1" applyAlignment="1">
      <alignment horizontal="right"/>
    </xf>
    <xf numFmtId="166" fontId="10" fillId="0" borderId="0" xfId="465" applyNumberFormat="1" applyFont="1" applyFill="1" applyAlignment="1"/>
    <xf numFmtId="0" fontId="10" fillId="0" borderId="0" xfId="465" applyNumberFormat="1" applyFont="1" applyFill="1" applyAlignment="1">
      <alignment horizontal="center"/>
    </xf>
    <xf numFmtId="0" fontId="10" fillId="0" borderId="0" xfId="465" applyFont="1" applyFill="1" applyBorder="1" applyAlignment="1">
      <alignment horizontal="center"/>
    </xf>
    <xf numFmtId="3" fontId="10" fillId="0" borderId="0" xfId="465" applyNumberFormat="1" applyFont="1" applyFill="1" applyBorder="1" applyAlignment="1"/>
    <xf numFmtId="168" fontId="10" fillId="0" borderId="13" xfId="465" applyNumberFormat="1" applyFont="1" applyFill="1" applyBorder="1" applyAlignment="1">
      <alignment horizontal="left"/>
    </xf>
    <xf numFmtId="0" fontId="12" fillId="0" borderId="13" xfId="465" applyFont="1" applyFill="1" applyBorder="1"/>
    <xf numFmtId="3" fontId="10" fillId="0" borderId="13" xfId="465" applyNumberFormat="1" applyFont="1" applyFill="1" applyBorder="1" applyAlignment="1"/>
    <xf numFmtId="169" fontId="10" fillId="0" borderId="13" xfId="465" applyNumberFormat="1" applyFont="1" applyFill="1" applyBorder="1" applyAlignment="1">
      <alignment horizontal="center"/>
    </xf>
    <xf numFmtId="0" fontId="12" fillId="0" borderId="0" xfId="465" applyNumberFormat="1" applyFont="1" applyFill="1" applyAlignment="1"/>
    <xf numFmtId="0" fontId="27" fillId="30" borderId="0" xfId="465" applyFont="1" applyFill="1" applyAlignment="1"/>
    <xf numFmtId="0" fontId="24" fillId="30" borderId="0" xfId="465" applyNumberFormat="1" applyFont="1" applyFill="1" applyAlignment="1">
      <alignment horizontal="left"/>
    </xf>
    <xf numFmtId="0" fontId="26" fillId="30" borderId="0" xfId="465" applyFont="1" applyFill="1" applyBorder="1" applyAlignment="1">
      <alignment horizontal="center"/>
    </xf>
    <xf numFmtId="3" fontId="12" fillId="30" borderId="0" xfId="465" applyNumberFormat="1" applyFont="1" applyFill="1" applyBorder="1" applyAlignment="1"/>
    <xf numFmtId="168" fontId="10" fillId="0" borderId="0" xfId="465" applyNumberFormat="1" applyFont="1" applyFill="1" applyBorder="1" applyAlignment="1">
      <alignment horizontal="left"/>
    </xf>
    <xf numFmtId="169" fontId="12" fillId="0" borderId="0" xfId="465" applyNumberFormat="1" applyFont="1" applyFill="1" applyAlignment="1">
      <alignment horizontal="center"/>
    </xf>
    <xf numFmtId="0" fontId="19" fillId="0" borderId="0" xfId="465" applyNumberFormat="1" applyFont="1" applyFill="1"/>
    <xf numFmtId="10" fontId="19" fillId="0" borderId="0" xfId="465" applyNumberFormat="1" applyFont="1" applyFill="1"/>
    <xf numFmtId="0" fontId="14" fillId="0" borderId="0" xfId="465" applyFont="1" applyFill="1" applyBorder="1" applyAlignment="1">
      <alignment horizontal="center"/>
    </xf>
    <xf numFmtId="10" fontId="12" fillId="0" borderId="0" xfId="465" applyNumberFormat="1" applyFont="1" applyFill="1" applyAlignment="1">
      <alignment horizontal="right"/>
    </xf>
    <xf numFmtId="168" fontId="12" fillId="0" borderId="0" xfId="465" applyNumberFormat="1" applyFont="1" applyFill="1" applyAlignment="1">
      <alignment horizontal="center"/>
    </xf>
    <xf numFmtId="168" fontId="12" fillId="0" borderId="0" xfId="465" applyNumberFormat="1" applyFont="1" applyFill="1" applyAlignment="1">
      <alignment horizontal="left"/>
    </xf>
    <xf numFmtId="10" fontId="12" fillId="0" borderId="0" xfId="634" applyNumberFormat="1" applyFont="1" applyFill="1" applyAlignment="1"/>
    <xf numFmtId="0" fontId="12" fillId="0" borderId="0" xfId="465" applyNumberFormat="1" applyFont="1" applyFill="1" applyAlignment="1">
      <alignment horizontal="left"/>
    </xf>
    <xf numFmtId="0" fontId="12" fillId="0" borderId="0" xfId="465" applyNumberFormat="1" applyFont="1" applyFill="1" applyBorder="1" applyAlignment="1">
      <alignment horizontal="center"/>
    </xf>
    <xf numFmtId="0" fontId="23" fillId="0" borderId="14" xfId="465" applyNumberFormat="1" applyFont="1" applyFill="1" applyBorder="1" applyAlignment="1">
      <alignment horizontal="left"/>
    </xf>
    <xf numFmtId="3" fontId="22" fillId="0" borderId="0" xfId="465" applyNumberFormat="1" applyFont="1" applyFill="1" applyBorder="1" applyAlignment="1">
      <alignment horizontal="right"/>
    </xf>
    <xf numFmtId="0" fontId="10" fillId="0" borderId="12" xfId="465" applyNumberFormat="1" applyFont="1" applyFill="1" applyBorder="1" applyAlignment="1">
      <alignment horizontal="left"/>
    </xf>
    <xf numFmtId="0" fontId="39" fillId="0" borderId="12" xfId="465" applyNumberFormat="1" applyFont="1" applyFill="1" applyBorder="1" applyAlignment="1">
      <alignment horizontal="left"/>
    </xf>
    <xf numFmtId="3" fontId="22" fillId="0" borderId="12" xfId="465" applyNumberFormat="1" applyFont="1" applyFill="1" applyBorder="1" applyAlignment="1">
      <alignment horizontal="right"/>
    </xf>
    <xf numFmtId="3" fontId="24" fillId="0" borderId="12" xfId="465" applyNumberFormat="1" applyFont="1" applyFill="1" applyBorder="1" applyAlignment="1">
      <alignment horizontal="right"/>
    </xf>
    <xf numFmtId="0" fontId="10" fillId="0" borderId="0" xfId="465" applyNumberFormat="1" applyFont="1" applyFill="1" applyBorder="1" applyAlignment="1">
      <alignment horizontal="left"/>
    </xf>
    <xf numFmtId="0" fontId="16" fillId="0" borderId="0" xfId="465" applyNumberFormat="1" applyFont="1" applyFill="1" applyBorder="1" applyAlignment="1">
      <alignment horizontal="center"/>
    </xf>
    <xf numFmtId="3" fontId="16" fillId="0" borderId="0" xfId="465" applyNumberFormat="1" applyFont="1" applyFill="1" applyBorder="1" applyAlignment="1"/>
    <xf numFmtId="3" fontId="31" fillId="0" borderId="0" xfId="465" applyNumberFormat="1" applyFont="1" applyFill="1" applyBorder="1" applyAlignment="1">
      <alignment horizontal="right"/>
    </xf>
    <xf numFmtId="0" fontId="10" fillId="0" borderId="0" xfId="465" applyFont="1" applyFill="1"/>
    <xf numFmtId="164" fontId="10" fillId="0" borderId="0" xfId="390" applyNumberFormat="1" applyFont="1" applyFill="1" applyAlignment="1"/>
    <xf numFmtId="0" fontId="18" fillId="0" borderId="0" xfId="465" applyFill="1"/>
    <xf numFmtId="3" fontId="23" fillId="0" borderId="0" xfId="465" applyNumberFormat="1" applyFont="1" applyFill="1" applyBorder="1" applyAlignment="1">
      <alignment horizontal="right"/>
    </xf>
    <xf numFmtId="0" fontId="10" fillId="0" borderId="13" xfId="465" applyFont="1" applyFill="1" applyBorder="1" applyAlignment="1">
      <alignment horizontal="center"/>
    </xf>
    <xf numFmtId="169" fontId="10" fillId="0" borderId="13" xfId="465" applyNumberFormat="1" applyFont="1" applyFill="1" applyBorder="1" applyAlignment="1"/>
    <xf numFmtId="164" fontId="10" fillId="0" borderId="13" xfId="390" applyNumberFormat="1" applyFont="1" applyFill="1" applyBorder="1" applyAlignment="1">
      <alignment horizontal="right"/>
    </xf>
    <xf numFmtId="3" fontId="12" fillId="0" borderId="0" xfId="465" applyNumberFormat="1" applyFont="1" applyFill="1" applyAlignment="1">
      <alignment horizontal="right"/>
    </xf>
    <xf numFmtId="169" fontId="12" fillId="0" borderId="0" xfId="465" applyNumberFormat="1" applyFont="1" applyFill="1" applyAlignment="1"/>
    <xf numFmtId="0" fontId="18" fillId="0" borderId="0" xfId="465" applyFill="1" applyBorder="1"/>
    <xf numFmtId="164" fontId="19" fillId="0" borderId="0" xfId="381" applyNumberFormat="1" applyFont="1" applyFill="1"/>
    <xf numFmtId="173" fontId="19" fillId="0" borderId="0" xfId="633" applyNumberFormat="1" applyFont="1" applyFill="1"/>
    <xf numFmtId="172" fontId="12" fillId="0" borderId="0" xfId="381" applyNumberFormat="1" applyFont="1" applyFill="1" applyAlignment="1"/>
    <xf numFmtId="176" fontId="12" fillId="0" borderId="0" xfId="381" applyNumberFormat="1" applyFont="1" applyFill="1" applyAlignment="1"/>
    <xf numFmtId="0" fontId="18" fillId="0" borderId="20" xfId="465" applyFont="1" applyBorder="1" applyAlignment="1"/>
    <xf numFmtId="0" fontId="12" fillId="0" borderId="14" xfId="0" applyNumberFormat="1" applyFont="1" applyBorder="1" applyAlignment="1"/>
    <xf numFmtId="173" fontId="0" fillId="0" borderId="0" xfId="0" applyNumberFormat="1" applyBorder="1"/>
    <xf numFmtId="43" fontId="0" fillId="0" borderId="0" xfId="381" applyFont="1" applyBorder="1"/>
    <xf numFmtId="43" fontId="0" fillId="0" borderId="0" xfId="0" applyNumberFormat="1" applyBorder="1"/>
    <xf numFmtId="3" fontId="12" fillId="0" borderId="0" xfId="0" applyNumberFormat="1" applyFont="1" applyBorder="1" applyAlignment="1"/>
    <xf numFmtId="164" fontId="10" fillId="0" borderId="0" xfId="381" applyNumberFormat="1" applyFont="1" applyFill="1" applyBorder="1" applyAlignment="1"/>
    <xf numFmtId="3" fontId="12" fillId="0" borderId="0" xfId="0" applyNumberFormat="1" applyFont="1" applyFill="1" applyBorder="1" applyAlignment="1"/>
    <xf numFmtId="10" fontId="12" fillId="0" borderId="0" xfId="465" applyNumberFormat="1" applyFont="1" applyFill="1" applyAlignment="1"/>
    <xf numFmtId="0" fontId="18" fillId="0" borderId="22" xfId="465" applyFont="1" applyFill="1" applyBorder="1"/>
    <xf numFmtId="0" fontId="9" fillId="0" borderId="20" xfId="465" applyNumberFormat="1" applyFont="1" applyFill="1" applyBorder="1" applyAlignment="1">
      <alignment horizontal="center"/>
    </xf>
    <xf numFmtId="0" fontId="41" fillId="30" borderId="0" xfId="465" applyFont="1" applyFill="1"/>
    <xf numFmtId="0" fontId="26" fillId="30" borderId="0" xfId="465" applyNumberFormat="1" applyFont="1" applyFill="1" applyAlignment="1">
      <alignment horizontal="left"/>
    </xf>
    <xf numFmtId="164" fontId="18" fillId="0" borderId="0" xfId="465" applyNumberFormat="1" applyFont="1" applyFill="1" applyBorder="1" applyAlignment="1"/>
    <xf numFmtId="164" fontId="9" fillId="0" borderId="0" xfId="390" applyNumberFormat="1" applyFont="1" applyFill="1" applyBorder="1"/>
    <xf numFmtId="0" fontId="8" fillId="0" borderId="0" xfId="0" applyFont="1" applyFill="1" applyAlignment="1">
      <alignment horizontal="center"/>
    </xf>
    <xf numFmtId="0" fontId="52" fillId="0" borderId="20" xfId="0" applyFont="1" applyFill="1" applyBorder="1"/>
    <xf numFmtId="164" fontId="52" fillId="0" borderId="0" xfId="381" applyNumberFormat="1" applyFont="1" applyFill="1" applyBorder="1"/>
    <xf numFmtId="0" fontId="52" fillId="0" borderId="21" xfId="0" applyFont="1" applyFill="1" applyBorder="1"/>
    <xf numFmtId="0" fontId="53" fillId="0" borderId="0" xfId="465" applyFont="1"/>
    <xf numFmtId="0" fontId="53" fillId="0" borderId="0" xfId="465" applyFont="1" applyBorder="1"/>
    <xf numFmtId="0" fontId="56" fillId="0" borderId="0" xfId="0" applyFont="1"/>
    <xf numFmtId="0" fontId="54" fillId="0" borderId="0" xfId="0" applyFont="1" applyBorder="1"/>
    <xf numFmtId="0" fontId="55" fillId="0" borderId="0" xfId="0" applyFont="1" applyBorder="1"/>
    <xf numFmtId="0" fontId="53" fillId="0" borderId="0" xfId="465" applyFont="1" applyFill="1" applyBorder="1" applyAlignment="1">
      <alignment horizontal="center" wrapText="1"/>
    </xf>
    <xf numFmtId="0" fontId="53" fillId="0" borderId="22" xfId="465" applyNumberFormat="1" applyFont="1" applyFill="1" applyBorder="1" applyAlignment="1">
      <alignment horizontal="center"/>
    </xf>
    <xf numFmtId="0" fontId="53" fillId="0" borderId="10" xfId="465" applyNumberFormat="1" applyFont="1" applyFill="1" applyBorder="1" applyAlignment="1">
      <alignment horizontal="left"/>
    </xf>
    <xf numFmtId="0" fontId="53" fillId="0" borderId="10" xfId="465" applyFont="1" applyBorder="1" applyAlignment="1">
      <alignment horizontal="center"/>
    </xf>
    <xf numFmtId="0" fontId="18" fillId="0" borderId="21" xfId="465" applyFont="1" applyFill="1" applyBorder="1" applyAlignment="1">
      <alignment horizontal="left" wrapText="1"/>
    </xf>
    <xf numFmtId="0" fontId="18" fillId="0" borderId="20" xfId="465" applyFont="1" applyFill="1" applyBorder="1" applyAlignment="1">
      <alignment horizontal="center"/>
    </xf>
    <xf numFmtId="164" fontId="18" fillId="0" borderId="21" xfId="390" applyNumberFormat="1" applyFont="1" applyFill="1" applyBorder="1" applyAlignment="1">
      <alignment horizontal="right"/>
    </xf>
    <xf numFmtId="0" fontId="18" fillId="0" borderId="23" xfId="465" applyNumberFormat="1" applyFont="1" applyFill="1" applyBorder="1" applyAlignment="1">
      <alignment horizontal="center"/>
    </xf>
    <xf numFmtId="0" fontId="18" fillId="0" borderId="25" xfId="465" applyNumberFormat="1" applyFont="1" applyFill="1" applyBorder="1" applyAlignment="1">
      <alignment horizontal="center"/>
    </xf>
    <xf numFmtId="0" fontId="9" fillId="0" borderId="24" xfId="465" applyNumberFormat="1" applyFont="1" applyFill="1" applyBorder="1" applyAlignment="1">
      <alignment horizontal="left"/>
    </xf>
    <xf numFmtId="0" fontId="18" fillId="0" borderId="24" xfId="465" applyFont="1" applyFill="1" applyBorder="1" applyAlignment="1"/>
    <xf numFmtId="0" fontId="18" fillId="0" borderId="24" xfId="465" applyNumberFormat="1" applyFont="1" applyFill="1" applyBorder="1" applyAlignment="1">
      <alignment horizontal="left"/>
    </xf>
    <xf numFmtId="0" fontId="9" fillId="0" borderId="20" xfId="465" applyFont="1" applyFill="1" applyBorder="1" applyAlignment="1">
      <alignment horizontal="center"/>
    </xf>
    <xf numFmtId="0" fontId="18" fillId="0" borderId="23" xfId="465" applyFont="1" applyFill="1" applyBorder="1" applyAlignment="1">
      <alignment horizontal="left" wrapText="1"/>
    </xf>
    <xf numFmtId="0" fontId="40" fillId="0" borderId="0" xfId="465" applyNumberFormat="1" applyFont="1" applyFill="1" applyBorder="1" applyAlignment="1"/>
    <xf numFmtId="0" fontId="36" fillId="0" borderId="0" xfId="465" applyNumberFormat="1" applyFont="1" applyFill="1" applyBorder="1" applyAlignment="1">
      <alignment horizontal="left"/>
    </xf>
    <xf numFmtId="0" fontId="36" fillId="0" borderId="0" xfId="465" applyNumberFormat="1" applyFont="1" applyFill="1" applyBorder="1" applyAlignment="1">
      <alignment horizontal="center"/>
    </xf>
    <xf numFmtId="0" fontId="36" fillId="0" borderId="21" xfId="465" applyNumberFormat="1" applyFont="1" applyFill="1" applyBorder="1" applyAlignment="1">
      <alignment horizontal="center"/>
    </xf>
    <xf numFmtId="0" fontId="36" fillId="0" borderId="0" xfId="465" applyFont="1" applyFill="1" applyBorder="1" applyAlignment="1">
      <alignment horizontal="center"/>
    </xf>
    <xf numFmtId="3" fontId="36" fillId="0" borderId="21" xfId="465" applyNumberFormat="1" applyFont="1" applyFill="1" applyBorder="1" applyAlignment="1"/>
    <xf numFmtId="0" fontId="36" fillId="0" borderId="10" xfId="465" applyFont="1" applyFill="1" applyBorder="1" applyAlignment="1"/>
    <xf numFmtId="0" fontId="9" fillId="0" borderId="0" xfId="465" applyFont="1" applyFill="1" applyBorder="1" applyAlignment="1">
      <alignment horizontal="left"/>
    </xf>
    <xf numFmtId="0" fontId="18" fillId="0" borderId="0" xfId="465" applyFont="1" applyAlignment="1">
      <alignment horizontal="left"/>
    </xf>
    <xf numFmtId="1" fontId="18" fillId="0" borderId="0" xfId="465" applyNumberFormat="1" applyFont="1" applyFill="1" applyBorder="1" applyAlignment="1">
      <alignment horizontal="center"/>
    </xf>
    <xf numFmtId="1" fontId="18" fillId="0" borderId="14" xfId="465" applyNumberFormat="1" applyFont="1" applyFill="1" applyBorder="1" applyAlignment="1">
      <alignment horizontal="center"/>
    </xf>
    <xf numFmtId="3" fontId="18" fillId="0" borderId="0" xfId="465" applyNumberFormat="1" applyFont="1" applyFill="1" applyBorder="1" applyAlignment="1"/>
    <xf numFmtId="0" fontId="45" fillId="0" borderId="0" xfId="465" applyNumberFormat="1" applyFont="1" applyFill="1" applyBorder="1" applyAlignment="1">
      <alignment horizontal="left"/>
    </xf>
    <xf numFmtId="3" fontId="18" fillId="0" borderId="0" xfId="465" applyNumberFormat="1" applyFont="1" applyBorder="1" applyAlignment="1">
      <alignment horizontal="right"/>
    </xf>
    <xf numFmtId="0" fontId="18" fillId="0" borderId="10" xfId="465" applyFont="1" applyBorder="1" applyAlignment="1"/>
    <xf numFmtId="0" fontId="29" fillId="0" borderId="0" xfId="0" applyNumberFormat="1" applyFont="1" applyFill="1" applyBorder="1" applyAlignment="1">
      <alignment horizontal="left"/>
    </xf>
    <xf numFmtId="0" fontId="29" fillId="0" borderId="0" xfId="0" applyFont="1" applyFill="1" applyBorder="1" applyAlignment="1">
      <alignment horizontal="left"/>
    </xf>
    <xf numFmtId="164" fontId="9" fillId="0" borderId="26" xfId="381" applyNumberFormat="1" applyFont="1" applyFill="1" applyBorder="1"/>
    <xf numFmtId="164" fontId="9" fillId="0" borderId="0" xfId="381" applyNumberFormat="1" applyFont="1" applyBorder="1"/>
    <xf numFmtId="164" fontId="9" fillId="0" borderId="10" xfId="381" applyNumberFormat="1" applyFont="1" applyFill="1" applyBorder="1"/>
    <xf numFmtId="0" fontId="10" fillId="0" borderId="0" xfId="0" applyFont="1" applyFill="1" applyBorder="1" applyAlignment="1"/>
    <xf numFmtId="0" fontId="10" fillId="0" borderId="0" xfId="0" applyNumberFormat="1" applyFont="1" applyFill="1" applyBorder="1" applyAlignment="1">
      <alignment horizontal="center"/>
    </xf>
    <xf numFmtId="0" fontId="10" fillId="30" borderId="0" xfId="0" applyNumberFormat="1" applyFont="1" applyFill="1" applyBorder="1" applyAlignment="1">
      <alignment horizontal="center"/>
    </xf>
    <xf numFmtId="3" fontId="12" fillId="0" borderId="13" xfId="0" applyNumberFormat="1" applyFont="1" applyFill="1" applyBorder="1" applyAlignment="1">
      <alignment horizontal="center"/>
    </xf>
    <xf numFmtId="3" fontId="12" fillId="0" borderId="12" xfId="0" applyNumberFormat="1" applyFont="1" applyFill="1" applyBorder="1" applyAlignment="1"/>
    <xf numFmtId="0" fontId="12" fillId="0" borderId="0" xfId="0" applyNumberFormat="1" applyFont="1" applyBorder="1" applyAlignment="1"/>
    <xf numFmtId="3" fontId="12" fillId="0" borderId="0" xfId="0" applyNumberFormat="1" applyFont="1" applyBorder="1" applyAlignment="1">
      <alignment horizontal="center"/>
    </xf>
    <xf numFmtId="0" fontId="10" fillId="0" borderId="12" xfId="0" applyNumberFormat="1" applyFont="1" applyFill="1" applyBorder="1" applyAlignment="1">
      <alignment horizontal="left"/>
    </xf>
    <xf numFmtId="0" fontId="10" fillId="0" borderId="12" xfId="0" applyFont="1" applyFill="1" applyBorder="1"/>
    <xf numFmtId="0" fontId="10" fillId="0" borderId="12" xfId="0" applyFont="1" applyFill="1" applyBorder="1" applyAlignment="1">
      <alignment horizontal="left"/>
    </xf>
    <xf numFmtId="0" fontId="10" fillId="0" borderId="12" xfId="0" applyFont="1" applyFill="1" applyBorder="1" applyAlignment="1">
      <alignment horizontal="center"/>
    </xf>
    <xf numFmtId="0" fontId="10" fillId="0" borderId="0" xfId="0" applyFont="1" applyBorder="1" applyAlignment="1">
      <alignment horizontal="left"/>
    </xf>
    <xf numFmtId="3" fontId="12" fillId="0" borderId="12" xfId="0" applyNumberFormat="1" applyFont="1" applyFill="1" applyBorder="1" applyAlignment="1">
      <alignment horizontal="center"/>
    </xf>
    <xf numFmtId="3" fontId="12" fillId="0" borderId="13" xfId="0" applyNumberFormat="1" applyFont="1" applyBorder="1" applyAlignment="1">
      <alignment horizontal="center"/>
    </xf>
    <xf numFmtId="0" fontId="12" fillId="0" borderId="0" xfId="0" applyNumberFormat="1" applyFont="1" applyFill="1" applyBorder="1" applyAlignment="1">
      <alignment horizontal="left"/>
    </xf>
    <xf numFmtId="0" fontId="10" fillId="0" borderId="13" xfId="0" applyNumberFormat="1" applyFont="1" applyBorder="1" applyAlignment="1">
      <alignment horizontal="left"/>
    </xf>
    <xf numFmtId="0" fontId="10" fillId="0" borderId="13" xfId="0" applyNumberFormat="1" applyFont="1" applyBorder="1" applyAlignment="1">
      <alignment horizontal="center"/>
    </xf>
    <xf numFmtId="0" fontId="12" fillId="0" borderId="0" xfId="0" applyNumberFormat="1" applyFont="1" applyFill="1" applyBorder="1" applyAlignment="1"/>
    <xf numFmtId="168" fontId="12" fillId="0" borderId="0" xfId="0" applyNumberFormat="1" applyFont="1" applyBorder="1" applyAlignment="1">
      <alignment horizontal="left"/>
    </xf>
    <xf numFmtId="0" fontId="21" fillId="0" borderId="15" xfId="0" applyNumberFormat="1" applyFont="1" applyFill="1" applyBorder="1" applyAlignment="1"/>
    <xf numFmtId="0" fontId="21" fillId="0" borderId="15" xfId="0" applyFont="1" applyFill="1" applyBorder="1" applyAlignment="1"/>
    <xf numFmtId="3" fontId="21" fillId="0" borderId="15" xfId="0" applyNumberFormat="1" applyFont="1" applyBorder="1" applyAlignment="1">
      <alignment horizontal="center"/>
    </xf>
    <xf numFmtId="0" fontId="21" fillId="0" borderId="0" xfId="0" applyNumberFormat="1" applyFont="1" applyFill="1" applyBorder="1" applyAlignment="1"/>
    <xf numFmtId="0" fontId="21" fillId="0" borderId="0" xfId="0" applyFont="1" applyFill="1" applyBorder="1" applyAlignment="1"/>
    <xf numFmtId="3" fontId="21" fillId="0" borderId="0" xfId="0" applyNumberFormat="1" applyFont="1" applyBorder="1" applyAlignment="1">
      <alignment horizontal="center"/>
    </xf>
    <xf numFmtId="3" fontId="12" fillId="0" borderId="0" xfId="0" applyNumberFormat="1" applyFont="1" applyFill="1" applyBorder="1"/>
    <xf numFmtId="0" fontId="12" fillId="0" borderId="14" xfId="0" applyNumberFormat="1" applyFont="1" applyFill="1" applyBorder="1" applyAlignment="1"/>
    <xf numFmtId="0" fontId="21" fillId="0" borderId="14" xfId="0" applyFont="1" applyFill="1" applyBorder="1" applyAlignment="1"/>
    <xf numFmtId="10" fontId="12" fillId="0" borderId="0" xfId="633" applyNumberFormat="1" applyFont="1" applyFill="1" applyBorder="1"/>
    <xf numFmtId="0" fontId="15" fillId="0" borderId="0" xfId="0" applyFont="1" applyFill="1" applyBorder="1" applyAlignment="1">
      <alignment horizontal="center"/>
    </xf>
    <xf numFmtId="37" fontId="12" fillId="0" borderId="0" xfId="0" applyNumberFormat="1" applyFont="1" applyBorder="1" applyAlignment="1">
      <alignment horizontal="left"/>
    </xf>
    <xf numFmtId="0" fontId="15" fillId="0" borderId="0" xfId="0" applyFont="1" applyBorder="1" applyAlignment="1">
      <alignment horizontal="center"/>
    </xf>
    <xf numFmtId="0" fontId="10" fillId="0" borderId="0" xfId="0" applyNumberFormat="1" applyFont="1" applyBorder="1" applyAlignment="1">
      <alignment horizontal="center"/>
    </xf>
    <xf numFmtId="37" fontId="12" fillId="0" borderId="0" xfId="0" applyNumberFormat="1" applyFont="1" applyFill="1" applyBorder="1" applyAlignment="1">
      <alignment horizontal="left"/>
    </xf>
    <xf numFmtId="3" fontId="12" fillId="30" borderId="0" xfId="0" applyNumberFormat="1" applyFont="1" applyFill="1" applyAlignment="1">
      <alignment horizontal="center"/>
    </xf>
    <xf numFmtId="49" fontId="62" fillId="0" borderId="0" xfId="0" applyNumberFormat="1" applyFont="1" applyFill="1" applyBorder="1" applyAlignment="1">
      <alignment horizontal="left"/>
    </xf>
    <xf numFmtId="0" fontId="8" fillId="0" borderId="0" xfId="465" applyFont="1" applyFill="1"/>
    <xf numFmtId="0" fontId="8" fillId="0" borderId="0" xfId="465" applyFont="1"/>
    <xf numFmtId="0" fontId="9" fillId="0" borderId="0" xfId="465" applyFont="1" applyFill="1" applyBorder="1" applyAlignment="1">
      <alignment horizontal="center" wrapText="1"/>
    </xf>
    <xf numFmtId="0" fontId="52" fillId="0" borderId="0" xfId="0" applyFont="1" applyFill="1" applyBorder="1"/>
    <xf numFmtId="164" fontId="18" fillId="0" borderId="22" xfId="390" applyNumberFormat="1" applyFont="1" applyFill="1" applyBorder="1" applyAlignment="1">
      <alignment horizontal="center"/>
    </xf>
    <xf numFmtId="164" fontId="9" fillId="0" borderId="24" xfId="381" applyNumberFormat="1" applyFont="1" applyFill="1" applyBorder="1"/>
    <xf numFmtId="0" fontId="8" fillId="0" borderId="0" xfId="467" applyFont="1"/>
    <xf numFmtId="37" fontId="8" fillId="0" borderId="0" xfId="467" applyNumberFormat="1" applyFont="1" applyFill="1"/>
    <xf numFmtId="0" fontId="8" fillId="0" borderId="0" xfId="467"/>
    <xf numFmtId="0" fontId="8" fillId="0" borderId="0" xfId="467" applyAlignment="1">
      <alignment horizontal="center"/>
    </xf>
    <xf numFmtId="0" fontId="8" fillId="0" borderId="0" xfId="467" applyAlignment="1">
      <alignment horizontal="centerContinuous"/>
    </xf>
    <xf numFmtId="164" fontId="8" fillId="0" borderId="0" xfId="381" applyNumberFormat="1" applyFont="1" applyBorder="1" applyAlignment="1"/>
    <xf numFmtId="164" fontId="8" fillId="0" borderId="0" xfId="381" applyNumberFormat="1" applyFont="1" applyFill="1" applyBorder="1" applyAlignment="1">
      <alignment horizontal="center" wrapText="1"/>
    </xf>
    <xf numFmtId="0" fontId="12" fillId="0" borderId="27" xfId="0" applyFont="1" applyBorder="1"/>
    <xf numFmtId="164" fontId="12" fillId="0" borderId="0" xfId="381" applyNumberFormat="1" applyFont="1" applyBorder="1"/>
    <xf numFmtId="164" fontId="12" fillId="0" borderId="0" xfId="381" applyNumberFormat="1" applyFont="1" applyFill="1" applyBorder="1"/>
    <xf numFmtId="49" fontId="29" fillId="0" borderId="0" xfId="0" applyNumberFormat="1" applyFont="1" applyFill="1" applyBorder="1" applyAlignment="1">
      <alignment horizontal="left"/>
    </xf>
    <xf numFmtId="164" fontId="0" fillId="0" borderId="0" xfId="381" applyNumberFormat="1" applyFont="1"/>
    <xf numFmtId="0" fontId="0" fillId="0" borderId="20" xfId="0" applyBorder="1"/>
    <xf numFmtId="0" fontId="0" fillId="0" borderId="21" xfId="0" applyBorder="1"/>
    <xf numFmtId="164" fontId="18" fillId="0" borderId="17" xfId="390" applyNumberFormat="1" applyFont="1" applyFill="1" applyBorder="1" applyAlignment="1">
      <alignment horizontal="right"/>
    </xf>
    <xf numFmtId="164" fontId="18" fillId="0" borderId="28" xfId="390" applyNumberFormat="1" applyFont="1" applyFill="1" applyBorder="1" applyAlignment="1">
      <alignment horizontal="right"/>
    </xf>
    <xf numFmtId="3" fontId="36" fillId="0" borderId="0" xfId="465" applyNumberFormat="1" applyFont="1" applyFill="1" applyBorder="1" applyAlignment="1"/>
    <xf numFmtId="3" fontId="18" fillId="0" borderId="10" xfId="465" applyNumberFormat="1" applyFont="1" applyFill="1" applyBorder="1" applyAlignment="1">
      <alignment horizontal="left"/>
    </xf>
    <xf numFmtId="0" fontId="12" fillId="0" borderId="12" xfId="0" applyNumberFormat="1" applyFont="1" applyFill="1" applyBorder="1" applyAlignment="1"/>
    <xf numFmtId="164" fontId="12" fillId="30" borderId="0" xfId="381" applyNumberFormat="1" applyFont="1" applyFill="1"/>
    <xf numFmtId="164" fontId="53" fillId="0" borderId="0" xfId="465" applyNumberFormat="1" applyFont="1" applyBorder="1" applyAlignment="1">
      <alignment horizontal="center"/>
    </xf>
    <xf numFmtId="0" fontId="30" fillId="0" borderId="0" xfId="0" applyFont="1" applyAlignment="1">
      <alignment horizontal="left"/>
    </xf>
    <xf numFmtId="0" fontId="14" fillId="0" borderId="14" xfId="0" applyFont="1" applyBorder="1" applyAlignment="1">
      <alignment horizontal="right"/>
    </xf>
    <xf numFmtId="3" fontId="60" fillId="0" borderId="13" xfId="0" applyNumberFormat="1" applyFont="1" applyBorder="1" applyAlignment="1">
      <alignment horizontal="right"/>
    </xf>
    <xf numFmtId="0" fontId="12" fillId="0" borderId="14" xfId="0" applyFont="1" applyFill="1" applyBorder="1"/>
    <xf numFmtId="0" fontId="12" fillId="0" borderId="14" xfId="0" applyFont="1" applyFill="1" applyBorder="1" applyAlignment="1"/>
    <xf numFmtId="0" fontId="0" fillId="30" borderId="0" xfId="0" applyFill="1"/>
    <xf numFmtId="0" fontId="10" fillId="0" borderId="0" xfId="0" applyFont="1" applyBorder="1"/>
    <xf numFmtId="3" fontId="12" fillId="0" borderId="14" xfId="473" applyNumberFormat="1" applyFont="1" applyFill="1" applyBorder="1" applyAlignment="1"/>
    <xf numFmtId="164" fontId="0" fillId="0" borderId="0" xfId="0" applyNumberFormat="1"/>
    <xf numFmtId="0" fontId="52" fillId="0" borderId="0" xfId="0" applyFont="1" applyFill="1"/>
    <xf numFmtId="164" fontId="18" fillId="0" borderId="12" xfId="381" applyNumberFormat="1" applyFont="1" applyFill="1" applyBorder="1" applyAlignment="1">
      <alignment wrapText="1"/>
    </xf>
    <xf numFmtId="167" fontId="0" fillId="0" borderId="0" xfId="0" applyNumberFormat="1" applyFill="1"/>
    <xf numFmtId="164" fontId="8" fillId="0" borderId="0" xfId="381" applyNumberFormat="1" applyFill="1" applyAlignment="1"/>
    <xf numFmtId="164" fontId="8" fillId="0" borderId="0" xfId="381" applyNumberFormat="1" applyFill="1" applyAlignment="1">
      <alignment wrapText="1"/>
    </xf>
    <xf numFmtId="0" fontId="52" fillId="0" borderId="14" xfId="0" applyFont="1" applyFill="1" applyBorder="1"/>
    <xf numFmtId="164" fontId="8" fillId="0" borderId="0" xfId="465" applyNumberFormat="1" applyFont="1" applyFill="1" applyBorder="1" applyAlignment="1">
      <alignment horizontal="center" wrapText="1"/>
    </xf>
    <xf numFmtId="168" fontId="8" fillId="0" borderId="0" xfId="633" applyNumberFormat="1" applyFont="1" applyFill="1" applyBorder="1" applyAlignment="1">
      <alignment horizontal="center" wrapText="1"/>
    </xf>
    <xf numFmtId="3" fontId="18" fillId="0" borderId="0" xfId="465" applyNumberFormat="1" applyFont="1" applyFill="1" applyBorder="1" applyAlignment="1">
      <alignment horizontal="right"/>
    </xf>
    <xf numFmtId="164" fontId="18" fillId="0" borderId="0" xfId="465" applyNumberFormat="1" applyFont="1" applyFill="1" applyBorder="1" applyAlignment="1">
      <alignment horizontal="right"/>
    </xf>
    <xf numFmtId="164" fontId="18" fillId="0" borderId="10" xfId="390" applyNumberFormat="1" applyFont="1" applyFill="1" applyBorder="1" applyAlignment="1">
      <alignment horizontal="right"/>
    </xf>
    <xf numFmtId="0" fontId="53" fillId="0" borderId="0" xfId="465" applyFont="1" applyFill="1" applyBorder="1" applyAlignment="1"/>
    <xf numFmtId="164" fontId="18" fillId="0" borderId="0" xfId="465" applyNumberFormat="1" applyFont="1" applyFill="1" applyBorder="1"/>
    <xf numFmtId="0" fontId="53" fillId="0" borderId="10" xfId="465" applyNumberFormat="1" applyFont="1" applyFill="1" applyBorder="1" applyAlignment="1">
      <alignment horizontal="center"/>
    </xf>
    <xf numFmtId="164" fontId="53" fillId="0" borderId="10" xfId="390" applyNumberFormat="1" applyFont="1" applyFill="1" applyBorder="1" applyAlignment="1">
      <alignment horizontal="right"/>
    </xf>
    <xf numFmtId="0" fontId="52" fillId="0" borderId="25" xfId="0" applyFont="1" applyFill="1" applyBorder="1"/>
    <xf numFmtId="0" fontId="52" fillId="0" borderId="24" xfId="0" applyFont="1" applyFill="1" applyBorder="1"/>
    <xf numFmtId="0" fontId="52" fillId="0" borderId="29" xfId="0" applyFont="1" applyFill="1" applyBorder="1"/>
    <xf numFmtId="41" fontId="52" fillId="0" borderId="0" xfId="381" applyNumberFormat="1" applyFont="1" applyFill="1" applyBorder="1"/>
    <xf numFmtId="9" fontId="52" fillId="0" borderId="21" xfId="633" applyFont="1" applyFill="1" applyBorder="1"/>
    <xf numFmtId="41" fontId="52" fillId="0" borderId="12" xfId="381" applyNumberFormat="1" applyFont="1" applyFill="1" applyBorder="1"/>
    <xf numFmtId="0" fontId="52" fillId="0" borderId="30" xfId="0" applyFont="1" applyFill="1" applyBorder="1"/>
    <xf numFmtId="0" fontId="52" fillId="0" borderId="31" xfId="0" applyFont="1" applyFill="1" applyBorder="1"/>
    <xf numFmtId="0" fontId="49" fillId="0" borderId="20" xfId="0" applyFont="1" applyFill="1" applyBorder="1"/>
    <xf numFmtId="0" fontId="49" fillId="0" borderId="0" xfId="0" applyFont="1" applyFill="1" applyBorder="1"/>
    <xf numFmtId="41" fontId="49" fillId="0" borderId="12" xfId="381" applyNumberFormat="1" applyFont="1" applyFill="1" applyBorder="1"/>
    <xf numFmtId="9" fontId="49" fillId="0" borderId="21" xfId="633" applyFont="1" applyFill="1" applyBorder="1"/>
    <xf numFmtId="10" fontId="52" fillId="0" borderId="21" xfId="633" applyNumberFormat="1" applyFont="1" applyFill="1" applyBorder="1"/>
    <xf numFmtId="10" fontId="49" fillId="0" borderId="32" xfId="633" applyNumberFormat="1" applyFont="1" applyFill="1" applyBorder="1"/>
    <xf numFmtId="9" fontId="52" fillId="0" borderId="0" xfId="633" applyFont="1" applyFill="1"/>
    <xf numFmtId="0" fontId="52" fillId="0" borderId="22" xfId="0" applyFont="1" applyFill="1" applyBorder="1"/>
    <xf numFmtId="0" fontId="52" fillId="0" borderId="10" xfId="0" applyFont="1" applyFill="1" applyBorder="1"/>
    <xf numFmtId="0" fontId="52" fillId="0" borderId="23" xfId="0" applyFont="1" applyFill="1" applyBorder="1"/>
    <xf numFmtId="0" fontId="51" fillId="0" borderId="0" xfId="552" applyFont="1" applyBorder="1" applyAlignment="1">
      <alignment horizontal="center"/>
    </xf>
    <xf numFmtId="0" fontId="9" fillId="0" borderId="14" xfId="0" applyFont="1" applyBorder="1" applyAlignment="1">
      <alignment horizontal="center"/>
    </xf>
    <xf numFmtId="0" fontId="8" fillId="0" borderId="0" xfId="465" applyFont="1" applyBorder="1"/>
    <xf numFmtId="41" fontId="8" fillId="0" borderId="0" xfId="381" applyNumberFormat="1" applyFont="1"/>
    <xf numFmtId="41" fontId="0" fillId="0" borderId="0" xfId="0" applyNumberFormat="1"/>
    <xf numFmtId="0" fontId="8" fillId="0" borderId="0" xfId="465" applyFont="1" applyBorder="1" applyAlignment="1"/>
    <xf numFmtId="0" fontId="72" fillId="0" borderId="0" xfId="0" applyFont="1"/>
    <xf numFmtId="41" fontId="8" fillId="0" borderId="0" xfId="381" applyNumberFormat="1" applyFont="1" applyFill="1"/>
    <xf numFmtId="0" fontId="64" fillId="0" borderId="0" xfId="0" applyFont="1" applyFill="1" applyAlignment="1">
      <alignment vertical="center" wrapText="1"/>
    </xf>
    <xf numFmtId="41" fontId="0" fillId="0" borderId="0" xfId="0" applyNumberFormat="1" applyFill="1"/>
    <xf numFmtId="41" fontId="0" fillId="0" borderId="0" xfId="381" applyNumberFormat="1" applyFont="1"/>
    <xf numFmtId="43" fontId="0" fillId="0" borderId="0" xfId="381" applyFont="1"/>
    <xf numFmtId="0" fontId="9" fillId="0" borderId="0" xfId="0" applyFont="1" applyBorder="1" applyAlignment="1">
      <alignment horizontal="center"/>
    </xf>
    <xf numFmtId="0" fontId="9" fillId="0" borderId="0" xfId="0" applyFont="1" applyBorder="1" applyAlignment="1">
      <alignment horizontal="left"/>
    </xf>
    <xf numFmtId="0" fontId="9" fillId="0" borderId="26" xfId="0" applyFont="1" applyBorder="1" applyAlignment="1">
      <alignment horizontal="left"/>
    </xf>
    <xf numFmtId="0" fontId="9" fillId="0" borderId="26" xfId="0" applyFont="1" applyBorder="1" applyAlignment="1">
      <alignment horizontal="center"/>
    </xf>
    <xf numFmtId="0" fontId="0" fillId="0" borderId="26" xfId="0" applyBorder="1"/>
    <xf numFmtId="43" fontId="0" fillId="0" borderId="26" xfId="381" applyFont="1" applyBorder="1"/>
    <xf numFmtId="0" fontId="72" fillId="0" borderId="26" xfId="0" applyFont="1" applyBorder="1"/>
    <xf numFmtId="1" fontId="9" fillId="0" borderId="17" xfId="381" applyNumberFormat="1" applyFont="1" applyFill="1" applyBorder="1" applyAlignment="1">
      <alignment horizontal="center"/>
    </xf>
    <xf numFmtId="1" fontId="9" fillId="0" borderId="17" xfId="0" applyNumberFormat="1" applyFont="1" applyFill="1" applyBorder="1" applyAlignment="1">
      <alignment horizontal="center"/>
    </xf>
    <xf numFmtId="1" fontId="9" fillId="0" borderId="0" xfId="0" applyNumberFormat="1" applyFont="1" applyFill="1" applyBorder="1" applyAlignment="1">
      <alignment horizontal="center"/>
    </xf>
    <xf numFmtId="1" fontId="9" fillId="0" borderId="0" xfId="381" applyNumberFormat="1" applyFont="1" applyFill="1" applyBorder="1" applyAlignment="1">
      <alignment horizontal="center"/>
    </xf>
    <xf numFmtId="164" fontId="9" fillId="0" borderId="26" xfId="381" applyNumberFormat="1" applyFont="1" applyFill="1" applyBorder="1" applyAlignment="1">
      <alignment horizontal="center"/>
    </xf>
    <xf numFmtId="1" fontId="9" fillId="0" borderId="26" xfId="0" applyNumberFormat="1" applyFont="1" applyFill="1" applyBorder="1" applyAlignment="1">
      <alignment horizontal="center"/>
    </xf>
    <xf numFmtId="0" fontId="9" fillId="0" borderId="26" xfId="0" applyFont="1" applyFill="1" applyBorder="1" applyAlignment="1">
      <alignment horizontal="left"/>
    </xf>
    <xf numFmtId="0" fontId="8" fillId="0" borderId="26" xfId="0" applyFont="1" applyFill="1" applyBorder="1"/>
    <xf numFmtId="0" fontId="8" fillId="0" borderId="0" xfId="477" applyFont="1" applyFill="1" applyBorder="1"/>
    <xf numFmtId="0" fontId="73" fillId="0" borderId="0" xfId="0" applyFont="1"/>
    <xf numFmtId="0" fontId="8" fillId="0" borderId="0" xfId="477" applyFont="1" applyBorder="1" applyAlignment="1"/>
    <xf numFmtId="0" fontId="8" fillId="0" borderId="0" xfId="477" applyFont="1" applyBorder="1"/>
    <xf numFmtId="0" fontId="72" fillId="0" borderId="0" xfId="0" applyFont="1" applyFill="1"/>
    <xf numFmtId="41" fontId="72" fillId="0" borderId="0" xfId="0" applyNumberFormat="1" applyFont="1" applyFill="1"/>
    <xf numFmtId="41" fontId="74" fillId="0" borderId="26" xfId="0" applyNumberFormat="1" applyFont="1" applyBorder="1"/>
    <xf numFmtId="0" fontId="10" fillId="0" borderId="28" xfId="0" applyFont="1" applyFill="1" applyBorder="1"/>
    <xf numFmtId="164" fontId="12" fillId="0" borderId="28" xfId="381" applyNumberFormat="1" applyFont="1" applyFill="1" applyBorder="1"/>
    <xf numFmtId="164" fontId="12" fillId="0" borderId="28" xfId="381" applyNumberFormat="1" applyFont="1" applyBorder="1"/>
    <xf numFmtId="173" fontId="10" fillId="0" borderId="33" xfId="633" applyNumberFormat="1" applyFont="1" applyFill="1" applyBorder="1" applyAlignment="1"/>
    <xf numFmtId="3" fontId="12" fillId="0" borderId="28" xfId="0" applyNumberFormat="1" applyFont="1" applyFill="1" applyBorder="1"/>
    <xf numFmtId="164" fontId="12" fillId="30" borderId="28" xfId="381" applyNumberFormat="1" applyFont="1" applyFill="1" applyBorder="1"/>
    <xf numFmtId="3" fontId="10" fillId="0" borderId="34" xfId="0" applyNumberFormat="1" applyFont="1" applyFill="1" applyBorder="1" applyAlignment="1"/>
    <xf numFmtId="3" fontId="10" fillId="0" borderId="33" xfId="0" applyNumberFormat="1" applyFont="1" applyFill="1" applyBorder="1"/>
    <xf numFmtId="3" fontId="12" fillId="0" borderId="28" xfId="0" applyNumberFormat="1" applyFont="1" applyFill="1" applyBorder="1" applyAlignment="1"/>
    <xf numFmtId="164" fontId="12" fillId="0" borderId="35" xfId="381" applyNumberFormat="1" applyFont="1" applyBorder="1"/>
    <xf numFmtId="164" fontId="10" fillId="0" borderId="28" xfId="381" applyNumberFormat="1" applyFont="1" applyBorder="1"/>
    <xf numFmtId="3" fontId="10" fillId="0" borderId="33" xfId="0" applyNumberFormat="1" applyFont="1" applyBorder="1"/>
    <xf numFmtId="164" fontId="10" fillId="0" borderId="28" xfId="381" applyNumberFormat="1" applyFont="1" applyFill="1" applyBorder="1"/>
    <xf numFmtId="3" fontId="10" fillId="0" borderId="33" xfId="0" applyNumberFormat="1" applyFont="1" applyFill="1" applyBorder="1" applyAlignment="1"/>
    <xf numFmtId="3" fontId="10" fillId="0" borderId="33" xfId="0" applyNumberFormat="1" applyFont="1" applyFill="1" applyBorder="1" applyAlignment="1">
      <alignment horizontal="right"/>
    </xf>
    <xf numFmtId="3" fontId="12" fillId="0" borderId="28" xfId="0" applyNumberFormat="1" applyFont="1" applyBorder="1"/>
    <xf numFmtId="3" fontId="10" fillId="0" borderId="34" xfId="0" applyNumberFormat="1" applyFont="1" applyBorder="1"/>
    <xf numFmtId="3" fontId="21" fillId="0" borderId="36" xfId="0" applyNumberFormat="1" applyFont="1" applyBorder="1"/>
    <xf numFmtId="3" fontId="12" fillId="0" borderId="35" xfId="0" applyNumberFormat="1" applyFont="1" applyFill="1" applyBorder="1"/>
    <xf numFmtId="3" fontId="10" fillId="0" borderId="28" xfId="0" applyNumberFormat="1" applyFont="1" applyFill="1" applyBorder="1"/>
    <xf numFmtId="164" fontId="10" fillId="0" borderId="28" xfId="381" applyNumberFormat="1" applyFont="1" applyBorder="1" applyAlignment="1"/>
    <xf numFmtId="173" fontId="10" fillId="0" borderId="28" xfId="633" applyNumberFormat="1" applyFont="1" applyBorder="1" applyAlignment="1"/>
    <xf numFmtId="164" fontId="10" fillId="0" borderId="28" xfId="381" applyNumberFormat="1" applyFont="1" applyFill="1" applyBorder="1" applyAlignment="1"/>
    <xf numFmtId="0" fontId="18" fillId="0" borderId="10" xfId="465" applyFont="1" applyFill="1" applyBorder="1" applyAlignment="1">
      <alignment horizontal="center"/>
    </xf>
    <xf numFmtId="0" fontId="40" fillId="0" borderId="0" xfId="465" applyFont="1" applyFill="1" applyBorder="1" applyAlignment="1">
      <alignment horizontal="center" wrapText="1"/>
    </xf>
    <xf numFmtId="0" fontId="36" fillId="0" borderId="0" xfId="465" applyFont="1" applyFill="1" applyBorder="1" applyAlignment="1">
      <alignment horizontal="center" wrapText="1"/>
    </xf>
    <xf numFmtId="0" fontId="36" fillId="0" borderId="21" xfId="465" applyFont="1" applyFill="1" applyBorder="1" applyAlignment="1">
      <alignment horizontal="center" wrapText="1"/>
    </xf>
    <xf numFmtId="0" fontId="40" fillId="0" borderId="21" xfId="465" applyFont="1" applyFill="1" applyBorder="1" applyAlignment="1">
      <alignment horizontal="center" wrapText="1"/>
    </xf>
    <xf numFmtId="0" fontId="9" fillId="0" borderId="24" xfId="465" applyFont="1" applyFill="1" applyBorder="1" applyAlignment="1">
      <alignment horizontal="center" wrapText="1"/>
    </xf>
    <xf numFmtId="164" fontId="12" fillId="0" borderId="35" xfId="381" applyNumberFormat="1" applyFont="1" applyFill="1" applyBorder="1"/>
    <xf numFmtId="0" fontId="8" fillId="0" borderId="0" xfId="465" applyNumberFormat="1" applyFont="1" applyFill="1" applyBorder="1" applyAlignment="1">
      <alignment horizontal="center"/>
    </xf>
    <xf numFmtId="0" fontId="8" fillId="0" borderId="24" xfId="465" applyNumberFormat="1" applyFont="1" applyFill="1" applyBorder="1" applyAlignment="1">
      <alignment horizontal="center"/>
    </xf>
    <xf numFmtId="0" fontId="52" fillId="0" borderId="0" xfId="0" applyFont="1" applyFill="1" applyBorder="1" applyAlignment="1">
      <alignment wrapText="1"/>
    </xf>
    <xf numFmtId="0" fontId="52" fillId="0" borderId="37" xfId="0" applyFont="1" applyFill="1" applyBorder="1"/>
    <xf numFmtId="0" fontId="50" fillId="0" borderId="20" xfId="0" applyFont="1" applyFill="1" applyBorder="1"/>
    <xf numFmtId="0" fontId="52" fillId="0" borderId="38" xfId="0" applyFont="1" applyFill="1" applyBorder="1"/>
    <xf numFmtId="164" fontId="52" fillId="0" borderId="21" xfId="381" applyNumberFormat="1" applyFont="1" applyFill="1" applyBorder="1"/>
    <xf numFmtId="164" fontId="52" fillId="0" borderId="32" xfId="0" applyNumberFormat="1" applyFont="1" applyFill="1" applyBorder="1"/>
    <xf numFmtId="164" fontId="52" fillId="0" borderId="23" xfId="0" applyNumberFormat="1" applyFont="1" applyFill="1" applyBorder="1"/>
    <xf numFmtId="0" fontId="75" fillId="0" borderId="0" xfId="0" applyFont="1" applyFill="1" applyBorder="1"/>
    <xf numFmtId="164" fontId="52" fillId="0" borderId="32" xfId="381" applyNumberFormat="1" applyFont="1" applyFill="1" applyBorder="1"/>
    <xf numFmtId="164" fontId="52" fillId="0" borderId="23" xfId="381" applyNumberFormat="1" applyFont="1" applyFill="1" applyBorder="1"/>
    <xf numFmtId="167" fontId="0" fillId="0" borderId="13" xfId="420" applyNumberFormat="1" applyFont="1" applyFill="1" applyBorder="1" applyAlignment="1"/>
    <xf numFmtId="0" fontId="8" fillId="0" borderId="0" xfId="0" applyFont="1" applyFill="1" applyBorder="1" applyAlignment="1">
      <alignment horizontal="center" wrapText="1"/>
    </xf>
    <xf numFmtId="164" fontId="76" fillId="0" borderId="28" xfId="381" applyNumberFormat="1" applyFont="1" applyFill="1" applyBorder="1"/>
    <xf numFmtId="0" fontId="18" fillId="0" borderId="0" xfId="390" applyNumberFormat="1" applyFont="1" applyFill="1" applyBorder="1" applyAlignment="1">
      <alignment horizontal="right"/>
    </xf>
    <xf numFmtId="165" fontId="8" fillId="31" borderId="0" xfId="498" applyNumberFormat="1" applyFont="1" applyFill="1" applyAlignment="1">
      <alignment horizontal="center"/>
    </xf>
    <xf numFmtId="0" fontId="78" fillId="31" borderId="10" xfId="0" applyFont="1" applyFill="1" applyBorder="1" applyAlignment="1">
      <alignment horizontal="center"/>
    </xf>
    <xf numFmtId="165" fontId="8" fillId="31" borderId="10" xfId="498" applyNumberFormat="1" applyFont="1" applyFill="1" applyBorder="1" applyAlignment="1">
      <alignment horizontal="center"/>
    </xf>
    <xf numFmtId="0" fontId="79" fillId="31" borderId="0" xfId="0" applyFont="1" applyFill="1" applyAlignment="1">
      <alignment horizontal="center"/>
    </xf>
    <xf numFmtId="0" fontId="79" fillId="31" borderId="0" xfId="0" applyFont="1" applyFill="1"/>
    <xf numFmtId="165" fontId="8" fillId="31" borderId="0" xfId="498" applyNumberFormat="1" applyFont="1" applyFill="1"/>
    <xf numFmtId="0" fontId="79" fillId="31" borderId="24" xfId="0" applyFont="1" applyFill="1" applyBorder="1" applyAlignment="1"/>
    <xf numFmtId="164" fontId="8" fillId="31" borderId="0" xfId="381" applyNumberFormat="1" applyFont="1" applyFill="1"/>
    <xf numFmtId="0" fontId="79" fillId="31" borderId="0" xfId="0" applyFont="1" applyFill="1" applyAlignment="1"/>
    <xf numFmtId="0" fontId="8" fillId="31" borderId="0" xfId="0" applyFont="1" applyFill="1"/>
    <xf numFmtId="0" fontId="8" fillId="31" borderId="0" xfId="0" applyFont="1" applyFill="1" applyAlignment="1"/>
    <xf numFmtId="0" fontId="0" fillId="31" borderId="0" xfId="0" applyFill="1" applyAlignment="1"/>
    <xf numFmtId="164" fontId="80" fillId="31" borderId="0" xfId="0" applyNumberFormat="1" applyFont="1" applyFill="1" applyAlignment="1"/>
    <xf numFmtId="0" fontId="80" fillId="31" borderId="0" xfId="0" applyFont="1" applyFill="1" applyAlignment="1"/>
    <xf numFmtId="175" fontId="8" fillId="31" borderId="0" xfId="381" applyNumberFormat="1" applyFont="1" applyFill="1"/>
    <xf numFmtId="44" fontId="8" fillId="31" borderId="0" xfId="421" applyFont="1" applyFill="1"/>
    <xf numFmtId="165" fontId="8" fillId="0" borderId="0" xfId="498" applyNumberFormat="1" applyFont="1" applyFill="1"/>
    <xf numFmtId="44" fontId="8" fillId="0" borderId="0" xfId="421" applyFont="1" applyFill="1"/>
    <xf numFmtId="0" fontId="79" fillId="0" borderId="0" xfId="0" applyFont="1" applyFill="1"/>
    <xf numFmtId="165" fontId="8" fillId="0" borderId="0" xfId="498" applyNumberFormat="1" applyFont="1"/>
    <xf numFmtId="44" fontId="8" fillId="0" borderId="0" xfId="421" applyFont="1"/>
    <xf numFmtId="0" fontId="81" fillId="0" borderId="0" xfId="0" applyFont="1"/>
    <xf numFmtId="0" fontId="82" fillId="0" borderId="0" xfId="0" applyFont="1"/>
    <xf numFmtId="0" fontId="83" fillId="0" borderId="0" xfId="0" applyFont="1"/>
    <xf numFmtId="0" fontId="84" fillId="0" borderId="0" xfId="467" applyFont="1" applyAlignment="1">
      <alignment horizontal="centerContinuous"/>
    </xf>
    <xf numFmtId="0" fontId="85" fillId="0" borderId="0" xfId="467" applyFont="1" applyAlignment="1">
      <alignment horizontal="centerContinuous"/>
    </xf>
    <xf numFmtId="0" fontId="86" fillId="0" borderId="0" xfId="467" applyFont="1"/>
    <xf numFmtId="0" fontId="51" fillId="0" borderId="0" xfId="467" applyFont="1" applyAlignment="1">
      <alignment horizontal="center"/>
    </xf>
    <xf numFmtId="0" fontId="51" fillId="0" borderId="0" xfId="467" applyFont="1"/>
    <xf numFmtId="0" fontId="87" fillId="0" borderId="0" xfId="467" applyFont="1" applyAlignment="1">
      <alignment horizontal="left"/>
    </xf>
    <xf numFmtId="0" fontId="51" fillId="0" borderId="0" xfId="467" applyFont="1" applyFill="1" applyAlignment="1">
      <alignment horizontal="center"/>
    </xf>
    <xf numFmtId="0" fontId="51" fillId="0" borderId="0" xfId="467" applyFont="1" applyFill="1" applyAlignment="1">
      <alignment horizontal="left"/>
    </xf>
    <xf numFmtId="0" fontId="51" fillId="0" borderId="0" xfId="467" applyFont="1" applyFill="1"/>
    <xf numFmtId="16" fontId="51" fillId="0" borderId="0" xfId="467" applyNumberFormat="1" applyFont="1" applyFill="1" applyAlignment="1">
      <alignment horizontal="center"/>
    </xf>
    <xf numFmtId="0" fontId="51" fillId="0" borderId="0" xfId="467" applyFont="1" applyAlignment="1">
      <alignment horizontal="left"/>
    </xf>
    <xf numFmtId="0" fontId="8" fillId="0" borderId="0" xfId="467" applyAlignment="1"/>
    <xf numFmtId="16" fontId="51" fillId="0" borderId="0" xfId="467" applyNumberFormat="1" applyFont="1" applyAlignment="1">
      <alignment horizontal="center"/>
    </xf>
    <xf numFmtId="0" fontId="87" fillId="0" borderId="0" xfId="467" applyFont="1" applyFill="1" applyAlignment="1">
      <alignment horizontal="left"/>
    </xf>
    <xf numFmtId="164" fontId="51" fillId="0" borderId="0" xfId="391" applyNumberFormat="1" applyFont="1"/>
    <xf numFmtId="167" fontId="51" fillId="32" borderId="0" xfId="422" applyNumberFormat="1" applyFont="1" applyFill="1"/>
    <xf numFmtId="0" fontId="88" fillId="0" borderId="0" xfId="467" applyFont="1" applyFill="1" applyAlignment="1">
      <alignment horizontal="left"/>
    </xf>
    <xf numFmtId="0" fontId="89" fillId="0" borderId="0" xfId="467" applyFont="1" applyAlignment="1">
      <alignment horizontal="center"/>
    </xf>
    <xf numFmtId="0" fontId="89" fillId="0" borderId="0" xfId="467" applyFont="1" applyAlignment="1">
      <alignment horizontal="left"/>
    </xf>
    <xf numFmtId="164" fontId="51" fillId="0" borderId="0" xfId="467" applyNumberFormat="1" applyFont="1"/>
    <xf numFmtId="164" fontId="51" fillId="33" borderId="0" xfId="391" applyNumberFormat="1" applyFont="1" applyFill="1"/>
    <xf numFmtId="164" fontId="51" fillId="0" borderId="0" xfId="391" applyNumberFormat="1" applyFont="1" applyFill="1"/>
    <xf numFmtId="43" fontId="51" fillId="0" borderId="0" xfId="467" applyNumberFormat="1" applyFont="1"/>
    <xf numFmtId="164" fontId="51" fillId="0" borderId="0" xfId="467" applyNumberFormat="1" applyFont="1" applyAlignment="1">
      <alignment horizontal="right"/>
    </xf>
    <xf numFmtId="167" fontId="51" fillId="32" borderId="0" xfId="467" applyNumberFormat="1" applyFont="1" applyFill="1"/>
    <xf numFmtId="167" fontId="51" fillId="0" borderId="0" xfId="467" applyNumberFormat="1" applyFont="1"/>
    <xf numFmtId="167" fontId="51" fillId="0" borderId="0" xfId="422" applyNumberFormat="1" applyFont="1"/>
    <xf numFmtId="0" fontId="51" fillId="0" borderId="0" xfId="467" applyFont="1" applyBorder="1" applyAlignment="1">
      <alignment horizontal="center"/>
    </xf>
    <xf numFmtId="0" fontId="51" fillId="0" borderId="0" xfId="467" applyFont="1" applyBorder="1"/>
    <xf numFmtId="0" fontId="90" fillId="0" borderId="0" xfId="467" applyFont="1" applyBorder="1"/>
    <xf numFmtId="167" fontId="51" fillId="32" borderId="0" xfId="422" applyNumberFormat="1" applyFont="1" applyFill="1" applyAlignment="1">
      <alignment horizontal="left"/>
    </xf>
    <xf numFmtId="167" fontId="89" fillId="0" borderId="0" xfId="422" applyNumberFormat="1" applyFont="1" applyFill="1" applyAlignment="1">
      <alignment horizontal="left"/>
    </xf>
    <xf numFmtId="167" fontId="51" fillId="0" borderId="0" xfId="422" applyNumberFormat="1" applyFont="1" applyAlignment="1">
      <alignment horizontal="left"/>
    </xf>
    <xf numFmtId="0" fontId="51" fillId="0" borderId="0" xfId="467" applyFont="1" applyFill="1" applyAlignment="1"/>
    <xf numFmtId="0" fontId="8" fillId="0" borderId="0" xfId="467" applyFont="1" applyFill="1" applyAlignment="1"/>
    <xf numFmtId="0" fontId="8" fillId="0" borderId="0" xfId="467" applyAlignment="1">
      <alignment wrapText="1"/>
    </xf>
    <xf numFmtId="167" fontId="51" fillId="0" borderId="0" xfId="422" applyNumberFormat="1" applyFont="1" applyFill="1" applyAlignment="1">
      <alignment horizontal="left"/>
    </xf>
    <xf numFmtId="164" fontId="51" fillId="0" borderId="0" xfId="467" applyNumberFormat="1" applyFont="1" applyAlignment="1">
      <alignment horizontal="center"/>
    </xf>
    <xf numFmtId="164" fontId="88" fillId="0" borderId="0" xfId="467" applyNumberFormat="1" applyFont="1" applyFill="1"/>
    <xf numFmtId="0" fontId="88" fillId="0" borderId="0" xfId="467" applyFont="1" applyFill="1"/>
    <xf numFmtId="164" fontId="51" fillId="0" borderId="0" xfId="467" applyNumberFormat="1" applyFont="1" applyFill="1"/>
    <xf numFmtId="44" fontId="8" fillId="34" borderId="0" xfId="420" applyFont="1" applyFill="1"/>
    <xf numFmtId="43" fontId="51" fillId="34" borderId="0" xfId="381" applyFont="1" applyFill="1"/>
    <xf numFmtId="43" fontId="51" fillId="0" borderId="0" xfId="381" applyFont="1"/>
    <xf numFmtId="164" fontId="51" fillId="0" borderId="0" xfId="467" applyNumberFormat="1" applyFont="1" applyAlignment="1">
      <alignment horizontal="left"/>
    </xf>
    <xf numFmtId="0" fontId="51" fillId="0" borderId="0" xfId="467" applyNumberFormat="1" applyFont="1" applyAlignment="1">
      <alignment horizontal="left"/>
    </xf>
    <xf numFmtId="173" fontId="51" fillId="0" borderId="0" xfId="467" applyNumberFormat="1" applyFont="1"/>
    <xf numFmtId="168" fontId="51" fillId="0" borderId="0" xfId="635" applyNumberFormat="1" applyFont="1"/>
    <xf numFmtId="167" fontId="51" fillId="0" borderId="0" xfId="467" applyNumberFormat="1" applyFont="1" applyFill="1"/>
    <xf numFmtId="43" fontId="51" fillId="0" borderId="0" xfId="467" applyNumberFormat="1" applyFont="1" applyFill="1"/>
    <xf numFmtId="167" fontId="51" fillId="0" borderId="0" xfId="467" applyNumberFormat="1" applyFont="1" applyAlignment="1">
      <alignment horizontal="center"/>
    </xf>
    <xf numFmtId="0" fontId="29" fillId="0" borderId="0" xfId="467" applyFont="1" applyAlignment="1">
      <alignment horizontal="center"/>
    </xf>
    <xf numFmtId="0" fontId="29" fillId="0" borderId="0" xfId="467" applyFont="1"/>
    <xf numFmtId="164" fontId="51" fillId="0" borderId="0" xfId="381" applyNumberFormat="1" applyFont="1" applyFill="1" applyAlignment="1">
      <alignment horizontal="center"/>
    </xf>
    <xf numFmtId="0" fontId="51" fillId="34" borderId="0" xfId="467" applyFont="1" applyFill="1" applyAlignment="1">
      <alignment horizontal="center"/>
    </xf>
    <xf numFmtId="37" fontId="51" fillId="0" borderId="0" xfId="391" applyNumberFormat="1" applyFont="1" applyFill="1"/>
    <xf numFmtId="164" fontId="51" fillId="0" borderId="0" xfId="381" applyNumberFormat="1" applyFont="1" applyFill="1"/>
    <xf numFmtId="164" fontId="51" fillId="0" borderId="0" xfId="381" applyNumberFormat="1" applyFont="1"/>
    <xf numFmtId="170" fontId="9" fillId="0" borderId="0" xfId="0" applyNumberFormat="1" applyFont="1" applyFill="1" applyBorder="1" applyAlignment="1">
      <alignment horizontal="center" wrapText="1"/>
    </xf>
    <xf numFmtId="170" fontId="9" fillId="0" borderId="0" xfId="0" applyNumberFormat="1" applyFont="1" applyBorder="1" applyAlignment="1">
      <alignment horizontal="center" wrapText="1"/>
    </xf>
    <xf numFmtId="0" fontId="0" fillId="0" borderId="0" xfId="0" applyBorder="1" applyAlignment="1">
      <alignment horizontal="center"/>
    </xf>
    <xf numFmtId="170" fontId="0" fillId="0" borderId="0" xfId="0" applyNumberFormat="1" applyFill="1" applyBorder="1"/>
    <xf numFmtId="170" fontId="0" fillId="0" borderId="0" xfId="0" applyNumberFormat="1" applyBorder="1"/>
    <xf numFmtId="0" fontId="9" fillId="0" borderId="0" xfId="0" applyFont="1" applyFill="1" applyBorder="1"/>
    <xf numFmtId="170" fontId="9" fillId="0" borderId="0" xfId="0" applyNumberFormat="1" applyFont="1" applyFill="1" applyBorder="1"/>
    <xf numFmtId="170" fontId="9" fillId="0" borderId="0" xfId="0" applyNumberFormat="1" applyFont="1" applyBorder="1"/>
    <xf numFmtId="43" fontId="91" fillId="0" borderId="0" xfId="381" applyFont="1" applyBorder="1"/>
    <xf numFmtId="0" fontId="18" fillId="0" borderId="20" xfId="465" applyFont="1" applyFill="1" applyBorder="1" applyAlignment="1"/>
    <xf numFmtId="43" fontId="91" fillId="0" borderId="0" xfId="381" applyFont="1" applyFill="1" applyBorder="1"/>
    <xf numFmtId="0" fontId="18" fillId="0" borderId="21" xfId="465" applyNumberFormat="1" applyFont="1" applyFill="1" applyBorder="1" applyAlignment="1">
      <alignment horizontal="center"/>
    </xf>
    <xf numFmtId="0" fontId="12" fillId="0" borderId="14" xfId="0" applyFont="1" applyFill="1" applyBorder="1" applyAlignment="1">
      <alignment horizontal="center"/>
    </xf>
    <xf numFmtId="164" fontId="9" fillId="0" borderId="0" xfId="381" applyNumberFormat="1" applyFont="1" applyFill="1" applyBorder="1"/>
    <xf numFmtId="0" fontId="12" fillId="0" borderId="20" xfId="0" applyNumberFormat="1" applyFont="1" applyFill="1" applyBorder="1" applyAlignment="1">
      <alignment horizontal="center"/>
    </xf>
    <xf numFmtId="173" fontId="10" fillId="0" borderId="0" xfId="633" applyNumberFormat="1" applyFont="1" applyBorder="1" applyAlignment="1"/>
    <xf numFmtId="164" fontId="10" fillId="0" borderId="0" xfId="381" applyNumberFormat="1" applyFont="1" applyBorder="1" applyAlignment="1"/>
    <xf numFmtId="0" fontId="15" fillId="0" borderId="0" xfId="0" applyFont="1" applyBorder="1" applyAlignment="1"/>
    <xf numFmtId="170" fontId="10" fillId="0" borderId="0" xfId="0" applyNumberFormat="1" applyFont="1" applyFill="1" applyBorder="1"/>
    <xf numFmtId="170" fontId="10" fillId="0" borderId="0" xfId="0" applyNumberFormat="1" applyFont="1" applyBorder="1"/>
    <xf numFmtId="164" fontId="50" fillId="0" borderId="0" xfId="381" applyNumberFormat="1" applyFont="1" applyFill="1" applyBorder="1"/>
    <xf numFmtId="43" fontId="18" fillId="0" borderId="10" xfId="381" applyFont="1" applyFill="1" applyBorder="1" applyAlignment="1">
      <alignment horizontal="center"/>
    </xf>
    <xf numFmtId="37" fontId="52" fillId="0" borderId="0" xfId="0" applyNumberFormat="1" applyFont="1" applyFill="1"/>
    <xf numFmtId="0" fontId="18" fillId="0" borderId="0" xfId="0" applyFont="1" applyFill="1" applyAlignment="1">
      <alignment wrapText="1"/>
    </xf>
    <xf numFmtId="0" fontId="8" fillId="0" borderId="0" xfId="0" applyFont="1" applyFill="1" applyAlignment="1">
      <alignment wrapText="1"/>
    </xf>
    <xf numFmtId="0" fontId="0" fillId="0" borderId="0" xfId="0" applyFill="1" applyAlignment="1">
      <alignment wrapText="1"/>
    </xf>
    <xf numFmtId="37" fontId="36" fillId="0" borderId="0" xfId="0" applyNumberFormat="1" applyFont="1" applyFill="1" applyBorder="1"/>
    <xf numFmtId="164" fontId="36" fillId="0" borderId="0" xfId="381" applyNumberFormat="1" applyFont="1" applyFill="1" applyBorder="1"/>
    <xf numFmtId="3" fontId="12" fillId="0" borderId="0" xfId="0" applyNumberFormat="1" applyFont="1" applyFill="1" applyBorder="1" applyAlignment="1">
      <alignment horizontal="center" wrapText="1"/>
    </xf>
    <xf numFmtId="3" fontId="12" fillId="0" borderId="0" xfId="0" applyNumberFormat="1" applyFont="1" applyBorder="1" applyAlignment="1">
      <alignment horizontal="center" wrapText="1"/>
    </xf>
    <xf numFmtId="0" fontId="12" fillId="0" borderId="0" xfId="0" applyNumberFormat="1" applyFont="1" applyBorder="1" applyAlignment="1">
      <alignment horizontal="center" wrapText="1"/>
    </xf>
    <xf numFmtId="164" fontId="63" fillId="0" borderId="0" xfId="381" applyNumberFormat="1" applyFont="1" applyFill="1" applyBorder="1"/>
    <xf numFmtId="164" fontId="55" fillId="0" borderId="0" xfId="381" applyNumberFormat="1" applyFont="1" applyBorder="1"/>
    <xf numFmtId="0" fontId="8" fillId="0" borderId="17" xfId="0" applyFont="1" applyBorder="1"/>
    <xf numFmtId="0" fontId="68" fillId="0" borderId="0" xfId="0" applyFont="1" applyFill="1" applyBorder="1"/>
    <xf numFmtId="0" fontId="8" fillId="0" borderId="0" xfId="467" applyFont="1" applyAlignment="1">
      <alignment horizontal="center"/>
    </xf>
    <xf numFmtId="0" fontId="21" fillId="0" borderId="0" xfId="467" applyFont="1" applyAlignment="1">
      <alignment horizontal="center"/>
    </xf>
    <xf numFmtId="0" fontId="21" fillId="0" borderId="0" xfId="467" applyFont="1" applyAlignment="1"/>
    <xf numFmtId="0" fontId="9" fillId="0" borderId="0" xfId="467" applyFont="1" applyAlignment="1">
      <alignment horizontal="left"/>
    </xf>
    <xf numFmtId="0" fontId="8" fillId="0" borderId="0" xfId="467" applyFont="1" applyAlignment="1">
      <alignment horizontal="left"/>
    </xf>
    <xf numFmtId="164" fontId="8" fillId="0" borderId="0" xfId="381" applyNumberFormat="1" applyFont="1" applyFill="1"/>
    <xf numFmtId="0" fontId="8" fillId="0" borderId="0" xfId="467" applyFont="1" applyFill="1"/>
    <xf numFmtId="0" fontId="9" fillId="0" borderId="0" xfId="467" applyFont="1" applyFill="1"/>
    <xf numFmtId="0" fontId="8" fillId="0" borderId="0" xfId="467" applyFont="1" applyBorder="1"/>
    <xf numFmtId="164" fontId="8" fillId="0" borderId="0" xfId="381" applyNumberFormat="1" applyFont="1" applyBorder="1"/>
    <xf numFmtId="0" fontId="8" fillId="0" borderId="0" xfId="467" applyFont="1" applyFill="1" applyBorder="1"/>
    <xf numFmtId="0" fontId="8" fillId="0" borderId="10" xfId="467" applyFont="1" applyFill="1" applyBorder="1"/>
    <xf numFmtId="0" fontId="36" fillId="0" borderId="25" xfId="467" applyFont="1" applyFill="1" applyBorder="1"/>
    <xf numFmtId="0" fontId="8" fillId="0" borderId="0" xfId="467" applyFont="1" applyBorder="1" applyAlignment="1">
      <alignment horizontal="center"/>
    </xf>
    <xf numFmtId="0" fontId="36" fillId="0" borderId="25" xfId="467" applyFont="1" applyBorder="1"/>
    <xf numFmtId="0" fontId="8" fillId="0" borderId="0" xfId="467" applyFont="1" applyFill="1" applyAlignment="1">
      <alignment horizontal="center"/>
    </xf>
    <xf numFmtId="0" fontId="36" fillId="0" borderId="20" xfId="467" applyFont="1" applyFill="1" applyBorder="1"/>
    <xf numFmtId="0" fontId="36" fillId="0" borderId="20" xfId="467" applyFont="1" applyFill="1" applyBorder="1" applyAlignment="1">
      <alignment horizontal="center"/>
    </xf>
    <xf numFmtId="0" fontId="40" fillId="0" borderId="20" xfId="467" applyFont="1" applyFill="1" applyBorder="1" applyAlignment="1">
      <alignment horizontal="center"/>
    </xf>
    <xf numFmtId="0" fontId="36" fillId="0" borderId="20" xfId="467" applyFont="1" applyBorder="1"/>
    <xf numFmtId="0" fontId="36" fillId="0" borderId="0" xfId="467" applyFont="1" applyFill="1" applyBorder="1" applyAlignment="1">
      <alignment horizontal="center"/>
    </xf>
    <xf numFmtId="164" fontId="36" fillId="0" borderId="21" xfId="381" applyNumberFormat="1" applyFont="1" applyFill="1" applyBorder="1" applyAlignment="1">
      <alignment horizontal="center"/>
    </xf>
    <xf numFmtId="0" fontId="36" fillId="0" borderId="0" xfId="467" applyFont="1" applyFill="1" applyBorder="1"/>
    <xf numFmtId="164" fontId="36" fillId="0" borderId="21" xfId="381" applyNumberFormat="1" applyFont="1" applyFill="1" applyBorder="1"/>
    <xf numFmtId="164" fontId="36" fillId="0" borderId="20" xfId="381" applyNumberFormat="1" applyFont="1" applyFill="1" applyBorder="1"/>
    <xf numFmtId="0" fontId="36" fillId="0" borderId="22" xfId="467" applyFont="1" applyBorder="1"/>
    <xf numFmtId="164" fontId="36" fillId="0" borderId="22" xfId="381" applyNumberFormat="1" applyFont="1" applyFill="1" applyBorder="1"/>
    <xf numFmtId="164" fontId="36" fillId="0" borderId="10" xfId="381" applyNumberFormat="1" applyFont="1" applyFill="1" applyBorder="1"/>
    <xf numFmtId="164" fontId="36" fillId="0" borderId="23" xfId="381" applyNumberFormat="1" applyFont="1" applyFill="1" applyBorder="1"/>
    <xf numFmtId="164" fontId="40" fillId="0" borderId="29" xfId="381" applyNumberFormat="1" applyFont="1" applyFill="1" applyBorder="1" applyAlignment="1">
      <alignment horizontal="center" wrapText="1"/>
    </xf>
    <xf numFmtId="0" fontId="40" fillId="0" borderId="39" xfId="467" applyFont="1" applyFill="1" applyBorder="1" applyAlignment="1">
      <alignment horizontal="center"/>
    </xf>
    <xf numFmtId="0" fontId="36" fillId="0" borderId="40" xfId="467" applyFont="1" applyBorder="1" applyAlignment="1">
      <alignment horizontal="center"/>
    </xf>
    <xf numFmtId="164" fontId="36" fillId="0" borderId="0" xfId="467" applyNumberFormat="1" applyFont="1" applyFill="1" applyBorder="1"/>
    <xf numFmtId="167" fontId="36" fillId="0" borderId="40" xfId="420" applyNumberFormat="1" applyFont="1" applyBorder="1"/>
    <xf numFmtId="0" fontId="36" fillId="0" borderId="0" xfId="467" applyFont="1" applyBorder="1"/>
    <xf numFmtId="0" fontId="36" fillId="0" borderId="40" xfId="467" applyFont="1" applyBorder="1"/>
    <xf numFmtId="164" fontId="40" fillId="0" borderId="0" xfId="467" applyNumberFormat="1" applyFont="1" applyBorder="1"/>
    <xf numFmtId="164" fontId="40" fillId="0" borderId="21" xfId="381" applyNumberFormat="1" applyFont="1" applyBorder="1"/>
    <xf numFmtId="0" fontId="36" fillId="0" borderId="41" xfId="467" applyFont="1" applyBorder="1"/>
    <xf numFmtId="164" fontId="40" fillId="0" borderId="10" xfId="467" applyNumberFormat="1" applyFont="1" applyBorder="1"/>
    <xf numFmtId="164" fontId="40" fillId="0" borderId="23" xfId="381" applyNumberFormat="1" applyFont="1" applyBorder="1"/>
    <xf numFmtId="167" fontId="36" fillId="0" borderId="41" xfId="420" applyNumberFormat="1" applyFont="1" applyBorder="1"/>
    <xf numFmtId="167" fontId="36" fillId="0" borderId="10" xfId="467" applyNumberFormat="1" applyFont="1" applyBorder="1"/>
    <xf numFmtId="0" fontId="36" fillId="0" borderId="0" xfId="467" applyFont="1"/>
    <xf numFmtId="0" fontId="36" fillId="0" borderId="0" xfId="467" applyFont="1" applyAlignment="1">
      <alignment horizontal="center"/>
    </xf>
    <xf numFmtId="164" fontId="36" fillId="0" borderId="0" xfId="381" applyNumberFormat="1" applyFont="1"/>
    <xf numFmtId="167" fontId="36" fillId="0" borderId="0" xfId="420" applyNumberFormat="1" applyFont="1"/>
    <xf numFmtId="0" fontId="8" fillId="0" borderId="0" xfId="467" applyFont="1" applyFill="1" applyBorder="1" applyAlignment="1">
      <alignment horizontal="center"/>
    </xf>
    <xf numFmtId="164" fontId="8" fillId="0" borderId="0" xfId="381" applyNumberFormat="1" applyFont="1" applyFill="1" applyBorder="1"/>
    <xf numFmtId="0" fontId="47" fillId="0" borderId="0" xfId="0" applyFont="1" applyFill="1" applyBorder="1" applyAlignment="1">
      <alignment horizontal="center"/>
    </xf>
    <xf numFmtId="0" fontId="8" fillId="0" borderId="0" xfId="0" applyFont="1" applyFill="1" applyBorder="1" applyAlignment="1">
      <alignment horizontal="center"/>
    </xf>
    <xf numFmtId="164" fontId="36" fillId="34" borderId="0" xfId="381" applyNumberFormat="1" applyFont="1" applyFill="1" applyBorder="1"/>
    <xf numFmtId="173" fontId="12" fillId="0" borderId="35" xfId="633" applyNumberFormat="1" applyFont="1" applyFill="1" applyBorder="1" applyAlignment="1"/>
    <xf numFmtId="0" fontId="14" fillId="0" borderId="0" xfId="0" quotePrefix="1" applyFont="1" applyFill="1" applyBorder="1" applyAlignment="1">
      <alignment horizontal="center" wrapText="1"/>
    </xf>
    <xf numFmtId="0" fontId="14" fillId="0" borderId="0" xfId="0" applyFont="1" applyFill="1" applyBorder="1" applyAlignment="1"/>
    <xf numFmtId="0" fontId="53" fillId="0" borderId="0" xfId="0" applyFont="1" applyFill="1" applyAlignment="1">
      <alignment horizontal="left" wrapText="1"/>
    </xf>
    <xf numFmtId="0" fontId="0" fillId="0" borderId="0" xfId="0" applyFill="1" applyAlignment="1">
      <alignment horizontal="left" vertical="center" wrapText="1"/>
    </xf>
    <xf numFmtId="0" fontId="8" fillId="0" borderId="0" xfId="465" applyFont="1" applyFill="1" applyBorder="1" applyAlignment="1">
      <alignment horizontal="center" wrapText="1"/>
    </xf>
    <xf numFmtId="0" fontId="53" fillId="0" borderId="0" xfId="465" applyFont="1" applyFill="1" applyBorder="1" applyAlignment="1">
      <alignment horizontal="center"/>
    </xf>
    <xf numFmtId="164" fontId="53" fillId="0" borderId="0" xfId="465" applyNumberFormat="1" applyFont="1" applyFill="1" applyBorder="1" applyAlignment="1"/>
    <xf numFmtId="3" fontId="18" fillId="0" borderId="0" xfId="465" applyNumberFormat="1" applyFont="1" applyFill="1" applyBorder="1" applyAlignment="1">
      <alignment horizontal="left"/>
    </xf>
    <xf numFmtId="0" fontId="8" fillId="0" borderId="0" xfId="465" applyNumberFormat="1" applyFont="1" applyFill="1" applyBorder="1" applyAlignment="1">
      <alignment horizontal="left"/>
    </xf>
    <xf numFmtId="0" fontId="53" fillId="0" borderId="10" xfId="465" applyFont="1" applyFill="1" applyBorder="1" applyAlignment="1">
      <alignment horizontal="center"/>
    </xf>
    <xf numFmtId="43" fontId="57" fillId="0" borderId="0" xfId="381" applyFont="1" applyFill="1" applyBorder="1" applyAlignment="1"/>
    <xf numFmtId="0" fontId="54" fillId="0" borderId="0" xfId="0" applyFont="1" applyFill="1" applyBorder="1"/>
    <xf numFmtId="164" fontId="18" fillId="0" borderId="20" xfId="465" applyNumberFormat="1" applyFont="1" applyFill="1" applyBorder="1"/>
    <xf numFmtId="164" fontId="18" fillId="0" borderId="12" xfId="465" applyNumberFormat="1" applyFont="1" applyFill="1" applyBorder="1"/>
    <xf numFmtId="0" fontId="18" fillId="0" borderId="20" xfId="465" applyFont="1" applyFill="1" applyBorder="1" applyAlignment="1">
      <alignment horizontal="left" wrapText="1"/>
    </xf>
    <xf numFmtId="0" fontId="18" fillId="0" borderId="22" xfId="465" applyFont="1" applyFill="1" applyBorder="1" applyAlignment="1">
      <alignment horizontal="left" wrapText="1"/>
    </xf>
    <xf numFmtId="164" fontId="9" fillId="0" borderId="16" xfId="381" applyNumberFormat="1" applyFont="1" applyFill="1" applyBorder="1" applyAlignment="1"/>
    <xf numFmtId="164" fontId="9" fillId="0" borderId="15" xfId="381" applyNumberFormat="1" applyFont="1" applyFill="1" applyBorder="1" applyAlignment="1"/>
    <xf numFmtId="164" fontId="36" fillId="0" borderId="0" xfId="381" applyNumberFormat="1" applyFont="1" applyFill="1" applyBorder="1" applyAlignment="1">
      <alignment horizontal="center"/>
    </xf>
    <xf numFmtId="164" fontId="36" fillId="0" borderId="0" xfId="381" applyNumberFormat="1" applyFont="1" applyBorder="1"/>
    <xf numFmtId="0" fontId="8" fillId="0" borderId="21" xfId="465" applyFont="1" applyFill="1" applyBorder="1" applyAlignment="1">
      <alignment horizontal="center" wrapText="1"/>
    </xf>
    <xf numFmtId="0" fontId="8" fillId="0" borderId="21" xfId="465" applyFont="1" applyBorder="1" applyAlignment="1"/>
    <xf numFmtId="164" fontId="8" fillId="0" borderId="0" xfId="390" applyNumberFormat="1" applyFont="1" applyFill="1" applyBorder="1" applyAlignment="1">
      <alignment horizontal="right"/>
    </xf>
    <xf numFmtId="0" fontId="8" fillId="0" borderId="10" xfId="465" applyFont="1" applyFill="1" applyBorder="1" applyAlignment="1">
      <alignment horizontal="center" wrapText="1"/>
    </xf>
    <xf numFmtId="0" fontId="8" fillId="0" borderId="23" xfId="465" applyFont="1" applyFill="1" applyBorder="1" applyAlignment="1">
      <alignment horizontal="center" wrapText="1"/>
    </xf>
    <xf numFmtId="0" fontId="8" fillId="0" borderId="0" xfId="465" applyFont="1" applyFill="1" applyBorder="1" applyAlignment="1"/>
    <xf numFmtId="43" fontId="50" fillId="0" borderId="21" xfId="381" applyFont="1" applyFill="1" applyBorder="1" applyAlignment="1">
      <alignment horizontal="center" wrapText="1"/>
    </xf>
    <xf numFmtId="0" fontId="8" fillId="0" borderId="10" xfId="465" applyFont="1" applyFill="1" applyBorder="1" applyAlignment="1"/>
    <xf numFmtId="0" fontId="8" fillId="0" borderId="23" xfId="465" applyFont="1" applyFill="1" applyBorder="1" applyAlignment="1"/>
    <xf numFmtId="0" fontId="8" fillId="0" borderId="21" xfId="465" applyFont="1" applyBorder="1"/>
    <xf numFmtId="0" fontId="8" fillId="0" borderId="0" xfId="465" applyFont="1" applyFill="1" applyBorder="1"/>
    <xf numFmtId="0" fontId="8" fillId="0" borderId="21" xfId="465" applyFont="1" applyFill="1" applyBorder="1" applyAlignment="1"/>
    <xf numFmtId="0" fontId="8" fillId="0" borderId="10" xfId="465" applyFont="1" applyFill="1" applyBorder="1" applyAlignment="1">
      <alignment wrapText="1"/>
    </xf>
    <xf numFmtId="0" fontId="8" fillId="0" borderId="23" xfId="465" applyFont="1" applyFill="1" applyBorder="1" applyAlignment="1">
      <alignment wrapText="1"/>
    </xf>
    <xf numFmtId="164" fontId="8" fillId="0" borderId="0" xfId="465" applyNumberFormat="1" applyFont="1" applyFill="1" applyBorder="1" applyAlignment="1">
      <alignment horizontal="center"/>
    </xf>
    <xf numFmtId="164" fontId="8" fillId="0" borderId="0" xfId="390" applyNumberFormat="1" applyFont="1" applyFill="1" applyBorder="1" applyAlignment="1">
      <alignment horizontal="left"/>
    </xf>
    <xf numFmtId="0" fontId="8" fillId="0" borderId="0" xfId="465" applyFont="1" applyFill="1" applyBorder="1" applyAlignment="1">
      <alignment horizontal="left"/>
    </xf>
    <xf numFmtId="0" fontId="8" fillId="0" borderId="21" xfId="465" applyFont="1" applyFill="1" applyBorder="1" applyAlignment="1">
      <alignment horizontal="center"/>
    </xf>
    <xf numFmtId="164" fontId="8" fillId="0" borderId="0" xfId="390" applyNumberFormat="1" applyFont="1" applyFill="1" applyBorder="1" applyAlignment="1"/>
    <xf numFmtId="0" fontId="8" fillId="0" borderId="0" xfId="465" applyFont="1" applyFill="1" applyBorder="1" applyAlignment="1">
      <alignment horizontal="center"/>
    </xf>
    <xf numFmtId="0" fontId="53" fillId="0" borderId="21" xfId="465" applyFont="1" applyBorder="1"/>
    <xf numFmtId="0" fontId="94" fillId="0" borderId="0" xfId="0" applyNumberFormat="1" applyFont="1" applyFill="1"/>
    <xf numFmtId="0" fontId="94" fillId="0" borderId="0" xfId="0" applyFont="1" applyFill="1" applyAlignment="1"/>
    <xf numFmtId="0" fontId="94" fillId="0" borderId="0" xfId="0" applyFont="1" applyFill="1" applyBorder="1" applyAlignment="1"/>
    <xf numFmtId="0" fontId="94" fillId="0" borderId="0" xfId="0" applyFont="1" applyBorder="1" applyAlignment="1"/>
    <xf numFmtId="0" fontId="95" fillId="0" borderId="0" xfId="0" applyFont="1" applyBorder="1" applyAlignment="1">
      <alignment horizontal="center"/>
    </xf>
    <xf numFmtId="37" fontId="94" fillId="0" borderId="0" xfId="0" applyNumberFormat="1" applyFont="1" applyBorder="1" applyAlignment="1">
      <alignment horizontal="left"/>
    </xf>
    <xf numFmtId="0" fontId="94" fillId="0" borderId="0" xfId="0" applyFont="1" applyBorder="1"/>
    <xf numFmtId="37" fontId="96" fillId="0" borderId="0" xfId="0" applyNumberFormat="1" applyFont="1" applyBorder="1" applyAlignment="1">
      <alignment horizontal="right"/>
    </xf>
    <xf numFmtId="0" fontId="94" fillId="0" borderId="0" xfId="0" applyFont="1" applyFill="1" applyAlignment="1">
      <alignment horizontal="left"/>
    </xf>
    <xf numFmtId="0" fontId="95" fillId="0" borderId="0" xfId="0" applyFont="1" applyFill="1" applyBorder="1" applyAlignment="1">
      <alignment horizontal="center"/>
    </xf>
    <xf numFmtId="37" fontId="94" fillId="0" borderId="0" xfId="0" applyNumberFormat="1" applyFont="1" applyFill="1" applyBorder="1" applyAlignment="1">
      <alignment horizontal="left"/>
    </xf>
    <xf numFmtId="43" fontId="36" fillId="0" borderId="0" xfId="381" applyFont="1" applyFill="1" applyBorder="1" applyAlignment="1">
      <alignment horizontal="center"/>
    </xf>
    <xf numFmtId="43" fontId="36" fillId="0" borderId="21" xfId="381" applyFont="1" applyFill="1" applyBorder="1" applyAlignment="1">
      <alignment horizontal="center"/>
    </xf>
    <xf numFmtId="0" fontId="9" fillId="0" borderId="14" xfId="467" applyFont="1" applyBorder="1" applyAlignment="1">
      <alignment horizontal="center"/>
    </xf>
    <xf numFmtId="0" fontId="9" fillId="0" borderId="0" xfId="467" applyFont="1"/>
    <xf numFmtId="13" fontId="8" fillId="0" borderId="0" xfId="467" applyNumberFormat="1" applyFont="1"/>
    <xf numFmtId="49" fontId="8" fillId="0" borderId="0" xfId="467" applyNumberFormat="1" applyFont="1" applyAlignment="1">
      <alignment horizontal="left" indent="1"/>
    </xf>
    <xf numFmtId="17" fontId="8" fillId="0" borderId="0" xfId="467" applyNumberFormat="1" applyFont="1"/>
    <xf numFmtId="43" fontId="12" fillId="0" borderId="12" xfId="0" applyNumberFormat="1" applyFont="1" applyFill="1" applyBorder="1" applyAlignment="1"/>
    <xf numFmtId="167" fontId="36" fillId="0" borderId="0" xfId="420" applyNumberFormat="1" applyFont="1" applyBorder="1"/>
    <xf numFmtId="0" fontId="35" fillId="0" borderId="0" xfId="0" applyFont="1" applyBorder="1"/>
    <xf numFmtId="164" fontId="29" fillId="0" borderId="0" xfId="0" applyNumberFormat="1" applyFont="1" applyFill="1" applyBorder="1" applyAlignment="1">
      <alignment horizontal="center"/>
    </xf>
    <xf numFmtId="164" fontId="29" fillId="0" borderId="0" xfId="381" applyNumberFormat="1" applyFont="1" applyFill="1" applyBorder="1" applyAlignment="1">
      <alignment horizontal="center"/>
    </xf>
    <xf numFmtId="164" fontId="36" fillId="0" borderId="0" xfId="0" applyNumberFormat="1" applyFont="1" applyBorder="1"/>
    <xf numFmtId="0" fontId="9" fillId="0" borderId="0" xfId="0" applyFont="1"/>
    <xf numFmtId="0" fontId="105" fillId="0" borderId="0" xfId="0" applyFont="1" applyFill="1"/>
    <xf numFmtId="0" fontId="0" fillId="0" borderId="17" xfId="0" applyBorder="1" applyAlignment="1">
      <alignment wrapText="1"/>
    </xf>
    <xf numFmtId="0" fontId="0" fillId="0" borderId="17" xfId="0" applyBorder="1" applyAlignment="1">
      <alignment horizontal="center" wrapText="1"/>
    </xf>
    <xf numFmtId="0" fontId="0" fillId="0" borderId="17" xfId="0" applyFill="1" applyBorder="1" applyAlignment="1">
      <alignment horizontal="center" wrapText="1"/>
    </xf>
    <xf numFmtId="0" fontId="0" fillId="0" borderId="34" xfId="0" applyBorder="1"/>
    <xf numFmtId="164" fontId="91" fillId="0" borderId="17" xfId="381" applyNumberFormat="1" applyFont="1" applyBorder="1"/>
    <xf numFmtId="0" fontId="85" fillId="0" borderId="17" xfId="0" applyFont="1" applyBorder="1"/>
    <xf numFmtId="164" fontId="85" fillId="0" borderId="17" xfId="381" applyNumberFormat="1" applyFont="1" applyBorder="1"/>
    <xf numFmtId="0" fontId="85" fillId="30" borderId="17" xfId="381" applyNumberFormat="1" applyFont="1" applyFill="1" applyBorder="1"/>
    <xf numFmtId="164" fontId="85" fillId="30" borderId="17" xfId="381" applyNumberFormat="1" applyFont="1" applyFill="1" applyBorder="1"/>
    <xf numFmtId="0" fontId="46" fillId="0" borderId="17" xfId="0" applyFont="1" applyBorder="1"/>
    <xf numFmtId="164" fontId="46" fillId="0" borderId="17" xfId="381" applyNumberFormat="1" applyFont="1" applyBorder="1"/>
    <xf numFmtId="164" fontId="46" fillId="30" borderId="17" xfId="381" applyNumberFormat="1" applyFont="1" applyFill="1" applyBorder="1"/>
    <xf numFmtId="0" fontId="46" fillId="30" borderId="17" xfId="381" applyNumberFormat="1" applyFont="1" applyFill="1" applyBorder="1"/>
    <xf numFmtId="164" fontId="9" fillId="0" borderId="17" xfId="381" applyNumberFormat="1" applyFont="1" applyBorder="1"/>
    <xf numFmtId="0" fontId="0" fillId="0" borderId="35" xfId="0" applyBorder="1"/>
    <xf numFmtId="0" fontId="0" fillId="0" borderId="34" xfId="0" applyFill="1" applyBorder="1"/>
    <xf numFmtId="0" fontId="0" fillId="0" borderId="35" xfId="0" applyFill="1" applyBorder="1"/>
    <xf numFmtId="0" fontId="0" fillId="0" borderId="28" xfId="0" applyFill="1" applyBorder="1"/>
    <xf numFmtId="0" fontId="105" fillId="0" borderId="0" xfId="0" applyFont="1"/>
    <xf numFmtId="0" fontId="0" fillId="0" borderId="0" xfId="0" applyFill="1" applyBorder="1" applyAlignment="1">
      <alignment horizontal="center" wrapText="1"/>
    </xf>
    <xf numFmtId="164" fontId="0" fillId="0" borderId="0" xfId="0" applyNumberFormat="1" applyBorder="1"/>
    <xf numFmtId="0" fontId="106" fillId="0" borderId="0" xfId="0" applyFont="1" applyBorder="1"/>
    <xf numFmtId="0" fontId="9" fillId="0" borderId="0" xfId="0" applyFont="1" applyBorder="1"/>
    <xf numFmtId="173" fontId="0" fillId="0" borderId="0" xfId="0" applyNumberFormat="1" applyFill="1" applyAlignment="1">
      <alignment horizontal="center" wrapText="1"/>
    </xf>
    <xf numFmtId="3" fontId="8" fillId="0" borderId="0" xfId="465" applyNumberFormat="1" applyFont="1" applyFill="1" applyBorder="1" applyAlignment="1">
      <alignment horizontal="right"/>
    </xf>
    <xf numFmtId="0" fontId="0" fillId="0" borderId="0" xfId="0" quotePrefix="1"/>
    <xf numFmtId="43" fontId="0" fillId="0" borderId="0" xfId="381" applyNumberFormat="1" applyFont="1"/>
    <xf numFmtId="176" fontId="0" fillId="0" borderId="0" xfId="381" applyNumberFormat="1" applyFont="1"/>
    <xf numFmtId="0" fontId="30" fillId="35" borderId="25" xfId="0" applyFont="1" applyFill="1" applyBorder="1" applyAlignment="1">
      <alignment horizontal="left"/>
    </xf>
    <xf numFmtId="0" fontId="12" fillId="35" borderId="24" xfId="0" applyFont="1" applyFill="1" applyBorder="1" applyAlignment="1"/>
    <xf numFmtId="0" fontId="12" fillId="35" borderId="24" xfId="0" applyFont="1" applyFill="1" applyBorder="1" applyAlignment="1">
      <alignment horizontal="center"/>
    </xf>
    <xf numFmtId="0" fontId="10" fillId="35" borderId="29" xfId="0" applyFont="1" applyFill="1" applyBorder="1" applyAlignment="1">
      <alignment horizontal="center" wrapText="1"/>
    </xf>
    <xf numFmtId="0" fontId="30" fillId="35" borderId="22" xfId="0" applyFont="1" applyFill="1" applyBorder="1" applyAlignment="1">
      <alignment horizontal="left"/>
    </xf>
    <xf numFmtId="0" fontId="10" fillId="35" borderId="10" xfId="0" applyFont="1" applyFill="1" applyBorder="1" applyAlignment="1"/>
    <xf numFmtId="0" fontId="10" fillId="35" borderId="10" xfId="0" applyNumberFormat="1" applyFont="1" applyFill="1" applyBorder="1" applyAlignment="1">
      <alignment horizontal="center"/>
    </xf>
    <xf numFmtId="0" fontId="10" fillId="35" borderId="23" xfId="0" applyFont="1" applyFill="1" applyBorder="1" applyAlignment="1"/>
    <xf numFmtId="0" fontId="10" fillId="35" borderId="42" xfId="0" applyFont="1" applyFill="1" applyBorder="1" applyAlignment="1">
      <alignment horizontal="center" wrapText="1"/>
    </xf>
    <xf numFmtId="0" fontId="10" fillId="35" borderId="43" xfId="0" applyFont="1" applyFill="1" applyBorder="1" applyAlignment="1">
      <alignment horizontal="center" wrapText="1"/>
    </xf>
    <xf numFmtId="0" fontId="10" fillId="35" borderId="44" xfId="0" applyFont="1" applyFill="1" applyBorder="1" applyAlignment="1">
      <alignment horizontal="center" wrapText="1"/>
    </xf>
    <xf numFmtId="0" fontId="10" fillId="35" borderId="45" xfId="0" applyFont="1" applyFill="1" applyBorder="1" applyAlignment="1">
      <alignment horizontal="center"/>
    </xf>
    <xf numFmtId="0" fontId="10" fillId="35" borderId="46" xfId="0" applyFont="1" applyFill="1" applyBorder="1" applyAlignment="1">
      <alignment horizontal="center"/>
    </xf>
    <xf numFmtId="43" fontId="91" fillId="0" borderId="0" xfId="381" applyFont="1"/>
    <xf numFmtId="0" fontId="45" fillId="0" borderId="0" xfId="0" applyFont="1"/>
    <xf numFmtId="0" fontId="107" fillId="0" borderId="0" xfId="0" applyFont="1"/>
    <xf numFmtId="0" fontId="108" fillId="0" borderId="0" xfId="0" applyFont="1"/>
    <xf numFmtId="17" fontId="9" fillId="0" borderId="26" xfId="0" applyNumberFormat="1" applyFont="1" applyBorder="1"/>
    <xf numFmtId="17" fontId="9" fillId="0" borderId="26" xfId="0" applyNumberFormat="1" applyFont="1" applyBorder="1" applyAlignment="1">
      <alignment horizontal="center"/>
    </xf>
    <xf numFmtId="0" fontId="109" fillId="0" borderId="0" xfId="0" applyFont="1"/>
    <xf numFmtId="0" fontId="107" fillId="0" borderId="0" xfId="0" applyFont="1" applyBorder="1"/>
    <xf numFmtId="164" fontId="107" fillId="0" borderId="0" xfId="381" applyNumberFormat="1" applyFont="1" applyBorder="1"/>
    <xf numFmtId="0" fontId="77" fillId="0" borderId="0" xfId="0" applyFont="1"/>
    <xf numFmtId="43" fontId="12" fillId="0" borderId="0" xfId="381" applyFont="1" applyBorder="1"/>
    <xf numFmtId="0" fontId="121" fillId="0" borderId="0" xfId="0" applyFont="1"/>
    <xf numFmtId="37" fontId="0" fillId="0" borderId="0" xfId="0" applyNumberFormat="1"/>
    <xf numFmtId="37" fontId="0" fillId="0" borderId="12" xfId="0" applyNumberFormat="1" applyBorder="1"/>
    <xf numFmtId="2" fontId="8" fillId="0" borderId="0" xfId="467" applyNumberFormat="1" applyFont="1" applyFill="1"/>
    <xf numFmtId="43" fontId="8" fillId="0" borderId="0" xfId="381" applyNumberFormat="1" applyFont="1" applyFill="1"/>
    <xf numFmtId="0" fontId="51" fillId="0" borderId="0" xfId="467" applyFont="1" applyAlignment="1">
      <alignment wrapText="1"/>
    </xf>
    <xf numFmtId="0" fontId="12" fillId="0" borderId="28" xfId="0" applyFont="1" applyBorder="1"/>
    <xf numFmtId="37" fontId="8" fillId="0" borderId="28" xfId="0" applyNumberFormat="1" applyFont="1" applyBorder="1"/>
    <xf numFmtId="37" fontId="8" fillId="0" borderId="0" xfId="0" applyNumberFormat="1" applyFont="1" applyFill="1" applyBorder="1" applyAlignment="1"/>
    <xf numFmtId="0" fontId="8" fillId="0" borderId="0" xfId="467" applyFont="1" applyBorder="1" applyAlignment="1">
      <alignment wrapText="1"/>
    </xf>
    <xf numFmtId="43" fontId="8" fillId="0" borderId="0" xfId="0" applyNumberFormat="1" applyFont="1" applyFill="1" applyBorder="1" applyAlignment="1">
      <alignment horizontal="center"/>
    </xf>
    <xf numFmtId="164" fontId="36" fillId="34" borderId="0" xfId="381" applyNumberFormat="1" applyFont="1" applyFill="1" applyBorder="1" applyAlignment="1"/>
    <xf numFmtId="0" fontId="122" fillId="0" borderId="0" xfId="0" applyFont="1"/>
    <xf numFmtId="0" fontId="9" fillId="0" borderId="0" xfId="0" applyFont="1" applyFill="1" applyAlignment="1">
      <alignment horizontal="left"/>
    </xf>
    <xf numFmtId="164" fontId="9" fillId="0" borderId="26" xfId="381" applyNumberFormat="1" applyFont="1" applyBorder="1"/>
    <xf numFmtId="164" fontId="74" fillId="0" borderId="26" xfId="381" applyNumberFormat="1" applyFont="1" applyBorder="1"/>
    <xf numFmtId="164" fontId="72" fillId="0" borderId="0" xfId="381" applyNumberFormat="1" applyFont="1"/>
    <xf numFmtId="4" fontId="0" fillId="0" borderId="0" xfId="0" applyNumberFormat="1" applyFill="1"/>
    <xf numFmtId="43" fontId="9" fillId="0" borderId="0" xfId="381" applyFont="1" applyAlignment="1">
      <alignment horizontal="center"/>
    </xf>
    <xf numFmtId="1" fontId="9" fillId="0" borderId="47" xfId="0" applyNumberFormat="1" applyFont="1" applyFill="1" applyBorder="1" applyAlignment="1">
      <alignment horizontal="center"/>
    </xf>
    <xf numFmtId="164" fontId="18" fillId="0" borderId="20" xfId="381" applyNumberFormat="1" applyFont="1" applyFill="1" applyBorder="1" applyAlignment="1">
      <alignment horizontal="center" wrapText="1"/>
    </xf>
    <xf numFmtId="164" fontId="18" fillId="0" borderId="0" xfId="381" applyNumberFormat="1" applyFont="1" applyFill="1" applyBorder="1" applyAlignment="1">
      <alignment horizontal="center" wrapText="1"/>
    </xf>
    <xf numFmtId="17" fontId="0" fillId="0" borderId="0" xfId="0" applyNumberFormat="1" applyFill="1"/>
    <xf numFmtId="175" fontId="51" fillId="34" borderId="0" xfId="381" applyNumberFormat="1" applyFont="1" applyFill="1"/>
    <xf numFmtId="40" fontId="51" fillId="34" borderId="0" xfId="475" applyNumberFormat="1" applyFont="1" applyFill="1" applyBorder="1"/>
    <xf numFmtId="0" fontId="51" fillId="0" borderId="0" xfId="467" applyFont="1" applyFill="1" applyBorder="1"/>
    <xf numFmtId="164" fontId="51" fillId="0" borderId="0" xfId="381" applyNumberFormat="1" applyFont="1" applyFill="1" applyBorder="1"/>
    <xf numFmtId="164" fontId="51" fillId="0" borderId="0" xfId="467" applyNumberFormat="1" applyFont="1" applyFill="1" applyBorder="1"/>
    <xf numFmtId="164" fontId="51" fillId="0" borderId="0" xfId="381" applyNumberFormat="1" applyFont="1" applyBorder="1"/>
    <xf numFmtId="40" fontId="51" fillId="34" borderId="0" xfId="476" applyNumberFormat="1" applyFont="1" applyFill="1" applyBorder="1"/>
    <xf numFmtId="0" fontId="8" fillId="0" borderId="0" xfId="473" applyNumberFormat="1" applyFont="1" applyFill="1" applyBorder="1" applyAlignment="1"/>
    <xf numFmtId="0" fontId="8" fillId="0" borderId="0" xfId="473" applyFont="1" applyFill="1" applyBorder="1" applyAlignment="1">
      <alignment horizontal="left"/>
    </xf>
    <xf numFmtId="0" fontId="8" fillId="0" borderId="0" xfId="473" applyFont="1" applyFill="1" applyBorder="1" applyAlignment="1"/>
    <xf numFmtId="0" fontId="8" fillId="0" borderId="0" xfId="473" applyFont="1" applyBorder="1"/>
    <xf numFmtId="0" fontId="8" fillId="0" borderId="10" xfId="473" applyNumberFormat="1" applyFont="1" applyFill="1" applyBorder="1" applyAlignment="1">
      <alignment horizontal="right"/>
    </xf>
    <xf numFmtId="0" fontId="8" fillId="0" borderId="10" xfId="473" applyNumberFormat="1" applyFont="1" applyFill="1" applyBorder="1" applyAlignment="1">
      <alignment horizontal="left"/>
    </xf>
    <xf numFmtId="0" fontId="8" fillId="0" borderId="10" xfId="473" applyNumberFormat="1" applyFont="1" applyFill="1" applyBorder="1" applyAlignment="1">
      <alignment horizontal="center"/>
    </xf>
    <xf numFmtId="43" fontId="12" fillId="0" borderId="0" xfId="0" applyNumberFormat="1" applyFont="1"/>
    <xf numFmtId="164" fontId="9" fillId="0" borderId="0" xfId="390" applyNumberFormat="1" applyFont="1" applyFill="1" applyBorder="1" applyAlignment="1">
      <alignment horizontal="right"/>
    </xf>
    <xf numFmtId="0" fontId="53" fillId="0" borderId="0" xfId="465" applyFont="1" applyFill="1" applyBorder="1" applyAlignment="1">
      <alignment horizontal="left"/>
    </xf>
    <xf numFmtId="164" fontId="18" fillId="0" borderId="34" xfId="390" applyNumberFormat="1" applyFont="1" applyFill="1" applyBorder="1" applyAlignment="1">
      <alignment horizontal="right"/>
    </xf>
    <xf numFmtId="0" fontId="18" fillId="0" borderId="28" xfId="465" applyNumberFormat="1" applyFont="1" applyFill="1" applyBorder="1" applyAlignment="1">
      <alignment horizontal="left"/>
    </xf>
    <xf numFmtId="0" fontId="18" fillId="0" borderId="28" xfId="465" applyFont="1" applyFill="1" applyBorder="1" applyAlignment="1"/>
    <xf numFmtId="0" fontId="18" fillId="0" borderId="28" xfId="465" applyFont="1" applyFill="1" applyBorder="1" applyAlignment="1">
      <alignment horizontal="left"/>
    </xf>
    <xf numFmtId="3" fontId="18" fillId="0" borderId="28" xfId="465" applyNumberFormat="1" applyFont="1" applyFill="1" applyBorder="1" applyAlignment="1">
      <alignment horizontal="left"/>
    </xf>
    <xf numFmtId="0" fontId="9" fillId="0" borderId="28" xfId="465" applyFont="1" applyFill="1" applyBorder="1" applyAlignment="1">
      <alignment horizontal="center"/>
    </xf>
    <xf numFmtId="164" fontId="18" fillId="0" borderId="28" xfId="465" applyNumberFormat="1" applyFont="1" applyFill="1" applyBorder="1" applyAlignment="1">
      <alignment horizontal="left"/>
    </xf>
    <xf numFmtId="0" fontId="10" fillId="0" borderId="27" xfId="0" applyFont="1" applyFill="1" applyBorder="1"/>
    <xf numFmtId="0" fontId="12" fillId="0" borderId="27" xfId="0" applyFont="1" applyFill="1" applyBorder="1"/>
    <xf numFmtId="0" fontId="8" fillId="0" borderId="20" xfId="465" applyFont="1" applyFill="1" applyBorder="1"/>
    <xf numFmtId="0" fontId="8" fillId="0" borderId="20" xfId="465" applyNumberFormat="1" applyFont="1" applyFill="1" applyBorder="1" applyAlignment="1">
      <alignment horizontal="left"/>
    </xf>
    <xf numFmtId="0" fontId="8" fillId="0" borderId="22" xfId="465" applyNumberFormat="1" applyFont="1" applyFill="1" applyBorder="1" applyAlignment="1">
      <alignment horizontal="center"/>
    </xf>
    <xf numFmtId="0" fontId="8" fillId="0" borderId="10" xfId="465" applyNumberFormat="1" applyFont="1" applyFill="1" applyBorder="1" applyAlignment="1">
      <alignment horizontal="center"/>
    </xf>
    <xf numFmtId="164" fontId="18" fillId="0" borderId="48" xfId="465" applyNumberFormat="1" applyFont="1" applyFill="1" applyBorder="1" applyAlignment="1"/>
    <xf numFmtId="164" fontId="18" fillId="0" borderId="10" xfId="465" applyNumberFormat="1" applyFont="1" applyFill="1" applyBorder="1" applyAlignment="1"/>
    <xf numFmtId="0" fontId="29" fillId="0" borderId="24" xfId="0" applyNumberFormat="1" applyFont="1" applyFill="1" applyBorder="1" applyAlignment="1">
      <alignment horizontal="center"/>
    </xf>
    <xf numFmtId="0" fontId="36" fillId="0" borderId="24" xfId="0" applyFont="1" applyBorder="1"/>
    <xf numFmtId="0" fontId="35" fillId="0" borderId="24" xfId="0" applyFont="1" applyBorder="1"/>
    <xf numFmtId="0" fontId="36" fillId="0" borderId="29" xfId="0" applyFont="1" applyBorder="1"/>
    <xf numFmtId="0" fontId="29" fillId="0" borderId="20" xfId="0" applyNumberFormat="1" applyFont="1" applyFill="1" applyBorder="1" applyAlignment="1">
      <alignment horizontal="center"/>
    </xf>
    <xf numFmtId="0" fontId="36" fillId="0" borderId="21" xfId="0" applyFont="1" applyBorder="1"/>
    <xf numFmtId="0" fontId="29" fillId="0" borderId="22" xfId="0" applyNumberFormat="1" applyFont="1" applyFill="1" applyBorder="1" applyAlignment="1">
      <alignment horizontal="center"/>
    </xf>
    <xf numFmtId="0" fontId="29" fillId="0" borderId="10" xfId="0" applyNumberFormat="1" applyFont="1" applyFill="1" applyBorder="1" applyAlignment="1">
      <alignment horizontal="center"/>
    </xf>
    <xf numFmtId="0" fontId="29" fillId="0" borderId="10" xfId="0" applyNumberFormat="1" applyFont="1" applyFill="1" applyBorder="1" applyAlignment="1">
      <alignment horizontal="left"/>
    </xf>
    <xf numFmtId="164" fontId="29" fillId="0" borderId="10" xfId="381" applyNumberFormat="1" applyFont="1" applyFill="1" applyBorder="1" applyAlignment="1">
      <alignment horizontal="center"/>
    </xf>
    <xf numFmtId="164" fontId="29" fillId="0" borderId="10" xfId="0" applyNumberFormat="1" applyFont="1" applyFill="1" applyBorder="1" applyAlignment="1">
      <alignment horizontal="center"/>
    </xf>
    <xf numFmtId="164" fontId="36" fillId="0" borderId="28" xfId="381" applyNumberFormat="1" applyFont="1" applyBorder="1"/>
    <xf numFmtId="0" fontId="29" fillId="0" borderId="42" xfId="0" applyNumberFormat="1" applyFont="1" applyFill="1" applyBorder="1" applyAlignment="1">
      <alignment horizontal="center" wrapText="1"/>
    </xf>
    <xf numFmtId="164" fontId="29" fillId="0" borderId="28" xfId="0" applyNumberFormat="1" applyFont="1" applyFill="1" applyBorder="1" applyAlignment="1">
      <alignment horizontal="center"/>
    </xf>
    <xf numFmtId="0" fontId="29" fillId="0" borderId="42" xfId="0" applyNumberFormat="1" applyFont="1" applyFill="1" applyBorder="1" applyAlignment="1">
      <alignment horizontal="center"/>
    </xf>
    <xf numFmtId="164" fontId="29" fillId="0" borderId="49" xfId="0" applyNumberFormat="1" applyFont="1" applyFill="1" applyBorder="1" applyAlignment="1">
      <alignment horizontal="center"/>
    </xf>
    <xf numFmtId="37" fontId="0" fillId="0" borderId="0" xfId="0" applyNumberFormat="1" applyBorder="1"/>
    <xf numFmtId="0" fontId="0" fillId="0" borderId="10" xfId="0" applyBorder="1"/>
    <xf numFmtId="0" fontId="18" fillId="0" borderId="24" xfId="465" applyFont="1" applyFill="1" applyBorder="1"/>
    <xf numFmtId="0" fontId="8" fillId="0" borderId="24" xfId="465" applyFont="1" applyFill="1" applyBorder="1"/>
    <xf numFmtId="0" fontId="18" fillId="0" borderId="29" xfId="465" applyFont="1" applyFill="1" applyBorder="1"/>
    <xf numFmtId="0" fontId="18" fillId="0" borderId="21" xfId="465" applyFont="1" applyFill="1" applyBorder="1"/>
    <xf numFmtId="0" fontId="8" fillId="0" borderId="21" xfId="0" applyFont="1" applyFill="1" applyBorder="1" applyAlignment="1">
      <alignment horizontal="right"/>
    </xf>
    <xf numFmtId="41" fontId="9" fillId="0" borderId="26" xfId="0" applyNumberFormat="1" applyFont="1" applyBorder="1"/>
    <xf numFmtId="0" fontId="45" fillId="0" borderId="0" xfId="0" applyFont="1" applyAlignment="1">
      <alignment horizontal="center"/>
    </xf>
    <xf numFmtId="41" fontId="9" fillId="0" borderId="26" xfId="0" applyNumberFormat="1" applyFont="1" applyFill="1" applyBorder="1"/>
    <xf numFmtId="184" fontId="45" fillId="0" borderId="0" xfId="0" applyNumberFormat="1" applyFont="1"/>
    <xf numFmtId="0" fontId="12" fillId="0" borderId="0" xfId="0" applyNumberFormat="1" applyFont="1" applyFill="1" applyBorder="1" applyAlignment="1">
      <alignment horizontal="center" wrapText="1"/>
    </xf>
    <xf numFmtId="173" fontId="36" fillId="0" borderId="0" xfId="0" applyNumberFormat="1" applyFont="1" applyFill="1" applyBorder="1"/>
    <xf numFmtId="164" fontId="36" fillId="36" borderId="0" xfId="381" applyNumberFormat="1" applyFont="1" applyFill="1" applyBorder="1"/>
    <xf numFmtId="164" fontId="36" fillId="37" borderId="0" xfId="381" applyNumberFormat="1" applyFont="1" applyFill="1" applyBorder="1"/>
    <xf numFmtId="164" fontId="53" fillId="0" borderId="0" xfId="381" applyNumberFormat="1" applyFont="1" applyBorder="1"/>
    <xf numFmtId="3" fontId="12" fillId="0" borderId="28" xfId="0" applyNumberFormat="1" applyFont="1" applyBorder="1" applyAlignment="1"/>
    <xf numFmtId="173" fontId="10" fillId="0" borderId="28" xfId="633" applyNumberFormat="1" applyFont="1" applyFill="1" applyBorder="1" applyAlignment="1"/>
    <xf numFmtId="0" fontId="12" fillId="0" borderId="28" xfId="0" applyFont="1" applyFill="1" applyBorder="1"/>
    <xf numFmtId="0" fontId="12" fillId="30" borderId="28" xfId="0" applyFont="1" applyFill="1" applyBorder="1" applyAlignment="1">
      <alignment horizontal="center" wrapText="1"/>
    </xf>
    <xf numFmtId="0" fontId="12" fillId="0" borderId="28" xfId="0" applyFont="1" applyFill="1" applyBorder="1" applyAlignment="1">
      <alignment horizontal="center" wrapText="1"/>
    </xf>
    <xf numFmtId="3" fontId="12" fillId="0" borderId="35" xfId="0" applyNumberFormat="1" applyFont="1" applyFill="1" applyBorder="1" applyAlignment="1"/>
    <xf numFmtId="3" fontId="10" fillId="0" borderId="28" xfId="0" applyNumberFormat="1" applyFont="1" applyFill="1" applyBorder="1" applyAlignment="1"/>
    <xf numFmtId="3" fontId="65" fillId="0" borderId="28" xfId="0" applyNumberFormat="1" applyFont="1" applyFill="1" applyBorder="1"/>
    <xf numFmtId="0" fontId="12" fillId="30" borderId="28" xfId="0" applyFont="1" applyFill="1" applyBorder="1"/>
    <xf numFmtId="3" fontId="12" fillId="0" borderId="28" xfId="0" applyNumberFormat="1" applyFont="1" applyFill="1" applyBorder="1" applyAlignment="1">
      <alignment horizontal="right"/>
    </xf>
    <xf numFmtId="3" fontId="10" fillId="0" borderId="28" xfId="0" applyNumberFormat="1" applyFont="1" applyFill="1" applyBorder="1" applyAlignment="1">
      <alignment horizontal="right"/>
    </xf>
    <xf numFmtId="173" fontId="12" fillId="0" borderId="28" xfId="0" applyNumberFormat="1" applyFont="1" applyFill="1" applyBorder="1" applyAlignment="1">
      <alignment horizontal="right"/>
    </xf>
    <xf numFmtId="3" fontId="12" fillId="0" borderId="35" xfId="0" applyNumberFormat="1" applyFont="1" applyFill="1" applyBorder="1" applyAlignment="1">
      <alignment horizontal="right"/>
    </xf>
    <xf numFmtId="3" fontId="14" fillId="0" borderId="28" xfId="0" applyNumberFormat="1" applyFont="1" applyFill="1" applyBorder="1" applyAlignment="1">
      <alignment horizontal="right"/>
    </xf>
    <xf numFmtId="173" fontId="12" fillId="0" borderId="28" xfId="0" applyNumberFormat="1" applyFont="1" applyBorder="1" applyAlignment="1">
      <alignment horizontal="right"/>
    </xf>
    <xf numFmtId="173" fontId="12" fillId="0" borderId="35" xfId="0" applyNumberFormat="1" applyFont="1" applyFill="1" applyBorder="1" applyAlignment="1">
      <alignment horizontal="right"/>
    </xf>
    <xf numFmtId="10" fontId="12" fillId="0" borderId="28" xfId="633" applyNumberFormat="1" applyFont="1" applyFill="1" applyBorder="1" applyAlignment="1"/>
    <xf numFmtId="166" fontId="12" fillId="0" borderId="28" xfId="0" applyNumberFormat="1" applyFont="1" applyFill="1" applyBorder="1" applyAlignment="1"/>
    <xf numFmtId="0" fontId="9" fillId="0" borderId="24" xfId="465" applyFont="1" applyFill="1" applyBorder="1" applyAlignment="1">
      <alignment horizontal="center"/>
    </xf>
    <xf numFmtId="0" fontId="18" fillId="0" borderId="24" xfId="465" applyFont="1" applyFill="1" applyBorder="1" applyAlignment="1">
      <alignment horizontal="center" wrapText="1"/>
    </xf>
    <xf numFmtId="166" fontId="12" fillId="0" borderId="35" xfId="0" applyNumberFormat="1" applyFont="1" applyFill="1" applyBorder="1" applyAlignment="1"/>
    <xf numFmtId="166" fontId="10" fillId="0" borderId="28" xfId="0" applyNumberFormat="1" applyFont="1" applyFill="1" applyBorder="1" applyAlignment="1"/>
    <xf numFmtId="166" fontId="10" fillId="0" borderId="28" xfId="0" applyNumberFormat="1" applyFont="1" applyBorder="1" applyAlignment="1"/>
    <xf numFmtId="166" fontId="12" fillId="0" borderId="28" xfId="0" applyNumberFormat="1" applyFont="1" applyBorder="1" applyAlignment="1"/>
    <xf numFmtId="0" fontId="12" fillId="0" borderId="28" xfId="0" applyFont="1" applyBorder="1" applyAlignment="1"/>
    <xf numFmtId="10" fontId="12" fillId="0" borderId="28" xfId="0" applyNumberFormat="1" applyFont="1" applyFill="1" applyBorder="1"/>
    <xf numFmtId="10" fontId="12" fillId="0" borderId="28" xfId="0" applyNumberFormat="1" applyFont="1" applyFill="1" applyBorder="1" applyAlignment="1">
      <alignment horizontal="right"/>
    </xf>
    <xf numFmtId="10" fontId="12" fillId="0" borderId="28" xfId="633" applyNumberFormat="1" applyFont="1" applyBorder="1" applyAlignment="1"/>
    <xf numFmtId="3" fontId="10" fillId="0" borderId="34" xfId="0" applyNumberFormat="1" applyFont="1" applyBorder="1" applyAlignment="1">
      <alignment horizontal="right"/>
    </xf>
    <xf numFmtId="3" fontId="16" fillId="0" borderId="28" xfId="0" applyNumberFormat="1" applyFont="1" applyBorder="1" applyAlignment="1">
      <alignment horizontal="right"/>
    </xf>
    <xf numFmtId="3" fontId="12" fillId="0" borderId="28" xfId="0" applyNumberFormat="1" applyFont="1" applyBorder="1" applyAlignment="1">
      <alignment horizontal="right"/>
    </xf>
    <xf numFmtId="164" fontId="10" fillId="0" borderId="33" xfId="381" applyNumberFormat="1" applyFont="1" applyFill="1" applyBorder="1" applyAlignment="1">
      <alignment horizontal="right"/>
    </xf>
    <xf numFmtId="174" fontId="12" fillId="0" borderId="28" xfId="633" applyNumberFormat="1" applyFont="1" applyFill="1" applyBorder="1" applyAlignment="1">
      <alignment horizontal="right"/>
    </xf>
    <xf numFmtId="3" fontId="21" fillId="0" borderId="28" xfId="0" applyNumberFormat="1" applyFont="1" applyBorder="1"/>
    <xf numFmtId="164" fontId="12" fillId="0" borderId="28" xfId="381" applyNumberFormat="1" applyFont="1" applyFill="1" applyBorder="1" applyAlignment="1"/>
    <xf numFmtId="164" fontId="12" fillId="0" borderId="14" xfId="381" applyNumberFormat="1" applyFont="1" applyFill="1" applyBorder="1"/>
    <xf numFmtId="3" fontId="10" fillId="0" borderId="12" xfId="0" applyNumberFormat="1" applyFont="1" applyBorder="1"/>
    <xf numFmtId="3" fontId="21" fillId="0" borderId="15" xfId="0" applyNumberFormat="1" applyFont="1" applyBorder="1"/>
    <xf numFmtId="3" fontId="12" fillId="0" borderId="14" xfId="0" applyNumberFormat="1" applyFont="1" applyFill="1" applyBorder="1"/>
    <xf numFmtId="164" fontId="12" fillId="0" borderId="0" xfId="381" applyNumberFormat="1" applyFont="1" applyFill="1" applyBorder="1" applyAlignment="1"/>
    <xf numFmtId="0" fontId="12" fillId="0" borderId="25" xfId="0" applyFont="1" applyFill="1" applyBorder="1" applyAlignment="1">
      <alignment horizontal="left"/>
    </xf>
    <xf numFmtId="0" fontId="12" fillId="0" borderId="24" xfId="0" applyFont="1" applyFill="1" applyBorder="1" applyAlignment="1"/>
    <xf numFmtId="0" fontId="10" fillId="0" borderId="24" xfId="0" applyNumberFormat="1" applyFont="1" applyFill="1" applyBorder="1" applyAlignment="1">
      <alignment horizontal="center"/>
    </xf>
    <xf numFmtId="0" fontId="12" fillId="0" borderId="24" xfId="0" applyFont="1" applyFill="1" applyBorder="1"/>
    <xf numFmtId="0" fontId="12" fillId="0" borderId="50" xfId="0" applyFont="1" applyFill="1" applyBorder="1" applyAlignment="1">
      <alignment horizontal="center" wrapText="1"/>
    </xf>
    <xf numFmtId="164" fontId="12" fillId="0" borderId="24" xfId="381" applyNumberFormat="1" applyFont="1" applyFill="1" applyBorder="1"/>
    <xf numFmtId="164" fontId="12" fillId="0" borderId="50" xfId="381" applyNumberFormat="1" applyFont="1" applyFill="1" applyBorder="1"/>
    <xf numFmtId="164" fontId="12" fillId="0" borderId="51" xfId="381" applyNumberFormat="1" applyFont="1" applyFill="1" applyBorder="1"/>
    <xf numFmtId="0" fontId="10" fillId="0" borderId="20" xfId="0" applyNumberFormat="1" applyFont="1" applyFill="1" applyBorder="1" applyAlignment="1">
      <alignment horizontal="center"/>
    </xf>
    <xf numFmtId="164" fontId="12" fillId="0" borderId="52" xfId="381" applyNumberFormat="1" applyFont="1" applyBorder="1"/>
    <xf numFmtId="0" fontId="12" fillId="0" borderId="20" xfId="0" applyNumberFormat="1" applyFont="1" applyBorder="1" applyAlignment="1">
      <alignment horizontal="center"/>
    </xf>
    <xf numFmtId="0" fontId="14" fillId="0" borderId="0" xfId="0" applyFont="1" applyFill="1" applyBorder="1" applyAlignment="1">
      <alignment horizontal="left"/>
    </xf>
    <xf numFmtId="3" fontId="12" fillId="0" borderId="53" xfId="0" applyNumberFormat="1" applyFont="1" applyFill="1" applyBorder="1" applyAlignment="1"/>
    <xf numFmtId="173" fontId="10" fillId="0" borderId="54" xfId="633" applyNumberFormat="1" applyFont="1" applyFill="1" applyBorder="1" applyAlignment="1"/>
    <xf numFmtId="3" fontId="12" fillId="0" borderId="0" xfId="0" applyNumberFormat="1" applyFont="1" applyFill="1" applyBorder="1" applyAlignment="1">
      <alignment horizontal="center"/>
    </xf>
    <xf numFmtId="0" fontId="12" fillId="0" borderId="20" xfId="0" applyFont="1" applyBorder="1" applyAlignment="1">
      <alignment horizontal="center"/>
    </xf>
    <xf numFmtId="3" fontId="10" fillId="0" borderId="52" xfId="0" applyNumberFormat="1" applyFont="1" applyFill="1" applyBorder="1" applyAlignment="1"/>
    <xf numFmtId="3" fontId="12" fillId="0" borderId="0" xfId="0" applyNumberFormat="1" applyFont="1" applyBorder="1"/>
    <xf numFmtId="164" fontId="12" fillId="0" borderId="52" xfId="381" applyNumberFormat="1" applyFont="1" applyFill="1" applyBorder="1"/>
    <xf numFmtId="3" fontId="12" fillId="0" borderId="52" xfId="0" applyNumberFormat="1" applyFont="1" applyFill="1" applyBorder="1"/>
    <xf numFmtId="0" fontId="12" fillId="0" borderId="20" xfId="0" applyNumberFormat="1" applyFont="1" applyBorder="1" applyAlignment="1">
      <alignment horizontal="left"/>
    </xf>
    <xf numFmtId="0" fontId="26" fillId="30" borderId="20" xfId="0" applyFont="1" applyFill="1" applyBorder="1" applyAlignment="1">
      <alignment horizontal="left"/>
    </xf>
    <xf numFmtId="164" fontId="12" fillId="30" borderId="0" xfId="381" applyNumberFormat="1" applyFont="1" applyFill="1" applyBorder="1"/>
    <xf numFmtId="164" fontId="12" fillId="30" borderId="52" xfId="381" applyNumberFormat="1" applyFont="1" applyFill="1" applyBorder="1"/>
    <xf numFmtId="0" fontId="25" fillId="0" borderId="20" xfId="0" applyFont="1" applyFill="1" applyBorder="1" applyAlignment="1">
      <alignment horizontal="center"/>
    </xf>
    <xf numFmtId="164" fontId="12" fillId="0" borderId="55" xfId="381" applyNumberFormat="1" applyFont="1" applyFill="1" applyBorder="1"/>
    <xf numFmtId="173" fontId="12" fillId="0" borderId="52" xfId="633" applyNumberFormat="1" applyFont="1" applyFill="1" applyBorder="1" applyAlignment="1"/>
    <xf numFmtId="3" fontId="10" fillId="0" borderId="53" xfId="0" applyNumberFormat="1" applyFont="1" applyFill="1" applyBorder="1" applyAlignment="1"/>
    <xf numFmtId="0" fontId="12" fillId="0" borderId="20" xfId="0" applyFont="1" applyFill="1" applyBorder="1" applyAlignment="1">
      <alignment horizontal="center"/>
    </xf>
    <xf numFmtId="164" fontId="10" fillId="0" borderId="0" xfId="381" applyNumberFormat="1" applyFont="1" applyFill="1" applyBorder="1"/>
    <xf numFmtId="3" fontId="10" fillId="0" borderId="54" xfId="0" applyNumberFormat="1" applyFont="1" applyFill="1" applyBorder="1"/>
    <xf numFmtId="3" fontId="12" fillId="0" borderId="52" xfId="0" applyNumberFormat="1" applyFont="1" applyFill="1" applyBorder="1" applyAlignment="1"/>
    <xf numFmtId="164" fontId="12" fillId="0" borderId="55" xfId="381" applyNumberFormat="1" applyFont="1" applyBorder="1"/>
    <xf numFmtId="173" fontId="12" fillId="0" borderId="55" xfId="633" applyNumberFormat="1" applyFont="1" applyFill="1" applyBorder="1" applyAlignment="1"/>
    <xf numFmtId="0" fontId="12" fillId="0" borderId="52" xfId="0" applyFont="1" applyFill="1" applyBorder="1"/>
    <xf numFmtId="0" fontId="0" fillId="30" borderId="0" xfId="0" applyFill="1" applyBorder="1"/>
    <xf numFmtId="0" fontId="34" fillId="0" borderId="20" xfId="0" applyFont="1" applyBorder="1" applyAlignment="1">
      <alignment horizontal="left"/>
    </xf>
    <xf numFmtId="0" fontId="34" fillId="0" borderId="0" xfId="0" applyFont="1" applyBorder="1"/>
    <xf numFmtId="0" fontId="12" fillId="0" borderId="0" xfId="0" applyFont="1" applyFill="1" applyBorder="1" applyAlignment="1">
      <alignment horizontal="right"/>
    </xf>
    <xf numFmtId="0" fontId="12" fillId="0" borderId="0" xfId="0" applyNumberFormat="1" applyFont="1" applyFill="1" applyBorder="1" applyAlignment="1">
      <alignment horizontal="right"/>
    </xf>
    <xf numFmtId="0" fontId="59" fillId="0" borderId="0" xfId="0" applyNumberFormat="1" applyFont="1" applyFill="1" applyBorder="1" applyAlignment="1">
      <alignment horizontal="left"/>
    </xf>
    <xf numFmtId="0" fontId="16" fillId="0" borderId="0" xfId="0" applyFont="1" applyFill="1" applyBorder="1" applyAlignment="1">
      <alignment horizontal="center"/>
    </xf>
    <xf numFmtId="0" fontId="14" fillId="0" borderId="0" xfId="0" applyNumberFormat="1" applyFont="1" applyFill="1" applyBorder="1" applyAlignment="1">
      <alignment horizontal="center"/>
    </xf>
    <xf numFmtId="0" fontId="10" fillId="0" borderId="0" xfId="0" applyNumberFormat="1" applyFont="1" applyFill="1" applyBorder="1" applyAlignment="1">
      <alignment horizontal="right"/>
    </xf>
    <xf numFmtId="0" fontId="10" fillId="0" borderId="20" xfId="0" applyFont="1" applyBorder="1"/>
    <xf numFmtId="3" fontId="10" fillId="0" borderId="52" xfId="0" applyNumberFormat="1" applyFont="1" applyFill="1" applyBorder="1"/>
    <xf numFmtId="3" fontId="10" fillId="0" borderId="54" xfId="0" applyNumberFormat="1" applyFont="1" applyBorder="1"/>
    <xf numFmtId="0" fontId="12" fillId="0" borderId="20" xfId="0" applyFont="1" applyBorder="1" applyAlignment="1">
      <alignment horizontal="left"/>
    </xf>
    <xf numFmtId="0" fontId="10" fillId="30" borderId="0" xfId="0" applyNumberFormat="1" applyFont="1" applyFill="1" applyBorder="1" applyAlignment="1">
      <alignment horizontal="left"/>
    </xf>
    <xf numFmtId="164" fontId="65" fillId="0" borderId="0" xfId="381" applyNumberFormat="1" applyFont="1" applyFill="1" applyBorder="1"/>
    <xf numFmtId="43" fontId="12" fillId="0" borderId="0" xfId="381" applyFont="1" applyFill="1" applyBorder="1" applyAlignment="1"/>
    <xf numFmtId="3" fontId="10" fillId="0" borderId="54" xfId="0" applyNumberFormat="1" applyFont="1" applyFill="1" applyBorder="1" applyAlignment="1"/>
    <xf numFmtId="0" fontId="10" fillId="0" borderId="20" xfId="0" applyNumberFormat="1" applyFont="1" applyFill="1" applyBorder="1" applyAlignment="1"/>
    <xf numFmtId="0" fontId="12" fillId="0" borderId="0" xfId="0" applyNumberFormat="1" applyFont="1" applyBorder="1" applyAlignment="1">
      <alignment horizontal="right"/>
    </xf>
    <xf numFmtId="3" fontId="10" fillId="0" borderId="52" xfId="0" applyNumberFormat="1" applyFont="1" applyFill="1" applyBorder="1" applyAlignment="1">
      <alignment horizontal="right"/>
    </xf>
    <xf numFmtId="0" fontId="16" fillId="0" borderId="20" xfId="0" applyNumberFormat="1" applyFont="1" applyFill="1" applyBorder="1" applyAlignment="1">
      <alignment horizontal="center"/>
    </xf>
    <xf numFmtId="0" fontId="16" fillId="0" borderId="0" xfId="0" applyNumberFormat="1" applyFont="1" applyFill="1" applyBorder="1" applyAlignment="1"/>
    <xf numFmtId="3" fontId="10" fillId="0" borderId="54" xfId="0" applyNumberFormat="1" applyFont="1" applyFill="1" applyBorder="1" applyAlignment="1">
      <alignment horizontal="right"/>
    </xf>
    <xf numFmtId="164" fontId="10" fillId="0" borderId="52" xfId="381" applyNumberFormat="1" applyFont="1" applyFill="1" applyBorder="1"/>
    <xf numFmtId="0" fontId="10" fillId="0" borderId="20" xfId="0" applyNumberFormat="1" applyFont="1" applyBorder="1" applyAlignment="1">
      <alignment horizontal="center"/>
    </xf>
    <xf numFmtId="0" fontId="12" fillId="0" borderId="20" xfId="0" applyNumberFormat="1" applyFont="1" applyFill="1" applyBorder="1" applyAlignment="1">
      <alignment horizontal="left"/>
    </xf>
    <xf numFmtId="0" fontId="12" fillId="0" borderId="0" xfId="0" applyNumberFormat="1" applyFont="1" applyFill="1" applyBorder="1"/>
    <xf numFmtId="170" fontId="12" fillId="0" borderId="0" xfId="0" applyNumberFormat="1" applyFont="1" applyBorder="1" applyAlignment="1"/>
    <xf numFmtId="168" fontId="12" fillId="0" borderId="0" xfId="0" applyNumberFormat="1" applyFont="1" applyBorder="1" applyAlignment="1">
      <alignment horizontal="center"/>
    </xf>
    <xf numFmtId="3" fontId="12" fillId="0" borderId="52" xfId="0" applyNumberFormat="1" applyFont="1" applyBorder="1"/>
    <xf numFmtId="3" fontId="10" fillId="0" borderId="53" xfId="0" applyNumberFormat="1" applyFont="1" applyBorder="1"/>
    <xf numFmtId="3" fontId="21" fillId="0" borderId="56" xfId="0" applyNumberFormat="1" applyFont="1" applyBorder="1"/>
    <xf numFmtId="0" fontId="21" fillId="0" borderId="20" xfId="0" applyNumberFormat="1" applyFont="1" applyBorder="1" applyAlignment="1">
      <alignment horizontal="center"/>
    </xf>
    <xf numFmtId="3" fontId="12" fillId="0" borderId="55" xfId="0" applyNumberFormat="1" applyFont="1" applyFill="1" applyBorder="1"/>
    <xf numFmtId="164" fontId="10" fillId="0" borderId="52" xfId="381" applyNumberFormat="1" applyFont="1" applyBorder="1" applyAlignment="1"/>
    <xf numFmtId="173" fontId="10" fillId="0" borderId="52" xfId="633" applyNumberFormat="1" applyFont="1" applyBorder="1" applyAlignment="1"/>
    <xf numFmtId="164" fontId="10" fillId="0" borderId="52" xfId="381" applyNumberFormat="1" applyFont="1" applyFill="1" applyBorder="1" applyAlignment="1"/>
    <xf numFmtId="3" fontId="10" fillId="0" borderId="35" xfId="0" applyNumberFormat="1" applyFont="1" applyFill="1" applyBorder="1" applyAlignment="1"/>
    <xf numFmtId="3" fontId="10" fillId="0" borderId="55" xfId="0" applyNumberFormat="1" applyFont="1" applyFill="1" applyBorder="1" applyAlignment="1"/>
    <xf numFmtId="3" fontId="12" fillId="0" borderId="17" xfId="0" applyNumberFormat="1" applyFont="1" applyFill="1" applyBorder="1" applyAlignment="1"/>
    <xf numFmtId="164" fontId="12" fillId="0" borderId="26" xfId="381" applyNumberFormat="1" applyFont="1" applyFill="1" applyBorder="1"/>
    <xf numFmtId="0" fontId="0" fillId="0" borderId="19" xfId="0" applyBorder="1"/>
    <xf numFmtId="3" fontId="12" fillId="0" borderId="13" xfId="0" applyNumberFormat="1" applyFont="1" applyFill="1" applyBorder="1" applyAlignment="1"/>
    <xf numFmtId="0" fontId="12" fillId="0" borderId="57" xfId="0" applyFont="1" applyFill="1" applyBorder="1"/>
    <xf numFmtId="3" fontId="12" fillId="0" borderId="58" xfId="0" applyNumberFormat="1" applyFont="1" applyBorder="1" applyAlignment="1"/>
    <xf numFmtId="0" fontId="12" fillId="0" borderId="58" xfId="0" applyFont="1" applyFill="1" applyBorder="1"/>
    <xf numFmtId="3" fontId="12" fillId="0" borderId="59" xfId="0" applyNumberFormat="1" applyFont="1" applyFill="1" applyBorder="1" applyAlignment="1"/>
    <xf numFmtId="0" fontId="12" fillId="0" borderId="58" xfId="0" applyFont="1" applyBorder="1" applyAlignment="1"/>
    <xf numFmtId="0" fontId="12" fillId="0" borderId="58" xfId="0" applyFont="1" applyBorder="1"/>
    <xf numFmtId="0" fontId="12" fillId="0" borderId="60" xfId="0" applyFont="1" applyFill="1" applyBorder="1"/>
    <xf numFmtId="3" fontId="12" fillId="0" borderId="58" xfId="0" applyNumberFormat="1" applyFont="1" applyFill="1" applyBorder="1" applyAlignment="1"/>
    <xf numFmtId="3" fontId="12" fillId="0" borderId="19" xfId="0" applyNumberFormat="1" applyFont="1" applyBorder="1" applyAlignment="1"/>
    <xf numFmtId="3" fontId="12" fillId="0" borderId="60" xfId="0" applyNumberFormat="1" applyFont="1" applyFill="1" applyBorder="1" applyAlignment="1"/>
    <xf numFmtId="3" fontId="12" fillId="0" borderId="59" xfId="0" applyNumberFormat="1" applyFont="1" applyBorder="1" applyAlignment="1"/>
    <xf numFmtId="0" fontId="12" fillId="30" borderId="58" xfId="0" applyFont="1" applyFill="1" applyBorder="1"/>
    <xf numFmtId="0" fontId="12" fillId="0" borderId="58" xfId="0" applyFont="1" applyFill="1" applyBorder="1" applyAlignment="1">
      <alignment horizontal="left"/>
    </xf>
    <xf numFmtId="0" fontId="12" fillId="0" borderId="60" xfId="0" applyFont="1" applyFill="1" applyBorder="1" applyAlignment="1">
      <alignment horizontal="left"/>
    </xf>
    <xf numFmtId="3" fontId="12" fillId="0" borderId="60" xfId="0" applyNumberFormat="1" applyFont="1" applyBorder="1" applyAlignment="1"/>
    <xf numFmtId="3" fontId="10" fillId="0" borderId="59" xfId="0" applyNumberFormat="1" applyFont="1" applyFill="1" applyBorder="1" applyAlignment="1"/>
    <xf numFmtId="3" fontId="10" fillId="0" borderId="59" xfId="0" applyNumberFormat="1" applyFont="1" applyBorder="1" applyAlignment="1"/>
    <xf numFmtId="3" fontId="12" fillId="0" borderId="58" xfId="0" applyNumberFormat="1" applyFont="1" applyFill="1" applyBorder="1" applyAlignment="1">
      <alignment horizontal="right"/>
    </xf>
    <xf numFmtId="4" fontId="14" fillId="0" borderId="58" xfId="0" applyNumberFormat="1" applyFont="1" applyFill="1" applyBorder="1" applyAlignment="1">
      <alignment horizontal="right"/>
    </xf>
    <xf numFmtId="3" fontId="14" fillId="0" borderId="58" xfId="0" applyNumberFormat="1" applyFont="1" applyFill="1" applyBorder="1" applyAlignment="1">
      <alignment horizontal="right"/>
    </xf>
    <xf numFmtId="0" fontId="12" fillId="0" borderId="60" xfId="0" applyNumberFormat="1" applyFont="1" applyFill="1" applyBorder="1" applyAlignment="1">
      <alignment horizontal="left"/>
    </xf>
    <xf numFmtId="3" fontId="14" fillId="0" borderId="58" xfId="0" applyNumberFormat="1" applyFont="1" applyBorder="1" applyAlignment="1">
      <alignment horizontal="right"/>
    </xf>
    <xf numFmtId="3" fontId="12" fillId="0" borderId="59" xfId="0" applyNumberFormat="1" applyFont="1" applyFill="1" applyBorder="1" applyAlignment="1">
      <alignment horizontal="right"/>
    </xf>
    <xf numFmtId="0" fontId="12" fillId="0" borderId="58" xfId="0" applyFont="1" applyFill="1" applyBorder="1" applyAlignment="1"/>
    <xf numFmtId="0" fontId="12" fillId="0" borderId="58" xfId="0" applyNumberFormat="1" applyFont="1" applyFill="1" applyBorder="1" applyAlignment="1"/>
    <xf numFmtId="0" fontId="12" fillId="0" borderId="60" xfId="0" applyFont="1" applyFill="1" applyBorder="1" applyAlignment="1"/>
    <xf numFmtId="0" fontId="12" fillId="0" borderId="58" xfId="0" applyNumberFormat="1" applyFont="1" applyFill="1" applyBorder="1" applyAlignment="1">
      <alignment horizontal="left"/>
    </xf>
    <xf numFmtId="3" fontId="10" fillId="0" borderId="58" xfId="0" applyNumberFormat="1" applyFont="1" applyBorder="1" applyAlignment="1"/>
    <xf numFmtId="168" fontId="12" fillId="0" borderId="58" xfId="0" applyNumberFormat="1" applyFont="1" applyBorder="1" applyAlignment="1">
      <alignment horizontal="left"/>
    </xf>
    <xf numFmtId="3" fontId="16" fillId="0" borderId="58" xfId="0" applyNumberFormat="1" applyFont="1" applyBorder="1" applyAlignment="1"/>
    <xf numFmtId="3" fontId="21" fillId="0" borderId="61" xfId="0" applyNumberFormat="1" applyFont="1" applyBorder="1" applyAlignment="1"/>
    <xf numFmtId="0" fontId="12" fillId="0" borderId="35" xfId="0" applyFont="1" applyBorder="1"/>
    <xf numFmtId="0" fontId="0" fillId="0" borderId="33" xfId="0" applyBorder="1"/>
    <xf numFmtId="0" fontId="12" fillId="0" borderId="35" xfId="0" applyFont="1" applyFill="1" applyBorder="1"/>
    <xf numFmtId="164" fontId="65" fillId="0" borderId="14" xfId="381" applyNumberFormat="1" applyFont="1" applyFill="1" applyBorder="1"/>
    <xf numFmtId="0" fontId="10" fillId="35" borderId="37" xfId="0" applyFont="1" applyFill="1" applyBorder="1" applyAlignment="1">
      <alignment horizontal="center" wrapText="1"/>
    </xf>
    <xf numFmtId="0" fontId="10" fillId="35" borderId="45" xfId="0" applyFont="1" applyFill="1" applyBorder="1"/>
    <xf numFmtId="3" fontId="12" fillId="0" borderId="62" xfId="0" applyNumberFormat="1" applyFont="1" applyFill="1" applyBorder="1" applyAlignment="1"/>
    <xf numFmtId="3" fontId="12" fillId="0" borderId="63" xfId="0" applyNumberFormat="1" applyFont="1" applyFill="1" applyBorder="1" applyAlignment="1"/>
    <xf numFmtId="3" fontId="12" fillId="0" borderId="19" xfId="0" applyNumberFormat="1" applyFont="1" applyFill="1" applyBorder="1" applyAlignment="1"/>
    <xf numFmtId="3" fontId="12" fillId="0" borderId="34" xfId="0" applyNumberFormat="1" applyFont="1" applyFill="1" applyBorder="1" applyAlignment="1"/>
    <xf numFmtId="164" fontId="12" fillId="0" borderId="12" xfId="381" applyNumberFormat="1" applyFont="1" applyFill="1" applyBorder="1"/>
    <xf numFmtId="177" fontId="12" fillId="0" borderId="28" xfId="381" applyNumberFormat="1" applyFont="1" applyBorder="1"/>
    <xf numFmtId="164" fontId="12" fillId="0" borderId="13" xfId="381" applyNumberFormat="1" applyFont="1" applyFill="1" applyBorder="1"/>
    <xf numFmtId="174" fontId="12" fillId="0" borderId="35" xfId="633" applyNumberFormat="1" applyFont="1" applyFill="1" applyBorder="1" applyAlignment="1"/>
    <xf numFmtId="164" fontId="10" fillId="0" borderId="13" xfId="381" applyNumberFormat="1" applyFont="1" applyFill="1" applyBorder="1"/>
    <xf numFmtId="0" fontId="0" fillId="0" borderId="13" xfId="0" applyBorder="1"/>
    <xf numFmtId="3" fontId="10" fillId="0" borderId="33" xfId="0" applyNumberFormat="1" applyFont="1" applyBorder="1" applyAlignment="1"/>
    <xf numFmtId="3" fontId="10" fillId="0" borderId="61" xfId="0" applyNumberFormat="1" applyFont="1" applyBorder="1" applyAlignment="1"/>
    <xf numFmtId="0" fontId="10" fillId="0" borderId="15" xfId="0" applyFont="1" applyBorder="1"/>
    <xf numFmtId="0" fontId="21" fillId="0" borderId="15" xfId="0" applyNumberFormat="1" applyFont="1" applyBorder="1" applyAlignment="1">
      <alignment horizontal="left"/>
    </xf>
    <xf numFmtId="0" fontId="21" fillId="0" borderId="15" xfId="0" applyFont="1" applyFill="1" applyBorder="1"/>
    <xf numFmtId="0" fontId="21" fillId="0" borderId="15" xfId="0" applyFont="1" applyBorder="1" applyAlignment="1">
      <alignment horizontal="center"/>
    </xf>
    <xf numFmtId="39" fontId="10" fillId="0" borderId="0" xfId="0" applyNumberFormat="1" applyFont="1" applyBorder="1" applyAlignment="1">
      <alignment horizontal="right"/>
    </xf>
    <xf numFmtId="39" fontId="10" fillId="0" borderId="28" xfId="0" applyNumberFormat="1" applyFont="1" applyBorder="1" applyAlignment="1">
      <alignment horizontal="right"/>
    </xf>
    <xf numFmtId="0" fontId="61" fillId="0" borderId="0" xfId="0" applyFont="1" applyFill="1" applyBorder="1" applyAlignment="1"/>
    <xf numFmtId="0" fontId="12" fillId="0" borderId="22" xfId="0" applyFont="1" applyFill="1" applyBorder="1" applyAlignment="1">
      <alignment horizontal="center"/>
    </xf>
    <xf numFmtId="0" fontId="12" fillId="0" borderId="10" xfId="0" applyNumberFormat="1" applyFont="1" applyFill="1" applyBorder="1" applyAlignment="1">
      <alignment horizontal="center"/>
    </xf>
    <xf numFmtId="0" fontId="12" fillId="0" borderId="10" xfId="0" applyNumberFormat="1" applyFont="1" applyBorder="1" applyAlignment="1">
      <alignment horizontal="left"/>
    </xf>
    <xf numFmtId="0" fontId="12" fillId="0" borderId="10" xfId="0" applyFont="1" applyBorder="1" applyAlignment="1"/>
    <xf numFmtId="0" fontId="15" fillId="0" borderId="10" xfId="0" applyFont="1" applyBorder="1" applyAlignment="1">
      <alignment horizontal="center"/>
    </xf>
    <xf numFmtId="3" fontId="12" fillId="0" borderId="10" xfId="0" applyNumberFormat="1" applyFont="1" applyBorder="1" applyAlignment="1"/>
    <xf numFmtId="0" fontId="0" fillId="0" borderId="49" xfId="0" applyBorder="1"/>
    <xf numFmtId="43" fontId="10" fillId="0" borderId="10" xfId="381" applyFont="1" applyBorder="1"/>
    <xf numFmtId="164" fontId="10" fillId="0" borderId="49" xfId="381" applyNumberFormat="1" applyFont="1" applyBorder="1"/>
    <xf numFmtId="43" fontId="10" fillId="0" borderId="49" xfId="381" applyFont="1" applyBorder="1"/>
    <xf numFmtId="37" fontId="0" fillId="0" borderId="12" xfId="0" applyNumberFormat="1" applyFill="1" applyBorder="1"/>
    <xf numFmtId="0" fontId="0" fillId="0" borderId="13" xfId="0" applyFill="1" applyBorder="1"/>
    <xf numFmtId="164" fontId="18" fillId="0" borderId="0" xfId="381" applyNumberFormat="1" applyFont="1" applyFill="1" applyBorder="1" applyAlignment="1">
      <alignment wrapText="1"/>
    </xf>
    <xf numFmtId="164" fontId="8" fillId="0" borderId="14" xfId="381" applyNumberFormat="1" applyFont="1" applyFill="1" applyBorder="1" applyAlignment="1"/>
    <xf numFmtId="164" fontId="0" fillId="0" borderId="14" xfId="0" applyNumberFormat="1" applyFill="1" applyBorder="1"/>
    <xf numFmtId="0" fontId="9" fillId="0" borderId="14" xfId="465" applyNumberFormat="1" applyFont="1" applyFill="1" applyBorder="1" applyAlignment="1">
      <alignment horizontal="left"/>
    </xf>
    <xf numFmtId="3" fontId="18" fillId="0" borderId="14" xfId="465" applyNumberFormat="1" applyFont="1" applyFill="1" applyBorder="1" applyAlignment="1">
      <alignment horizontal="center"/>
    </xf>
    <xf numFmtId="0" fontId="9" fillId="0" borderId="13" xfId="465" applyNumberFormat="1" applyFont="1" applyFill="1" applyBorder="1" applyAlignment="1">
      <alignment horizontal="left"/>
    </xf>
    <xf numFmtId="3" fontId="18" fillId="0" borderId="13" xfId="465" applyNumberFormat="1" applyFont="1" applyFill="1" applyBorder="1" applyAlignment="1"/>
    <xf numFmtId="164" fontId="9" fillId="0" borderId="33" xfId="390" applyNumberFormat="1" applyFont="1" applyFill="1" applyBorder="1" applyAlignment="1">
      <alignment horizontal="right"/>
    </xf>
    <xf numFmtId="168" fontId="8" fillId="0" borderId="0" xfId="465" applyNumberFormat="1" applyFont="1" applyFill="1" applyBorder="1" applyAlignment="1">
      <alignment horizontal="center" wrapText="1"/>
    </xf>
    <xf numFmtId="164" fontId="9" fillId="0" borderId="0" xfId="465" applyNumberFormat="1" applyFont="1" applyFill="1" applyBorder="1" applyAlignment="1">
      <alignment horizontal="center" wrapText="1"/>
    </xf>
    <xf numFmtId="0" fontId="53" fillId="0" borderId="0" xfId="465" applyFont="1" applyFill="1" applyBorder="1"/>
    <xf numFmtId="164" fontId="8" fillId="0" borderId="0" xfId="381" applyNumberFormat="1" applyFont="1" applyFill="1" applyBorder="1" applyAlignment="1"/>
    <xf numFmtId="164" fontId="53" fillId="0" borderId="0" xfId="381" applyNumberFormat="1" applyFont="1" applyFill="1" applyBorder="1"/>
    <xf numFmtId="164" fontId="53" fillId="0" borderId="0" xfId="465" applyNumberFormat="1" applyFont="1" applyFill="1" applyBorder="1"/>
    <xf numFmtId="10" fontId="53" fillId="0" borderId="0" xfId="633" applyNumberFormat="1" applyFont="1" applyFill="1" applyBorder="1"/>
    <xf numFmtId="164" fontId="8" fillId="0" borderId="10" xfId="390" applyNumberFormat="1" applyFont="1" applyFill="1" applyBorder="1" applyAlignment="1">
      <alignment wrapText="1"/>
    </xf>
    <xf numFmtId="164" fontId="8" fillId="0" borderId="23" xfId="390" applyNumberFormat="1" applyFont="1" applyFill="1" applyBorder="1" applyAlignment="1">
      <alignment wrapText="1"/>
    </xf>
    <xf numFmtId="0" fontId="18" fillId="0" borderId="40" xfId="465" applyNumberFormat="1" applyFont="1" applyFill="1" applyBorder="1" applyAlignment="1">
      <alignment horizontal="center"/>
    </xf>
    <xf numFmtId="0" fontId="18" fillId="0" borderId="40" xfId="465" applyNumberFormat="1" applyFont="1" applyFill="1" applyBorder="1" applyAlignment="1">
      <alignment horizontal="left"/>
    </xf>
    <xf numFmtId="0" fontId="18" fillId="0" borderId="41" xfId="465" applyNumberFormat="1" applyFont="1" applyFill="1" applyBorder="1" applyAlignment="1">
      <alignment horizontal="center"/>
    </xf>
    <xf numFmtId="4" fontId="51" fillId="34" borderId="0" xfId="474" applyNumberFormat="1" applyFont="1" applyFill="1" applyBorder="1"/>
    <xf numFmtId="0" fontId="9" fillId="0" borderId="25" xfId="465" applyFont="1" applyFill="1" applyBorder="1" applyAlignment="1">
      <alignment horizontal="center"/>
    </xf>
    <xf numFmtId="164" fontId="50" fillId="0" borderId="15" xfId="381" applyNumberFormat="1" applyFont="1" applyFill="1" applyBorder="1"/>
    <xf numFmtId="173" fontId="50" fillId="0" borderId="0" xfId="633" applyNumberFormat="1" applyFont="1" applyFill="1" applyBorder="1"/>
    <xf numFmtId="0" fontId="93" fillId="0" borderId="24" xfId="0" applyFont="1" applyFill="1" applyBorder="1" applyAlignment="1">
      <alignment horizontal="center"/>
    </xf>
    <xf numFmtId="0" fontId="50" fillId="0" borderId="22" xfId="0" applyFont="1" applyFill="1" applyBorder="1"/>
    <xf numFmtId="173" fontId="50" fillId="0" borderId="40" xfId="633" applyNumberFormat="1" applyFont="1" applyFill="1" applyBorder="1"/>
    <xf numFmtId="0" fontId="52" fillId="0" borderId="40" xfId="0" applyFont="1" applyFill="1" applyBorder="1"/>
    <xf numFmtId="164" fontId="50" fillId="0" borderId="3" xfId="381" applyNumberFormat="1" applyFont="1" applyFill="1" applyBorder="1"/>
    <xf numFmtId="0" fontId="50" fillId="0" borderId="40" xfId="0" applyFont="1" applyFill="1" applyBorder="1"/>
    <xf numFmtId="43" fontId="52" fillId="0" borderId="40" xfId="0" applyNumberFormat="1" applyFont="1" applyFill="1" applyBorder="1"/>
    <xf numFmtId="9" fontId="52" fillId="0" borderId="40" xfId="633" applyFont="1" applyFill="1" applyBorder="1"/>
    <xf numFmtId="0" fontId="52" fillId="0" borderId="40" xfId="0" applyFont="1" applyFill="1" applyBorder="1" applyAlignment="1">
      <alignment wrapText="1"/>
    </xf>
    <xf numFmtId="0" fontId="93" fillId="0" borderId="39" xfId="0" applyFont="1" applyFill="1" applyBorder="1" applyAlignment="1">
      <alignment horizontal="center"/>
    </xf>
    <xf numFmtId="0" fontId="93" fillId="0" borderId="20" xfId="0" applyFont="1" applyFill="1" applyBorder="1"/>
    <xf numFmtId="0" fontId="9" fillId="0" borderId="20" xfId="465" applyFont="1" applyFill="1" applyBorder="1"/>
    <xf numFmtId="164" fontId="85" fillId="0" borderId="0" xfId="381" applyNumberFormat="1" applyFont="1" applyBorder="1"/>
    <xf numFmtId="164" fontId="46" fillId="0" borderId="0" xfId="381" applyNumberFormat="1" applyFont="1" applyBorder="1"/>
    <xf numFmtId="164" fontId="9" fillId="0" borderId="0" xfId="0" applyNumberFormat="1" applyFont="1"/>
    <xf numFmtId="43" fontId="12" fillId="0" borderId="28" xfId="381" applyFont="1" applyFill="1" applyBorder="1" applyAlignment="1"/>
    <xf numFmtId="43" fontId="12" fillId="0" borderId="0" xfId="381" applyFont="1" applyFill="1" applyBorder="1"/>
    <xf numFmtId="43" fontId="12" fillId="0" borderId="28" xfId="381" applyFont="1" applyFill="1" applyBorder="1"/>
    <xf numFmtId="164" fontId="12" fillId="0" borderId="21" xfId="381" applyNumberFormat="1" applyFont="1" applyFill="1" applyBorder="1"/>
    <xf numFmtId="0" fontId="12" fillId="0" borderId="22" xfId="0" applyFont="1" applyBorder="1" applyAlignment="1">
      <alignment horizontal="left"/>
    </xf>
    <xf numFmtId="0" fontId="12" fillId="0" borderId="10" xfId="0" applyFont="1" applyBorder="1"/>
    <xf numFmtId="0" fontId="12" fillId="0" borderId="10" xfId="0" applyFont="1" applyBorder="1" applyAlignment="1">
      <alignment horizontal="center"/>
    </xf>
    <xf numFmtId="0" fontId="12" fillId="0" borderId="64" xfId="0" applyFont="1" applyBorder="1"/>
    <xf numFmtId="0" fontId="12" fillId="0" borderId="49" xfId="0" applyFont="1" applyBorder="1"/>
    <xf numFmtId="164" fontId="12" fillId="0" borderId="10" xfId="381" applyNumberFormat="1" applyFont="1" applyFill="1" applyBorder="1"/>
    <xf numFmtId="171" fontId="12" fillId="0" borderId="49" xfId="633" applyNumberFormat="1" applyFont="1" applyBorder="1"/>
    <xf numFmtId="171" fontId="12" fillId="0" borderId="65" xfId="633" applyNumberFormat="1" applyFont="1" applyBorder="1"/>
    <xf numFmtId="0" fontId="94" fillId="0" borderId="0" xfId="0" applyFont="1" applyFill="1" applyBorder="1"/>
    <xf numFmtId="37" fontId="96" fillId="0" borderId="0" xfId="0" applyNumberFormat="1" applyFont="1" applyFill="1" applyBorder="1" applyAlignment="1">
      <alignment horizontal="right"/>
    </xf>
    <xf numFmtId="0" fontId="94" fillId="0" borderId="0" xfId="0" applyFont="1" applyFill="1"/>
    <xf numFmtId="0" fontId="28" fillId="0" borderId="0" xfId="0" applyFont="1" applyFill="1"/>
    <xf numFmtId="0" fontId="126" fillId="0" borderId="0" xfId="0" applyFont="1" applyFill="1" applyAlignment="1">
      <alignment wrapText="1"/>
    </xf>
    <xf numFmtId="37" fontId="10" fillId="0" borderId="0" xfId="0" applyNumberFormat="1" applyFont="1" applyFill="1" applyBorder="1" applyAlignment="1">
      <alignment horizontal="right"/>
    </xf>
    <xf numFmtId="39" fontId="10" fillId="0" borderId="28" xfId="0" applyNumberFormat="1" applyFont="1" applyFill="1" applyBorder="1" applyAlignment="1">
      <alignment horizontal="right"/>
    </xf>
    <xf numFmtId="10" fontId="12" fillId="0" borderId="28" xfId="633" applyNumberFormat="1" applyFont="1" applyFill="1" applyBorder="1"/>
    <xf numFmtId="10" fontId="12" fillId="0" borderId="52" xfId="633" applyNumberFormat="1" applyFont="1" applyFill="1" applyBorder="1"/>
    <xf numFmtId="37" fontId="10" fillId="0" borderId="0" xfId="0" applyNumberFormat="1" applyFont="1" applyFill="1" applyBorder="1"/>
    <xf numFmtId="37" fontId="123" fillId="0" borderId="0" xfId="0" applyNumberFormat="1" applyFont="1" applyFill="1" applyBorder="1"/>
    <xf numFmtId="37" fontId="124" fillId="0" borderId="0" xfId="0" applyNumberFormat="1" applyFont="1" applyFill="1" applyBorder="1"/>
    <xf numFmtId="37" fontId="12" fillId="0" borderId="58" xfId="0" applyNumberFormat="1" applyFont="1" applyFill="1" applyBorder="1"/>
    <xf numFmtId="37" fontId="12" fillId="0" borderId="0" xfId="0" applyNumberFormat="1" applyFont="1" applyFill="1" applyBorder="1"/>
    <xf numFmtId="37" fontId="12" fillId="0" borderId="28" xfId="0" applyNumberFormat="1" applyFont="1" applyFill="1" applyBorder="1" applyAlignment="1"/>
    <xf numFmtId="37" fontId="12" fillId="0" borderId="0" xfId="0" applyNumberFormat="1" applyFont="1" applyFill="1" applyBorder="1" applyAlignment="1"/>
    <xf numFmtId="37" fontId="12" fillId="0" borderId="58" xfId="0" applyNumberFormat="1" applyFont="1" applyFill="1" applyBorder="1" applyAlignment="1"/>
    <xf numFmtId="37" fontId="12" fillId="0" borderId="28" xfId="0" applyNumberFormat="1" applyFont="1" applyFill="1" applyBorder="1"/>
    <xf numFmtId="37" fontId="12" fillId="0" borderId="14" xfId="0" applyNumberFormat="1" applyFont="1" applyFill="1" applyBorder="1"/>
    <xf numFmtId="37" fontId="12" fillId="0" borderId="14" xfId="0" applyNumberFormat="1" applyFont="1" applyFill="1" applyBorder="1" applyAlignment="1"/>
    <xf numFmtId="37" fontId="12" fillId="0" borderId="60" xfId="0" applyNumberFormat="1" applyFont="1" applyFill="1" applyBorder="1" applyAlignment="1"/>
    <xf numFmtId="37" fontId="12" fillId="0" borderId="35" xfId="0" applyNumberFormat="1" applyFont="1" applyFill="1" applyBorder="1"/>
    <xf numFmtId="37" fontId="16" fillId="0" borderId="0" xfId="0" applyNumberFormat="1" applyFont="1" applyFill="1" applyBorder="1"/>
    <xf numFmtId="37" fontId="16" fillId="0" borderId="35" xfId="0" applyNumberFormat="1" applyFont="1" applyFill="1" applyBorder="1"/>
    <xf numFmtId="37" fontId="125" fillId="0" borderId="28" xfId="0" applyNumberFormat="1" applyFont="1" applyFill="1" applyBorder="1" applyAlignment="1">
      <alignment horizontal="center"/>
    </xf>
    <xf numFmtId="10" fontId="12" fillId="0" borderId="28" xfId="0" applyNumberFormat="1" applyFont="1" applyFill="1" applyBorder="1" applyAlignment="1"/>
    <xf numFmtId="3" fontId="12" fillId="0" borderId="0" xfId="0" applyNumberFormat="1" applyFont="1" applyFill="1" applyBorder="1" applyAlignment="1">
      <alignment horizontal="left"/>
    </xf>
    <xf numFmtId="0" fontId="12" fillId="0" borderId="0" xfId="0" quotePrefix="1" applyNumberFormat="1" applyFont="1" applyFill="1" applyBorder="1" applyAlignment="1">
      <alignment wrapText="1"/>
    </xf>
    <xf numFmtId="0" fontId="18" fillId="0" borderId="0" xfId="0" applyFont="1" applyFill="1" applyBorder="1"/>
    <xf numFmtId="0" fontId="12" fillId="0" borderId="58" xfId="0" applyFont="1" applyFill="1" applyBorder="1" applyAlignment="1">
      <alignment horizontal="right"/>
    </xf>
    <xf numFmtId="173" fontId="14" fillId="0" borderId="28" xfId="0" applyNumberFormat="1" applyFont="1" applyFill="1" applyBorder="1" applyAlignment="1">
      <alignment horizontal="right"/>
    </xf>
    <xf numFmtId="173" fontId="12" fillId="0" borderId="35" xfId="633" applyNumberFormat="1" applyFont="1" applyFill="1" applyBorder="1"/>
    <xf numFmtId="172" fontId="12" fillId="0" borderId="35" xfId="381" applyNumberFormat="1" applyFont="1" applyFill="1" applyBorder="1" applyAlignment="1">
      <alignment horizontal="right"/>
    </xf>
    <xf numFmtId="172" fontId="12" fillId="0" borderId="14" xfId="381" applyNumberFormat="1" applyFont="1" applyFill="1" applyBorder="1"/>
    <xf numFmtId="172" fontId="12" fillId="0" borderId="35" xfId="381" applyNumberFormat="1" applyFont="1" applyFill="1" applyBorder="1"/>
    <xf numFmtId="0" fontId="14" fillId="0" borderId="14" xfId="0" quotePrefix="1" applyFont="1" applyFill="1" applyBorder="1" applyAlignment="1">
      <alignment horizontal="center" wrapText="1"/>
    </xf>
    <xf numFmtId="0" fontId="0" fillId="0" borderId="58" xfId="0" applyFill="1" applyBorder="1"/>
    <xf numFmtId="0" fontId="10" fillId="0" borderId="12" xfId="0" applyNumberFormat="1" applyFont="1" applyFill="1" applyBorder="1" applyAlignment="1">
      <alignment horizontal="center"/>
    </xf>
    <xf numFmtId="43" fontId="12" fillId="0" borderId="58" xfId="381" applyFont="1" applyFill="1" applyBorder="1" applyAlignment="1"/>
    <xf numFmtId="43" fontId="12" fillId="0" borderId="58" xfId="381" applyFont="1" applyFill="1" applyBorder="1"/>
    <xf numFmtId="164" fontId="12" fillId="0" borderId="58" xfId="381" applyNumberFormat="1" applyFont="1" applyFill="1" applyBorder="1"/>
    <xf numFmtId="0" fontId="12" fillId="0" borderId="25" xfId="0" applyFont="1" applyFill="1" applyBorder="1" applyAlignment="1">
      <alignment horizontal="center"/>
    </xf>
    <xf numFmtId="0" fontId="10" fillId="0" borderId="24" xfId="0" applyNumberFormat="1" applyFont="1" applyFill="1" applyBorder="1" applyAlignment="1">
      <alignment horizontal="left"/>
    </xf>
    <xf numFmtId="0" fontId="12" fillId="0" borderId="24" xfId="0" applyFont="1" applyBorder="1" applyAlignment="1"/>
    <xf numFmtId="0" fontId="12" fillId="0" borderId="24" xfId="0" applyFont="1" applyFill="1" applyBorder="1" applyAlignment="1">
      <alignment horizontal="right"/>
    </xf>
    <xf numFmtId="0" fontId="12" fillId="0" borderId="57" xfId="0" applyFont="1" applyBorder="1"/>
    <xf numFmtId="0" fontId="0" fillId="0" borderId="24" xfId="0" applyBorder="1"/>
    <xf numFmtId="3" fontId="12" fillId="0" borderId="50" xfId="0" applyNumberFormat="1" applyFont="1" applyBorder="1" applyAlignment="1"/>
    <xf numFmtId="164" fontId="12" fillId="0" borderId="50" xfId="381" applyNumberFormat="1" applyFont="1" applyBorder="1"/>
    <xf numFmtId="164" fontId="12" fillId="0" borderId="51" xfId="381" applyNumberFormat="1" applyFont="1" applyBorder="1"/>
    <xf numFmtId="168" fontId="12" fillId="0" borderId="35" xfId="633" applyNumberFormat="1" applyFont="1" applyFill="1" applyBorder="1" applyAlignment="1"/>
    <xf numFmtId="168" fontId="12" fillId="0" borderId="55" xfId="633" applyNumberFormat="1" applyFont="1" applyFill="1" applyBorder="1" applyAlignment="1"/>
    <xf numFmtId="0" fontId="10" fillId="0" borderId="13" xfId="0" applyFont="1" applyFill="1" applyBorder="1"/>
    <xf numFmtId="0" fontId="10" fillId="0" borderId="13" xfId="0" applyFont="1" applyFill="1" applyBorder="1" applyAlignment="1">
      <alignment horizontal="center"/>
    </xf>
    <xf numFmtId="0" fontId="36" fillId="0" borderId="0" xfId="0" applyFont="1" applyFill="1"/>
    <xf numFmtId="0" fontId="0" fillId="0" borderId="17" xfId="0" applyFill="1" applyBorder="1"/>
    <xf numFmtId="37" fontId="0" fillId="0" borderId="17" xfId="0" applyNumberFormat="1" applyFill="1" applyBorder="1" applyAlignment="1">
      <alignment horizontal="right"/>
    </xf>
    <xf numFmtId="173" fontId="0" fillId="0" borderId="0" xfId="0" applyNumberFormat="1" applyFill="1"/>
    <xf numFmtId="0" fontId="10" fillId="0" borderId="0" xfId="0" applyFont="1" applyFill="1" applyAlignment="1">
      <alignment horizontal="centerContinuous"/>
    </xf>
    <xf numFmtId="0" fontId="0" fillId="0" borderId="0" xfId="0" applyFill="1" applyBorder="1" applyAlignment="1">
      <alignment horizontal="left"/>
    </xf>
    <xf numFmtId="0" fontId="91" fillId="0" borderId="0" xfId="0" applyFont="1" applyFill="1" applyBorder="1" applyAlignment="1">
      <alignment horizontal="left"/>
    </xf>
    <xf numFmtId="0" fontId="91" fillId="0" borderId="0" xfId="0" applyFont="1" applyFill="1"/>
    <xf numFmtId="0" fontId="36" fillId="0" borderId="0" xfId="0" applyFont="1" applyFill="1" applyBorder="1"/>
    <xf numFmtId="0" fontId="21" fillId="0" borderId="0" xfId="0" applyFont="1" applyFill="1" applyBorder="1" applyAlignment="1">
      <alignment horizontal="center"/>
    </xf>
    <xf numFmtId="0" fontId="42" fillId="0" borderId="0" xfId="0" applyFont="1" applyFill="1" applyBorder="1" applyAlignment="1"/>
    <xf numFmtId="0" fontId="0" fillId="0" borderId="0" xfId="0" applyFill="1" applyBorder="1" applyAlignment="1"/>
    <xf numFmtId="0" fontId="21" fillId="0" borderId="0" xfId="0" applyFont="1" applyFill="1" applyBorder="1" applyAlignment="1">
      <alignment horizontal="centerContinuous"/>
    </xf>
    <xf numFmtId="0" fontId="11" fillId="0" borderId="0" xfId="0" applyFont="1" applyFill="1" applyBorder="1" applyAlignment="1">
      <alignment horizontal="centerContinuous"/>
    </xf>
    <xf numFmtId="0" fontId="33" fillId="0" borderId="0" xfId="0" applyFont="1" applyFill="1" applyBorder="1" applyAlignment="1">
      <alignment horizontal="left"/>
    </xf>
    <xf numFmtId="0" fontId="32" fillId="0" borderId="0" xfId="0" applyFont="1" applyFill="1" applyBorder="1"/>
    <xf numFmtId="0" fontId="8" fillId="0" borderId="0" xfId="0" applyFont="1" applyFill="1" applyBorder="1" applyAlignment="1">
      <alignment horizontal="left"/>
    </xf>
    <xf numFmtId="0" fontId="18" fillId="0" borderId="0" xfId="0" applyFont="1" applyFill="1" applyBorder="1" applyAlignment="1">
      <alignment horizontal="left"/>
    </xf>
    <xf numFmtId="0" fontId="18" fillId="0" borderId="60" xfId="0" applyFont="1" applyFill="1" applyBorder="1"/>
    <xf numFmtId="0" fontId="0" fillId="0" borderId="17" xfId="0" applyFill="1" applyBorder="1" applyAlignment="1">
      <alignment horizontal="left"/>
    </xf>
    <xf numFmtId="0" fontId="8" fillId="0" borderId="17" xfId="0" applyFont="1" applyFill="1" applyBorder="1"/>
    <xf numFmtId="164" fontId="8" fillId="0" borderId="17" xfId="381" applyNumberFormat="1" applyFont="1" applyFill="1" applyBorder="1"/>
    <xf numFmtId="164" fontId="8" fillId="0" borderId="17" xfId="381" applyNumberFormat="1" applyFill="1" applyBorder="1"/>
    <xf numFmtId="0" fontId="56" fillId="0" borderId="0" xfId="0" applyFont="1" applyFill="1"/>
    <xf numFmtId="42" fontId="18" fillId="0" borderId="0" xfId="0" applyNumberFormat="1" applyFont="1" applyFill="1"/>
    <xf numFmtId="42" fontId="0" fillId="0" borderId="0" xfId="0" applyNumberFormat="1" applyFill="1"/>
    <xf numFmtId="0" fontId="0" fillId="0" borderId="0" xfId="0" applyFill="1" applyAlignment="1">
      <alignment horizontal="right" wrapText="1"/>
    </xf>
    <xf numFmtId="37" fontId="9" fillId="0" borderId="0" xfId="0" applyNumberFormat="1" applyFont="1" applyFill="1" applyAlignment="1">
      <alignment horizontal="right" wrapText="1"/>
    </xf>
    <xf numFmtId="37" fontId="32" fillId="0" borderId="0" xfId="0" applyNumberFormat="1" applyFont="1" applyFill="1"/>
    <xf numFmtId="0" fontId="38" fillId="0" borderId="0" xfId="0" applyFont="1" applyFill="1" applyAlignment="1">
      <alignment horizontal="right"/>
    </xf>
    <xf numFmtId="0" fontId="9" fillId="0" borderId="0" xfId="0" applyFont="1" applyFill="1" applyAlignment="1"/>
    <xf numFmtId="0" fontId="45" fillId="0" borderId="0" xfId="0" applyFont="1" applyFill="1" applyAlignment="1"/>
    <xf numFmtId="0" fontId="45" fillId="0" borderId="0" xfId="465" applyFont="1" applyFill="1" applyBorder="1" applyAlignment="1">
      <alignment horizontal="left"/>
    </xf>
    <xf numFmtId="0" fontId="10" fillId="0" borderId="17" xfId="0" applyFont="1" applyFill="1" applyBorder="1" applyAlignment="1">
      <alignment horizontal="center" wrapText="1"/>
    </xf>
    <xf numFmtId="0" fontId="10" fillId="0" borderId="26" xfId="0" applyFont="1" applyFill="1" applyBorder="1" applyAlignment="1">
      <alignment horizontal="center" wrapText="1"/>
    </xf>
    <xf numFmtId="164" fontId="8" fillId="0" borderId="17" xfId="381" applyNumberFormat="1" applyFont="1" applyFill="1" applyBorder="1" applyAlignment="1"/>
    <xf numFmtId="164" fontId="8" fillId="0" borderId="17" xfId="381" applyNumberFormat="1" applyFont="1" applyFill="1" applyBorder="1" applyAlignment="1">
      <alignment horizontal="center" wrapText="1"/>
    </xf>
    <xf numFmtId="164" fontId="53" fillId="0" borderId="0" xfId="465" applyNumberFormat="1" applyFont="1" applyFill="1" applyBorder="1" applyAlignment="1">
      <alignment horizontal="center"/>
    </xf>
    <xf numFmtId="164" fontId="53" fillId="0" borderId="0" xfId="390" applyNumberFormat="1" applyFont="1" applyFill="1" applyBorder="1" applyAlignment="1"/>
    <xf numFmtId="3" fontId="53" fillId="0" borderId="0" xfId="465" applyNumberFormat="1" applyFont="1" applyFill="1" applyBorder="1" applyAlignment="1">
      <alignment horizontal="center"/>
    </xf>
    <xf numFmtId="0" fontId="18" fillId="0" borderId="14" xfId="465" applyFont="1" applyFill="1" applyBorder="1" applyAlignment="1"/>
    <xf numFmtId="0" fontId="53" fillId="0" borderId="35" xfId="465" applyFont="1" applyFill="1" applyBorder="1"/>
    <xf numFmtId="3" fontId="18" fillId="0" borderId="13" xfId="465" applyNumberFormat="1" applyFont="1" applyFill="1" applyBorder="1" applyAlignment="1">
      <alignment horizontal="center"/>
    </xf>
    <xf numFmtId="3" fontId="18" fillId="0" borderId="17" xfId="465" applyNumberFormat="1" applyFont="1" applyFill="1" applyBorder="1" applyAlignment="1">
      <alignment horizontal="center" wrapText="1"/>
    </xf>
    <xf numFmtId="3" fontId="18" fillId="0" borderId="17" xfId="465" applyNumberFormat="1" applyFont="1" applyFill="1" applyBorder="1" applyAlignment="1">
      <alignment horizontal="right"/>
    </xf>
    <xf numFmtId="0" fontId="58" fillId="0" borderId="24" xfId="465" applyFont="1" applyFill="1" applyBorder="1" applyAlignment="1">
      <alignment horizontal="center"/>
    </xf>
    <xf numFmtId="0" fontId="18" fillId="0" borderId="25" xfId="465" applyFont="1" applyFill="1" applyBorder="1" applyAlignment="1">
      <alignment horizontal="center" wrapText="1"/>
    </xf>
    <xf numFmtId="0" fontId="53" fillId="0" borderId="24" xfId="465" applyFont="1" applyFill="1" applyBorder="1" applyAlignment="1">
      <alignment horizontal="center" wrapText="1"/>
    </xf>
    <xf numFmtId="0" fontId="8" fillId="0" borderId="24" xfId="465" applyFont="1" applyFill="1" applyBorder="1" applyAlignment="1">
      <alignment horizontal="center" wrapText="1"/>
    </xf>
    <xf numFmtId="0" fontId="8" fillId="0" borderId="29" xfId="465" applyFont="1" applyFill="1" applyBorder="1" applyAlignment="1">
      <alignment horizontal="center" wrapText="1"/>
    </xf>
    <xf numFmtId="0" fontId="53" fillId="0" borderId="21" xfId="465" applyFont="1" applyFill="1" applyBorder="1"/>
    <xf numFmtId="43" fontId="50" fillId="0" borderId="0" xfId="381" applyFont="1" applyFill="1" applyBorder="1" applyAlignment="1"/>
    <xf numFmtId="0" fontId="53" fillId="0" borderId="28" xfId="465" applyFont="1" applyFill="1" applyBorder="1"/>
    <xf numFmtId="0" fontId="18" fillId="0" borderId="13" xfId="465" applyFont="1" applyFill="1" applyBorder="1" applyAlignment="1"/>
    <xf numFmtId="0" fontId="53" fillId="0" borderId="10" xfId="465" applyFont="1" applyFill="1" applyBorder="1" applyAlignment="1"/>
    <xf numFmtId="0" fontId="35" fillId="0" borderId="0" xfId="465" applyFont="1" applyFill="1" applyBorder="1" applyAlignment="1">
      <alignment horizontal="center"/>
    </xf>
    <xf numFmtId="37" fontId="36" fillId="0" borderId="0" xfId="465" applyNumberFormat="1" applyFont="1" applyFill="1" applyBorder="1" applyAlignment="1">
      <alignment horizontal="left"/>
    </xf>
    <xf numFmtId="0" fontId="36" fillId="0" borderId="0" xfId="465" applyFont="1" applyFill="1"/>
    <xf numFmtId="0" fontId="40" fillId="0" borderId="25" xfId="465" applyFont="1" applyFill="1" applyBorder="1" applyAlignment="1">
      <alignment horizontal="center" wrapText="1"/>
    </xf>
    <xf numFmtId="0" fontId="40" fillId="0" borderId="24" xfId="465" applyFont="1" applyFill="1" applyBorder="1" applyAlignment="1">
      <alignment horizontal="center" wrapText="1"/>
    </xf>
    <xf numFmtId="0" fontId="36" fillId="0" borderId="24" xfId="465" applyFont="1" applyFill="1" applyBorder="1" applyAlignment="1">
      <alignment horizontal="center" wrapText="1"/>
    </xf>
    <xf numFmtId="0" fontId="36" fillId="0" borderId="29" xfId="465" applyFont="1" applyFill="1" applyBorder="1" applyAlignment="1">
      <alignment horizontal="center" wrapText="1"/>
    </xf>
    <xf numFmtId="0" fontId="36" fillId="0" borderId="21" xfId="465" applyFont="1" applyFill="1" applyBorder="1"/>
    <xf numFmtId="0" fontId="36" fillId="0" borderId="20" xfId="465" applyFont="1" applyFill="1" applyBorder="1"/>
    <xf numFmtId="3" fontId="36" fillId="0" borderId="0" xfId="465" applyNumberFormat="1" applyFont="1" applyFill="1" applyBorder="1" applyAlignment="1">
      <alignment horizontal="left" wrapText="1"/>
    </xf>
    <xf numFmtId="0" fontId="8" fillId="0" borderId="0" xfId="465" applyFont="1" applyFill="1" applyBorder="1" applyAlignment="1">
      <alignment wrapText="1"/>
    </xf>
    <xf numFmtId="0" fontId="8" fillId="0" borderId="21" xfId="465" applyFont="1" applyFill="1" applyBorder="1" applyAlignment="1">
      <alignment wrapText="1"/>
    </xf>
    <xf numFmtId="0" fontId="36" fillId="0" borderId="0" xfId="465" applyFont="1" applyFill="1" applyBorder="1" applyAlignment="1">
      <alignment wrapText="1"/>
    </xf>
    <xf numFmtId="0" fontId="36" fillId="0" borderId="21" xfId="465" applyFont="1" applyFill="1" applyBorder="1" applyAlignment="1">
      <alignment wrapText="1"/>
    </xf>
    <xf numFmtId="3" fontId="36" fillId="0" borderId="0" xfId="465" quotePrefix="1" applyNumberFormat="1" applyFont="1" applyFill="1" applyBorder="1" applyAlignment="1">
      <alignment horizontal="left" wrapText="1"/>
    </xf>
    <xf numFmtId="0" fontId="36" fillId="0" borderId="22" xfId="465" applyNumberFormat="1" applyFont="1" applyFill="1" applyBorder="1" applyAlignment="1">
      <alignment horizontal="center"/>
    </xf>
    <xf numFmtId="0" fontId="36" fillId="0" borderId="10" xfId="465" applyNumberFormat="1" applyFont="1" applyFill="1" applyBorder="1" applyAlignment="1">
      <alignment horizontal="right"/>
    </xf>
    <xf numFmtId="0" fontId="36" fillId="0" borderId="10" xfId="465" applyFont="1" applyFill="1" applyBorder="1" applyAlignment="1">
      <alignment horizontal="left"/>
    </xf>
    <xf numFmtId="0" fontId="36" fillId="0" borderId="10" xfId="465" applyNumberFormat="1" applyFont="1" applyFill="1" applyBorder="1" applyAlignment="1">
      <alignment horizontal="center"/>
    </xf>
    <xf numFmtId="0" fontId="36" fillId="0" borderId="23" xfId="465" applyNumberFormat="1" applyFont="1" applyFill="1" applyBorder="1" applyAlignment="1"/>
    <xf numFmtId="0" fontId="36" fillId="0" borderId="10" xfId="465" applyNumberFormat="1" applyFont="1" applyFill="1" applyBorder="1" applyAlignment="1"/>
    <xf numFmtId="3" fontId="36" fillId="0" borderId="10" xfId="465" applyNumberFormat="1" applyFont="1" applyFill="1" applyBorder="1" applyAlignment="1">
      <alignment horizontal="center"/>
    </xf>
    <xf numFmtId="3" fontId="36" fillId="0" borderId="10" xfId="465" applyNumberFormat="1" applyFont="1" applyFill="1" applyBorder="1" applyAlignment="1">
      <alignment horizontal="left" wrapText="1"/>
    </xf>
    <xf numFmtId="0" fontId="9" fillId="0" borderId="16" xfId="465" applyFont="1" applyFill="1" applyBorder="1" applyAlignment="1">
      <alignment horizontal="center"/>
    </xf>
    <xf numFmtId="0" fontId="9" fillId="0" borderId="16" xfId="465" applyFont="1" applyFill="1" applyBorder="1" applyAlignment="1">
      <alignment horizontal="center" wrapText="1"/>
    </xf>
    <xf numFmtId="0" fontId="9" fillId="0" borderId="15" xfId="465" applyFont="1" applyFill="1" applyBorder="1" applyAlignment="1">
      <alignment horizontal="center" wrapText="1"/>
    </xf>
    <xf numFmtId="164" fontId="18" fillId="0" borderId="20" xfId="381" applyNumberFormat="1" applyFont="1" applyFill="1" applyBorder="1" applyAlignment="1"/>
    <xf numFmtId="164" fontId="18" fillId="0" borderId="0" xfId="381" applyNumberFormat="1" applyFont="1" applyFill="1" applyBorder="1" applyAlignment="1"/>
    <xf numFmtId="0" fontId="9" fillId="0" borderId="25" xfId="465" applyFont="1" applyFill="1" applyBorder="1" applyAlignment="1">
      <alignment horizontal="center" wrapText="1"/>
    </xf>
    <xf numFmtId="0" fontId="8" fillId="0" borderId="21" xfId="465" applyFont="1" applyFill="1" applyBorder="1"/>
    <xf numFmtId="3" fontId="9" fillId="0" borderId="0" xfId="465" applyNumberFormat="1" applyFont="1" applyFill="1" applyBorder="1" applyAlignment="1">
      <alignment horizontal="center"/>
    </xf>
    <xf numFmtId="0" fontId="8" fillId="0" borderId="20" xfId="473" applyNumberFormat="1" applyFont="1" applyFill="1" applyBorder="1" applyAlignment="1">
      <alignment horizontal="center"/>
    </xf>
    <xf numFmtId="3" fontId="8" fillId="0" borderId="0" xfId="473" applyNumberFormat="1" applyFont="1" applyFill="1" applyBorder="1" applyAlignment="1">
      <alignment horizontal="center"/>
    </xf>
    <xf numFmtId="0" fontId="8" fillId="0" borderId="0" xfId="473" applyFont="1" applyFill="1" applyBorder="1"/>
    <xf numFmtId="164" fontId="8" fillId="0" borderId="21" xfId="381" applyNumberFormat="1" applyFont="1" applyFill="1" applyBorder="1"/>
    <xf numFmtId="43" fontId="8" fillId="0" borderId="21" xfId="381" applyFont="1" applyFill="1" applyBorder="1"/>
    <xf numFmtId="0" fontId="8" fillId="0" borderId="21" xfId="473" applyFont="1" applyFill="1" applyBorder="1"/>
    <xf numFmtId="0" fontId="8" fillId="0" borderId="22" xfId="473" applyNumberFormat="1" applyFont="1" applyFill="1" applyBorder="1" applyAlignment="1">
      <alignment horizontal="center"/>
    </xf>
    <xf numFmtId="0" fontId="9" fillId="0" borderId="10" xfId="473" applyFont="1" applyFill="1" applyBorder="1"/>
    <xf numFmtId="0" fontId="20" fillId="0" borderId="10" xfId="465" applyNumberFormat="1" applyFont="1" applyFill="1" applyBorder="1" applyAlignment="1">
      <alignment horizontal="center"/>
    </xf>
    <xf numFmtId="3" fontId="9" fillId="0" borderId="21" xfId="465" applyNumberFormat="1" applyFont="1" applyFill="1" applyBorder="1" applyAlignment="1"/>
    <xf numFmtId="3" fontId="9" fillId="0" borderId="0" xfId="465" applyNumberFormat="1" applyFont="1" applyFill="1" applyBorder="1" applyAlignment="1"/>
    <xf numFmtId="164" fontId="18" fillId="0" borderId="20" xfId="381" applyNumberFormat="1" applyFont="1" applyFill="1" applyBorder="1"/>
    <xf numFmtId="164" fontId="18" fillId="0" borderId="66" xfId="381" applyNumberFormat="1" applyFont="1" applyFill="1" applyBorder="1"/>
    <xf numFmtId="0" fontId="18" fillId="0" borderId="23" xfId="465" applyFont="1" applyFill="1" applyBorder="1"/>
    <xf numFmtId="0" fontId="8" fillId="0" borderId="10" xfId="465" applyFont="1" applyFill="1" applyBorder="1"/>
    <xf numFmtId="0" fontId="9" fillId="0" borderId="10" xfId="465" applyFont="1" applyFill="1" applyBorder="1"/>
    <xf numFmtId="0" fontId="8" fillId="0" borderId="23" xfId="465" applyFont="1" applyFill="1" applyBorder="1"/>
    <xf numFmtId="0" fontId="9" fillId="0" borderId="0" xfId="465" applyFont="1" applyFill="1" applyBorder="1"/>
    <xf numFmtId="9" fontId="8" fillId="0" borderId="0" xfId="634" applyFont="1" applyFill="1" applyBorder="1" applyAlignment="1">
      <alignment horizontal="center"/>
    </xf>
    <xf numFmtId="164" fontId="18" fillId="0" borderId="0" xfId="381" applyNumberFormat="1" applyFont="1" applyFill="1" applyBorder="1"/>
    <xf numFmtId="0" fontId="0" fillId="0" borderId="22" xfId="0" applyFill="1" applyBorder="1"/>
    <xf numFmtId="0" fontId="0" fillId="0" borderId="10" xfId="0" applyFill="1" applyBorder="1"/>
    <xf numFmtId="0" fontId="0" fillId="0" borderId="23" xfId="0" applyFill="1" applyBorder="1"/>
    <xf numFmtId="168" fontId="8" fillId="0" borderId="10" xfId="634" applyNumberFormat="1" applyFont="1" applyFill="1" applyBorder="1" applyAlignment="1">
      <alignment horizontal="center"/>
    </xf>
    <xf numFmtId="0" fontId="8" fillId="0" borderId="10" xfId="0" applyFont="1" applyFill="1" applyBorder="1"/>
    <xf numFmtId="0" fontId="8" fillId="0" borderId="23" xfId="0" applyFont="1" applyFill="1" applyBorder="1"/>
    <xf numFmtId="0" fontId="9" fillId="0" borderId="25" xfId="465" applyFont="1" applyFill="1" applyBorder="1" applyAlignment="1">
      <alignment horizontal="left"/>
    </xf>
    <xf numFmtId="3" fontId="20" fillId="0" borderId="20" xfId="465" applyNumberFormat="1" applyFont="1" applyFill="1" applyBorder="1" applyAlignment="1">
      <alignment horizontal="center"/>
    </xf>
    <xf numFmtId="37" fontId="9" fillId="0" borderId="0" xfId="467" applyNumberFormat="1" applyFont="1" applyFill="1" applyBorder="1"/>
    <xf numFmtId="168" fontId="8" fillId="0" borderId="0" xfId="634" applyNumberFormat="1" applyFont="1" applyFill="1" applyBorder="1" applyAlignment="1"/>
    <xf numFmtId="164" fontId="18" fillId="0" borderId="0" xfId="390" applyNumberFormat="1" applyFont="1" applyFill="1" applyBorder="1"/>
    <xf numFmtId="164" fontId="8" fillId="0" borderId="0" xfId="390" applyNumberFormat="1" applyFont="1" applyFill="1" applyBorder="1"/>
    <xf numFmtId="0" fontId="9" fillId="0" borderId="10" xfId="465" applyFont="1" applyFill="1" applyBorder="1" applyAlignment="1"/>
    <xf numFmtId="164" fontId="18" fillId="0" borderId="22" xfId="390" applyNumberFormat="1" applyFont="1" applyFill="1" applyBorder="1"/>
    <xf numFmtId="164" fontId="18" fillId="0" borderId="10" xfId="390" applyNumberFormat="1" applyFont="1" applyFill="1" applyBorder="1"/>
    <xf numFmtId="164" fontId="9" fillId="0" borderId="10" xfId="390" applyNumberFormat="1" applyFont="1" applyFill="1" applyBorder="1" applyAlignment="1"/>
    <xf numFmtId="164" fontId="8" fillId="0" borderId="10" xfId="381" applyNumberFormat="1" applyFont="1" applyFill="1" applyBorder="1" applyAlignment="1"/>
    <xf numFmtId="183" fontId="121" fillId="0" borderId="0" xfId="0" applyNumberFormat="1" applyFont="1" applyFill="1" applyBorder="1"/>
    <xf numFmtId="0" fontId="121" fillId="0" borderId="21" xfId="0" applyFont="1" applyFill="1" applyBorder="1" applyAlignment="1">
      <alignment horizontal="right"/>
    </xf>
    <xf numFmtId="164" fontId="9" fillId="0" borderId="67" xfId="465" applyNumberFormat="1" applyFont="1" applyFill="1" applyBorder="1"/>
    <xf numFmtId="164" fontId="9" fillId="0" borderId="0" xfId="390" applyNumberFormat="1" applyFont="1" applyFill="1" applyBorder="1" applyAlignment="1"/>
    <xf numFmtId="3" fontId="18" fillId="0" borderId="21" xfId="465" applyNumberFormat="1" applyFont="1" applyFill="1" applyBorder="1" applyAlignment="1"/>
    <xf numFmtId="0" fontId="9" fillId="0" borderId="20" xfId="465" applyFont="1" applyFill="1" applyBorder="1" applyAlignment="1">
      <alignment horizontal="center" wrapText="1"/>
    </xf>
    <xf numFmtId="164" fontId="18" fillId="0" borderId="20" xfId="381" applyNumberFormat="1" applyFont="1" applyFill="1" applyBorder="1" applyAlignment="1">
      <alignment horizontal="right"/>
    </xf>
    <xf numFmtId="164" fontId="18" fillId="0" borderId="20" xfId="465" applyNumberFormat="1" applyFont="1" applyFill="1" applyBorder="1" applyAlignment="1">
      <alignment horizontal="right"/>
    </xf>
    <xf numFmtId="0" fontId="9" fillId="0" borderId="39" xfId="465" applyFont="1" applyFill="1" applyBorder="1" applyAlignment="1">
      <alignment horizontal="center"/>
    </xf>
    <xf numFmtId="0" fontId="18" fillId="0" borderId="40" xfId="465" applyFont="1" applyFill="1" applyBorder="1"/>
    <xf numFmtId="164" fontId="36" fillId="0" borderId="0" xfId="0" applyNumberFormat="1" applyFont="1" applyFill="1" applyBorder="1"/>
    <xf numFmtId="167" fontId="36" fillId="0" borderId="28" xfId="420" applyNumberFormat="1" applyFont="1" applyFill="1" applyBorder="1"/>
    <xf numFmtId="0" fontId="36" fillId="0" borderId="21" xfId="0" applyFont="1" applyFill="1" applyBorder="1"/>
    <xf numFmtId="164" fontId="36" fillId="0" borderId="10" xfId="0" applyNumberFormat="1" applyFont="1" applyFill="1" applyBorder="1"/>
    <xf numFmtId="164" fontId="36" fillId="0" borderId="49" xfId="381" applyNumberFormat="1" applyFont="1" applyFill="1" applyBorder="1"/>
    <xf numFmtId="0" fontId="35" fillId="0" borderId="10" xfId="0" applyFont="1" applyFill="1" applyBorder="1"/>
    <xf numFmtId="0" fontId="36" fillId="0" borderId="10" xfId="0" applyFont="1" applyFill="1" applyBorder="1"/>
    <xf numFmtId="0" fontId="36" fillId="0" borderId="23" xfId="0" applyFont="1" applyFill="1" applyBorder="1"/>
    <xf numFmtId="167" fontId="36" fillId="0" borderId="0" xfId="420" applyNumberFormat="1" applyFont="1" applyFill="1" applyBorder="1"/>
    <xf numFmtId="0" fontId="51" fillId="0" borderId="0" xfId="467" applyNumberFormat="1" applyFont="1" applyFill="1" applyAlignment="1">
      <alignment horizontal="left"/>
    </xf>
    <xf numFmtId="164" fontId="8" fillId="0" borderId="10" xfId="381" applyNumberFormat="1" applyFont="1" applyFill="1" applyBorder="1"/>
    <xf numFmtId="0" fontId="36" fillId="0" borderId="24" xfId="467" applyFont="1" applyFill="1" applyBorder="1" applyAlignment="1">
      <alignment horizontal="center"/>
    </xf>
    <xf numFmtId="0" fontId="8" fillId="0" borderId="21" xfId="467" applyFont="1" applyFill="1" applyBorder="1" applyAlignment="1">
      <alignment horizontal="center"/>
    </xf>
    <xf numFmtId="0" fontId="36" fillId="0" borderId="29" xfId="467" applyFont="1" applyFill="1" applyBorder="1"/>
    <xf numFmtId="0" fontId="36" fillId="0" borderId="21" xfId="467" applyFont="1" applyFill="1" applyBorder="1"/>
    <xf numFmtId="0" fontId="94" fillId="0" borderId="0" xfId="0" applyNumberFormat="1" applyFont="1" applyFill="1" applyAlignment="1">
      <alignment horizontal="left" wrapText="1"/>
    </xf>
    <xf numFmtId="0" fontId="36" fillId="0" borderId="10" xfId="467" applyFont="1" applyFill="1" applyBorder="1" applyAlignment="1">
      <alignment horizontal="center"/>
    </xf>
    <xf numFmtId="0" fontId="36" fillId="0" borderId="23" xfId="467" applyFont="1" applyFill="1" applyBorder="1"/>
    <xf numFmtId="0" fontId="36" fillId="0" borderId="22" xfId="467" applyFont="1" applyFill="1" applyBorder="1"/>
    <xf numFmtId="0" fontId="40" fillId="0" borderId="24" xfId="467" applyFont="1" applyFill="1" applyBorder="1" applyAlignment="1">
      <alignment horizontal="center" wrapText="1"/>
    </xf>
    <xf numFmtId="0" fontId="36" fillId="0" borderId="40" xfId="467" applyFont="1" applyFill="1" applyBorder="1" applyAlignment="1">
      <alignment horizontal="center"/>
    </xf>
    <xf numFmtId="167" fontId="36" fillId="0" borderId="40" xfId="420" applyNumberFormat="1" applyFont="1" applyFill="1" applyBorder="1"/>
    <xf numFmtId="167" fontId="36" fillId="0" borderId="0" xfId="467" applyNumberFormat="1" applyFont="1" applyFill="1" applyBorder="1"/>
    <xf numFmtId="43" fontId="0" fillId="0" borderId="0" xfId="381" applyFont="1" applyFill="1"/>
    <xf numFmtId="0" fontId="9" fillId="0" borderId="26" xfId="0" applyFont="1" applyFill="1" applyBorder="1"/>
    <xf numFmtId="3" fontId="9" fillId="0" borderId="17" xfId="381" applyNumberFormat="1" applyFont="1" applyFill="1" applyBorder="1"/>
    <xf numFmtId="41" fontId="9" fillId="0" borderId="0" xfId="420" applyNumberFormat="1" applyFont="1" applyFill="1" applyBorder="1"/>
    <xf numFmtId="17" fontId="9" fillId="0" borderId="26" xfId="0" applyNumberFormat="1" applyFont="1" applyFill="1" applyBorder="1" applyAlignment="1">
      <alignment horizontal="center"/>
    </xf>
    <xf numFmtId="164" fontId="107" fillId="0" borderId="0" xfId="381" applyNumberFormat="1" applyFont="1" applyFill="1" applyBorder="1"/>
    <xf numFmtId="0" fontId="12" fillId="0" borderId="0" xfId="0" applyNumberFormat="1" applyFont="1" applyFill="1" applyBorder="1" applyAlignment="1">
      <alignment horizontal="center" vertical="top"/>
    </xf>
    <xf numFmtId="0" fontId="18" fillId="0" borderId="22" xfId="465" applyNumberFormat="1" applyFont="1" applyFill="1" applyBorder="1" applyAlignment="1">
      <alignment horizontal="left"/>
    </xf>
    <xf numFmtId="0" fontId="9" fillId="0" borderId="25" xfId="465" applyNumberFormat="1" applyFont="1" applyFill="1" applyBorder="1" applyAlignment="1">
      <alignment horizontal="center"/>
    </xf>
    <xf numFmtId="0" fontId="9" fillId="0" borderId="24" xfId="465" applyNumberFormat="1" applyFont="1" applyFill="1" applyBorder="1" applyAlignment="1">
      <alignment horizontal="center"/>
    </xf>
    <xf numFmtId="0" fontId="9" fillId="0" borderId="24" xfId="465" applyNumberFormat="1" applyFont="1" applyFill="1" applyBorder="1" applyAlignment="1">
      <alignment horizontal="left" wrapText="1"/>
    </xf>
    <xf numFmtId="164" fontId="8" fillId="0" borderId="17" xfId="381" applyNumberFormat="1" applyFont="1" applyBorder="1"/>
    <xf numFmtId="0" fontId="8" fillId="0" borderId="0" xfId="467" applyFont="1" applyAlignment="1">
      <alignment horizontal="center" vertical="top"/>
    </xf>
    <xf numFmtId="43" fontId="0" fillId="0" borderId="17" xfId="381" applyFont="1" applyFill="1" applyBorder="1"/>
    <xf numFmtId="0" fontId="18" fillId="34" borderId="0" xfId="0" applyFont="1" applyFill="1"/>
    <xf numFmtId="0" fontId="0" fillId="34" borderId="0" xfId="0" applyFill="1"/>
    <xf numFmtId="0" fontId="53" fillId="34" borderId="0" xfId="0" applyFont="1" applyFill="1"/>
    <xf numFmtId="0" fontId="67" fillId="34" borderId="0" xfId="0" applyFont="1" applyFill="1"/>
    <xf numFmtId="164" fontId="51" fillId="34" borderId="0" xfId="381" applyNumberFormat="1" applyFont="1" applyFill="1"/>
    <xf numFmtId="37" fontId="10" fillId="0" borderId="28" xfId="0" applyNumberFormat="1" applyFont="1" applyFill="1" applyBorder="1" applyAlignment="1">
      <alignment horizontal="right"/>
    </xf>
    <xf numFmtId="0" fontId="9" fillId="0" borderId="0" xfId="467" applyFont="1" applyFill="1" applyBorder="1" applyAlignment="1">
      <alignment horizontal="left"/>
    </xf>
    <xf numFmtId="0" fontId="9" fillId="0" borderId="25" xfId="467" applyFont="1" applyFill="1" applyBorder="1" applyAlignment="1">
      <alignment horizontal="left"/>
    </xf>
    <xf numFmtId="0" fontId="9" fillId="0" borderId="24" xfId="467" applyFont="1" applyFill="1" applyBorder="1" applyAlignment="1">
      <alignment horizontal="left"/>
    </xf>
    <xf numFmtId="0" fontId="9" fillId="0" borderId="25" xfId="467" applyFont="1" applyFill="1" applyBorder="1" applyAlignment="1">
      <alignment horizontal="center" wrapText="1"/>
    </xf>
    <xf numFmtId="0" fontId="9" fillId="0" borderId="24" xfId="467" applyFont="1" applyFill="1" applyBorder="1" applyAlignment="1">
      <alignment horizontal="center" wrapText="1"/>
    </xf>
    <xf numFmtId="0" fontId="8" fillId="0" borderId="24" xfId="467" applyFont="1" applyBorder="1"/>
    <xf numFmtId="0" fontId="8" fillId="0" borderId="24" xfId="467" applyFont="1" applyFill="1" applyBorder="1" applyAlignment="1">
      <alignment wrapText="1"/>
    </xf>
    <xf numFmtId="0" fontId="9" fillId="0" borderId="24" xfId="467" applyFont="1" applyFill="1" applyBorder="1" applyAlignment="1">
      <alignment wrapText="1"/>
    </xf>
    <xf numFmtId="0" fontId="8" fillId="0" borderId="29" xfId="467" applyFont="1" applyFill="1" applyBorder="1" applyAlignment="1">
      <alignment wrapText="1"/>
    </xf>
    <xf numFmtId="0" fontId="9" fillId="0" borderId="20" xfId="467" applyFont="1" applyFill="1" applyBorder="1" applyAlignment="1">
      <alignment horizontal="left"/>
    </xf>
    <xf numFmtId="0" fontId="9" fillId="0" borderId="20" xfId="467" applyFont="1" applyFill="1" applyBorder="1" applyAlignment="1">
      <alignment horizontal="center" wrapText="1"/>
    </xf>
    <xf numFmtId="0" fontId="9" fillId="0" borderId="0" xfId="467" applyFont="1" applyFill="1" applyBorder="1" applyAlignment="1">
      <alignment horizontal="center" wrapText="1"/>
    </xf>
    <xf numFmtId="0" fontId="8" fillId="0" borderId="0" xfId="467" applyFont="1" applyFill="1" applyBorder="1" applyAlignment="1">
      <alignment wrapText="1"/>
    </xf>
    <xf numFmtId="0" fontId="9" fillId="0" borderId="0" xfId="467" applyFont="1" applyFill="1" applyBorder="1" applyAlignment="1">
      <alignment wrapText="1"/>
    </xf>
    <xf numFmtId="0" fontId="8" fillId="0" borderId="21" xfId="467" applyFont="1" applyFill="1" applyBorder="1" applyAlignment="1">
      <alignment wrapText="1"/>
    </xf>
    <xf numFmtId="164" fontId="9" fillId="0" borderId="0" xfId="467" applyNumberFormat="1" applyFont="1" applyFill="1" applyBorder="1" applyAlignment="1">
      <alignment horizontal="center" wrapText="1"/>
    </xf>
    <xf numFmtId="0" fontId="8" fillId="0" borderId="20" xfId="467" applyNumberFormat="1" applyFont="1" applyFill="1" applyBorder="1" applyAlignment="1">
      <alignment horizontal="center"/>
    </xf>
    <xf numFmtId="0" fontId="9" fillId="0" borderId="0" xfId="467" applyNumberFormat="1" applyFont="1" applyFill="1" applyBorder="1" applyAlignment="1"/>
    <xf numFmtId="0" fontId="8" fillId="0" borderId="0" xfId="467" applyFont="1" applyFill="1" applyBorder="1" applyAlignment="1">
      <alignment horizontal="left"/>
    </xf>
    <xf numFmtId="0" fontId="8" fillId="0" borderId="0" xfId="467" applyFont="1" applyFill="1" applyBorder="1" applyAlignment="1"/>
    <xf numFmtId="3" fontId="8" fillId="0" borderId="0" xfId="467" applyNumberFormat="1" applyFont="1" applyFill="1" applyBorder="1" applyAlignment="1">
      <alignment horizontal="center"/>
    </xf>
    <xf numFmtId="0" fontId="9" fillId="0" borderId="20" xfId="467" applyFont="1" applyFill="1" applyBorder="1" applyAlignment="1">
      <alignment horizontal="center"/>
    </xf>
    <xf numFmtId="3" fontId="9" fillId="0" borderId="0" xfId="467" applyNumberFormat="1" applyFont="1" applyFill="1" applyBorder="1" applyAlignment="1">
      <alignment horizontal="center"/>
    </xf>
    <xf numFmtId="0" fontId="9" fillId="0" borderId="0" xfId="467" applyFont="1" applyFill="1" applyBorder="1" applyAlignment="1">
      <alignment horizontal="center"/>
    </xf>
    <xf numFmtId="0" fontId="9" fillId="0" borderId="21" xfId="467" applyFont="1" applyFill="1" applyBorder="1"/>
    <xf numFmtId="164" fontId="8" fillId="0" borderId="0" xfId="467" applyNumberFormat="1" applyFont="1"/>
    <xf numFmtId="43" fontId="8" fillId="0" borderId="0" xfId="381" applyNumberFormat="1" applyFont="1" applyFill="1" applyBorder="1" applyAlignment="1">
      <alignment horizontal="center"/>
    </xf>
    <xf numFmtId="164" fontId="8" fillId="0" borderId="0" xfId="381" applyNumberFormat="1" applyFont="1" applyFill="1" applyBorder="1" applyAlignment="1">
      <alignment horizontal="center"/>
    </xf>
    <xf numFmtId="164" fontId="8" fillId="0" borderId="22" xfId="391" applyNumberFormat="1" applyFont="1" applyFill="1" applyBorder="1" applyAlignment="1">
      <alignment horizontal="center"/>
    </xf>
    <xf numFmtId="164" fontId="9" fillId="0" borderId="10" xfId="381" applyNumberFormat="1" applyFont="1" applyFill="1" applyBorder="1" applyAlignment="1">
      <alignment wrapText="1"/>
    </xf>
    <xf numFmtId="164" fontId="9" fillId="0" borderId="23" xfId="381" applyNumberFormat="1" applyFont="1" applyFill="1" applyBorder="1" applyAlignment="1">
      <alignment wrapText="1"/>
    </xf>
    <xf numFmtId="0" fontId="8" fillId="0" borderId="0" xfId="473" applyNumberFormat="1" applyFont="1" applyFill="1" applyBorder="1" applyAlignment="1">
      <alignment horizontal="center"/>
    </xf>
    <xf numFmtId="0" fontId="8" fillId="0" borderId="0" xfId="473" applyNumberFormat="1" applyFont="1" applyFill="1" applyBorder="1" applyAlignment="1">
      <alignment horizontal="right"/>
    </xf>
    <xf numFmtId="0" fontId="8" fillId="0" borderId="0" xfId="473" applyNumberFormat="1" applyFont="1" applyFill="1" applyBorder="1" applyAlignment="1">
      <alignment horizontal="left"/>
    </xf>
    <xf numFmtId="164" fontId="8" fillId="0" borderId="0" xfId="391" applyNumberFormat="1" applyFont="1" applyFill="1" applyBorder="1" applyAlignment="1">
      <alignment horizontal="center"/>
    </xf>
    <xf numFmtId="0" fontId="9" fillId="0" borderId="0" xfId="473" applyFont="1" applyFill="1" applyBorder="1"/>
    <xf numFmtId="164" fontId="9" fillId="0" borderId="0" xfId="381" applyNumberFormat="1" applyFont="1" applyFill="1" applyBorder="1" applyAlignment="1">
      <alignment wrapText="1"/>
    </xf>
    <xf numFmtId="37" fontId="51" fillId="0" borderId="0" xfId="391" applyNumberFormat="1" applyFont="1" applyFill="1" applyAlignment="1">
      <alignment horizontal="right"/>
    </xf>
    <xf numFmtId="43" fontId="21" fillId="0" borderId="28" xfId="381" applyFont="1" applyFill="1" applyBorder="1" applyAlignment="1">
      <alignment horizontal="center"/>
    </xf>
    <xf numFmtId="181" fontId="12" fillId="0" borderId="28" xfId="381" applyNumberFormat="1" applyFont="1" applyBorder="1"/>
    <xf numFmtId="43" fontId="36" fillId="0" borderId="20" xfId="381" applyFont="1" applyFill="1" applyBorder="1" applyAlignment="1">
      <alignment horizontal="center"/>
    </xf>
    <xf numFmtId="164" fontId="36" fillId="0" borderId="20" xfId="381" applyNumberFormat="1" applyFont="1" applyFill="1" applyBorder="1" applyAlignment="1">
      <alignment horizontal="center"/>
    </xf>
    <xf numFmtId="168" fontId="36" fillId="0" borderId="20" xfId="633" applyNumberFormat="1" applyFont="1" applyFill="1" applyBorder="1" applyAlignment="1">
      <alignment horizontal="right"/>
    </xf>
    <xf numFmtId="0" fontId="10" fillId="0" borderId="37" xfId="0" applyFont="1" applyFill="1" applyBorder="1" applyAlignment="1">
      <alignment horizontal="center" wrapText="1"/>
    </xf>
    <xf numFmtId="0" fontId="10" fillId="0" borderId="42" xfId="0" applyFont="1" applyFill="1" applyBorder="1" applyAlignment="1">
      <alignment horizontal="center" wrapText="1"/>
    </xf>
    <xf numFmtId="0" fontId="10" fillId="0" borderId="43" xfId="0" applyFont="1" applyFill="1" applyBorder="1" applyAlignment="1">
      <alignment horizontal="center" wrapText="1"/>
    </xf>
    <xf numFmtId="173" fontId="8" fillId="0" borderId="0" xfId="633" applyNumberFormat="1" applyFont="1" applyFill="1"/>
    <xf numFmtId="43" fontId="12" fillId="0" borderId="34" xfId="381" applyFont="1" applyFill="1" applyBorder="1" applyAlignment="1">
      <alignment horizontal="right"/>
    </xf>
    <xf numFmtId="43" fontId="12" fillId="0" borderId="53" xfId="381" applyFont="1" applyFill="1" applyBorder="1" applyAlignment="1">
      <alignment horizontal="right"/>
    </xf>
    <xf numFmtId="43" fontId="12" fillId="0" borderId="35" xfId="381" applyFont="1" applyFill="1" applyBorder="1"/>
    <xf numFmtId="43" fontId="12" fillId="0" borderId="55" xfId="381" applyFont="1" applyFill="1" applyBorder="1"/>
    <xf numFmtId="43" fontId="10" fillId="0" borderId="28" xfId="381" applyFont="1" applyFill="1" applyBorder="1"/>
    <xf numFmtId="43" fontId="10" fillId="0" borderId="53" xfId="381" applyFont="1" applyFill="1" applyBorder="1"/>
    <xf numFmtId="43" fontId="12" fillId="0" borderId="28" xfId="381" applyFont="1" applyBorder="1"/>
    <xf numFmtId="43" fontId="12" fillId="0" borderId="52" xfId="381" applyFont="1" applyBorder="1"/>
    <xf numFmtId="43" fontId="12" fillId="0" borderId="52" xfId="381" applyFont="1" applyFill="1" applyBorder="1"/>
    <xf numFmtId="43" fontId="10" fillId="0" borderId="28" xfId="381" applyFont="1" applyFill="1" applyBorder="1" applyAlignment="1">
      <alignment horizontal="right"/>
    </xf>
    <xf numFmtId="43" fontId="10" fillId="0" borderId="53" xfId="381" applyFont="1" applyFill="1" applyBorder="1" applyAlignment="1">
      <alignment horizontal="right"/>
    </xf>
    <xf numFmtId="43" fontId="10" fillId="0" borderId="28" xfId="381" applyFont="1" applyBorder="1"/>
    <xf numFmtId="43" fontId="10" fillId="0" borderId="52" xfId="381" applyFont="1" applyBorder="1"/>
    <xf numFmtId="43" fontId="10" fillId="0" borderId="52" xfId="381" applyFont="1" applyFill="1" applyBorder="1"/>
    <xf numFmtId="43" fontId="10" fillId="0" borderId="33" xfId="381" applyFont="1" applyFill="1" applyBorder="1"/>
    <xf numFmtId="43" fontId="10" fillId="0" borderId="0" xfId="381" applyFont="1" applyFill="1" applyBorder="1"/>
    <xf numFmtId="43" fontId="10" fillId="0" borderId="34" xfId="381" applyFont="1" applyFill="1" applyBorder="1" applyAlignment="1"/>
    <xf numFmtId="43" fontId="10" fillId="0" borderId="53" xfId="381" applyFont="1" applyFill="1" applyBorder="1" applyAlignment="1"/>
    <xf numFmtId="43" fontId="10" fillId="0" borderId="34" xfId="381" applyFont="1" applyFill="1" applyBorder="1" applyAlignment="1">
      <alignment horizontal="right"/>
    </xf>
    <xf numFmtId="43" fontId="10" fillId="0" borderId="52" xfId="381" applyFont="1" applyFill="1" applyBorder="1" applyAlignment="1">
      <alignment horizontal="right"/>
    </xf>
    <xf numFmtId="0" fontId="36" fillId="0" borderId="24" xfId="467" applyFont="1" applyFill="1" applyBorder="1"/>
    <xf numFmtId="0" fontId="36" fillId="0" borderId="10" xfId="467" applyFont="1" applyFill="1" applyBorder="1"/>
    <xf numFmtId="0" fontId="0" fillId="0" borderId="29" xfId="0" applyBorder="1"/>
    <xf numFmtId="0" fontId="40" fillId="0" borderId="25" xfId="467" applyFont="1" applyFill="1" applyBorder="1" applyAlignment="1">
      <alignment horizontal="center" wrapText="1"/>
    </xf>
    <xf numFmtId="167" fontId="36" fillId="0" borderId="20" xfId="467" applyNumberFormat="1" applyFont="1" applyFill="1" applyBorder="1"/>
    <xf numFmtId="167" fontId="8" fillId="0" borderId="21" xfId="467" applyNumberFormat="1" applyFont="1" applyBorder="1"/>
    <xf numFmtId="167" fontId="36" fillId="0" borderId="22" xfId="467" applyNumberFormat="1" applyFont="1" applyBorder="1"/>
    <xf numFmtId="0" fontId="0" fillId="0" borderId="23" xfId="0" applyBorder="1"/>
    <xf numFmtId="0" fontId="9" fillId="0" borderId="21" xfId="0" applyFont="1" applyBorder="1"/>
    <xf numFmtId="0" fontId="40" fillId="0" borderId="24" xfId="467" applyFont="1" applyFill="1" applyBorder="1" applyAlignment="1">
      <alignment horizontal="center" wrapText="1"/>
    </xf>
    <xf numFmtId="164" fontId="36" fillId="0" borderId="0" xfId="381" applyNumberFormat="1" applyFont="1" applyFill="1" applyBorder="1"/>
    <xf numFmtId="43" fontId="12" fillId="0" borderId="28" xfId="381" applyFont="1" applyFill="1" applyBorder="1" applyAlignment="1">
      <alignment horizontal="right"/>
    </xf>
    <xf numFmtId="0" fontId="10" fillId="0" borderId="0" xfId="0" applyFont="1" applyFill="1" applyBorder="1" applyAlignment="1">
      <alignment horizontal="left"/>
    </xf>
    <xf numFmtId="0" fontId="9" fillId="0" borderId="0" xfId="0" applyFont="1" applyFill="1" applyBorder="1" applyAlignment="1">
      <alignment horizontal="center"/>
    </xf>
    <xf numFmtId="0" fontId="9" fillId="0" borderId="0" xfId="0" applyNumberFormat="1" applyFont="1" applyFill="1" applyBorder="1" applyAlignment="1">
      <alignment horizontal="center"/>
    </xf>
    <xf numFmtId="0" fontId="21" fillId="0" borderId="0" xfId="467" applyFont="1" applyAlignment="1">
      <alignment horizontal="centerContinuous"/>
    </xf>
    <xf numFmtId="164" fontId="106" fillId="0" borderId="0" xfId="381" applyNumberFormat="1" applyFont="1"/>
    <xf numFmtId="164" fontId="46" fillId="0" borderId="26" xfId="381" applyNumberFormat="1" applyFont="1" applyBorder="1"/>
    <xf numFmtId="17" fontId="46" fillId="0" borderId="12" xfId="0" applyNumberFormat="1" applyFont="1" applyBorder="1"/>
    <xf numFmtId="17" fontId="46" fillId="0" borderId="12" xfId="0" applyNumberFormat="1" applyFont="1" applyBorder="1" applyAlignment="1">
      <alignment horizontal="center"/>
    </xf>
    <xf numFmtId="0" fontId="106" fillId="0" borderId="0" xfId="0" applyFont="1"/>
    <xf numFmtId="164" fontId="106" fillId="0" borderId="0" xfId="381" applyNumberFormat="1" applyFont="1" applyFill="1"/>
    <xf numFmtId="0" fontId="106" fillId="0" borderId="0" xfId="0" applyFont="1" applyFill="1"/>
    <xf numFmtId="164" fontId="106" fillId="0" borderId="0" xfId="381" applyNumberFormat="1" applyFont="1" applyFill="1" applyBorder="1"/>
    <xf numFmtId="17" fontId="46" fillId="0" borderId="26" xfId="0" applyNumberFormat="1" applyFont="1" applyBorder="1"/>
    <xf numFmtId="17" fontId="46" fillId="0" borderId="26" xfId="0" applyNumberFormat="1" applyFont="1" applyFill="1" applyBorder="1" applyAlignment="1">
      <alignment horizontal="center"/>
    </xf>
    <xf numFmtId="3" fontId="12" fillId="33" borderId="28" xfId="0" applyNumberFormat="1" applyFont="1" applyFill="1" applyBorder="1" applyAlignment="1"/>
    <xf numFmtId="164" fontId="12" fillId="33" borderId="28" xfId="381" applyNumberFormat="1" applyFont="1" applyFill="1" applyBorder="1"/>
    <xf numFmtId="164" fontId="12" fillId="33" borderId="52" xfId="381" applyNumberFormat="1" applyFont="1" applyFill="1" applyBorder="1"/>
    <xf numFmtId="3" fontId="12" fillId="33" borderId="28" xfId="0" applyNumberFormat="1" applyFont="1" applyFill="1" applyBorder="1" applyAlignment="1">
      <alignment horizontal="right"/>
    </xf>
    <xf numFmtId="3" fontId="12" fillId="33" borderId="35" xfId="0" applyNumberFormat="1" applyFont="1" applyFill="1" applyBorder="1" applyAlignment="1">
      <alignment horizontal="right"/>
    </xf>
    <xf numFmtId="164" fontId="8" fillId="33" borderId="0" xfId="381" applyNumberFormat="1" applyFont="1" applyFill="1"/>
    <xf numFmtId="164" fontId="8" fillId="33" borderId="14" xfId="381" applyNumberFormat="1" applyFont="1" applyFill="1" applyBorder="1"/>
    <xf numFmtId="0" fontId="8" fillId="33" borderId="0" xfId="0" applyFont="1" applyFill="1"/>
    <xf numFmtId="0" fontId="18" fillId="33" borderId="0" xfId="0" applyFont="1" applyFill="1"/>
    <xf numFmtId="0" fontId="0" fillId="33" borderId="0" xfId="0" applyFill="1"/>
    <xf numFmtId="37" fontId="0" fillId="33" borderId="0" xfId="0" applyNumberFormat="1" applyFill="1" applyAlignment="1">
      <alignment horizontal="right" wrapText="1"/>
    </xf>
    <xf numFmtId="0" fontId="0" fillId="33" borderId="0" xfId="0" applyFill="1" applyAlignment="1">
      <alignment horizontal="right"/>
    </xf>
    <xf numFmtId="0" fontId="8" fillId="33" borderId="0" xfId="0" applyFont="1" applyFill="1" applyAlignment="1">
      <alignment horizontal="left" wrapText="1"/>
    </xf>
    <xf numFmtId="0" fontId="0" fillId="33" borderId="0" xfId="0" applyFill="1" applyAlignment="1">
      <alignment horizontal="right" wrapText="1"/>
    </xf>
    <xf numFmtId="0" fontId="0" fillId="33" borderId="0" xfId="0" applyFill="1" applyAlignment="1">
      <alignment horizontal="left" wrapText="1"/>
    </xf>
    <xf numFmtId="164" fontId="18" fillId="33" borderId="35" xfId="390" applyNumberFormat="1" applyFont="1" applyFill="1" applyBorder="1" applyAlignment="1">
      <alignment horizontal="right"/>
    </xf>
    <xf numFmtId="164" fontId="18" fillId="33" borderId="35" xfId="390" applyNumberFormat="1" applyFont="1" applyFill="1" applyBorder="1" applyAlignment="1"/>
    <xf numFmtId="3" fontId="18" fillId="33" borderId="0" xfId="465" applyNumberFormat="1" applyFont="1" applyFill="1" applyBorder="1" applyAlignment="1">
      <alignment horizontal="right"/>
    </xf>
    <xf numFmtId="164" fontId="18" fillId="33" borderId="28" xfId="390" applyNumberFormat="1" applyFont="1" applyFill="1" applyBorder="1" applyAlignment="1"/>
    <xf numFmtId="3" fontId="36" fillId="33" borderId="20" xfId="465" applyNumberFormat="1" applyFont="1" applyFill="1" applyBorder="1" applyAlignment="1">
      <alignment horizontal="center"/>
    </xf>
    <xf numFmtId="3" fontId="36" fillId="33" borderId="0" xfId="465" applyNumberFormat="1" applyFont="1" applyFill="1" applyBorder="1" applyAlignment="1">
      <alignment horizontal="center"/>
    </xf>
    <xf numFmtId="3" fontId="36" fillId="33" borderId="22" xfId="465" applyNumberFormat="1" applyFont="1" applyFill="1" applyBorder="1" applyAlignment="1">
      <alignment horizontal="center"/>
    </xf>
    <xf numFmtId="3" fontId="36" fillId="33" borderId="10" xfId="465" applyNumberFormat="1" applyFont="1" applyFill="1" applyBorder="1" applyAlignment="1">
      <alignment horizontal="center"/>
    </xf>
    <xf numFmtId="164" fontId="18" fillId="33" borderId="21" xfId="390" applyNumberFormat="1" applyFont="1" applyFill="1" applyBorder="1" applyAlignment="1">
      <alignment horizontal="right"/>
    </xf>
    <xf numFmtId="164" fontId="18" fillId="33" borderId="31" xfId="390" applyNumberFormat="1" applyFont="1" applyFill="1" applyBorder="1" applyAlignment="1">
      <alignment horizontal="right"/>
    </xf>
    <xf numFmtId="164" fontId="9" fillId="33" borderId="20" xfId="381" applyNumberFormat="1" applyFont="1" applyFill="1" applyBorder="1"/>
    <xf numFmtId="164" fontId="18" fillId="33" borderId="22" xfId="390" applyNumberFormat="1" applyFont="1" applyFill="1" applyBorder="1" applyAlignment="1">
      <alignment horizontal="center"/>
    </xf>
    <xf numFmtId="0" fontId="18" fillId="33" borderId="10" xfId="465" applyFont="1" applyFill="1" applyBorder="1" applyAlignment="1">
      <alignment horizontal="center"/>
    </xf>
    <xf numFmtId="164" fontId="9" fillId="33" borderId="14" xfId="381" applyNumberFormat="1" applyFont="1" applyFill="1" applyBorder="1"/>
    <xf numFmtId="164" fontId="9" fillId="0" borderId="10" xfId="465" applyNumberFormat="1" applyFont="1" applyFill="1" applyBorder="1" applyAlignment="1">
      <alignment horizontal="center"/>
    </xf>
    <xf numFmtId="164" fontId="8" fillId="34" borderId="0" xfId="381" applyNumberFormat="1" applyFont="1" applyFill="1" applyBorder="1"/>
    <xf numFmtId="0" fontId="8" fillId="34" borderId="0" xfId="467" applyFont="1" applyFill="1" applyBorder="1"/>
    <xf numFmtId="43" fontId="8" fillId="34" borderId="0" xfId="467" applyNumberFormat="1" applyFont="1" applyFill="1" applyBorder="1"/>
    <xf numFmtId="164" fontId="91" fillId="0" borderId="0" xfId="381" applyNumberFormat="1" applyFont="1" applyFill="1"/>
    <xf numFmtId="0" fontId="0" fillId="0" borderId="21" xfId="0" applyFill="1" applyBorder="1"/>
    <xf numFmtId="0" fontId="0" fillId="0" borderId="20" xfId="0" applyFill="1" applyBorder="1"/>
    <xf numFmtId="0" fontId="8" fillId="0" borderId="21" xfId="0" applyFont="1" applyFill="1" applyBorder="1"/>
    <xf numFmtId="37" fontId="9" fillId="33" borderId="0" xfId="0" applyNumberFormat="1" applyFont="1" applyFill="1" applyAlignment="1">
      <alignment horizontal="right" wrapText="1"/>
    </xf>
    <xf numFmtId="167" fontId="0" fillId="33" borderId="0" xfId="0" applyNumberFormat="1" applyFill="1"/>
    <xf numFmtId="164" fontId="0" fillId="33" borderId="0" xfId="0" applyNumberFormat="1" applyFill="1"/>
    <xf numFmtId="37" fontId="0" fillId="33" borderId="0" xfId="0" applyNumberFormat="1" applyFill="1"/>
    <xf numFmtId="164" fontId="0" fillId="33" borderId="14" xfId="0" applyNumberFormat="1" applyFill="1" applyBorder="1"/>
    <xf numFmtId="10" fontId="18" fillId="33" borderId="0" xfId="633" applyNumberFormat="1" applyFont="1" applyFill="1" applyBorder="1" applyAlignment="1">
      <alignment horizontal="right"/>
    </xf>
    <xf numFmtId="168" fontId="12" fillId="33" borderId="35" xfId="633" applyNumberFormat="1" applyFont="1" applyFill="1" applyBorder="1" applyAlignment="1"/>
    <xf numFmtId="168" fontId="12" fillId="33" borderId="35" xfId="633" applyNumberFormat="1" applyFont="1" applyFill="1" applyBorder="1"/>
    <xf numFmtId="164" fontId="91" fillId="33" borderId="0" xfId="381" applyNumberFormat="1" applyFont="1" applyFill="1" applyBorder="1"/>
    <xf numFmtId="164" fontId="0" fillId="33" borderId="21" xfId="0" applyNumberFormat="1" applyFill="1" applyBorder="1"/>
    <xf numFmtId="164" fontId="29" fillId="33" borderId="28" xfId="381" applyNumberFormat="1" applyFont="1" applyFill="1" applyBorder="1" applyAlignment="1">
      <alignment horizontal="center"/>
    </xf>
    <xf numFmtId="164" fontId="29" fillId="33" borderId="28" xfId="0" applyNumberFormat="1" applyFont="1" applyFill="1" applyBorder="1" applyAlignment="1">
      <alignment horizontal="center"/>
    </xf>
    <xf numFmtId="3" fontId="12" fillId="33" borderId="35" xfId="0" applyNumberFormat="1" applyFont="1" applyFill="1" applyBorder="1" applyAlignment="1"/>
    <xf numFmtId="168" fontId="12" fillId="33" borderId="35" xfId="633" applyNumberFormat="1" applyFont="1" applyFill="1" applyBorder="1" applyAlignment="1">
      <alignment horizontal="right"/>
    </xf>
    <xf numFmtId="164" fontId="12" fillId="33" borderId="14" xfId="381" applyNumberFormat="1" applyFont="1" applyFill="1" applyBorder="1"/>
    <xf numFmtId="164" fontId="9" fillId="33" borderId="25" xfId="381" applyNumberFormat="1" applyFont="1" applyFill="1" applyBorder="1" applyAlignment="1"/>
    <xf numFmtId="164" fontId="9" fillId="33" borderId="24" xfId="381" applyNumberFormat="1" applyFont="1" applyFill="1" applyBorder="1" applyAlignment="1"/>
    <xf numFmtId="164" fontId="9" fillId="33" borderId="20" xfId="381" applyNumberFormat="1" applyFont="1" applyFill="1" applyBorder="1" applyAlignment="1"/>
    <xf numFmtId="164" fontId="9" fillId="33" borderId="0" xfId="381" applyNumberFormat="1" applyFont="1" applyFill="1" applyBorder="1" applyAlignment="1"/>
    <xf numFmtId="0" fontId="91" fillId="0" borderId="0" xfId="0" applyFont="1" applyFill="1" applyAlignment="1">
      <alignment horizontal="left"/>
    </xf>
    <xf numFmtId="0" fontId="128" fillId="0" borderId="0" xfId="0" applyFont="1" applyFill="1" applyAlignment="1">
      <alignment horizontal="center"/>
    </xf>
    <xf numFmtId="0" fontId="129" fillId="0" borderId="0" xfId="0" applyFont="1" applyFill="1"/>
    <xf numFmtId="0" fontId="40" fillId="0" borderId="26" xfId="0" applyFont="1" applyFill="1" applyBorder="1"/>
    <xf numFmtId="0" fontId="91" fillId="0" borderId="19" xfId="0" applyFont="1" applyFill="1" applyBorder="1"/>
    <xf numFmtId="37" fontId="91" fillId="0" borderId="17" xfId="0" applyNumberFormat="1" applyFont="1" applyFill="1" applyBorder="1"/>
    <xf numFmtId="0" fontId="40" fillId="0" borderId="60" xfId="0" applyFont="1" applyFill="1" applyBorder="1"/>
    <xf numFmtId="0" fontId="91" fillId="0" borderId="60" xfId="0" applyFont="1" applyFill="1" applyBorder="1"/>
    <xf numFmtId="0" fontId="40" fillId="0" borderId="58" xfId="0" applyFont="1" applyFill="1" applyBorder="1"/>
    <xf numFmtId="0" fontId="91" fillId="0" borderId="58" xfId="0" applyFont="1" applyFill="1" applyBorder="1"/>
    <xf numFmtId="0" fontId="91" fillId="0" borderId="0" xfId="0" applyFont="1" applyBorder="1" applyAlignment="1">
      <alignment horizontal="left"/>
    </xf>
    <xf numFmtId="0" fontId="130" fillId="0" borderId="0" xfId="0" applyFont="1" applyFill="1" applyBorder="1"/>
    <xf numFmtId="0" fontId="131" fillId="0" borderId="0" xfId="0" applyFont="1" applyBorder="1"/>
    <xf numFmtId="37" fontId="131" fillId="0" borderId="0" xfId="0" applyNumberFormat="1" applyFont="1" applyFill="1" applyBorder="1"/>
    <xf numFmtId="0" fontId="91" fillId="0" borderId="0" xfId="0" applyFont="1" applyFill="1" applyBorder="1"/>
    <xf numFmtId="0" fontId="18" fillId="0" borderId="47" xfId="0" applyFont="1" applyFill="1" applyBorder="1" applyAlignment="1">
      <alignment horizontal="left"/>
    </xf>
    <xf numFmtId="0" fontId="18" fillId="0" borderId="26" xfId="0" applyFont="1" applyFill="1" applyBorder="1" applyAlignment="1">
      <alignment horizontal="left"/>
    </xf>
    <xf numFmtId="0" fontId="9" fillId="0" borderId="19" xfId="0" applyFont="1" applyFill="1" applyBorder="1" applyAlignment="1"/>
    <xf numFmtId="0" fontId="9" fillId="0" borderId="19" xfId="0" applyFont="1" applyFill="1" applyBorder="1"/>
    <xf numFmtId="0" fontId="9" fillId="0" borderId="18" xfId="0" applyFont="1" applyFill="1" applyBorder="1"/>
    <xf numFmtId="0" fontId="40" fillId="0" borderId="0" xfId="0" applyFont="1" applyFill="1" applyBorder="1"/>
    <xf numFmtId="0" fontId="9" fillId="0" borderId="26" xfId="0" applyFont="1" applyFill="1" applyBorder="1" applyAlignment="1"/>
    <xf numFmtId="164" fontId="18" fillId="0" borderId="17" xfId="381" applyNumberFormat="1" applyFont="1" applyFill="1" applyBorder="1" applyAlignment="1">
      <alignment horizontal="right"/>
    </xf>
    <xf numFmtId="0" fontId="9" fillId="0" borderId="14" xfId="0" applyFont="1" applyFill="1" applyBorder="1"/>
    <xf numFmtId="37" fontId="91" fillId="0" borderId="0" xfId="0" applyNumberFormat="1" applyFont="1" applyFill="1" applyBorder="1"/>
    <xf numFmtId="0" fontId="133" fillId="0" borderId="0" xfId="467" applyFont="1" applyAlignment="1">
      <alignment horizontal="center"/>
    </xf>
    <xf numFmtId="164" fontId="132" fillId="0" borderId="0" xfId="467" applyNumberFormat="1" applyFont="1"/>
    <xf numFmtId="0" fontId="132" fillId="0" borderId="0" xfId="467" applyFont="1"/>
    <xf numFmtId="0" fontId="132" fillId="0" borderId="0" xfId="467" applyFont="1" applyAlignment="1">
      <alignment horizontal="center"/>
    </xf>
    <xf numFmtId="0" fontId="134" fillId="0" borderId="0" xfId="467" applyFont="1"/>
    <xf numFmtId="167" fontId="132" fillId="0" borderId="0" xfId="467" applyNumberFormat="1" applyFont="1"/>
    <xf numFmtId="164" fontId="91" fillId="33" borderId="0" xfId="381" applyNumberFormat="1" applyFont="1" applyFill="1"/>
    <xf numFmtId="39" fontId="50" fillId="0" borderId="37" xfId="551" applyFont="1" applyFill="1" applyBorder="1" applyAlignment="1" applyProtection="1">
      <alignment horizontal="left"/>
    </xf>
    <xf numFmtId="39" fontId="50" fillId="0" borderId="68" xfId="549" applyFont="1" applyFill="1" applyBorder="1"/>
    <xf numFmtId="39" fontId="50" fillId="0" borderId="68" xfId="549" applyFont="1" applyFill="1" applyBorder="1" applyAlignment="1">
      <alignment wrapText="1"/>
    </xf>
    <xf numFmtId="0" fontId="50" fillId="0" borderId="68" xfId="0" applyFont="1" applyFill="1" applyBorder="1" applyAlignment="1">
      <alignment wrapText="1"/>
    </xf>
    <xf numFmtId="39" fontId="50" fillId="0" borderId="38" xfId="549" applyFont="1" applyFill="1" applyBorder="1" applyAlignment="1">
      <alignment wrapText="1"/>
    </xf>
    <xf numFmtId="39" fontId="50" fillId="0" borderId="20" xfId="551" applyFont="1" applyFill="1" applyBorder="1"/>
    <xf numFmtId="39" fontId="50" fillId="0" borderId="0" xfId="551" applyFont="1" applyFill="1" applyBorder="1"/>
    <xf numFmtId="0" fontId="50" fillId="0" borderId="21" xfId="0" applyFont="1" applyFill="1" applyBorder="1"/>
    <xf numFmtId="0" fontId="50" fillId="0" borderId="0" xfId="0" applyFont="1" applyFill="1"/>
    <xf numFmtId="37" fontId="50" fillId="0" borderId="21" xfId="0" applyNumberFormat="1" applyFont="1" applyFill="1" applyBorder="1"/>
    <xf numFmtId="39" fontId="50" fillId="0" borderId="0" xfId="551" applyFont="1" applyFill="1" applyBorder="1" applyAlignment="1">
      <alignment horizontal="center"/>
    </xf>
    <xf numFmtId="37" fontId="50" fillId="0" borderId="0" xfId="551" applyNumberFormat="1" applyFont="1" applyFill="1" applyBorder="1"/>
    <xf numFmtId="37" fontId="50" fillId="0" borderId="10" xfId="551" applyNumberFormat="1" applyFont="1" applyFill="1" applyBorder="1"/>
    <xf numFmtId="39" fontId="50" fillId="0" borderId="10" xfId="551" applyFont="1" applyFill="1" applyBorder="1" applyAlignment="1">
      <alignment horizontal="center"/>
    </xf>
    <xf numFmtId="39" fontId="50" fillId="0" borderId="25" xfId="551" applyFont="1" applyFill="1" applyBorder="1"/>
    <xf numFmtId="39" fontId="50" fillId="0" borderId="24" xfId="551" applyFont="1" applyFill="1" applyBorder="1"/>
    <xf numFmtId="0" fontId="50" fillId="0" borderId="0" xfId="0" applyFont="1" applyFill="1" applyBorder="1"/>
    <xf numFmtId="164" fontId="50" fillId="0" borderId="21" xfId="381" applyNumberFormat="1" applyFont="1" applyFill="1" applyBorder="1"/>
    <xf numFmtId="39" fontId="50" fillId="0" borderId="22" xfId="551" applyFont="1" applyFill="1" applyBorder="1"/>
    <xf numFmtId="164" fontId="50" fillId="0" borderId="23" xfId="0" applyNumberFormat="1" applyFont="1" applyFill="1" applyBorder="1"/>
    <xf numFmtId="0" fontId="135" fillId="0" borderId="0" xfId="467" applyFont="1" applyAlignment="1">
      <alignment horizontal="center"/>
    </xf>
    <xf numFmtId="0" fontId="135" fillId="0" borderId="0" xfId="467" applyFont="1"/>
    <xf numFmtId="37" fontId="91" fillId="0" borderId="19" xfId="0" applyNumberFormat="1" applyFont="1" applyFill="1" applyBorder="1"/>
    <xf numFmtId="44" fontId="0" fillId="0" borderId="0" xfId="420" applyFont="1"/>
    <xf numFmtId="44" fontId="0" fillId="0" borderId="0" xfId="0" applyNumberFormat="1"/>
    <xf numFmtId="164" fontId="107" fillId="0" borderId="0" xfId="0" applyNumberFormat="1" applyFont="1" applyBorder="1"/>
    <xf numFmtId="164" fontId="51" fillId="0" borderId="0" xfId="381" applyNumberFormat="1" applyFont="1" applyFill="1" applyAlignment="1">
      <alignment horizontal="left"/>
    </xf>
    <xf numFmtId="164" fontId="8" fillId="33" borderId="20" xfId="381" applyNumberFormat="1" applyFont="1" applyFill="1" applyBorder="1" applyAlignment="1">
      <alignment horizontal="center"/>
    </xf>
    <xf numFmtId="164" fontId="94" fillId="33" borderId="20" xfId="381" applyNumberFormat="1" applyFont="1" applyFill="1" applyBorder="1" applyAlignment="1">
      <alignment vertical="center"/>
    </xf>
    <xf numFmtId="164" fontId="8" fillId="33" borderId="30" xfId="381" applyNumberFormat="1" applyFont="1" applyFill="1" applyBorder="1" applyAlignment="1">
      <alignment horizontal="center"/>
    </xf>
    <xf numFmtId="164" fontId="8" fillId="33" borderId="0" xfId="381" applyNumberFormat="1" applyFont="1" applyFill="1" applyBorder="1" applyAlignment="1">
      <alignment horizontal="center"/>
    </xf>
    <xf numFmtId="164" fontId="8" fillId="33" borderId="0" xfId="381" applyNumberFormat="1" applyFont="1" applyFill="1" applyBorder="1"/>
    <xf numFmtId="0" fontId="8" fillId="33" borderId="0" xfId="467" applyFont="1" applyFill="1" applyBorder="1"/>
    <xf numFmtId="0" fontId="8" fillId="33" borderId="0" xfId="473" applyFont="1" applyFill="1" applyBorder="1"/>
    <xf numFmtId="164" fontId="8" fillId="33" borderId="14" xfId="381" applyNumberFormat="1" applyFont="1" applyFill="1" applyBorder="1" applyAlignment="1">
      <alignment horizontal="center"/>
    </xf>
    <xf numFmtId="0" fontId="8" fillId="33" borderId="14" xfId="467" applyFont="1" applyFill="1" applyBorder="1"/>
    <xf numFmtId="0" fontId="8" fillId="33" borderId="14" xfId="473" applyFont="1" applyFill="1" applyBorder="1"/>
    <xf numFmtId="164" fontId="0" fillId="33" borderId="0" xfId="0" applyNumberFormat="1" applyFill="1" applyBorder="1"/>
    <xf numFmtId="3" fontId="18" fillId="33" borderId="20" xfId="0" applyNumberFormat="1" applyFont="1" applyFill="1" applyBorder="1"/>
    <xf numFmtId="164" fontId="18" fillId="33" borderId="20" xfId="390" applyNumberFormat="1" applyFont="1" applyFill="1" applyBorder="1" applyAlignment="1">
      <alignment horizontal="center"/>
    </xf>
    <xf numFmtId="164" fontId="18" fillId="33" borderId="0" xfId="390" applyNumberFormat="1" applyFont="1" applyFill="1" applyBorder="1" applyAlignment="1">
      <alignment horizontal="center"/>
    </xf>
    <xf numFmtId="167" fontId="51" fillId="33" borderId="0" xfId="422" applyNumberFormat="1" applyFont="1" applyFill="1" applyAlignment="1">
      <alignment horizontal="left"/>
    </xf>
    <xf numFmtId="164" fontId="18" fillId="33" borderId="0" xfId="465" applyNumberFormat="1" applyFont="1" applyFill="1" applyBorder="1" applyAlignment="1">
      <alignment horizontal="center"/>
    </xf>
    <xf numFmtId="37" fontId="50" fillId="0" borderId="24" xfId="551" applyNumberFormat="1" applyFont="1" applyFill="1" applyBorder="1" applyAlignment="1">
      <alignment horizontal="right"/>
    </xf>
    <xf numFmtId="37" fontId="50" fillId="0" borderId="29" xfId="551" applyNumberFormat="1" applyFont="1" applyFill="1" applyBorder="1" applyAlignment="1">
      <alignment horizontal="right"/>
    </xf>
    <xf numFmtId="37" fontId="0" fillId="0" borderId="0" xfId="0" applyNumberFormat="1" applyFill="1" applyAlignment="1">
      <alignment horizontal="right"/>
    </xf>
    <xf numFmtId="164" fontId="0" fillId="0" borderId="0" xfId="0" applyNumberFormat="1" applyFill="1" applyAlignment="1">
      <alignment horizontal="right"/>
    </xf>
    <xf numFmtId="0" fontId="50" fillId="0" borderId="16" xfId="0" applyFont="1" applyFill="1" applyBorder="1"/>
    <xf numFmtId="164" fontId="0" fillId="0" borderId="0" xfId="0" applyNumberFormat="1" applyFill="1" applyBorder="1"/>
    <xf numFmtId="43" fontId="91" fillId="0" borderId="0" xfId="381" applyFont="1" applyFill="1"/>
    <xf numFmtId="164" fontId="51" fillId="33" borderId="0" xfId="467" applyNumberFormat="1" applyFont="1" applyFill="1" applyAlignment="1">
      <alignment horizontal="center"/>
    </xf>
    <xf numFmtId="167" fontId="51" fillId="33" borderId="0" xfId="467" applyNumberFormat="1" applyFont="1" applyFill="1" applyAlignment="1">
      <alignment horizontal="center"/>
    </xf>
    <xf numFmtId="3" fontId="136" fillId="0" borderId="0" xfId="0" applyNumberFormat="1" applyFont="1" applyFill="1" applyBorder="1" applyAlignment="1">
      <alignment horizontal="center"/>
    </xf>
    <xf numFmtId="3" fontId="136" fillId="0" borderId="14" xfId="0" applyNumberFormat="1" applyFont="1" applyBorder="1" applyAlignment="1">
      <alignment horizontal="center"/>
    </xf>
    <xf numFmtId="3" fontId="136" fillId="0" borderId="0" xfId="0" applyNumberFormat="1" applyFont="1" applyBorder="1" applyAlignment="1">
      <alignment horizontal="center"/>
    </xf>
    <xf numFmtId="3" fontId="14" fillId="0" borderId="0" xfId="0" applyNumberFormat="1" applyFont="1" applyBorder="1" applyAlignment="1">
      <alignment horizontal="center"/>
    </xf>
    <xf numFmtId="3" fontId="60" fillId="0" borderId="0" xfId="0" applyNumberFormat="1" applyFont="1" applyFill="1" applyBorder="1" applyAlignment="1">
      <alignment horizontal="center"/>
    </xf>
    <xf numFmtId="0" fontId="14" fillId="0" borderId="0" xfId="0" applyFont="1" applyBorder="1" applyAlignment="1">
      <alignment horizontal="center"/>
    </xf>
    <xf numFmtId="164" fontId="47" fillId="0" borderId="0" xfId="381" applyNumberFormat="1" applyFont="1" applyFill="1" applyAlignment="1"/>
    <xf numFmtId="0" fontId="10" fillId="0" borderId="0" xfId="0" applyFont="1" applyFill="1" applyBorder="1" applyAlignment="1">
      <alignment horizontal="center"/>
    </xf>
    <xf numFmtId="172" fontId="12" fillId="0" borderId="0" xfId="381" applyNumberFormat="1" applyFont="1" applyFill="1" applyBorder="1"/>
    <xf numFmtId="164" fontId="51" fillId="33" borderId="0" xfId="381" applyNumberFormat="1" applyFont="1" applyFill="1"/>
    <xf numFmtId="0" fontId="8" fillId="0" borderId="0" xfId="473" quotePrefix="1" applyFont="1" applyFill="1" applyBorder="1" applyAlignment="1"/>
    <xf numFmtId="164" fontId="52" fillId="0" borderId="0" xfId="381" applyNumberFormat="1" applyFont="1" applyFill="1"/>
    <xf numFmtId="0" fontId="50" fillId="0" borderId="10" xfId="0" applyFont="1" applyFill="1" applyBorder="1"/>
    <xf numFmtId="164" fontId="10" fillId="0" borderId="0" xfId="381" applyNumberFormat="1" applyFont="1" applyFill="1" applyBorder="1" applyAlignment="1">
      <alignment horizontal="right"/>
    </xf>
    <xf numFmtId="0" fontId="12" fillId="0" borderId="25" xfId="0" applyFont="1" applyFill="1" applyBorder="1" applyAlignment="1"/>
    <xf numFmtId="0" fontId="12" fillId="0" borderId="22" xfId="0" applyNumberFormat="1" applyFont="1" applyBorder="1" applyAlignment="1">
      <alignment horizontal="left"/>
    </xf>
    <xf numFmtId="0" fontId="12" fillId="0" borderId="10" xfId="0" applyNumberFormat="1" applyFont="1" applyBorder="1" applyAlignment="1">
      <alignment horizontal="center"/>
    </xf>
    <xf numFmtId="0" fontId="10" fillId="0" borderId="10" xfId="0" applyNumberFormat="1" applyFont="1" applyFill="1" applyBorder="1" applyAlignment="1"/>
    <xf numFmtId="0" fontId="12" fillId="0" borderId="10" xfId="0" applyFont="1" applyFill="1" applyBorder="1" applyAlignment="1"/>
    <xf numFmtId="3" fontId="12" fillId="0" borderId="10" xfId="0" applyNumberFormat="1" applyFont="1" applyBorder="1" applyAlignment="1">
      <alignment horizontal="center"/>
    </xf>
    <xf numFmtId="0" fontId="12" fillId="0" borderId="64" xfId="0" applyFont="1" applyBorder="1" applyAlignment="1"/>
    <xf numFmtId="173" fontId="10" fillId="0" borderId="49" xfId="633" applyNumberFormat="1" applyFont="1" applyBorder="1" applyAlignment="1"/>
    <xf numFmtId="164" fontId="12" fillId="0" borderId="49" xfId="381" applyNumberFormat="1" applyFont="1" applyBorder="1"/>
    <xf numFmtId="164" fontId="12" fillId="0" borderId="65" xfId="381" applyNumberFormat="1" applyFont="1" applyBorder="1"/>
    <xf numFmtId="41" fontId="0" fillId="0" borderId="14" xfId="0" applyNumberFormat="1" applyFill="1" applyBorder="1" applyAlignment="1">
      <alignment horizontal="right"/>
    </xf>
    <xf numFmtId="0" fontId="105" fillId="0" borderId="0" xfId="0" applyFont="1" applyFill="1" applyAlignment="1">
      <alignment horizontal="left"/>
    </xf>
    <xf numFmtId="0" fontId="0" fillId="34" borderId="47" xfId="0" applyFill="1" applyBorder="1" applyAlignment="1">
      <alignment horizontal="left"/>
    </xf>
    <xf numFmtId="0" fontId="0" fillId="34" borderId="26" xfId="0" applyFill="1" applyBorder="1" applyAlignment="1">
      <alignment horizontal="left"/>
    </xf>
    <xf numFmtId="37" fontId="0" fillId="34" borderId="17" xfId="0" applyNumberFormat="1" applyFill="1" applyBorder="1"/>
    <xf numFmtId="0" fontId="0" fillId="34" borderId="17" xfId="0" applyFill="1" applyBorder="1" applyAlignment="1">
      <alignment wrapText="1"/>
    </xf>
    <xf numFmtId="0" fontId="8" fillId="34" borderId="47" xfId="0" applyFont="1" applyFill="1" applyBorder="1" applyAlignment="1">
      <alignment horizontal="left"/>
    </xf>
    <xf numFmtId="0" fontId="8" fillId="34" borderId="26" xfId="0" applyFont="1" applyFill="1" applyBorder="1" applyAlignment="1">
      <alignment horizontal="left"/>
    </xf>
    <xf numFmtId="0" fontId="0" fillId="34" borderId="69" xfId="0" applyFill="1" applyBorder="1" applyAlignment="1">
      <alignment horizontal="left"/>
    </xf>
    <xf numFmtId="0" fontId="0" fillId="34" borderId="12" xfId="0" applyFill="1" applyBorder="1" applyAlignment="1">
      <alignment horizontal="left"/>
    </xf>
    <xf numFmtId="0" fontId="8" fillId="34" borderId="17" xfId="0" applyFont="1" applyFill="1" applyBorder="1" applyAlignment="1">
      <alignment wrapText="1"/>
    </xf>
    <xf numFmtId="0" fontId="0" fillId="34" borderId="17" xfId="0" applyFill="1" applyBorder="1"/>
    <xf numFmtId="0" fontId="36" fillId="34" borderId="19" xfId="0" applyFont="1" applyFill="1" applyBorder="1"/>
    <xf numFmtId="0" fontId="36" fillId="34" borderId="18" xfId="0" applyFont="1" applyFill="1" applyBorder="1"/>
    <xf numFmtId="0" fontId="35" fillId="0" borderId="47" xfId="0" applyFont="1" applyFill="1" applyBorder="1"/>
    <xf numFmtId="0" fontId="35" fillId="0" borderId="35" xfId="0" applyFont="1" applyFill="1" applyBorder="1"/>
    <xf numFmtId="0" fontId="35" fillId="0" borderId="28" xfId="0" applyFont="1" applyFill="1" applyBorder="1"/>
    <xf numFmtId="0" fontId="105" fillId="0" borderId="0" xfId="0" applyFont="1" applyBorder="1" applyAlignment="1">
      <alignment horizontal="left"/>
    </xf>
    <xf numFmtId="0" fontId="35" fillId="0" borderId="69" xfId="0" applyFont="1" applyFill="1" applyBorder="1"/>
    <xf numFmtId="0" fontId="105" fillId="0" borderId="12" xfId="0" applyFont="1" applyBorder="1"/>
    <xf numFmtId="0" fontId="105" fillId="0" borderId="12" xfId="0" applyFont="1" applyFill="1" applyBorder="1"/>
    <xf numFmtId="37" fontId="105" fillId="0" borderId="12" xfId="0" applyNumberFormat="1" applyFont="1" applyFill="1" applyBorder="1"/>
    <xf numFmtId="37" fontId="105" fillId="0" borderId="12" xfId="0" applyNumberFormat="1" applyFont="1" applyFill="1" applyBorder="1" applyAlignment="1">
      <alignment horizontal="center"/>
    </xf>
    <xf numFmtId="0" fontId="105" fillId="0" borderId="18" xfId="0" applyFont="1" applyFill="1" applyBorder="1" applyAlignment="1">
      <alignment horizontal="center"/>
    </xf>
    <xf numFmtId="0" fontId="35" fillId="0" borderId="27" xfId="0" applyFont="1" applyFill="1" applyBorder="1" applyAlignment="1">
      <alignment horizontal="left"/>
    </xf>
    <xf numFmtId="0" fontId="105" fillId="0" borderId="0" xfId="0" applyFont="1" applyBorder="1"/>
    <xf numFmtId="0" fontId="105" fillId="0" borderId="0" xfId="0" applyFont="1" applyFill="1" applyBorder="1"/>
    <xf numFmtId="0" fontId="105" fillId="0" borderId="0" xfId="0" applyFont="1" applyFill="1" applyBorder="1" applyAlignment="1">
      <alignment horizontal="center"/>
    </xf>
    <xf numFmtId="0" fontId="105" fillId="0" borderId="58" xfId="0" applyFont="1" applyFill="1" applyBorder="1" applyAlignment="1">
      <alignment horizontal="center"/>
    </xf>
    <xf numFmtId="0" fontId="35" fillId="0" borderId="70" xfId="0" applyFont="1" applyFill="1" applyBorder="1" applyAlignment="1">
      <alignment horizontal="left"/>
    </xf>
    <xf numFmtId="0" fontId="105" fillId="0" borderId="14" xfId="0" applyFont="1" applyBorder="1" applyAlignment="1">
      <alignment wrapText="1"/>
    </xf>
    <xf numFmtId="0" fontId="105" fillId="0" borderId="60" xfId="0" applyFont="1" applyBorder="1" applyAlignment="1">
      <alignment wrapText="1"/>
    </xf>
    <xf numFmtId="0" fontId="8" fillId="34" borderId="47" xfId="0" applyFont="1" applyFill="1" applyBorder="1"/>
    <xf numFmtId="0" fontId="8" fillId="34" borderId="26" xfId="0" applyFont="1" applyFill="1" applyBorder="1"/>
    <xf numFmtId="0" fontId="17" fillId="0" borderId="17" xfId="0" applyFont="1" applyFill="1" applyBorder="1" applyAlignment="1"/>
    <xf numFmtId="0" fontId="17" fillId="0" borderId="17" xfId="0" applyFont="1" applyFill="1" applyBorder="1"/>
    <xf numFmtId="0" fontId="17" fillId="0" borderId="34" xfId="0" applyFont="1" applyFill="1" applyBorder="1"/>
    <xf numFmtId="0" fontId="17" fillId="0" borderId="47" xfId="0" applyFont="1" applyFill="1" applyBorder="1"/>
    <xf numFmtId="0" fontId="105" fillId="0" borderId="12" xfId="0" applyFont="1" applyFill="1" applyBorder="1" applyAlignment="1">
      <alignment horizontal="center"/>
    </xf>
    <xf numFmtId="0" fontId="105" fillId="0" borderId="14" xfId="0" applyFont="1" applyFill="1" applyBorder="1"/>
    <xf numFmtId="0" fontId="105" fillId="0" borderId="14" xfId="0" applyFont="1" applyFill="1" applyBorder="1" applyAlignment="1">
      <alignment horizontal="center"/>
    </xf>
    <xf numFmtId="0" fontId="105" fillId="0" borderId="60" xfId="0" applyFont="1" applyFill="1" applyBorder="1" applyAlignment="1">
      <alignment horizontal="center"/>
    </xf>
    <xf numFmtId="37" fontId="8" fillId="34" borderId="17" xfId="0" applyNumberFormat="1" applyFont="1" applyFill="1" applyBorder="1"/>
    <xf numFmtId="0" fontId="8" fillId="34" borderId="69" xfId="0" applyFont="1" applyFill="1" applyBorder="1"/>
    <xf numFmtId="0" fontId="8" fillId="34" borderId="12" xfId="0" applyFont="1" applyFill="1" applyBorder="1"/>
    <xf numFmtId="0" fontId="8" fillId="34" borderId="69" xfId="0" applyFont="1" applyFill="1" applyBorder="1" applyAlignment="1">
      <alignment horizontal="left"/>
    </xf>
    <xf numFmtId="0" fontId="8" fillId="34" borderId="12" xfId="0" applyFont="1" applyFill="1" applyBorder="1" applyAlignment="1">
      <alignment horizontal="left"/>
    </xf>
    <xf numFmtId="0" fontId="8" fillId="34" borderId="19" xfId="0" applyFont="1" applyFill="1" applyBorder="1"/>
    <xf numFmtId="0" fontId="18" fillId="34" borderId="18" xfId="0" applyFont="1" applyFill="1" applyBorder="1"/>
    <xf numFmtId="0" fontId="18" fillId="34" borderId="19" xfId="0" applyFont="1" applyFill="1" applyBorder="1"/>
    <xf numFmtId="0" fontId="8" fillId="34" borderId="70" xfId="0" applyFont="1" applyFill="1" applyBorder="1" applyAlignment="1">
      <alignment horizontal="left"/>
    </xf>
    <xf numFmtId="0" fontId="8" fillId="34" borderId="0" xfId="0" applyFont="1" applyFill="1" applyBorder="1" applyAlignment="1">
      <alignment horizontal="left"/>
    </xf>
    <xf numFmtId="0" fontId="18" fillId="34" borderId="69" xfId="0" applyFont="1" applyFill="1" applyBorder="1" applyAlignment="1">
      <alignment horizontal="left"/>
    </xf>
    <xf numFmtId="0" fontId="18" fillId="34" borderId="12" xfId="0" applyFont="1" applyFill="1" applyBorder="1" applyAlignment="1">
      <alignment horizontal="left"/>
    </xf>
    <xf numFmtId="0" fontId="17" fillId="0" borderId="47" xfId="0" applyFont="1" applyFill="1" applyBorder="1" applyAlignment="1"/>
    <xf numFmtId="0" fontId="17" fillId="0" borderId="70" xfId="0" applyFont="1" applyFill="1" applyBorder="1"/>
    <xf numFmtId="0" fontId="105" fillId="0" borderId="58" xfId="0" applyFont="1" applyBorder="1"/>
    <xf numFmtId="0" fontId="105" fillId="0" borderId="14" xfId="0" applyFont="1" applyBorder="1"/>
    <xf numFmtId="0" fontId="105" fillId="0" borderId="60" xfId="0" applyFont="1" applyBorder="1"/>
    <xf numFmtId="164" fontId="8" fillId="34" borderId="17" xfId="381" applyNumberFormat="1" applyFont="1" applyFill="1" applyBorder="1"/>
    <xf numFmtId="164" fontId="8" fillId="34" borderId="17" xfId="381" applyNumberFormat="1" applyFill="1" applyBorder="1"/>
    <xf numFmtId="164" fontId="0" fillId="34" borderId="0" xfId="0" applyNumberFormat="1" applyFill="1"/>
    <xf numFmtId="0" fontId="0" fillId="34" borderId="0" xfId="0" applyFill="1" applyBorder="1"/>
    <xf numFmtId="0" fontId="18" fillId="34" borderId="0" xfId="465" applyFont="1" applyFill="1" applyBorder="1"/>
    <xf numFmtId="49" fontId="0" fillId="34" borderId="0" xfId="0" applyNumberFormat="1" applyFill="1" applyBorder="1" applyAlignment="1">
      <alignment horizontal="left"/>
    </xf>
    <xf numFmtId="0" fontId="18" fillId="34" borderId="0" xfId="465" applyFont="1" applyFill="1"/>
    <xf numFmtId="164" fontId="91" fillId="34" borderId="0" xfId="381" applyNumberFormat="1" applyFont="1" applyFill="1"/>
    <xf numFmtId="9" fontId="8" fillId="34" borderId="0" xfId="634" applyFont="1" applyFill="1" applyBorder="1" applyAlignment="1">
      <alignment horizontal="center"/>
    </xf>
    <xf numFmtId="0" fontId="8" fillId="34" borderId="0" xfId="465" applyFont="1" applyFill="1" applyBorder="1"/>
    <xf numFmtId="0" fontId="18" fillId="34" borderId="14" xfId="465" applyFont="1" applyFill="1" applyBorder="1"/>
    <xf numFmtId="164" fontId="18" fillId="34" borderId="0" xfId="465" applyNumberFormat="1" applyFont="1" applyFill="1" applyBorder="1" applyAlignment="1">
      <alignment horizontal="center"/>
    </xf>
    <xf numFmtId="164" fontId="9" fillId="34" borderId="0" xfId="390" applyNumberFormat="1" applyFont="1" applyFill="1" applyBorder="1"/>
    <xf numFmtId="10" fontId="8" fillId="34" borderId="0" xfId="634" applyNumberFormat="1" applyFont="1" applyFill="1" applyBorder="1" applyAlignment="1">
      <alignment horizontal="center"/>
    </xf>
    <xf numFmtId="164" fontId="8" fillId="34" borderId="0" xfId="465" applyNumberFormat="1" applyFont="1" applyFill="1" applyBorder="1" applyAlignment="1">
      <alignment horizontal="center"/>
    </xf>
    <xf numFmtId="164" fontId="8" fillId="34" borderId="0" xfId="381" applyNumberFormat="1" applyFont="1" applyFill="1" applyBorder="1" applyAlignment="1">
      <alignment horizontal="center"/>
    </xf>
    <xf numFmtId="164" fontId="91" fillId="34" borderId="14" xfId="381" applyNumberFormat="1" applyFont="1" applyFill="1" applyBorder="1"/>
    <xf numFmtId="164" fontId="8" fillId="34" borderId="0" xfId="465" applyNumberFormat="1" applyFont="1" applyFill="1" applyBorder="1"/>
    <xf numFmtId="0" fontId="9" fillId="34" borderId="0" xfId="465" applyFont="1" applyFill="1" applyBorder="1"/>
    <xf numFmtId="164" fontId="18" fillId="34" borderId="26" xfId="465" applyNumberFormat="1" applyFont="1" applyFill="1" applyBorder="1" applyAlignment="1">
      <alignment horizontal="center"/>
    </xf>
    <xf numFmtId="164" fontId="9" fillId="34" borderId="26" xfId="390" applyNumberFormat="1" applyFont="1" applyFill="1" applyBorder="1"/>
    <xf numFmtId="10" fontId="8" fillId="34" borderId="26" xfId="634" applyNumberFormat="1" applyFont="1" applyFill="1" applyBorder="1" applyAlignment="1">
      <alignment horizontal="center"/>
    </xf>
    <xf numFmtId="164" fontId="8" fillId="34" borderId="14" xfId="465" applyNumberFormat="1" applyFont="1" applyFill="1" applyBorder="1" applyAlignment="1">
      <alignment horizontal="center"/>
    </xf>
    <xf numFmtId="0" fontId="8" fillId="34" borderId="0" xfId="0" applyFont="1" applyFill="1" applyBorder="1"/>
    <xf numFmtId="173" fontId="50" fillId="0" borderId="41" xfId="633" applyNumberFormat="1" applyFont="1" applyFill="1" applyBorder="1"/>
    <xf numFmtId="173" fontId="50" fillId="0" borderId="10" xfId="633" applyNumberFormat="1" applyFont="1" applyFill="1" applyBorder="1"/>
    <xf numFmtId="0" fontId="52" fillId="0" borderId="16" xfId="0" applyFont="1" applyFill="1" applyBorder="1"/>
    <xf numFmtId="164" fontId="52" fillId="0" borderId="71" xfId="381" applyNumberFormat="1" applyFont="1" applyFill="1" applyBorder="1"/>
    <xf numFmtId="0" fontId="52" fillId="0" borderId="15" xfId="0" applyFont="1" applyFill="1" applyBorder="1"/>
    <xf numFmtId="43" fontId="50" fillId="0" borderId="15" xfId="381" applyFont="1" applyFill="1" applyBorder="1"/>
    <xf numFmtId="43" fontId="50" fillId="0" borderId="3" xfId="381" applyFont="1" applyFill="1" applyBorder="1"/>
    <xf numFmtId="164" fontId="50" fillId="0" borderId="3" xfId="0" applyNumberFormat="1" applyFont="1" applyFill="1" applyBorder="1"/>
    <xf numFmtId="164" fontId="50" fillId="0" borderId="15" xfId="0" applyNumberFormat="1" applyFont="1" applyFill="1" applyBorder="1"/>
    <xf numFmtId="164" fontId="52" fillId="0" borderId="0" xfId="0" applyNumberFormat="1" applyFont="1" applyFill="1"/>
    <xf numFmtId="164" fontId="52" fillId="0" borderId="40" xfId="0" applyNumberFormat="1" applyFont="1" applyFill="1" applyBorder="1"/>
    <xf numFmtId="164" fontId="52" fillId="0" borderId="72" xfId="381" applyNumberFormat="1" applyFont="1" applyFill="1" applyBorder="1"/>
    <xf numFmtId="37" fontId="50" fillId="0" borderId="23" xfId="0" applyNumberFormat="1" applyFont="1" applyFill="1" applyBorder="1"/>
    <xf numFmtId="164" fontId="8" fillId="0" borderId="0" xfId="381" applyNumberFormat="1"/>
    <xf numFmtId="164" fontId="88" fillId="0" borderId="0" xfId="381" applyNumberFormat="1" applyFont="1" applyFill="1"/>
    <xf numFmtId="41" fontId="8" fillId="0" borderId="0" xfId="0" applyNumberFormat="1" applyFont="1" applyFill="1" applyBorder="1" applyAlignment="1">
      <alignment horizontal="left"/>
    </xf>
    <xf numFmtId="0" fontId="0" fillId="0" borderId="0" xfId="0" applyProtection="1">
      <protection locked="0"/>
    </xf>
    <xf numFmtId="37" fontId="0" fillId="0" borderId="0" xfId="0" applyNumberFormat="1" applyProtection="1">
      <protection locked="0"/>
    </xf>
    <xf numFmtId="3" fontId="0" fillId="0" borderId="0" xfId="0" applyNumberFormat="1"/>
    <xf numFmtId="164" fontId="106" fillId="0" borderId="0" xfId="0" applyNumberFormat="1" applyFont="1" applyBorder="1"/>
    <xf numFmtId="164" fontId="0" fillId="0" borderId="22" xfId="0" applyNumberFormat="1" applyFill="1" applyBorder="1"/>
    <xf numFmtId="164" fontId="18" fillId="0" borderId="0" xfId="381" applyNumberFormat="1" applyFont="1"/>
    <xf numFmtId="164" fontId="18" fillId="0" borderId="0" xfId="465" applyNumberFormat="1" applyFont="1"/>
    <xf numFmtId="0" fontId="8" fillId="0" borderId="0" xfId="0" applyFont="1" applyAlignment="1">
      <alignment horizontal="center"/>
    </xf>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164" fontId="8" fillId="0" borderId="17" xfId="381" applyNumberFormat="1" applyFont="1" applyFill="1" applyBorder="1"/>
    <xf numFmtId="164" fontId="8" fillId="0" borderId="17" xfId="381" applyNumberFormat="1" applyFill="1" applyBorder="1"/>
    <xf numFmtId="0"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 fontId="8" fillId="0" borderId="0" xfId="465" applyNumberFormat="1" applyFont="1" applyFill="1" applyBorder="1" applyAlignment="1">
      <alignment horizontal="center"/>
    </xf>
    <xf numFmtId="1" fontId="8" fillId="0" borderId="14" xfId="465" applyNumberFormat="1" applyFont="1" applyFill="1" applyBorder="1" applyAlignment="1">
      <alignment horizontal="center"/>
    </xf>
    <xf numFmtId="0" fontId="156" fillId="0" borderId="0" xfId="465" applyFont="1" applyFill="1"/>
    <xf numFmtId="0" fontId="8" fillId="0" borderId="0" xfId="477" applyFont="1" applyFill="1" applyBorder="1" applyAlignment="1"/>
    <xf numFmtId="43" fontId="157" fillId="0" borderId="0" xfId="381" applyFont="1" applyFill="1" applyBorder="1" applyAlignment="1">
      <alignment horizontal="right" vertical="center" wrapText="1"/>
    </xf>
    <xf numFmtId="0" fontId="158" fillId="0" borderId="0" xfId="0" applyFont="1" applyFill="1" applyBorder="1"/>
    <xf numFmtId="39" fontId="50" fillId="0" borderId="68" xfId="551" applyFont="1" applyFill="1" applyBorder="1" applyAlignment="1" applyProtection="1">
      <alignment horizontal="left"/>
    </xf>
    <xf numFmtId="0" fontId="155" fillId="0" borderId="0" xfId="0" applyFont="1"/>
    <xf numFmtId="37" fontId="8" fillId="0" borderId="0" xfId="445" applyNumberFormat="1"/>
    <xf numFmtId="37" fontId="8" fillId="0" borderId="0" xfId="445" applyNumberFormat="1"/>
    <xf numFmtId="37" fontId="8" fillId="0" borderId="0" xfId="445" applyNumberFormat="1"/>
    <xf numFmtId="37" fontId="8" fillId="0" borderId="0" xfId="445" applyNumberFormat="1"/>
    <xf numFmtId="37" fontId="8" fillId="0" borderId="0" xfId="445" applyNumberFormat="1"/>
    <xf numFmtId="37" fontId="8" fillId="0" borderId="0" xfId="445" applyNumberFormat="1" applyFill="1"/>
    <xf numFmtId="0" fontId="50" fillId="0" borderId="21" xfId="898" applyFont="1" applyFill="1" applyBorder="1"/>
    <xf numFmtId="0" fontId="50" fillId="0" borderId="0" xfId="898" applyFont="1" applyFill="1" applyBorder="1"/>
    <xf numFmtId="0" fontId="50" fillId="0" borderId="0" xfId="898" applyFont="1" applyFill="1"/>
    <xf numFmtId="164" fontId="50" fillId="0" borderId="21" xfId="382" applyNumberFormat="1" applyFont="1" applyFill="1" applyBorder="1"/>
    <xf numFmtId="37" fontId="50" fillId="0" borderId="0" xfId="551" applyNumberFormat="1" applyFont="1" applyFill="1" applyBorder="1" applyAlignment="1">
      <alignment horizontal="center"/>
    </xf>
    <xf numFmtId="37" fontId="50" fillId="0" borderId="21" xfId="898" applyNumberFormat="1" applyFont="1" applyFill="1" applyBorder="1"/>
    <xf numFmtId="39" fontId="50" fillId="0" borderId="0" xfId="551" applyFont="1" applyFill="1" applyBorder="1" applyAlignment="1">
      <alignment horizontal="center"/>
    </xf>
    <xf numFmtId="0" fontId="50" fillId="0" borderId="0" xfId="898" applyFont="1" applyFill="1" applyBorder="1" applyAlignment="1">
      <alignment horizontal="center"/>
    </xf>
    <xf numFmtId="0" fontId="8" fillId="0" borderId="0" xfId="445"/>
    <xf numFmtId="37" fontId="8" fillId="0" borderId="0" xfId="857" applyNumberFormat="1"/>
    <xf numFmtId="168" fontId="12" fillId="33" borderId="35" xfId="633" applyNumberFormat="1" applyFont="1" applyFill="1" applyBorder="1" applyAlignment="1"/>
    <xf numFmtId="168" fontId="12" fillId="33" borderId="35" xfId="633" applyNumberFormat="1" applyFont="1" applyFill="1" applyBorder="1"/>
    <xf numFmtId="168" fontId="12" fillId="33" borderId="35" xfId="633" applyNumberFormat="1" applyFont="1" applyFill="1" applyBorder="1" applyAlignment="1">
      <alignment horizontal="right"/>
    </xf>
    <xf numFmtId="164" fontId="10" fillId="0" borderId="28" xfId="381" applyNumberFormat="1" applyFont="1" applyFill="1" applyBorder="1" applyAlignment="1"/>
    <xf numFmtId="0" fontId="156" fillId="0" borderId="0" xfId="0" applyFont="1"/>
    <xf numFmtId="0" fontId="159" fillId="0" borderId="0" xfId="0" applyFont="1" applyFill="1" applyBorder="1"/>
    <xf numFmtId="0" fontId="156" fillId="0" borderId="0" xfId="465" applyFont="1"/>
    <xf numFmtId="43" fontId="53" fillId="0" borderId="0" xfId="381" applyFont="1" applyFill="1" applyBorder="1"/>
    <xf numFmtId="0" fontId="8" fillId="0" borderId="0" xfId="465" applyNumberFormat="1" applyFont="1" applyFill="1" applyBorder="1" applyAlignment="1"/>
    <xf numFmtId="43" fontId="51" fillId="0" borderId="0" xfId="381" applyNumberFormat="1" applyFont="1" applyAlignment="1">
      <alignment horizontal="center"/>
    </xf>
    <xf numFmtId="0" fontId="160" fillId="0" borderId="0" xfId="467" applyFont="1" applyAlignment="1">
      <alignment horizontal="left"/>
    </xf>
    <xf numFmtId="0" fontId="160" fillId="0" borderId="0" xfId="467" applyFont="1" applyFill="1" applyAlignment="1">
      <alignment horizontal="left"/>
    </xf>
    <xf numFmtId="0" fontId="155" fillId="0" borderId="0" xfId="0" applyFont="1" applyBorder="1"/>
    <xf numFmtId="0" fontId="8" fillId="69" borderId="0" xfId="0" applyFont="1" applyFill="1"/>
    <xf numFmtId="173" fontId="51" fillId="0" borderId="0" xfId="635" applyNumberFormat="1" applyFont="1" applyFill="1"/>
    <xf numFmtId="173" fontId="51" fillId="0" borderId="0" xfId="467" applyNumberFormat="1" applyFont="1" applyFill="1"/>
    <xf numFmtId="0" fontId="51" fillId="0" borderId="0" xfId="467" applyFont="1" applyFill="1" applyAlignment="1">
      <alignment horizontal="center" wrapText="1"/>
    </xf>
    <xf numFmtId="0" fontId="160" fillId="0" borderId="0" xfId="467" applyFont="1" applyFill="1"/>
    <xf numFmtId="164" fontId="51" fillId="0" borderId="0" xfId="467" applyNumberFormat="1" applyFont="1" applyFill="1" applyAlignment="1">
      <alignment horizontal="center"/>
    </xf>
    <xf numFmtId="43" fontId="51" fillId="0" borderId="0" xfId="391" applyNumberFormat="1" applyFont="1" applyFill="1"/>
    <xf numFmtId="164" fontId="51" fillId="0" borderId="0" xfId="467" applyNumberFormat="1" applyFont="1" applyFill="1" applyAlignment="1">
      <alignment horizontal="center" wrapText="1"/>
    </xf>
    <xf numFmtId="164" fontId="51" fillId="0" borderId="0" xfId="467" applyNumberFormat="1" applyFont="1"/>
    <xf numFmtId="0" fontId="160" fillId="0" borderId="0" xfId="467" applyFont="1" applyFill="1" applyAlignment="1">
      <alignment horizontal="center"/>
    </xf>
    <xf numFmtId="0" fontId="161" fillId="0" borderId="0" xfId="467" applyFont="1" applyFill="1"/>
    <xf numFmtId="0" fontId="50" fillId="0" borderId="0" xfId="898" applyFont="1" applyFill="1" applyAlignment="1"/>
    <xf numFmtId="164" fontId="18" fillId="0" borderId="10" xfId="381" applyNumberFormat="1" applyFont="1" applyFill="1" applyBorder="1" applyAlignment="1">
      <alignment horizontal="center"/>
    </xf>
    <xf numFmtId="43" fontId="10" fillId="0" borderId="10" xfId="381" applyNumberFormat="1" applyFont="1" applyBorder="1"/>
    <xf numFmtId="185" fontId="0" fillId="0" borderId="0" xfId="0" applyNumberFormat="1"/>
    <xf numFmtId="164" fontId="163" fillId="0" borderId="0" xfId="381" applyNumberFormat="1" applyFont="1" applyFill="1"/>
    <xf numFmtId="164" fontId="163" fillId="0" borderId="0" xfId="381" applyNumberFormat="1" applyFont="1"/>
    <xf numFmtId="9" fontId="8" fillId="0" borderId="0" xfId="633" applyFont="1" applyFill="1" applyBorder="1" applyAlignment="1">
      <alignment horizontal="center" wrapText="1"/>
    </xf>
    <xf numFmtId="0" fontId="164" fillId="0" borderId="0" xfId="0" applyFont="1" applyFill="1"/>
    <xf numFmtId="164" fontId="164" fillId="0" borderId="0" xfId="381" applyNumberFormat="1" applyFont="1" applyFill="1"/>
    <xf numFmtId="0" fontId="162" fillId="0" borderId="0" xfId="0" applyFont="1" applyAlignment="1">
      <alignment wrapText="1"/>
    </xf>
    <xf numFmtId="0" fontId="18" fillId="0" borderId="25" xfId="465" applyFont="1" applyFill="1" applyBorder="1"/>
    <xf numFmtId="0" fontId="8" fillId="0" borderId="0" xfId="0" applyFont="1" applyAlignment="1">
      <alignment horizontal="center"/>
    </xf>
    <xf numFmtId="37" fontId="8" fillId="0" borderId="0" xfId="0" applyNumberFormat="1" applyFont="1"/>
    <xf numFmtId="37" fontId="8" fillId="0" borderId="14" xfId="0" applyNumberFormat="1" applyFont="1" applyBorder="1"/>
    <xf numFmtId="37" fontId="8" fillId="0" borderId="0" xfId="0" applyNumberFormat="1" applyFont="1" applyBorder="1"/>
    <xf numFmtId="164" fontId="157" fillId="0" borderId="0" xfId="381" applyNumberFormat="1" applyFont="1" applyFill="1" applyBorder="1" applyAlignment="1">
      <alignment horizontal="right" vertical="center" wrapText="1"/>
    </xf>
    <xf numFmtId="164" fontId="9" fillId="0" borderId="0" xfId="381" applyNumberFormat="1" applyFont="1" applyFill="1"/>
    <xf numFmtId="0" fontId="12" fillId="0" borderId="0" xfId="0" applyFont="1" applyAlignment="1">
      <alignment horizontal="center"/>
    </xf>
    <xf numFmtId="0" fontId="83" fillId="0" borderId="0" xfId="0" applyFont="1"/>
    <xf numFmtId="0" fontId="8" fillId="0" borderId="0" xfId="0" applyFont="1" applyAlignment="1">
      <alignment horizontal="center"/>
    </xf>
    <xf numFmtId="0" fontId="0" fillId="0" borderId="0" xfId="0" applyAlignment="1">
      <alignment horizontal="center"/>
    </xf>
    <xf numFmtId="165" fontId="8" fillId="31" borderId="0" xfId="498" applyNumberFormat="1" applyFont="1" applyFill="1" applyAlignment="1">
      <alignment horizontal="center"/>
    </xf>
    <xf numFmtId="0" fontId="82" fillId="0" borderId="0" xfId="0" applyFont="1"/>
    <xf numFmtId="0" fontId="94" fillId="0" borderId="0" xfId="0" applyFont="1" applyFill="1" applyAlignment="1">
      <alignment horizontal="left" wrapText="1"/>
    </xf>
    <xf numFmtId="0" fontId="126" fillId="0" borderId="0" xfId="0" applyFont="1" applyFill="1" applyAlignment="1">
      <alignment horizontal="left" wrapText="1"/>
    </xf>
    <xf numFmtId="0" fontId="94" fillId="0" borderId="0" xfId="0" applyFont="1" applyFill="1" applyBorder="1" applyAlignment="1">
      <alignment horizontal="left" wrapText="1"/>
    </xf>
    <xf numFmtId="0" fontId="94" fillId="0" borderId="0" xfId="0" applyNumberFormat="1" applyFont="1" applyFill="1" applyAlignment="1">
      <alignment horizontal="left" wrapText="1"/>
    </xf>
    <xf numFmtId="170" fontId="94" fillId="0" borderId="0" xfId="550" applyFont="1" applyFill="1" applyAlignment="1" applyProtection="1">
      <alignment horizontal="left" wrapText="1"/>
      <protection locked="0"/>
    </xf>
    <xf numFmtId="0" fontId="94" fillId="0" borderId="0" xfId="0" applyFont="1" applyFill="1" applyBorder="1" applyAlignment="1">
      <alignment horizontal="left"/>
    </xf>
    <xf numFmtId="0" fontId="35" fillId="0" borderId="27" xfId="0" applyFont="1" applyFill="1" applyBorder="1" applyAlignment="1">
      <alignment horizontal="left" wrapText="1"/>
    </xf>
    <xf numFmtId="0" fontId="35" fillId="0" borderId="0" xfId="0" applyFont="1" applyFill="1" applyBorder="1" applyAlignment="1">
      <alignment horizontal="left" wrapText="1"/>
    </xf>
    <xf numFmtId="0" fontId="35" fillId="0" borderId="58" xfId="0" applyFont="1" applyFill="1" applyBorder="1" applyAlignment="1">
      <alignment horizontal="left" wrapText="1"/>
    </xf>
    <xf numFmtId="0" fontId="35" fillId="0" borderId="27" xfId="0" applyFont="1" applyBorder="1" applyAlignment="1">
      <alignment horizontal="left" wrapText="1"/>
    </xf>
    <xf numFmtId="0" fontId="35" fillId="0" borderId="0" xfId="0" applyFont="1" applyBorder="1" applyAlignment="1">
      <alignment horizontal="left" wrapText="1"/>
    </xf>
    <xf numFmtId="0" fontId="35" fillId="0" borderId="58" xfId="0" applyFont="1" applyBorder="1" applyAlignment="1">
      <alignment horizontal="left" wrapText="1"/>
    </xf>
    <xf numFmtId="0" fontId="21" fillId="0" borderId="0" xfId="0" applyFont="1" applyAlignment="1">
      <alignment horizontal="center"/>
    </xf>
    <xf numFmtId="0" fontId="42" fillId="0" borderId="0" xfId="0" applyFont="1" applyAlignment="1"/>
    <xf numFmtId="0" fontId="0" fillId="0" borderId="0" xfId="0" applyAlignment="1"/>
    <xf numFmtId="0" fontId="10" fillId="0" borderId="0" xfId="0" applyFont="1" applyAlignment="1">
      <alignment horizontal="center"/>
    </xf>
    <xf numFmtId="0" fontId="12" fillId="0" borderId="0" xfId="0" applyFont="1" applyAlignment="1">
      <alignment horizontal="center"/>
    </xf>
    <xf numFmtId="0" fontId="18" fillId="0" borderId="0" xfId="0" applyFont="1" applyAlignment="1"/>
    <xf numFmtId="0" fontId="56" fillId="0" borderId="0" xfId="0" applyFont="1" applyAlignment="1">
      <alignment horizontal="center" wrapText="1"/>
    </xf>
    <xf numFmtId="0" fontId="8" fillId="0" borderId="0" xfId="465" applyFont="1" applyFill="1" applyBorder="1" applyAlignment="1">
      <alignment horizontal="center" wrapText="1"/>
    </xf>
    <xf numFmtId="0" fontId="9" fillId="0" borderId="25" xfId="465" applyFont="1" applyFill="1" applyBorder="1" applyAlignment="1">
      <alignment horizontal="center"/>
    </xf>
    <xf numFmtId="0" fontId="9" fillId="0" borderId="24" xfId="465" applyFont="1" applyFill="1" applyBorder="1" applyAlignment="1">
      <alignment horizontal="center"/>
    </xf>
    <xf numFmtId="0" fontId="9" fillId="0" borderId="29" xfId="465" applyFont="1" applyFill="1" applyBorder="1" applyAlignment="1">
      <alignment horizontal="center"/>
    </xf>
    <xf numFmtId="0" fontId="8" fillId="0" borderId="24" xfId="465" applyFont="1" applyFill="1" applyBorder="1" applyAlignment="1">
      <alignment horizontal="center" wrapText="1"/>
    </xf>
    <xf numFmtId="0" fontId="8" fillId="0" borderId="29" xfId="465" applyFont="1" applyFill="1" applyBorder="1" applyAlignment="1">
      <alignment horizontal="center" wrapText="1"/>
    </xf>
    <xf numFmtId="0" fontId="110" fillId="0" borderId="0" xfId="465" applyFont="1" applyFill="1" applyBorder="1" applyAlignment="1">
      <alignment horizontal="center"/>
    </xf>
    <xf numFmtId="0" fontId="92" fillId="0" borderId="25" xfId="465" applyFont="1" applyFill="1" applyBorder="1" applyAlignment="1">
      <alignment horizontal="center"/>
    </xf>
    <xf numFmtId="0" fontId="92" fillId="0" borderId="24" xfId="465" applyFont="1" applyFill="1" applyBorder="1" applyAlignment="1">
      <alignment horizontal="center"/>
    </xf>
    <xf numFmtId="0" fontId="92" fillId="0" borderId="29" xfId="465" applyFont="1" applyFill="1" applyBorder="1" applyAlignment="1">
      <alignment horizontal="center"/>
    </xf>
    <xf numFmtId="0" fontId="9" fillId="0" borderId="24" xfId="465" applyFont="1" applyFill="1" applyBorder="1" applyAlignment="1">
      <alignment horizontal="center" wrapText="1"/>
    </xf>
    <xf numFmtId="0" fontId="18" fillId="0" borderId="24" xfId="465" applyFont="1" applyFill="1" applyBorder="1" applyAlignment="1">
      <alignment horizontal="center" wrapText="1"/>
    </xf>
    <xf numFmtId="0" fontId="18" fillId="0" borderId="29" xfId="465" applyFont="1" applyFill="1" applyBorder="1" applyAlignment="1">
      <alignment horizontal="center" wrapText="1"/>
    </xf>
    <xf numFmtId="0" fontId="9" fillId="0" borderId="0" xfId="465" applyFont="1" applyFill="1" applyBorder="1" applyAlignment="1">
      <alignment horizontal="center" wrapText="1"/>
    </xf>
    <xf numFmtId="0" fontId="9" fillId="0" borderId="16" xfId="465" applyFont="1" applyFill="1" applyBorder="1" applyAlignment="1">
      <alignment horizontal="center"/>
    </xf>
    <xf numFmtId="0" fontId="9" fillId="0" borderId="15" xfId="465" applyFont="1" applyFill="1" applyBorder="1" applyAlignment="1">
      <alignment horizontal="center"/>
    </xf>
    <xf numFmtId="0" fontId="9" fillId="0" borderId="71" xfId="465" applyFont="1" applyFill="1" applyBorder="1" applyAlignment="1">
      <alignment horizontal="center"/>
    </xf>
    <xf numFmtId="0" fontId="9" fillId="0" borderId="15" xfId="465" applyFont="1" applyFill="1" applyBorder="1" applyAlignment="1">
      <alignment horizontal="center" wrapText="1"/>
    </xf>
    <xf numFmtId="0" fontId="8" fillId="0" borderId="15" xfId="465" applyFont="1" applyFill="1" applyBorder="1" applyAlignment="1">
      <alignment horizontal="center" wrapText="1"/>
    </xf>
    <xf numFmtId="0" fontId="8" fillId="0" borderId="71" xfId="465" applyFont="1" applyFill="1" applyBorder="1" applyAlignment="1">
      <alignment horizontal="center" wrapText="1"/>
    </xf>
    <xf numFmtId="0" fontId="9" fillId="0" borderId="29" xfId="465" applyFont="1" applyFill="1" applyBorder="1" applyAlignment="1">
      <alignment horizontal="center" wrapText="1"/>
    </xf>
    <xf numFmtId="0" fontId="8" fillId="0" borderId="10" xfId="465" applyFont="1" applyFill="1" applyBorder="1" applyAlignment="1">
      <alignment horizontal="center" wrapText="1"/>
    </xf>
    <xf numFmtId="0" fontId="8" fillId="0" borderId="23" xfId="465" applyFont="1" applyFill="1" applyBorder="1" applyAlignment="1">
      <alignment horizontal="center" wrapText="1"/>
    </xf>
    <xf numFmtId="0" fontId="8" fillId="0" borderId="21" xfId="465" applyFont="1" applyFill="1" applyBorder="1" applyAlignment="1">
      <alignment horizontal="center" wrapText="1"/>
    </xf>
    <xf numFmtId="0" fontId="18" fillId="0" borderId="0" xfId="465" applyFont="1" applyFill="1" applyBorder="1" applyAlignment="1">
      <alignment horizontal="center" wrapText="1"/>
    </xf>
    <xf numFmtId="0" fontId="18" fillId="0" borderId="21" xfId="465" applyFont="1" applyFill="1" applyBorder="1" applyAlignment="1">
      <alignment horizontal="center" wrapText="1"/>
    </xf>
    <xf numFmtId="0" fontId="51" fillId="0" borderId="0" xfId="467" applyNumberFormat="1" applyFont="1" applyAlignment="1">
      <alignment horizontal="left"/>
    </xf>
    <xf numFmtId="0" fontId="160" fillId="0" borderId="0" xfId="467" applyFont="1" applyAlignment="1">
      <alignment horizontal="center" wrapText="1"/>
    </xf>
    <xf numFmtId="0" fontId="21" fillId="0" borderId="0" xfId="467" applyFont="1" applyAlignment="1">
      <alignment horizontal="center"/>
    </xf>
    <xf numFmtId="0" fontId="0" fillId="0" borderId="0" xfId="0" applyAlignment="1">
      <alignment horizontal="left"/>
    </xf>
    <xf numFmtId="0" fontId="10" fillId="0" borderId="0" xfId="467" applyFont="1" applyAlignment="1">
      <alignment horizontal="center"/>
    </xf>
    <xf numFmtId="0" fontId="127" fillId="0" borderId="0" xfId="0" applyFont="1" applyAlignment="1">
      <alignment horizontal="left" wrapText="1"/>
    </xf>
    <xf numFmtId="0" fontId="127" fillId="0" borderId="0" xfId="0" applyFont="1" applyFill="1" applyAlignment="1">
      <alignment horizontal="left" wrapText="1"/>
    </xf>
    <xf numFmtId="0" fontId="40" fillId="0" borderId="20" xfId="467" applyFont="1" applyFill="1" applyBorder="1" applyAlignment="1">
      <alignment horizontal="center"/>
    </xf>
    <xf numFmtId="0" fontId="8" fillId="0" borderId="0" xfId="467" applyFont="1" applyFill="1" applyBorder="1" applyAlignment="1">
      <alignment horizontal="center"/>
    </xf>
    <xf numFmtId="0" fontId="8" fillId="0" borderId="21" xfId="467" applyFont="1" applyFill="1" applyBorder="1" applyAlignment="1">
      <alignment horizontal="center"/>
    </xf>
    <xf numFmtId="0" fontId="40" fillId="0" borderId="25" xfId="467" applyFont="1" applyFill="1" applyBorder="1" applyAlignment="1">
      <alignment horizontal="center"/>
    </xf>
    <xf numFmtId="0" fontId="8" fillId="0" borderId="24" xfId="467" applyFont="1" applyFill="1" applyBorder="1" applyAlignment="1">
      <alignment horizontal="center"/>
    </xf>
    <xf numFmtId="0" fontId="8" fillId="0" borderId="29" xfId="467" applyFont="1" applyFill="1" applyBorder="1" applyAlignment="1">
      <alignment horizontal="center"/>
    </xf>
    <xf numFmtId="0" fontId="0" fillId="0" borderId="0" xfId="0" applyAlignment="1">
      <alignment horizontal="left" wrapText="1"/>
    </xf>
    <xf numFmtId="0" fontId="165" fillId="0" borderId="0" xfId="467" applyFont="1" applyFill="1"/>
    <xf numFmtId="164" fontId="166" fillId="0" borderId="12" xfId="467" applyNumberFormat="1" applyFont="1" applyFill="1" applyBorder="1"/>
    <xf numFmtId="0" fontId="166" fillId="0" borderId="0" xfId="467" applyFont="1" applyAlignment="1">
      <alignment horizontal="left"/>
    </xf>
    <xf numFmtId="0" fontId="87" fillId="0" borderId="0" xfId="467" applyFont="1"/>
    <xf numFmtId="0" fontId="166" fillId="0" borderId="0" xfId="467" applyFont="1" applyFill="1" applyAlignment="1">
      <alignment horizontal="center"/>
    </xf>
    <xf numFmtId="0" fontId="166" fillId="0" borderId="0" xfId="467" applyFont="1" applyFill="1" applyBorder="1" applyAlignment="1">
      <alignment wrapText="1"/>
    </xf>
    <xf numFmtId="0" fontId="166" fillId="0" borderId="0" xfId="467" applyFont="1" applyFill="1" applyBorder="1"/>
    <xf numFmtId="164" fontId="166" fillId="0" borderId="0" xfId="467" quotePrefix="1" applyNumberFormat="1" applyFont="1" applyFill="1" applyAlignment="1">
      <alignment horizontal="center"/>
    </xf>
    <xf numFmtId="0" fontId="51" fillId="0" borderId="0" xfId="467" quotePrefix="1" applyFont="1" applyFill="1"/>
    <xf numFmtId="0" fontId="8" fillId="0" borderId="0" xfId="467" applyFill="1" applyAlignment="1">
      <alignment horizontal="right"/>
    </xf>
    <xf numFmtId="0" fontId="8" fillId="69" borderId="0" xfId="467" applyFill="1" applyAlignment="1">
      <alignment horizontal="center"/>
    </xf>
    <xf numFmtId="0" fontId="8" fillId="69" borderId="0" xfId="467" applyFill="1" applyAlignment="1">
      <alignment horizontal="centerContinuous"/>
    </xf>
    <xf numFmtId="164" fontId="166" fillId="0" borderId="0" xfId="467" applyNumberFormat="1" applyFont="1" applyFill="1"/>
    <xf numFmtId="0" fontId="167" fillId="0" borderId="0" xfId="467" applyFont="1" applyFill="1" applyAlignment="1">
      <alignment horizontal="left"/>
    </xf>
    <xf numFmtId="0" fontId="167" fillId="0" borderId="0" xfId="467" applyFont="1" applyAlignment="1">
      <alignment horizontal="center"/>
    </xf>
    <xf numFmtId="0" fontId="167" fillId="0" borderId="0" xfId="467" applyFont="1"/>
    <xf numFmtId="0" fontId="167" fillId="0" borderId="0" xfId="467" applyFont="1" applyBorder="1"/>
    <xf numFmtId="167" fontId="168" fillId="0" borderId="0" xfId="422" applyNumberFormat="1" applyFont="1" applyFill="1" applyAlignment="1">
      <alignment horizontal="left"/>
    </xf>
    <xf numFmtId="0" fontId="155" fillId="0" borderId="0" xfId="467" applyFont="1" applyAlignment="1"/>
    <xf numFmtId="0" fontId="155" fillId="0" borderId="0" xfId="467" applyFont="1" applyFill="1" applyAlignment="1"/>
    <xf numFmtId="0" fontId="155" fillId="0" borderId="0" xfId="467" applyFont="1"/>
    <xf numFmtId="164" fontId="8" fillId="0" borderId="0" xfId="467" applyNumberFormat="1"/>
    <xf numFmtId="0" fontId="8" fillId="69" borderId="0" xfId="467" applyNumberFormat="1" applyFill="1" applyAlignment="1">
      <alignment horizontal="center"/>
    </xf>
    <xf numFmtId="0" fontId="166" fillId="0" borderId="0" xfId="467" applyFont="1" applyFill="1" applyAlignment="1">
      <alignment horizontal="left"/>
    </xf>
    <xf numFmtId="0" fontId="169" fillId="0" borderId="0" xfId="467" applyFont="1" applyFill="1" applyAlignment="1">
      <alignment horizontal="left"/>
    </xf>
    <xf numFmtId="43" fontId="51" fillId="70" borderId="0" xfId="381" applyFont="1" applyFill="1"/>
    <xf numFmtId="0" fontId="166" fillId="0" borderId="0" xfId="467" applyFont="1"/>
  </cellXfs>
  <cellStyles count="1155">
    <cellStyle name=" 1" xfId="1"/>
    <cellStyle name=" 1 2" xfId="2"/>
    <cellStyle name=" 1 2 2" xfId="3"/>
    <cellStyle name=" 1 3" xfId="4"/>
    <cellStyle name="20% - Accent1" xfId="722" builtinId="30" customBuiltin="1"/>
    <cellStyle name="20% - Accent1 10" xfId="5"/>
    <cellStyle name="20% - Accent1 11" xfId="6"/>
    <cellStyle name="20% - Accent1 12" xfId="7"/>
    <cellStyle name="20% - Accent1 13" xfId="8"/>
    <cellStyle name="20% - Accent1 14" xfId="788"/>
    <cellStyle name="20% - Accent1 14 2" xfId="940"/>
    <cellStyle name="20% - Accent1 14 3" xfId="1068"/>
    <cellStyle name="20% - Accent1 15" xfId="901"/>
    <cellStyle name="20% - Accent1 16" xfId="1029"/>
    <cellStyle name="20% - Accent1 2" xfId="9"/>
    <cellStyle name="20% - Accent1 2 2" xfId="10"/>
    <cellStyle name="20% - Accent1 2 3" xfId="11"/>
    <cellStyle name="20% - Accent1 2_10-15-10-Stmt AU - Period I - Working 1 0" xfId="12"/>
    <cellStyle name="20% - Accent1 3" xfId="13"/>
    <cellStyle name="20% - Accent1 3 2" xfId="14"/>
    <cellStyle name="20% - Accent1 3 3" xfId="15"/>
    <cellStyle name="20% - Accent1 3_10-15-10-Stmt AU - Period I - Working 1 0" xfId="16"/>
    <cellStyle name="20% - Accent1 4" xfId="17"/>
    <cellStyle name="20% - Accent1 4 2" xfId="18"/>
    <cellStyle name="20% - Accent1 4 3" xfId="19"/>
    <cellStyle name="20% - Accent1 4_10-15-10-Stmt AU - Period I - Working 1 0" xfId="20"/>
    <cellStyle name="20% - Accent1 5" xfId="21"/>
    <cellStyle name="20% - Accent1 5 2" xfId="22"/>
    <cellStyle name="20% - Accent1 5 3" xfId="23"/>
    <cellStyle name="20% - Accent1 5_10-15-10-Stmt AU - Period I - Working 1 0" xfId="24"/>
    <cellStyle name="20% - Accent1 6" xfId="25"/>
    <cellStyle name="20% - Accent1 6 2" xfId="26"/>
    <cellStyle name="20% - Accent1 6 3" xfId="27"/>
    <cellStyle name="20% - Accent1 6_10-15-10-Stmt AU - Period I - Working 1 0" xfId="28"/>
    <cellStyle name="20% - Accent1 7" xfId="29"/>
    <cellStyle name="20% - Accent1 7 2" xfId="30"/>
    <cellStyle name="20% - Accent1 7 3" xfId="31"/>
    <cellStyle name="20% - Accent1 7_10-15-10-Stmt AU - Period I - Working 1 0" xfId="32"/>
    <cellStyle name="20% - Accent1 8" xfId="33"/>
    <cellStyle name="20% - Accent1 9" xfId="34"/>
    <cellStyle name="20% - Accent2" xfId="726" builtinId="34" customBuiltin="1"/>
    <cellStyle name="20% - Accent2 10" xfId="35"/>
    <cellStyle name="20% - Accent2 11" xfId="36"/>
    <cellStyle name="20% - Accent2 12" xfId="37"/>
    <cellStyle name="20% - Accent2 13" xfId="38"/>
    <cellStyle name="20% - Accent2 14" xfId="789"/>
    <cellStyle name="20% - Accent2 14 2" xfId="941"/>
    <cellStyle name="20% - Accent2 14 3" xfId="1069"/>
    <cellStyle name="20% - Accent2 15" xfId="903"/>
    <cellStyle name="20% - Accent2 16" xfId="1031"/>
    <cellStyle name="20% - Accent2 2" xfId="39"/>
    <cellStyle name="20% - Accent2 2 2" xfId="40"/>
    <cellStyle name="20% - Accent2 2 3" xfId="41"/>
    <cellStyle name="20% - Accent2 2_10-15-10-Stmt AU - Period I - Working 1 0" xfId="42"/>
    <cellStyle name="20% - Accent2 3" xfId="43"/>
    <cellStyle name="20% - Accent2 3 2" xfId="44"/>
    <cellStyle name="20% - Accent2 3 3" xfId="45"/>
    <cellStyle name="20% - Accent2 3_10-15-10-Stmt AU - Period I - Working 1 0" xfId="46"/>
    <cellStyle name="20% - Accent2 4" xfId="47"/>
    <cellStyle name="20% - Accent2 4 2" xfId="48"/>
    <cellStyle name="20% - Accent2 4 3" xfId="49"/>
    <cellStyle name="20% - Accent2 4_10-15-10-Stmt AU - Period I - Working 1 0" xfId="50"/>
    <cellStyle name="20% - Accent2 5" xfId="51"/>
    <cellStyle name="20% - Accent2 5 2" xfId="52"/>
    <cellStyle name="20% - Accent2 5 3" xfId="53"/>
    <cellStyle name="20% - Accent2 5_10-15-10-Stmt AU - Period I - Working 1 0" xfId="54"/>
    <cellStyle name="20% - Accent2 6" xfId="55"/>
    <cellStyle name="20% - Accent2 6 2" xfId="56"/>
    <cellStyle name="20% - Accent2 6 3" xfId="57"/>
    <cellStyle name="20% - Accent2 6_10-15-10-Stmt AU - Period I - Working 1 0" xfId="58"/>
    <cellStyle name="20% - Accent2 7" xfId="59"/>
    <cellStyle name="20% - Accent2 7 2" xfId="60"/>
    <cellStyle name="20% - Accent2 7 3" xfId="61"/>
    <cellStyle name="20% - Accent2 7_10-15-10-Stmt AU - Period I - Working 1 0" xfId="62"/>
    <cellStyle name="20% - Accent2 8" xfId="63"/>
    <cellStyle name="20% - Accent2 9" xfId="64"/>
    <cellStyle name="20% - Accent3" xfId="730" builtinId="38" customBuiltin="1"/>
    <cellStyle name="20% - Accent3 10" xfId="65"/>
    <cellStyle name="20% - Accent3 11" xfId="66"/>
    <cellStyle name="20% - Accent3 12" xfId="67"/>
    <cellStyle name="20% - Accent3 13" xfId="68"/>
    <cellStyle name="20% - Accent3 14" xfId="790"/>
    <cellStyle name="20% - Accent3 14 2" xfId="942"/>
    <cellStyle name="20% - Accent3 14 3" xfId="1070"/>
    <cellStyle name="20% - Accent3 15" xfId="905"/>
    <cellStyle name="20% - Accent3 16" xfId="1033"/>
    <cellStyle name="20% - Accent3 2" xfId="69"/>
    <cellStyle name="20% - Accent3 2 2" xfId="70"/>
    <cellStyle name="20% - Accent3 2 3" xfId="71"/>
    <cellStyle name="20% - Accent3 2_10-15-10-Stmt AU - Period I - Working 1 0" xfId="72"/>
    <cellStyle name="20% - Accent3 3" xfId="73"/>
    <cellStyle name="20% - Accent3 3 2" xfId="74"/>
    <cellStyle name="20% - Accent3 3 3" xfId="75"/>
    <cellStyle name="20% - Accent3 3_10-15-10-Stmt AU - Period I - Working 1 0" xfId="76"/>
    <cellStyle name="20% - Accent3 4" xfId="77"/>
    <cellStyle name="20% - Accent3 4 2" xfId="78"/>
    <cellStyle name="20% - Accent3 4 3" xfId="79"/>
    <cellStyle name="20% - Accent3 4_10-15-10-Stmt AU - Period I - Working 1 0" xfId="80"/>
    <cellStyle name="20% - Accent3 5" xfId="81"/>
    <cellStyle name="20% - Accent3 5 2" xfId="82"/>
    <cellStyle name="20% - Accent3 5 3" xfId="83"/>
    <cellStyle name="20% - Accent3 5_10-15-10-Stmt AU - Period I - Working 1 0" xfId="84"/>
    <cellStyle name="20% - Accent3 6" xfId="85"/>
    <cellStyle name="20% - Accent3 6 2" xfId="86"/>
    <cellStyle name="20% - Accent3 6 3" xfId="87"/>
    <cellStyle name="20% - Accent3 6_10-15-10-Stmt AU - Period I - Working 1 0" xfId="88"/>
    <cellStyle name="20% - Accent3 7" xfId="89"/>
    <cellStyle name="20% - Accent3 7 2" xfId="90"/>
    <cellStyle name="20% - Accent3 7 3" xfId="91"/>
    <cellStyle name="20% - Accent3 7_10-15-10-Stmt AU - Period I - Working 1 0" xfId="92"/>
    <cellStyle name="20% - Accent3 8" xfId="93"/>
    <cellStyle name="20% - Accent3 9" xfId="94"/>
    <cellStyle name="20% - Accent4" xfId="734" builtinId="42" customBuiltin="1"/>
    <cellStyle name="20% - Accent4 10" xfId="95"/>
    <cellStyle name="20% - Accent4 11" xfId="96"/>
    <cellStyle name="20% - Accent4 12" xfId="97"/>
    <cellStyle name="20% - Accent4 13" xfId="98"/>
    <cellStyle name="20% - Accent4 14" xfId="791"/>
    <cellStyle name="20% - Accent4 14 2" xfId="943"/>
    <cellStyle name="20% - Accent4 14 3" xfId="1071"/>
    <cellStyle name="20% - Accent4 15" xfId="907"/>
    <cellStyle name="20% - Accent4 16" xfId="1035"/>
    <cellStyle name="20% - Accent4 2" xfId="99"/>
    <cellStyle name="20% - Accent4 2 2" xfId="100"/>
    <cellStyle name="20% - Accent4 2 3" xfId="101"/>
    <cellStyle name="20% - Accent4 2_10-15-10-Stmt AU - Period I - Working 1 0" xfId="102"/>
    <cellStyle name="20% - Accent4 3" xfId="103"/>
    <cellStyle name="20% - Accent4 3 2" xfId="104"/>
    <cellStyle name="20% - Accent4 3 3" xfId="105"/>
    <cellStyle name="20% - Accent4 3_10-15-10-Stmt AU - Period I - Working 1 0" xfId="106"/>
    <cellStyle name="20% - Accent4 4" xfId="107"/>
    <cellStyle name="20% - Accent4 4 2" xfId="108"/>
    <cellStyle name="20% - Accent4 4 3" xfId="109"/>
    <cellStyle name="20% - Accent4 4_10-15-10-Stmt AU - Period I - Working 1 0" xfId="110"/>
    <cellStyle name="20% - Accent4 5" xfId="111"/>
    <cellStyle name="20% - Accent4 5 2" xfId="112"/>
    <cellStyle name="20% - Accent4 5 3" xfId="113"/>
    <cellStyle name="20% - Accent4 5_10-15-10-Stmt AU - Period I - Working 1 0" xfId="114"/>
    <cellStyle name="20% - Accent4 6" xfId="115"/>
    <cellStyle name="20% - Accent4 6 2" xfId="116"/>
    <cellStyle name="20% - Accent4 6 3" xfId="117"/>
    <cellStyle name="20% - Accent4 6_10-15-10-Stmt AU - Period I - Working 1 0" xfId="118"/>
    <cellStyle name="20% - Accent4 7" xfId="119"/>
    <cellStyle name="20% - Accent4 7 2" xfId="120"/>
    <cellStyle name="20% - Accent4 7 3" xfId="121"/>
    <cellStyle name="20% - Accent4 7_10-15-10-Stmt AU - Period I - Working 1 0" xfId="122"/>
    <cellStyle name="20% - Accent4 8" xfId="123"/>
    <cellStyle name="20% - Accent4 9" xfId="124"/>
    <cellStyle name="20% - Accent5" xfId="738" builtinId="46" customBuiltin="1"/>
    <cellStyle name="20% - Accent5 10" xfId="125"/>
    <cellStyle name="20% - Accent5 11" xfId="126"/>
    <cellStyle name="20% - Accent5 12" xfId="127"/>
    <cellStyle name="20% - Accent5 13" xfId="128"/>
    <cellStyle name="20% - Accent5 14" xfId="792"/>
    <cellStyle name="20% - Accent5 14 2" xfId="944"/>
    <cellStyle name="20% - Accent5 14 3" xfId="1072"/>
    <cellStyle name="20% - Accent5 15" xfId="909"/>
    <cellStyle name="20% - Accent5 16" xfId="1037"/>
    <cellStyle name="20% - Accent5 2" xfId="129"/>
    <cellStyle name="20% - Accent5 2 2" xfId="130"/>
    <cellStyle name="20% - Accent5 2 3" xfId="131"/>
    <cellStyle name="20% - Accent5 2_10-15-10-Stmt AU - Period I - Working 1 0" xfId="132"/>
    <cellStyle name="20% - Accent5 3" xfId="133"/>
    <cellStyle name="20% - Accent5 3 2" xfId="134"/>
    <cellStyle name="20% - Accent5 3 3" xfId="135"/>
    <cellStyle name="20% - Accent5 3_10-15-10-Stmt AU - Period I - Working 1 0" xfId="136"/>
    <cellStyle name="20% - Accent5 4" xfId="137"/>
    <cellStyle name="20% - Accent5 4 2" xfId="138"/>
    <cellStyle name="20% - Accent5 4 3" xfId="139"/>
    <cellStyle name="20% - Accent5 4_10-15-10-Stmt AU - Period I - Working 1 0" xfId="140"/>
    <cellStyle name="20% - Accent5 5" xfId="141"/>
    <cellStyle name="20% - Accent5 5 2" xfId="142"/>
    <cellStyle name="20% - Accent5 5 3" xfId="143"/>
    <cellStyle name="20% - Accent5 5_10-15-10-Stmt AU - Period I - Working 1 0" xfId="144"/>
    <cellStyle name="20% - Accent5 6" xfId="145"/>
    <cellStyle name="20% - Accent5 6 2" xfId="146"/>
    <cellStyle name="20% - Accent5 6 3" xfId="147"/>
    <cellStyle name="20% - Accent5 6_10-15-10-Stmt AU - Period I - Working 1 0" xfId="148"/>
    <cellStyle name="20% - Accent5 7" xfId="149"/>
    <cellStyle name="20% - Accent5 7 2" xfId="150"/>
    <cellStyle name="20% - Accent5 7 3" xfId="151"/>
    <cellStyle name="20% - Accent5 7_10-15-10-Stmt AU - Period I - Working 1 0" xfId="152"/>
    <cellStyle name="20% - Accent5 8" xfId="153"/>
    <cellStyle name="20% - Accent5 9" xfId="154"/>
    <cellStyle name="20% - Accent6" xfId="742" builtinId="50" customBuiltin="1"/>
    <cellStyle name="20% - Accent6 10" xfId="155"/>
    <cellStyle name="20% - Accent6 11" xfId="156"/>
    <cellStyle name="20% - Accent6 12" xfId="157"/>
    <cellStyle name="20% - Accent6 13" xfId="158"/>
    <cellStyle name="20% - Accent6 14" xfId="793"/>
    <cellStyle name="20% - Accent6 14 2" xfId="945"/>
    <cellStyle name="20% - Accent6 14 3" xfId="1073"/>
    <cellStyle name="20% - Accent6 15" xfId="911"/>
    <cellStyle name="20% - Accent6 16" xfId="1039"/>
    <cellStyle name="20% - Accent6 2" xfId="159"/>
    <cellStyle name="20% - Accent6 2 2" xfId="160"/>
    <cellStyle name="20% - Accent6 2 3" xfId="161"/>
    <cellStyle name="20% - Accent6 2_10-15-10-Stmt AU - Period I - Working 1 0" xfId="162"/>
    <cellStyle name="20% - Accent6 3" xfId="163"/>
    <cellStyle name="20% - Accent6 3 2" xfId="164"/>
    <cellStyle name="20% - Accent6 3 3" xfId="165"/>
    <cellStyle name="20% - Accent6 3_10-15-10-Stmt AU - Period I - Working 1 0" xfId="166"/>
    <cellStyle name="20% - Accent6 4" xfId="167"/>
    <cellStyle name="20% - Accent6 4 2" xfId="168"/>
    <cellStyle name="20% - Accent6 4 3" xfId="169"/>
    <cellStyle name="20% - Accent6 4_10-15-10-Stmt AU - Period I - Working 1 0" xfId="170"/>
    <cellStyle name="20% - Accent6 5" xfId="171"/>
    <cellStyle name="20% - Accent6 5 2" xfId="172"/>
    <cellStyle name="20% - Accent6 5 3" xfId="173"/>
    <cellStyle name="20% - Accent6 5_10-15-10-Stmt AU - Period I - Working 1 0" xfId="174"/>
    <cellStyle name="20% - Accent6 6" xfId="175"/>
    <cellStyle name="20% - Accent6 6 2" xfId="176"/>
    <cellStyle name="20% - Accent6 6 3" xfId="177"/>
    <cellStyle name="20% - Accent6 6_10-15-10-Stmt AU - Period I - Working 1 0" xfId="178"/>
    <cellStyle name="20% - Accent6 7" xfId="179"/>
    <cellStyle name="20% - Accent6 7 2" xfId="180"/>
    <cellStyle name="20% - Accent6 7 3" xfId="181"/>
    <cellStyle name="20% - Accent6 7_10-15-10-Stmt AU - Period I - Working 1 0" xfId="182"/>
    <cellStyle name="20% - Accent6 8" xfId="183"/>
    <cellStyle name="20% - Accent6 9" xfId="184"/>
    <cellStyle name="40% - Accent1" xfId="723" builtinId="31" customBuiltin="1"/>
    <cellStyle name="40% - Accent1 10" xfId="185"/>
    <cellStyle name="40% - Accent1 11" xfId="186"/>
    <cellStyle name="40% - Accent1 12" xfId="187"/>
    <cellStyle name="40% - Accent1 13" xfId="188"/>
    <cellStyle name="40% - Accent1 14" xfId="794"/>
    <cellStyle name="40% - Accent1 14 2" xfId="946"/>
    <cellStyle name="40% - Accent1 14 3" xfId="1074"/>
    <cellStyle name="40% - Accent1 15" xfId="902"/>
    <cellStyle name="40% - Accent1 16" xfId="1030"/>
    <cellStyle name="40% - Accent1 2" xfId="189"/>
    <cellStyle name="40% - Accent1 2 2" xfId="190"/>
    <cellStyle name="40% - Accent1 2 3" xfId="191"/>
    <cellStyle name="40% - Accent1 2_10-15-10-Stmt AU - Period I - Working 1 0" xfId="192"/>
    <cellStyle name="40% - Accent1 3" xfId="193"/>
    <cellStyle name="40% - Accent1 3 2" xfId="194"/>
    <cellStyle name="40% - Accent1 3 3" xfId="195"/>
    <cellStyle name="40% - Accent1 3_10-15-10-Stmt AU - Period I - Working 1 0" xfId="196"/>
    <cellStyle name="40% - Accent1 4" xfId="197"/>
    <cellStyle name="40% - Accent1 4 2" xfId="198"/>
    <cellStyle name="40% - Accent1 4 3" xfId="199"/>
    <cellStyle name="40% - Accent1 4_10-15-10-Stmt AU - Period I - Working 1 0" xfId="200"/>
    <cellStyle name="40% - Accent1 5" xfId="201"/>
    <cellStyle name="40% - Accent1 5 2" xfId="202"/>
    <cellStyle name="40% - Accent1 5 3" xfId="203"/>
    <cellStyle name="40% - Accent1 5_10-15-10-Stmt AU - Period I - Working 1 0" xfId="204"/>
    <cellStyle name="40% - Accent1 6" xfId="205"/>
    <cellStyle name="40% - Accent1 6 2" xfId="206"/>
    <cellStyle name="40% - Accent1 6 3" xfId="207"/>
    <cellStyle name="40% - Accent1 6_10-15-10-Stmt AU - Period I - Working 1 0" xfId="208"/>
    <cellStyle name="40% - Accent1 7" xfId="209"/>
    <cellStyle name="40% - Accent1 7 2" xfId="210"/>
    <cellStyle name="40% - Accent1 7 3" xfId="211"/>
    <cellStyle name="40% - Accent1 7_10-15-10-Stmt AU - Period I - Working 1 0" xfId="212"/>
    <cellStyle name="40% - Accent1 8" xfId="213"/>
    <cellStyle name="40% - Accent1 9" xfId="214"/>
    <cellStyle name="40% - Accent2" xfId="727" builtinId="35" customBuiltin="1"/>
    <cellStyle name="40% - Accent2 10" xfId="215"/>
    <cellStyle name="40% - Accent2 11" xfId="216"/>
    <cellStyle name="40% - Accent2 12" xfId="217"/>
    <cellStyle name="40% - Accent2 13" xfId="218"/>
    <cellStyle name="40% - Accent2 14" xfId="795"/>
    <cellStyle name="40% - Accent2 14 2" xfId="947"/>
    <cellStyle name="40% - Accent2 14 3" xfId="1075"/>
    <cellStyle name="40% - Accent2 15" xfId="904"/>
    <cellStyle name="40% - Accent2 16" xfId="1032"/>
    <cellStyle name="40% - Accent2 2" xfId="219"/>
    <cellStyle name="40% - Accent2 2 2" xfId="220"/>
    <cellStyle name="40% - Accent2 2 3" xfId="221"/>
    <cellStyle name="40% - Accent2 2_10-15-10-Stmt AU - Period I - Working 1 0" xfId="222"/>
    <cellStyle name="40% - Accent2 3" xfId="223"/>
    <cellStyle name="40% - Accent2 3 2" xfId="224"/>
    <cellStyle name="40% - Accent2 3 3" xfId="225"/>
    <cellStyle name="40% - Accent2 3_10-15-10-Stmt AU - Period I - Working 1 0" xfId="226"/>
    <cellStyle name="40% - Accent2 4" xfId="227"/>
    <cellStyle name="40% - Accent2 4 2" xfId="228"/>
    <cellStyle name="40% - Accent2 4 3" xfId="229"/>
    <cellStyle name="40% - Accent2 4_10-15-10-Stmt AU - Period I - Working 1 0" xfId="230"/>
    <cellStyle name="40% - Accent2 5" xfId="231"/>
    <cellStyle name="40% - Accent2 5 2" xfId="232"/>
    <cellStyle name="40% - Accent2 5 3" xfId="233"/>
    <cellStyle name="40% - Accent2 5_10-15-10-Stmt AU - Period I - Working 1 0" xfId="234"/>
    <cellStyle name="40% - Accent2 6" xfId="235"/>
    <cellStyle name="40% - Accent2 6 2" xfId="236"/>
    <cellStyle name="40% - Accent2 6 3" xfId="237"/>
    <cellStyle name="40% - Accent2 6_10-15-10-Stmt AU - Period I - Working 1 0" xfId="238"/>
    <cellStyle name="40% - Accent2 7" xfId="239"/>
    <cellStyle name="40% - Accent2 7 2" xfId="240"/>
    <cellStyle name="40% - Accent2 7 3" xfId="241"/>
    <cellStyle name="40% - Accent2 7_10-15-10-Stmt AU - Period I - Working 1 0" xfId="242"/>
    <cellStyle name="40% - Accent2 8" xfId="243"/>
    <cellStyle name="40% - Accent2 9" xfId="244"/>
    <cellStyle name="40% - Accent3" xfId="731" builtinId="39" customBuiltin="1"/>
    <cellStyle name="40% - Accent3 10" xfId="245"/>
    <cellStyle name="40% - Accent3 11" xfId="246"/>
    <cellStyle name="40% - Accent3 12" xfId="247"/>
    <cellStyle name="40% - Accent3 13" xfId="248"/>
    <cellStyle name="40% - Accent3 14" xfId="796"/>
    <cellStyle name="40% - Accent3 14 2" xfId="948"/>
    <cellStyle name="40% - Accent3 14 3" xfId="1076"/>
    <cellStyle name="40% - Accent3 15" xfId="906"/>
    <cellStyle name="40% - Accent3 16" xfId="1034"/>
    <cellStyle name="40% - Accent3 2" xfId="249"/>
    <cellStyle name="40% - Accent3 2 2" xfId="250"/>
    <cellStyle name="40% - Accent3 2 3" xfId="251"/>
    <cellStyle name="40% - Accent3 2_10-15-10-Stmt AU - Period I - Working 1 0" xfId="252"/>
    <cellStyle name="40% - Accent3 3" xfId="253"/>
    <cellStyle name="40% - Accent3 3 2" xfId="254"/>
    <cellStyle name="40% - Accent3 3 3" xfId="255"/>
    <cellStyle name="40% - Accent3 3_10-15-10-Stmt AU - Period I - Working 1 0" xfId="256"/>
    <cellStyle name="40% - Accent3 4" xfId="257"/>
    <cellStyle name="40% - Accent3 4 2" xfId="258"/>
    <cellStyle name="40% - Accent3 4 3" xfId="259"/>
    <cellStyle name="40% - Accent3 4_10-15-10-Stmt AU - Period I - Working 1 0" xfId="260"/>
    <cellStyle name="40% - Accent3 5" xfId="261"/>
    <cellStyle name="40% - Accent3 5 2" xfId="262"/>
    <cellStyle name="40% - Accent3 5 3" xfId="263"/>
    <cellStyle name="40% - Accent3 5_10-15-10-Stmt AU - Period I - Working 1 0" xfId="264"/>
    <cellStyle name="40% - Accent3 6" xfId="265"/>
    <cellStyle name="40% - Accent3 6 2" xfId="266"/>
    <cellStyle name="40% - Accent3 6 3" xfId="267"/>
    <cellStyle name="40% - Accent3 6_10-15-10-Stmt AU - Period I - Working 1 0" xfId="268"/>
    <cellStyle name="40% - Accent3 7" xfId="269"/>
    <cellStyle name="40% - Accent3 7 2" xfId="270"/>
    <cellStyle name="40% - Accent3 7 3" xfId="271"/>
    <cellStyle name="40% - Accent3 7_10-15-10-Stmt AU - Period I - Working 1 0" xfId="272"/>
    <cellStyle name="40% - Accent3 8" xfId="273"/>
    <cellStyle name="40% - Accent3 9" xfId="274"/>
    <cellStyle name="40% - Accent4" xfId="735" builtinId="43" customBuiltin="1"/>
    <cellStyle name="40% - Accent4 10" xfId="275"/>
    <cellStyle name="40% - Accent4 11" xfId="276"/>
    <cellStyle name="40% - Accent4 12" xfId="277"/>
    <cellStyle name="40% - Accent4 13" xfId="278"/>
    <cellStyle name="40% - Accent4 14" xfId="797"/>
    <cellStyle name="40% - Accent4 14 2" xfId="949"/>
    <cellStyle name="40% - Accent4 14 3" xfId="1077"/>
    <cellStyle name="40% - Accent4 15" xfId="908"/>
    <cellStyle name="40% - Accent4 16" xfId="1036"/>
    <cellStyle name="40% - Accent4 2" xfId="279"/>
    <cellStyle name="40% - Accent4 2 2" xfId="280"/>
    <cellStyle name="40% - Accent4 2 3" xfId="281"/>
    <cellStyle name="40% - Accent4 2_10-15-10-Stmt AU - Period I - Working 1 0" xfId="282"/>
    <cellStyle name="40% - Accent4 3" xfId="283"/>
    <cellStyle name="40% - Accent4 3 2" xfId="284"/>
    <cellStyle name="40% - Accent4 3 3" xfId="285"/>
    <cellStyle name="40% - Accent4 3_10-15-10-Stmt AU - Period I - Working 1 0" xfId="286"/>
    <cellStyle name="40% - Accent4 4" xfId="287"/>
    <cellStyle name="40% - Accent4 4 2" xfId="288"/>
    <cellStyle name="40% - Accent4 4 3" xfId="289"/>
    <cellStyle name="40% - Accent4 4_10-15-10-Stmt AU - Period I - Working 1 0" xfId="290"/>
    <cellStyle name="40% - Accent4 5" xfId="291"/>
    <cellStyle name="40% - Accent4 5 2" xfId="292"/>
    <cellStyle name="40% - Accent4 5 3" xfId="293"/>
    <cellStyle name="40% - Accent4 5_10-15-10-Stmt AU - Period I - Working 1 0" xfId="294"/>
    <cellStyle name="40% - Accent4 6" xfId="295"/>
    <cellStyle name="40% - Accent4 6 2" xfId="296"/>
    <cellStyle name="40% - Accent4 6 3" xfId="297"/>
    <cellStyle name="40% - Accent4 6_10-15-10-Stmt AU - Period I - Working 1 0" xfId="298"/>
    <cellStyle name="40% - Accent4 7" xfId="299"/>
    <cellStyle name="40% - Accent4 7 2" xfId="300"/>
    <cellStyle name="40% - Accent4 7 3" xfId="301"/>
    <cellStyle name="40% - Accent4 7_10-15-10-Stmt AU - Period I - Working 1 0" xfId="302"/>
    <cellStyle name="40% - Accent4 8" xfId="303"/>
    <cellStyle name="40% - Accent4 9" xfId="304"/>
    <cellStyle name="40% - Accent5" xfId="739" builtinId="47" customBuiltin="1"/>
    <cellStyle name="40% - Accent5 10" xfId="305"/>
    <cellStyle name="40% - Accent5 11" xfId="306"/>
    <cellStyle name="40% - Accent5 12" xfId="307"/>
    <cellStyle name="40% - Accent5 13" xfId="308"/>
    <cellStyle name="40% - Accent5 14" xfId="798"/>
    <cellStyle name="40% - Accent5 14 2" xfId="950"/>
    <cellStyle name="40% - Accent5 14 3" xfId="1078"/>
    <cellStyle name="40% - Accent5 15" xfId="910"/>
    <cellStyle name="40% - Accent5 16" xfId="1038"/>
    <cellStyle name="40% - Accent5 2" xfId="309"/>
    <cellStyle name="40% - Accent5 2 2" xfId="310"/>
    <cellStyle name="40% - Accent5 2 3" xfId="311"/>
    <cellStyle name="40% - Accent5 2_10-15-10-Stmt AU - Period I - Working 1 0" xfId="312"/>
    <cellStyle name="40% - Accent5 3" xfId="313"/>
    <cellStyle name="40% - Accent5 3 2" xfId="314"/>
    <cellStyle name="40% - Accent5 3 3" xfId="315"/>
    <cellStyle name="40% - Accent5 3_10-15-10-Stmt AU - Period I - Working 1 0" xfId="316"/>
    <cellStyle name="40% - Accent5 4" xfId="317"/>
    <cellStyle name="40% - Accent5 4 2" xfId="318"/>
    <cellStyle name="40% - Accent5 4 3" xfId="319"/>
    <cellStyle name="40% - Accent5 4_10-15-10-Stmt AU - Period I - Working 1 0" xfId="320"/>
    <cellStyle name="40% - Accent5 5" xfId="321"/>
    <cellStyle name="40% - Accent5 5 2" xfId="322"/>
    <cellStyle name="40% - Accent5 5 3" xfId="323"/>
    <cellStyle name="40% - Accent5 5_10-15-10-Stmt AU - Period I - Working 1 0" xfId="324"/>
    <cellStyle name="40% - Accent5 6" xfId="325"/>
    <cellStyle name="40% - Accent5 6 2" xfId="326"/>
    <cellStyle name="40% - Accent5 6 3" xfId="327"/>
    <cellStyle name="40% - Accent5 6_10-15-10-Stmt AU - Period I - Working 1 0" xfId="328"/>
    <cellStyle name="40% - Accent5 7" xfId="329"/>
    <cellStyle name="40% - Accent5 7 2" xfId="330"/>
    <cellStyle name="40% - Accent5 7 3" xfId="331"/>
    <cellStyle name="40% - Accent5 7_10-15-10-Stmt AU - Period I - Working 1 0" xfId="332"/>
    <cellStyle name="40% - Accent5 8" xfId="333"/>
    <cellStyle name="40% - Accent5 9" xfId="334"/>
    <cellStyle name="40% - Accent6" xfId="743" builtinId="51" customBuiltin="1"/>
    <cellStyle name="40% - Accent6 10" xfId="335"/>
    <cellStyle name="40% - Accent6 11" xfId="336"/>
    <cellStyle name="40% - Accent6 12" xfId="337"/>
    <cellStyle name="40% - Accent6 13" xfId="338"/>
    <cellStyle name="40% - Accent6 14" xfId="799"/>
    <cellStyle name="40% - Accent6 14 2" xfId="951"/>
    <cellStyle name="40% - Accent6 14 3" xfId="1079"/>
    <cellStyle name="40% - Accent6 15" xfId="912"/>
    <cellStyle name="40% - Accent6 16" xfId="1040"/>
    <cellStyle name="40% - Accent6 2" xfId="339"/>
    <cellStyle name="40% - Accent6 2 2" xfId="340"/>
    <cellStyle name="40% - Accent6 2 3" xfId="341"/>
    <cellStyle name="40% - Accent6 2_10-15-10-Stmt AU - Period I - Working 1 0" xfId="342"/>
    <cellStyle name="40% - Accent6 3" xfId="343"/>
    <cellStyle name="40% - Accent6 3 2" xfId="344"/>
    <cellStyle name="40% - Accent6 3 3" xfId="345"/>
    <cellStyle name="40% - Accent6 3_10-15-10-Stmt AU - Period I - Working 1 0" xfId="346"/>
    <cellStyle name="40% - Accent6 4" xfId="347"/>
    <cellStyle name="40% - Accent6 4 2" xfId="348"/>
    <cellStyle name="40% - Accent6 4 3" xfId="349"/>
    <cellStyle name="40% - Accent6 4_10-15-10-Stmt AU - Period I - Working 1 0" xfId="350"/>
    <cellStyle name="40% - Accent6 5" xfId="351"/>
    <cellStyle name="40% - Accent6 5 2" xfId="352"/>
    <cellStyle name="40% - Accent6 5 3" xfId="353"/>
    <cellStyle name="40% - Accent6 5_10-15-10-Stmt AU - Period I - Working 1 0" xfId="354"/>
    <cellStyle name="40% - Accent6 6" xfId="355"/>
    <cellStyle name="40% - Accent6 6 2" xfId="356"/>
    <cellStyle name="40% - Accent6 6 3" xfId="357"/>
    <cellStyle name="40% - Accent6 6_10-15-10-Stmt AU - Period I - Working 1 0" xfId="358"/>
    <cellStyle name="40% - Accent6 7" xfId="359"/>
    <cellStyle name="40% - Accent6 7 2" xfId="360"/>
    <cellStyle name="40% - Accent6 7 3" xfId="361"/>
    <cellStyle name="40% - Accent6 7_10-15-10-Stmt AU - Period I - Working 1 0" xfId="362"/>
    <cellStyle name="40% - Accent6 8" xfId="363"/>
    <cellStyle name="40% - Accent6 9" xfId="364"/>
    <cellStyle name="60% - Accent1" xfId="724" builtinId="32" customBuiltin="1"/>
    <cellStyle name="60% - Accent1 2" xfId="365"/>
    <cellStyle name="60% - Accent2" xfId="728" builtinId="36" customBuiltin="1"/>
    <cellStyle name="60% - Accent2 2" xfId="366"/>
    <cellStyle name="60% - Accent3" xfId="732" builtinId="40" customBuiltin="1"/>
    <cellStyle name="60% - Accent3 2" xfId="367"/>
    <cellStyle name="60% - Accent4" xfId="736" builtinId="44" customBuiltin="1"/>
    <cellStyle name="60% - Accent4 2" xfId="368"/>
    <cellStyle name="60% - Accent5" xfId="740" builtinId="48" customBuiltin="1"/>
    <cellStyle name="60% - Accent5 2" xfId="369"/>
    <cellStyle name="60% - Accent6" xfId="744" builtinId="52" customBuiltin="1"/>
    <cellStyle name="60% - Accent6 2" xfId="370"/>
    <cellStyle name="Accent1" xfId="721" builtinId="29" customBuiltin="1"/>
    <cellStyle name="Accent1 2" xfId="371"/>
    <cellStyle name="Accent2" xfId="725" builtinId="33" customBuiltin="1"/>
    <cellStyle name="Accent2 2" xfId="372"/>
    <cellStyle name="Accent3" xfId="729" builtinId="37" customBuiltin="1"/>
    <cellStyle name="Accent3 2" xfId="373"/>
    <cellStyle name="Accent4" xfId="733" builtinId="41" customBuiltin="1"/>
    <cellStyle name="Accent4 2" xfId="374"/>
    <cellStyle name="Accent5" xfId="737" builtinId="45" customBuiltin="1"/>
    <cellStyle name="Accent5 2" xfId="375"/>
    <cellStyle name="Accent6" xfId="741" builtinId="49" customBuiltin="1"/>
    <cellStyle name="Accent6 2" xfId="376"/>
    <cellStyle name="Bad" xfId="711" builtinId="27" customBuiltin="1"/>
    <cellStyle name="Bad 2" xfId="377"/>
    <cellStyle name="Calculation" xfId="715" builtinId="22" customBuiltin="1"/>
    <cellStyle name="Calculation 2" xfId="378"/>
    <cellStyle name="Check Cell" xfId="717" builtinId="23" customBuiltin="1"/>
    <cellStyle name="Check Cell 2" xfId="379"/>
    <cellStyle name="Column.Head" xfId="380"/>
    <cellStyle name="Comma" xfId="381" builtinId="3"/>
    <cellStyle name="Comma 10" xfId="382"/>
    <cellStyle name="Comma 10 2" xfId="383"/>
    <cellStyle name="Comma 11" xfId="384"/>
    <cellStyle name="Comma 11 2" xfId="385"/>
    <cellStyle name="Comma 12" xfId="386"/>
    <cellStyle name="Comma 12 2" xfId="387"/>
    <cellStyle name="Comma 13" xfId="388"/>
    <cellStyle name="Comma 13 2" xfId="389"/>
    <cellStyle name="Comma 14" xfId="747"/>
    <cellStyle name="Comma 15" xfId="746"/>
    <cellStyle name="Comma 15 2" xfId="868"/>
    <cellStyle name="Comma 15 2 2" xfId="997"/>
    <cellStyle name="Comma 15 2 3" xfId="1125"/>
    <cellStyle name="Comma 15 3" xfId="914"/>
    <cellStyle name="Comma 15 4" xfId="1042"/>
    <cellStyle name="Comma 16" xfId="802"/>
    <cellStyle name="Comma 16 2" xfId="954"/>
    <cellStyle name="Comma 16 3" xfId="1082"/>
    <cellStyle name="Comma 17" xfId="845"/>
    <cellStyle name="Comma 18" xfId="857"/>
    <cellStyle name="Comma 19" xfId="840"/>
    <cellStyle name="Comma 2" xfId="390"/>
    <cellStyle name="Comma 2 2" xfId="391"/>
    <cellStyle name="Comma 2 2 2" xfId="392"/>
    <cellStyle name="Comma 2 3" xfId="393"/>
    <cellStyle name="Comma 2 4" xfId="394"/>
    <cellStyle name="Comma 3" xfId="395"/>
    <cellStyle name="Comma 3 2" xfId="396"/>
    <cellStyle name="Comma 3 3" xfId="397"/>
    <cellStyle name="Comma 3 4" xfId="398"/>
    <cellStyle name="Comma 3 5" xfId="774"/>
    <cellStyle name="Comma 3 5 2" xfId="881"/>
    <cellStyle name="Comma 3 5 2 2" xfId="1010"/>
    <cellStyle name="Comma 3 5 2 3" xfId="1138"/>
    <cellStyle name="Comma 3 5 3" xfId="926"/>
    <cellStyle name="Comma 3 5 4" xfId="1054"/>
    <cellStyle name="Comma 3 6" xfId="803"/>
    <cellStyle name="Comma 3 6 2" xfId="955"/>
    <cellStyle name="Comma 3 6 3" xfId="1083"/>
    <cellStyle name="Comma 4" xfId="399"/>
    <cellStyle name="Comma 4 2" xfId="400"/>
    <cellStyle name="Comma 4 2 2" xfId="401"/>
    <cellStyle name="Comma 4 3" xfId="402"/>
    <cellStyle name="Comma 5" xfId="403"/>
    <cellStyle name="Comma 5 2" xfId="404"/>
    <cellStyle name="Comma 5 2 2" xfId="405"/>
    <cellStyle name="Comma 5 3" xfId="406"/>
    <cellStyle name="Comma 6" xfId="407"/>
    <cellStyle name="Comma 6 2" xfId="408"/>
    <cellStyle name="Comma 6 2 2" xfId="409"/>
    <cellStyle name="Comma 6 3" xfId="410"/>
    <cellStyle name="Comma 7" xfId="411"/>
    <cellStyle name="Comma 7 2" xfId="412"/>
    <cellStyle name="Comma 7 3" xfId="748"/>
    <cellStyle name="Comma 8" xfId="413"/>
    <cellStyle name="Comma 8 2" xfId="414"/>
    <cellStyle name="Comma 8 3" xfId="749"/>
    <cellStyle name="Comma 9" xfId="415"/>
    <cellStyle name="Comma 9 2" xfId="416"/>
    <cellStyle name="Comma0" xfId="417"/>
    <cellStyle name="Config Data" xfId="418"/>
    <cellStyle name="cost_per_kw" xfId="419"/>
    <cellStyle name="Currency" xfId="420" builtinId="4"/>
    <cellStyle name="Currency 2" xfId="421"/>
    <cellStyle name="Currency 2 2" xfId="422"/>
    <cellStyle name="Currency 3" xfId="423"/>
    <cellStyle name="Currency 3 2" xfId="424"/>
    <cellStyle name="Currency 3 3" xfId="772"/>
    <cellStyle name="Currency 3 3 2" xfId="879"/>
    <cellStyle name="Currency 3 3 2 2" xfId="1008"/>
    <cellStyle name="Currency 3 3 2 3" xfId="1136"/>
    <cellStyle name="Currency 3 3 3" xfId="924"/>
    <cellStyle name="Currency 3 3 4" xfId="1052"/>
    <cellStyle name="Currency 3 4" xfId="805"/>
    <cellStyle name="Currency 3 4 2" xfId="957"/>
    <cellStyle name="Currency 3 4 3" xfId="1085"/>
    <cellStyle name="Currency 4" xfId="425"/>
    <cellStyle name="Currency 4 2" xfId="751"/>
    <cellStyle name="Currency 5" xfId="750"/>
    <cellStyle name="Currency 6" xfId="773"/>
    <cellStyle name="Currency 6 2" xfId="880"/>
    <cellStyle name="Currency 6 2 2" xfId="1009"/>
    <cellStyle name="Currency 6 2 3" xfId="1137"/>
    <cellStyle name="Currency 6 3" xfId="925"/>
    <cellStyle name="Currency 6 4" xfId="1053"/>
    <cellStyle name="Currency 7" xfId="804"/>
    <cellStyle name="Currency 7 2" xfId="956"/>
    <cellStyle name="Currency 7 3" xfId="1084"/>
    <cellStyle name="Currency 8" xfId="846"/>
    <cellStyle name="Currency 9" xfId="843"/>
    <cellStyle name="Currency0" xfId="426"/>
    <cellStyle name="Date" xfId="427"/>
    <cellStyle name="Explanatory Text" xfId="719" builtinId="53" customBuiltin="1"/>
    <cellStyle name="Explanatory Text 2" xfId="428"/>
    <cellStyle name="Fixed" xfId="429"/>
    <cellStyle name="Good" xfId="710" builtinId="26" customBuiltin="1"/>
    <cellStyle name="Good 2" xfId="430"/>
    <cellStyle name="Heading 1" xfId="706" builtinId="16" customBuiltin="1"/>
    <cellStyle name="Heading 1 2" xfId="431"/>
    <cellStyle name="Heading 2" xfId="707" builtinId="17" customBuiltin="1"/>
    <cellStyle name="Heading 2 2" xfId="432"/>
    <cellStyle name="Heading 3" xfId="708" builtinId="18" customBuiltin="1"/>
    <cellStyle name="Heading 3 2" xfId="433"/>
    <cellStyle name="Heading 4" xfId="709" builtinId="19" customBuiltin="1"/>
    <cellStyle name="Heading 4 2" xfId="434"/>
    <cellStyle name="Hyperlink 2" xfId="435"/>
    <cellStyle name="Hyperlink 3" xfId="436"/>
    <cellStyle name="Hyperlink 4" xfId="437"/>
    <cellStyle name="Hyperlink 5" xfId="438"/>
    <cellStyle name="Hyperlink 6" xfId="439"/>
    <cellStyle name="Input" xfId="713" builtinId="20" customBuiltin="1"/>
    <cellStyle name="Input 2" xfId="440"/>
    <cellStyle name="kwh_centered" xfId="441"/>
    <cellStyle name="Linked Cell" xfId="716" builtinId="24" customBuiltin="1"/>
    <cellStyle name="Linked Cell 2" xfId="442"/>
    <cellStyle name="Neutral" xfId="712" builtinId="28" customBuiltin="1"/>
    <cellStyle name="Neutral 2" xfId="443"/>
    <cellStyle name="Normal" xfId="0" builtinId="0"/>
    <cellStyle name="Normal 10" xfId="444"/>
    <cellStyle name="Normal 10 2" xfId="445"/>
    <cellStyle name="Normal 10 2 2" xfId="446"/>
    <cellStyle name="Normal 10 3" xfId="447"/>
    <cellStyle name="Normal 10 4" xfId="752"/>
    <cellStyle name="Normal 10_10-15-10-Stmt AU - Period I - Working 1 0" xfId="448"/>
    <cellStyle name="Normal 11" xfId="449"/>
    <cellStyle name="Normal 11 2" xfId="450"/>
    <cellStyle name="Normal 11 3" xfId="753"/>
    <cellStyle name="Normal 11_3 - Revenue Credits" xfId="451"/>
    <cellStyle name="Normal 12" xfId="452"/>
    <cellStyle name="Normal 12 2" xfId="453"/>
    <cellStyle name="Normal 12 2 2" xfId="454"/>
    <cellStyle name="Normal 12 3" xfId="455"/>
    <cellStyle name="Normal 12_3 - Revenue Credits" xfId="456"/>
    <cellStyle name="Normal 13" xfId="457"/>
    <cellStyle name="Normal 13 2" xfId="458"/>
    <cellStyle name="Normal 13 2 2" xfId="459"/>
    <cellStyle name="Normal 13 2 3" xfId="755"/>
    <cellStyle name="Normal 13 2_3 - Revenue Credits" xfId="460"/>
    <cellStyle name="Normal 13 3" xfId="461"/>
    <cellStyle name="Normal 13 4" xfId="754"/>
    <cellStyle name="Normal 13_3 - Revenue Credits" xfId="462"/>
    <cellStyle name="Normal 14" xfId="463"/>
    <cellStyle name="Normal 15" xfId="464"/>
    <cellStyle name="Normal 16" xfId="745"/>
    <cellStyle name="Normal 16 2" xfId="867"/>
    <cellStyle name="Normal 16 2 2" xfId="996"/>
    <cellStyle name="Normal 16 2 3" xfId="1124"/>
    <cellStyle name="Normal 16 3" xfId="913"/>
    <cellStyle name="Normal 16 4" xfId="1041"/>
    <cellStyle name="Normal 17" xfId="777"/>
    <cellStyle name="Normal 17 2" xfId="884"/>
    <cellStyle name="Normal 17 2 2" xfId="1013"/>
    <cellStyle name="Normal 17 2 3" xfId="1141"/>
    <cellStyle name="Normal 17 3" xfId="929"/>
    <cellStyle name="Normal 17 4" xfId="1057"/>
    <cellStyle name="Normal 18" xfId="778"/>
    <cellStyle name="Normal 18 2" xfId="885"/>
    <cellStyle name="Normal 18 2 2" xfId="1014"/>
    <cellStyle name="Normal 18 2 3" xfId="1142"/>
    <cellStyle name="Normal 18 3" xfId="930"/>
    <cellStyle name="Normal 18 4" xfId="1058"/>
    <cellStyle name="Normal 19" xfId="779"/>
    <cellStyle name="Normal 19 2" xfId="886"/>
    <cellStyle name="Normal 19 2 2" xfId="1015"/>
    <cellStyle name="Normal 19 2 3" xfId="1143"/>
    <cellStyle name="Normal 19 3" xfId="931"/>
    <cellStyle name="Normal 19 4" xfId="1059"/>
    <cellStyle name="Normal 2" xfId="465"/>
    <cellStyle name="Normal 2 2" xfId="466"/>
    <cellStyle name="Normal 2 2 2" xfId="467"/>
    <cellStyle name="Normal 2 2_1 - ADIT" xfId="468"/>
    <cellStyle name="Normal 2 3" xfId="469"/>
    <cellStyle name="Normal 2 3 2" xfId="470"/>
    <cellStyle name="Normal 2 4" xfId="471"/>
    <cellStyle name="Normal 2_1 - ADIT" xfId="472"/>
    <cellStyle name="Normal 2_5 - Cost Support" xfId="473"/>
    <cellStyle name="Normal 2_6 - Est and True up" xfId="474"/>
    <cellStyle name="Normal 2_6A-Colstrip" xfId="475"/>
    <cellStyle name="Normal 2_6B-So Intertie" xfId="476"/>
    <cellStyle name="Normal 2_WKSHT5 - Prepaid" xfId="477"/>
    <cellStyle name="Normal 20" xfId="780"/>
    <cellStyle name="Normal 20 2" xfId="887"/>
    <cellStyle name="Normal 20 2 2" xfId="1016"/>
    <cellStyle name="Normal 20 2 3" xfId="1144"/>
    <cellStyle name="Normal 20 3" xfId="932"/>
    <cellStyle name="Normal 20 4" xfId="1060"/>
    <cellStyle name="Normal 21" xfId="781"/>
    <cellStyle name="Normal 21 2" xfId="888"/>
    <cellStyle name="Normal 21 2 2" xfId="1017"/>
    <cellStyle name="Normal 21 2 3" xfId="1145"/>
    <cellStyle name="Normal 21 3" xfId="933"/>
    <cellStyle name="Normal 21 4" xfId="1061"/>
    <cellStyle name="Normal 22" xfId="782"/>
    <cellStyle name="Normal 22 2" xfId="889"/>
    <cellStyle name="Normal 22 2 2" xfId="1018"/>
    <cellStyle name="Normal 22 2 3" xfId="1146"/>
    <cellStyle name="Normal 22 3" xfId="934"/>
    <cellStyle name="Normal 22 4" xfId="1062"/>
    <cellStyle name="Normal 23" xfId="783"/>
    <cellStyle name="Normal 23 2" xfId="890"/>
    <cellStyle name="Normal 23 2 2" xfId="1019"/>
    <cellStyle name="Normal 23 2 3" xfId="1147"/>
    <cellStyle name="Normal 23 3" xfId="935"/>
    <cellStyle name="Normal 23 4" xfId="1063"/>
    <cellStyle name="Normal 24" xfId="784"/>
    <cellStyle name="Normal 24 2" xfId="891"/>
    <cellStyle name="Normal 24 2 2" xfId="1020"/>
    <cellStyle name="Normal 24 2 3" xfId="1148"/>
    <cellStyle name="Normal 24 3" xfId="936"/>
    <cellStyle name="Normal 24 4" xfId="1064"/>
    <cellStyle name="Normal 25" xfId="785"/>
    <cellStyle name="Normal 25 2" xfId="892"/>
    <cellStyle name="Normal 25 2 2" xfId="1021"/>
    <cellStyle name="Normal 25 2 3" xfId="1149"/>
    <cellStyle name="Normal 25 3" xfId="937"/>
    <cellStyle name="Normal 25 4" xfId="1065"/>
    <cellStyle name="Normal 26" xfId="786"/>
    <cellStyle name="Normal 26 2" xfId="893"/>
    <cellStyle name="Normal 26 2 2" xfId="1022"/>
    <cellStyle name="Normal 26 2 3" xfId="1150"/>
    <cellStyle name="Normal 26 3" xfId="938"/>
    <cellStyle name="Normal 26 4" xfId="1066"/>
    <cellStyle name="Normal 27" xfId="776"/>
    <cellStyle name="Normal 27 2" xfId="883"/>
    <cellStyle name="Normal 27 2 2" xfId="1012"/>
    <cellStyle name="Normal 27 2 3" xfId="1140"/>
    <cellStyle name="Normal 27 3" xfId="928"/>
    <cellStyle name="Normal 27 4" xfId="1056"/>
    <cellStyle name="Normal 28" xfId="764"/>
    <cellStyle name="Normal 28 2" xfId="872"/>
    <cellStyle name="Normal 28 2 2" xfId="1001"/>
    <cellStyle name="Normal 28 2 3" xfId="1129"/>
    <cellStyle name="Normal 28 3" xfId="918"/>
    <cellStyle name="Normal 28 4" xfId="1046"/>
    <cellStyle name="Normal 29" xfId="787"/>
    <cellStyle name="Normal 29 2" xfId="939"/>
    <cellStyle name="Normal 29 3" xfId="1067"/>
    <cellStyle name="Normal 3" xfId="478"/>
    <cellStyle name="Normal 3 10" xfId="815"/>
    <cellStyle name="Normal 3 10 2" xfId="966"/>
    <cellStyle name="Normal 3 10 3" xfId="1094"/>
    <cellStyle name="Normal 3 2" xfId="479"/>
    <cellStyle name="Normal 3 2 2" xfId="480"/>
    <cellStyle name="Normal 3 2 2 2" xfId="481"/>
    <cellStyle name="Normal 3 2 3" xfId="482"/>
    <cellStyle name="Normal 3 2_5 - Cost Support" xfId="483"/>
    <cellStyle name="Normal 3 3" xfId="484"/>
    <cellStyle name="Normal 3 3 2" xfId="485"/>
    <cellStyle name="Normal 3 3 2 2" xfId="486"/>
    <cellStyle name="Normal 3 3 3" xfId="487"/>
    <cellStyle name="Normal 3 4" xfId="488"/>
    <cellStyle name="Normal 3 4 2" xfId="489"/>
    <cellStyle name="Normal 3 5" xfId="490"/>
    <cellStyle name="Normal 3 6" xfId="491"/>
    <cellStyle name="Normal 3 7" xfId="771"/>
    <cellStyle name="Normal 3 7 2" xfId="878"/>
    <cellStyle name="Normal 3 7 2 2" xfId="1007"/>
    <cellStyle name="Normal 3 7 2 3" xfId="1135"/>
    <cellStyle name="Normal 3 7 3" xfId="923"/>
    <cellStyle name="Normal 3 7 4" xfId="1051"/>
    <cellStyle name="Normal 3 8" xfId="775"/>
    <cellStyle name="Normal 3 8 2" xfId="882"/>
    <cellStyle name="Normal 3 8 2 2" xfId="1011"/>
    <cellStyle name="Normal 3 8 2 3" xfId="1139"/>
    <cellStyle name="Normal 3 8 3" xfId="927"/>
    <cellStyle name="Normal 3 8 4" xfId="1055"/>
    <cellStyle name="Normal 3 9" xfId="807"/>
    <cellStyle name="Normal 3 9 2" xfId="959"/>
    <cellStyle name="Normal 3 9 3" xfId="1087"/>
    <cellStyle name="Normal 3_10-15-10-Stmt AU - Period I - Working 1 0" xfId="492"/>
    <cellStyle name="Normal 30" xfId="812"/>
    <cellStyle name="Normal 30 2" xfId="964"/>
    <cellStyle name="Normal 30 3" xfId="1092"/>
    <cellStyle name="Normal 31" xfId="817"/>
    <cellStyle name="Normal 32" xfId="814"/>
    <cellStyle name="Normal 32 2" xfId="965"/>
    <cellStyle name="Normal 32 3" xfId="1093"/>
    <cellStyle name="Normal 33" xfId="866"/>
    <cellStyle name="Normal 33 2" xfId="995"/>
    <cellStyle name="Normal 33 3" xfId="1123"/>
    <cellStyle name="Normal 34" xfId="820"/>
    <cellStyle name="Normal 34 2" xfId="970"/>
    <cellStyle name="Normal 34 3" xfId="1098"/>
    <cellStyle name="Normal 35" xfId="859"/>
    <cellStyle name="Normal 35 2" xfId="991"/>
    <cellStyle name="Normal 35 3" xfId="1119"/>
    <cellStyle name="Normal 36" xfId="829"/>
    <cellStyle name="Normal 36 2" xfId="974"/>
    <cellStyle name="Normal 36 3" xfId="1102"/>
    <cellStyle name="Normal 37" xfId="851"/>
    <cellStyle name="Normal 37 2" xfId="984"/>
    <cellStyle name="Normal 37 3" xfId="1112"/>
    <cellStyle name="Normal 38" xfId="836"/>
    <cellStyle name="Normal 38 2" xfId="979"/>
    <cellStyle name="Normal 38 3" xfId="1107"/>
    <cellStyle name="Normal 39" xfId="897"/>
    <cellStyle name="Normal 39 2" xfId="1026"/>
    <cellStyle name="Normal 39 3" xfId="1154"/>
    <cellStyle name="Normal 4" xfId="493"/>
    <cellStyle name="Normal 4 2" xfId="494"/>
    <cellStyle name="Normal 4 2 2" xfId="495"/>
    <cellStyle name="Normal 4 3" xfId="496"/>
    <cellStyle name="Normal 4 4" xfId="756"/>
    <cellStyle name="Normal 4 4 2" xfId="869"/>
    <cellStyle name="Normal 4 4 2 2" xfId="998"/>
    <cellStyle name="Normal 4 4 2 3" xfId="1126"/>
    <cellStyle name="Normal 4 4 3" xfId="915"/>
    <cellStyle name="Normal 4 4 4" xfId="1043"/>
    <cellStyle name="Normal 4 5" xfId="853"/>
    <cellStyle name="Normal 4 5 2" xfId="986"/>
    <cellStyle name="Normal 4 5 3" xfId="1114"/>
    <cellStyle name="Normal 4 6" xfId="899"/>
    <cellStyle name="Normal 4 7" xfId="1027"/>
    <cellStyle name="Normal 4_3 - Revenue Credits" xfId="497"/>
    <cellStyle name="Normal 40" xfId="833"/>
    <cellStyle name="Normal 40 2" xfId="977"/>
    <cellStyle name="Normal 40 3" xfId="1105"/>
    <cellStyle name="Normal 41" xfId="850"/>
    <cellStyle name="Normal 41 2" xfId="983"/>
    <cellStyle name="Normal 41 3" xfId="1111"/>
    <cellStyle name="Normal 42" xfId="895"/>
    <cellStyle name="Normal 42 2" xfId="1024"/>
    <cellStyle name="Normal 42 3" xfId="1152"/>
    <cellStyle name="Normal 43" xfId="860"/>
    <cellStyle name="Normal 43 2" xfId="992"/>
    <cellStyle name="Normal 43 3" xfId="1120"/>
    <cellStyle name="Normal 44" xfId="801"/>
    <cellStyle name="Normal 44 2" xfId="953"/>
    <cellStyle name="Normal 44 3" xfId="1081"/>
    <cellStyle name="Normal 45" xfId="855"/>
    <cellStyle name="Normal 45 2" xfId="988"/>
    <cellStyle name="Normal 45 3" xfId="1116"/>
    <cellStyle name="Normal 46" xfId="852"/>
    <cellStyle name="Normal 46 2" xfId="985"/>
    <cellStyle name="Normal 46 3" xfId="1113"/>
    <cellStyle name="Normal 47" xfId="842"/>
    <cellStyle name="Normal 47 2" xfId="981"/>
    <cellStyle name="Normal 47 3" xfId="1109"/>
    <cellStyle name="Normal 48" xfId="825"/>
    <cellStyle name="Normal 48 2" xfId="973"/>
    <cellStyle name="Normal 48 3" xfId="1101"/>
    <cellStyle name="Normal 49" xfId="841"/>
    <cellStyle name="Normal 5" xfId="498"/>
    <cellStyle name="Normal 5 2" xfId="499"/>
    <cellStyle name="Normal 5 2 2" xfId="500"/>
    <cellStyle name="Normal 5 2 2 2" xfId="501"/>
    <cellStyle name="Normal 5 2 3" xfId="502"/>
    <cellStyle name="Normal 5 3" xfId="503"/>
    <cellStyle name="Normal 5 3 2" xfId="504"/>
    <cellStyle name="Normal 5 3 2 2" xfId="505"/>
    <cellStyle name="Normal 5 3 3" xfId="506"/>
    <cellStyle name="Normal 5 4" xfId="507"/>
    <cellStyle name="Normal 5 4 2" xfId="508"/>
    <cellStyle name="Normal 5 5" xfId="509"/>
    <cellStyle name="Normal 5 6" xfId="757"/>
    <cellStyle name="Normal 5 6 2" xfId="870"/>
    <cellStyle name="Normal 5 6 2 2" xfId="999"/>
    <cellStyle name="Normal 5 6 2 3" xfId="1127"/>
    <cellStyle name="Normal 5 6 3" xfId="916"/>
    <cellStyle name="Normal 5 6 4" xfId="1044"/>
    <cellStyle name="Normal 5 7" xfId="854"/>
    <cellStyle name="Normal 5 7 2" xfId="987"/>
    <cellStyle name="Normal 5 7 3" xfId="1115"/>
    <cellStyle name="Normal 5 8" xfId="900"/>
    <cellStyle name="Normal 5 9" xfId="1028"/>
    <cellStyle name="Normal 5_10-15-10-Stmt AU - Period I - Working 1 0" xfId="510"/>
    <cellStyle name="Normal 50" xfId="898"/>
    <cellStyle name="Normal 51" xfId="830"/>
    <cellStyle name="Normal 51 2" xfId="975"/>
    <cellStyle name="Normal 51 3" xfId="1103"/>
    <cellStyle name="Normal 6" xfId="511"/>
    <cellStyle name="Normal 6 2" xfId="512"/>
    <cellStyle name="Normal 6 2 2" xfId="513"/>
    <cellStyle name="Normal 6 2 2 2" xfId="514"/>
    <cellStyle name="Normal 6 2 3" xfId="515"/>
    <cellStyle name="Normal 6 3" xfId="516"/>
    <cellStyle name="Normal 6 3 2" xfId="517"/>
    <cellStyle name="Normal 6 3 2 2" xfId="518"/>
    <cellStyle name="Normal 6 3 3" xfId="519"/>
    <cellStyle name="Normal 6 4" xfId="520"/>
    <cellStyle name="Normal 6 4 2" xfId="521"/>
    <cellStyle name="Normal 6 5" xfId="522"/>
    <cellStyle name="Normal 6_10-15-10-Stmt AU - Period I - Working 1 0" xfId="523"/>
    <cellStyle name="Normal 7" xfId="524"/>
    <cellStyle name="Normal 7 2" xfId="525"/>
    <cellStyle name="Normal 7 2 2" xfId="526"/>
    <cellStyle name="Normal 7 2 2 2" xfId="527"/>
    <cellStyle name="Normal 7 2 3" xfId="528"/>
    <cellStyle name="Normal 7 3" xfId="529"/>
    <cellStyle name="Normal 7 3 2" xfId="530"/>
    <cellStyle name="Normal 7 3 2 2" xfId="531"/>
    <cellStyle name="Normal 7 3 3" xfId="532"/>
    <cellStyle name="Normal 7 4" xfId="533"/>
    <cellStyle name="Normal 7 4 2" xfId="534"/>
    <cellStyle name="Normal 7 5" xfId="535"/>
    <cellStyle name="Normal 7 6" xfId="758"/>
    <cellStyle name="Normal 7_10-15-10-Stmt AU - Period I - Working 1 0" xfId="536"/>
    <cellStyle name="Normal 8" xfId="537"/>
    <cellStyle name="Normal 8 2" xfId="538"/>
    <cellStyle name="Normal 8 2 2" xfId="539"/>
    <cellStyle name="Normal 8 2 3" xfId="760"/>
    <cellStyle name="Normal 8 2_3 - Revenue Credits" xfId="540"/>
    <cellStyle name="Normal 8 3" xfId="541"/>
    <cellStyle name="Normal 8 4" xfId="759"/>
    <cellStyle name="Normal 8_10-15-10-Stmt AU - Period I - Working 1 0" xfId="542"/>
    <cellStyle name="Normal 9" xfId="543"/>
    <cellStyle name="Normal 9 2" xfId="544"/>
    <cellStyle name="Normal 9 2 2" xfId="545"/>
    <cellStyle name="Normal 9 2 3" xfId="762"/>
    <cellStyle name="Normal 9 2_3 - Revenue Credits" xfId="546"/>
    <cellStyle name="Normal 9 3" xfId="547"/>
    <cellStyle name="Normal 9 4" xfId="761"/>
    <cellStyle name="Normal 9_10-15-10-Stmt AU - Period I - Working 1 0" xfId="548"/>
    <cellStyle name="Normal_Ferc pg 328-330 Transmission for Others for import_WKSHT1 - Rev Credits" xfId="549"/>
    <cellStyle name="Normal_FN1 Ratebase Draft SPP template (6-11-04) v2" xfId="550"/>
    <cellStyle name="Normal_Sheet4_WKSHT1 - Rev Credits" xfId="551"/>
    <cellStyle name="Normal_TrAILCo attach 6 &amp; 7 and Appendix A" xfId="552"/>
    <cellStyle name="Note 10" xfId="553"/>
    <cellStyle name="Note 10 2" xfId="554"/>
    <cellStyle name="Note 10 2 2" xfId="555"/>
    <cellStyle name="Note 10 2_6 - Est and True up" xfId="556"/>
    <cellStyle name="Note 10 3" xfId="557"/>
    <cellStyle name="Note 10 3 2" xfId="558"/>
    <cellStyle name="Note 10 3_6 - Est and True up" xfId="559"/>
    <cellStyle name="Note 10 4" xfId="560"/>
    <cellStyle name="Note 10_6 - Est and True up" xfId="561"/>
    <cellStyle name="Note 11" xfId="562"/>
    <cellStyle name="Note 11 2" xfId="563"/>
    <cellStyle name="Note 11_6 - Est and True up" xfId="564"/>
    <cellStyle name="Note 12" xfId="565"/>
    <cellStyle name="Note 12 2" xfId="566"/>
    <cellStyle name="Note 12_6 - Est and True up" xfId="567"/>
    <cellStyle name="Note 13" xfId="568"/>
    <cellStyle name="Note 13 2" xfId="569"/>
    <cellStyle name="Note 13_6 - Est and True up" xfId="570"/>
    <cellStyle name="Note 14" xfId="571"/>
    <cellStyle name="Note 14 2" xfId="572"/>
    <cellStyle name="Note 14_6 - Est and True up" xfId="573"/>
    <cellStyle name="Note 15" xfId="574"/>
    <cellStyle name="Note 15 2" xfId="575"/>
    <cellStyle name="Note 15_6 - Est and True up" xfId="576"/>
    <cellStyle name="Note 16" xfId="577"/>
    <cellStyle name="Note 17" xfId="770"/>
    <cellStyle name="Note 17 2" xfId="877"/>
    <cellStyle name="Note 17 2 2" xfId="1006"/>
    <cellStyle name="Note 17 2 3" xfId="1134"/>
    <cellStyle name="Note 17 3" xfId="922"/>
    <cellStyle name="Note 17 4" xfId="1050"/>
    <cellStyle name="Note 18" xfId="763"/>
    <cellStyle name="Note 18 2" xfId="871"/>
    <cellStyle name="Note 18 2 2" xfId="1000"/>
    <cellStyle name="Note 18 2 3" xfId="1128"/>
    <cellStyle name="Note 18 3" xfId="917"/>
    <cellStyle name="Note 18 4" xfId="1045"/>
    <cellStyle name="Note 19" xfId="808"/>
    <cellStyle name="Note 19 2" xfId="960"/>
    <cellStyle name="Note 19 3" xfId="1088"/>
    <cellStyle name="Note 2" xfId="578"/>
    <cellStyle name="Note 2 2" xfId="579"/>
    <cellStyle name="Note 2 3" xfId="769"/>
    <cellStyle name="Note 2 3 2" xfId="876"/>
    <cellStyle name="Note 2 3 2 2" xfId="1005"/>
    <cellStyle name="Note 2 3 2 3" xfId="1133"/>
    <cellStyle name="Note 2 3 3" xfId="921"/>
    <cellStyle name="Note 2 3 4" xfId="1049"/>
    <cellStyle name="Note 2 4" xfId="809"/>
    <cellStyle name="Note 2 4 2" xfId="961"/>
    <cellStyle name="Note 2 4 3" xfId="1089"/>
    <cellStyle name="Note 2_6 - Est and True up" xfId="580"/>
    <cellStyle name="Note 20" xfId="816"/>
    <cellStyle name="Note 20 2" xfId="967"/>
    <cellStyle name="Note 20 3" xfId="1095"/>
    <cellStyle name="Note 21" xfId="800"/>
    <cellStyle name="Note 21 2" xfId="952"/>
    <cellStyle name="Note 21 3" xfId="1080"/>
    <cellStyle name="Note 22" xfId="865"/>
    <cellStyle name="Note 22 2" xfId="994"/>
    <cellStyle name="Note 22 3" xfId="1122"/>
    <cellStyle name="Note 23" xfId="822"/>
    <cellStyle name="Note 23 2" xfId="971"/>
    <cellStyle name="Note 23 3" xfId="1099"/>
    <cellStyle name="Note 24" xfId="858"/>
    <cellStyle name="Note 24 2" xfId="990"/>
    <cellStyle name="Note 24 3" xfId="1118"/>
    <cellStyle name="Note 25" xfId="818"/>
    <cellStyle name="Note 25 2" xfId="968"/>
    <cellStyle name="Note 25 3" xfId="1096"/>
    <cellStyle name="Note 26" xfId="873"/>
    <cellStyle name="Note 26 2" xfId="1002"/>
    <cellStyle name="Note 26 3" xfId="1130"/>
    <cellStyle name="Note 27" xfId="838"/>
    <cellStyle name="Note 27 2" xfId="980"/>
    <cellStyle name="Note 27 3" xfId="1108"/>
    <cellStyle name="Note 28" xfId="856"/>
    <cellStyle name="Note 28 2" xfId="989"/>
    <cellStyle name="Note 28 3" xfId="1117"/>
    <cellStyle name="Note 29" xfId="819"/>
    <cellStyle name="Note 29 2" xfId="969"/>
    <cellStyle name="Note 29 3" xfId="1097"/>
    <cellStyle name="Note 3" xfId="581"/>
    <cellStyle name="Note 3 2" xfId="582"/>
    <cellStyle name="Note 3_6 - Est and True up" xfId="583"/>
    <cellStyle name="Note 30" xfId="848"/>
    <cellStyle name="Note 30 2" xfId="982"/>
    <cellStyle name="Note 30 3" xfId="1110"/>
    <cellStyle name="Note 31" xfId="894"/>
    <cellStyle name="Note 31 2" xfId="1023"/>
    <cellStyle name="Note 31 3" xfId="1151"/>
    <cellStyle name="Note 32" xfId="864"/>
    <cellStyle name="Note 32 2" xfId="993"/>
    <cellStyle name="Note 32 3" xfId="1121"/>
    <cellStyle name="Note 33" xfId="824"/>
    <cellStyle name="Note 33 2" xfId="972"/>
    <cellStyle name="Note 33 3" xfId="1100"/>
    <cellStyle name="Note 34" xfId="834"/>
    <cellStyle name="Note 34 2" xfId="978"/>
    <cellStyle name="Note 34 3" xfId="1106"/>
    <cellStyle name="Note 35" xfId="896"/>
    <cellStyle name="Note 35 2" xfId="1025"/>
    <cellStyle name="Note 35 3" xfId="1153"/>
    <cellStyle name="Note 36" xfId="806"/>
    <cellStyle name="Note 36 2" xfId="958"/>
    <cellStyle name="Note 36 3" xfId="1086"/>
    <cellStyle name="Note 37" xfId="831"/>
    <cellStyle name="Note 37 2" xfId="976"/>
    <cellStyle name="Note 37 3" xfId="1104"/>
    <cellStyle name="Note 38" xfId="835"/>
    <cellStyle name="Note 39" xfId="849"/>
    <cellStyle name="Note 4" xfId="584"/>
    <cellStyle name="Note 4 2" xfId="585"/>
    <cellStyle name="Note 4_6 - Est and True up" xfId="586"/>
    <cellStyle name="Note 40" xfId="827"/>
    <cellStyle name="Note 41" xfId="839"/>
    <cellStyle name="Note 42" xfId="861"/>
    <cellStyle name="Note 43" xfId="863"/>
    <cellStyle name="Note 44" xfId="847"/>
    <cellStyle name="Note 45" xfId="821"/>
    <cellStyle name="Note 46" xfId="832"/>
    <cellStyle name="Note 47" xfId="828"/>
    <cellStyle name="Note 48" xfId="826"/>
    <cellStyle name="Note 49" xfId="837"/>
    <cellStyle name="Note 5" xfId="587"/>
    <cellStyle name="Note 5 2" xfId="588"/>
    <cellStyle name="Note 5 2 2" xfId="589"/>
    <cellStyle name="Note 5 2_6 - Est and True up" xfId="590"/>
    <cellStyle name="Note 5 3" xfId="591"/>
    <cellStyle name="Note 5 3 2" xfId="592"/>
    <cellStyle name="Note 5 3_6 - Est and True up" xfId="593"/>
    <cellStyle name="Note 5 4" xfId="594"/>
    <cellStyle name="Note 5_6 - Est and True up" xfId="595"/>
    <cellStyle name="Note 50" xfId="823"/>
    <cellStyle name="Note 51" xfId="844"/>
    <cellStyle name="Note 6" xfId="596"/>
    <cellStyle name="Note 6 2" xfId="597"/>
    <cellStyle name="Note 6 2 2" xfId="598"/>
    <cellStyle name="Note 6 2_6 - Est and True up" xfId="599"/>
    <cellStyle name="Note 6 3" xfId="600"/>
    <cellStyle name="Note 6 3 2" xfId="601"/>
    <cellStyle name="Note 6 3_6 - Est and True up" xfId="602"/>
    <cellStyle name="Note 6 4" xfId="603"/>
    <cellStyle name="Note 6_6 - Est and True up" xfId="604"/>
    <cellStyle name="Note 7" xfId="605"/>
    <cellStyle name="Note 7 2" xfId="606"/>
    <cellStyle name="Note 7 2 2" xfId="607"/>
    <cellStyle name="Note 7 2_6 - Est and True up" xfId="608"/>
    <cellStyle name="Note 7 3" xfId="609"/>
    <cellStyle name="Note 7 3 2" xfId="610"/>
    <cellStyle name="Note 7 3_6 - Est and True up" xfId="611"/>
    <cellStyle name="Note 7 4" xfId="612"/>
    <cellStyle name="Note 7_6 - Est and True up" xfId="613"/>
    <cellStyle name="Note 8" xfId="614"/>
    <cellStyle name="Note 8 2" xfId="615"/>
    <cellStyle name="Note 8 2 2" xfId="616"/>
    <cellStyle name="Note 8 2_6 - Est and True up" xfId="617"/>
    <cellStyle name="Note 8 3" xfId="618"/>
    <cellStyle name="Note 8 3 2" xfId="619"/>
    <cellStyle name="Note 8 3_6 - Est and True up" xfId="620"/>
    <cellStyle name="Note 8 4" xfId="621"/>
    <cellStyle name="Note 8_6 - Est and True up" xfId="622"/>
    <cellStyle name="Note 9" xfId="623"/>
    <cellStyle name="Note 9 2" xfId="624"/>
    <cellStyle name="Note 9 2 2" xfId="625"/>
    <cellStyle name="Note 9 2_6 - Est and True up" xfId="626"/>
    <cellStyle name="Note 9 3" xfId="627"/>
    <cellStyle name="Note 9 3 2" xfId="628"/>
    <cellStyle name="Note 9 3_6 - Est and True up" xfId="629"/>
    <cellStyle name="Note 9 4" xfId="630"/>
    <cellStyle name="Note 9_6 - Est and True up" xfId="631"/>
    <cellStyle name="Output" xfId="714" builtinId="21" customBuiltin="1"/>
    <cellStyle name="Output 2" xfId="632"/>
    <cellStyle name="Percent" xfId="633" builtinId="5"/>
    <cellStyle name="Percent 10" xfId="813"/>
    <cellStyle name="Percent 2" xfId="634"/>
    <cellStyle name="Percent 2 2" xfId="635"/>
    <cellStyle name="Percent 2 2 2" xfId="636"/>
    <cellStyle name="Percent 3" xfId="637"/>
    <cellStyle name="Percent 3 2" xfId="638"/>
    <cellStyle name="Percent 3 3" xfId="767"/>
    <cellStyle name="Percent 3 3 2" xfId="874"/>
    <cellStyle name="Percent 3 3 2 2" xfId="1003"/>
    <cellStyle name="Percent 3 3 2 3" xfId="1131"/>
    <cellStyle name="Percent 3 3 3" xfId="919"/>
    <cellStyle name="Percent 3 3 4" xfId="1047"/>
    <cellStyle name="Percent 3 4" xfId="811"/>
    <cellStyle name="Percent 3 4 2" xfId="963"/>
    <cellStyle name="Percent 3 4 3" xfId="1091"/>
    <cellStyle name="Percent 4" xfId="639"/>
    <cellStyle name="Percent 4 2" xfId="640"/>
    <cellStyle name="Percent 4 3" xfId="766"/>
    <cellStyle name="Percent 5" xfId="641"/>
    <cellStyle name="Percent 6" xfId="765"/>
    <cellStyle name="Percent 7" xfId="768"/>
    <cellStyle name="Percent 7 2" xfId="875"/>
    <cellStyle name="Percent 7 2 2" xfId="1004"/>
    <cellStyle name="Percent 7 2 3" xfId="1132"/>
    <cellStyle name="Percent 7 3" xfId="920"/>
    <cellStyle name="Percent 7 4" xfId="1048"/>
    <cellStyle name="Percent 8" xfId="810"/>
    <cellStyle name="Percent 8 2" xfId="962"/>
    <cellStyle name="Percent 8 3" xfId="1090"/>
    <cellStyle name="Percent 9" xfId="862"/>
    <cellStyle name="PSChar" xfId="642"/>
    <cellStyle name="PSDate" xfId="643"/>
    <cellStyle name="PSDec" xfId="644"/>
    <cellStyle name="PSHeading" xfId="645"/>
    <cellStyle name="PSInt" xfId="646"/>
    <cellStyle name="PSSpacer" xfId="647"/>
    <cellStyle name="SAPBEXchaText" xfId="648"/>
    <cellStyle name="SAPBEXstdData" xfId="649"/>
    <cellStyle name="SAPBEXstdItem" xfId="650"/>
    <cellStyle name="SAPBEXstdItemX" xfId="651"/>
    <cellStyle name="SECTION" xfId="652"/>
    <cellStyle name="Style 1" xfId="653"/>
    <cellStyle name="Style 1 10" xfId="654"/>
    <cellStyle name="Style 1 10 2" xfId="655"/>
    <cellStyle name="Style 1 10 2 2" xfId="656"/>
    <cellStyle name="Style 1 10 3" xfId="657"/>
    <cellStyle name="Style 1 11" xfId="658"/>
    <cellStyle name="Style 1 11 2" xfId="659"/>
    <cellStyle name="Style 1 11 2 2" xfId="660"/>
    <cellStyle name="Style 1 11 3" xfId="661"/>
    <cellStyle name="Style 1 12" xfId="662"/>
    <cellStyle name="Style 1 12 2" xfId="663"/>
    <cellStyle name="Style 1 12 2 2" xfId="664"/>
    <cellStyle name="Style 1 12 3" xfId="665"/>
    <cellStyle name="Style 1 13" xfId="666"/>
    <cellStyle name="Style 1 13 2" xfId="667"/>
    <cellStyle name="Style 1 2" xfId="668"/>
    <cellStyle name="Style 1 2 2" xfId="669"/>
    <cellStyle name="Style 1 2 2 2" xfId="670"/>
    <cellStyle name="Style 1 2 3" xfId="671"/>
    <cellStyle name="Style 1 3" xfId="672"/>
    <cellStyle name="Style 1 3 2" xfId="673"/>
    <cellStyle name="Style 1 3 2 2" xfId="674"/>
    <cellStyle name="Style 1 3 3" xfId="675"/>
    <cellStyle name="Style 1 4" xfId="676"/>
    <cellStyle name="Style 1 4 2" xfId="677"/>
    <cellStyle name="Style 1 4 2 2" xfId="678"/>
    <cellStyle name="Style 1 4 3" xfId="679"/>
    <cellStyle name="Style 1 5" xfId="680"/>
    <cellStyle name="Style 1 5 2" xfId="681"/>
    <cellStyle name="Style 1 5 2 2" xfId="682"/>
    <cellStyle name="Style 1 5 3" xfId="683"/>
    <cellStyle name="Style 1 6" xfId="684"/>
    <cellStyle name="Style 1 6 2" xfId="685"/>
    <cellStyle name="Style 1 6 2 2" xfId="686"/>
    <cellStyle name="Style 1 6 3" xfId="687"/>
    <cellStyle name="Style 1 7" xfId="688"/>
    <cellStyle name="Style 1 7 2" xfId="689"/>
    <cellStyle name="Style 1 7 2 2" xfId="690"/>
    <cellStyle name="Style 1 7 3" xfId="691"/>
    <cellStyle name="Style 1 8" xfId="692"/>
    <cellStyle name="Style 1 8 2" xfId="693"/>
    <cellStyle name="Style 1 8 2 2" xfId="694"/>
    <cellStyle name="Style 1 8 3" xfId="695"/>
    <cellStyle name="Style 1 9" xfId="696"/>
    <cellStyle name="Style 1 9 2" xfId="697"/>
    <cellStyle name="Style 1 9 2 2" xfId="698"/>
    <cellStyle name="Style 1 9 3" xfId="699"/>
    <cellStyle name="Style 1_FERC General Taxes" xfId="700"/>
    <cellStyle name="System Defined" xfId="701"/>
    <cellStyle name="Title" xfId="705" builtinId="15" customBuiltin="1"/>
    <cellStyle name="Title 2" xfId="702"/>
    <cellStyle name="Total" xfId="720" builtinId="25" customBuiltin="1"/>
    <cellStyle name="Total 2" xfId="703"/>
    <cellStyle name="Warning Text" xfId="718" builtinId="11" customBuiltin="1"/>
    <cellStyle name="Warning Text 2" xfId="70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bailey\Local%20Settings\Temporary%20Internet%20Files\OLKA\JE%20130111%20August%2020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ElecRate\Info%20from%20Previous%20Cases\COS\W&amp;S%20Ad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10" Type="http://schemas.openxmlformats.org/officeDocument/2006/relationships/printerSettings" Target="../printerSettings/printerSettings12.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3"/>
  <sheetViews>
    <sheetView zoomScaleNormal="100" zoomScaleSheetLayoutView="75" workbookViewId="0">
      <selection activeCell="B8" sqref="B8"/>
    </sheetView>
  </sheetViews>
  <sheetFormatPr defaultRowHeight="12.75"/>
  <cols>
    <col min="2" max="2" width="56.7109375" bestFit="1" customWidth="1"/>
    <col min="4" max="4" width="33.85546875" bestFit="1" customWidth="1"/>
    <col min="5" max="5" width="17.140625" customWidth="1"/>
  </cols>
  <sheetData>
    <row r="2" spans="1:5">
      <c r="A2" s="1884" t="s">
        <v>489</v>
      </c>
      <c r="B2" s="1885"/>
      <c r="C2" s="1885"/>
      <c r="D2" s="1885"/>
      <c r="E2" s="1885"/>
    </row>
    <row r="3" spans="1:5">
      <c r="A3" s="1886" t="s">
        <v>452</v>
      </c>
      <c r="B3" s="1886"/>
      <c r="C3" s="1886"/>
      <c r="D3" s="1886"/>
      <c r="E3" s="1886"/>
    </row>
    <row r="4" spans="1:5">
      <c r="A4" s="1886" t="s">
        <v>453</v>
      </c>
      <c r="B4" s="1886"/>
      <c r="C4" s="1886"/>
      <c r="D4" s="1886"/>
      <c r="E4" s="1886"/>
    </row>
    <row r="5" spans="1:5">
      <c r="A5" s="570"/>
      <c r="B5" s="570"/>
      <c r="C5" s="570"/>
      <c r="D5" s="570"/>
      <c r="E5" s="570"/>
    </row>
    <row r="6" spans="1:5" ht="13.5" thickBot="1">
      <c r="A6" s="571" t="s">
        <v>454</v>
      </c>
      <c r="B6" s="571" t="s">
        <v>1009</v>
      </c>
      <c r="C6" s="572"/>
      <c r="D6" s="571" t="s">
        <v>455</v>
      </c>
      <c r="E6" s="571" t="s">
        <v>157</v>
      </c>
    </row>
    <row r="7" spans="1:5">
      <c r="A7" s="573">
        <v>1</v>
      </c>
      <c r="B7" s="574" t="s">
        <v>456</v>
      </c>
      <c r="C7" s="575"/>
      <c r="D7" s="576" t="s">
        <v>457</v>
      </c>
      <c r="E7" s="1511"/>
    </row>
    <row r="8" spans="1:5">
      <c r="A8" s="573">
        <v>2</v>
      </c>
      <c r="B8" s="574" t="s">
        <v>458</v>
      </c>
      <c r="C8" s="575"/>
      <c r="D8" s="578" t="s">
        <v>459</v>
      </c>
      <c r="E8" s="1511">
        <v>93326</v>
      </c>
    </row>
    <row r="9" spans="1:5">
      <c r="A9" s="573">
        <v>3</v>
      </c>
      <c r="B9" s="574" t="s">
        <v>460</v>
      </c>
      <c r="C9" s="575"/>
      <c r="D9" s="578" t="s">
        <v>461</v>
      </c>
      <c r="E9" s="1511">
        <v>2567154</v>
      </c>
    </row>
    <row r="10" spans="1:5">
      <c r="A10" s="573">
        <v>4</v>
      </c>
      <c r="B10" s="574" t="s">
        <v>462</v>
      </c>
      <c r="C10" s="575"/>
      <c r="D10" s="578" t="s">
        <v>463</v>
      </c>
      <c r="E10" s="1511">
        <v>1092695</v>
      </c>
    </row>
    <row r="11" spans="1:5">
      <c r="A11" s="573">
        <v>5</v>
      </c>
      <c r="B11" s="574" t="s">
        <v>464</v>
      </c>
      <c r="C11" s="575"/>
      <c r="D11" s="578" t="s">
        <v>465</v>
      </c>
      <c r="E11" s="1511">
        <v>0</v>
      </c>
    </row>
    <row r="12" spans="1:5">
      <c r="A12" s="573">
        <v>6</v>
      </c>
      <c r="B12" s="574" t="s">
        <v>466</v>
      </c>
      <c r="C12" s="575"/>
      <c r="D12" s="578" t="s">
        <v>467</v>
      </c>
      <c r="E12" s="1512">
        <v>262354</v>
      </c>
    </row>
    <row r="13" spans="1:5">
      <c r="A13" s="573">
        <v>7</v>
      </c>
      <c r="B13" s="574" t="s">
        <v>468</v>
      </c>
      <c r="C13" s="575"/>
      <c r="D13" s="578" t="s">
        <v>469</v>
      </c>
      <c r="E13" s="577">
        <f>SUM(E7:E12)</f>
        <v>4015529</v>
      </c>
    </row>
    <row r="14" spans="1:5">
      <c r="A14" s="573"/>
      <c r="B14" s="579"/>
      <c r="C14" s="575"/>
      <c r="D14" s="580"/>
      <c r="E14" s="575"/>
    </row>
    <row r="15" spans="1:5">
      <c r="A15" s="573"/>
      <c r="B15" s="579"/>
      <c r="C15" s="575"/>
      <c r="D15" s="580"/>
      <c r="E15" s="575"/>
    </row>
    <row r="16" spans="1:5">
      <c r="A16" s="573">
        <v>8</v>
      </c>
      <c r="B16" s="574" t="s">
        <v>470</v>
      </c>
      <c r="C16" s="575"/>
      <c r="D16" s="578" t="s">
        <v>471</v>
      </c>
      <c r="E16" s="577">
        <f>E13</f>
        <v>4015529</v>
      </c>
    </row>
    <row r="17" spans="1:7">
      <c r="A17" s="573">
        <v>9</v>
      </c>
      <c r="B17" s="159" t="s">
        <v>178</v>
      </c>
      <c r="C17" s="575"/>
      <c r="D17" s="581" t="s">
        <v>472</v>
      </c>
      <c r="E17" s="1652">
        <f>'6 - Est and True up'!J155</f>
        <v>-618958.95434891514</v>
      </c>
      <c r="G17" s="1824"/>
    </row>
    <row r="18" spans="1:7">
      <c r="A18" s="573">
        <v>10</v>
      </c>
      <c r="B18" s="159" t="s">
        <v>470</v>
      </c>
      <c r="C18" s="575"/>
      <c r="D18" s="581" t="s">
        <v>473</v>
      </c>
      <c r="E18" s="582">
        <f>+E16+E17</f>
        <v>3396570.0456510847</v>
      </c>
    </row>
    <row r="19" spans="1:7">
      <c r="A19" s="573"/>
      <c r="B19" s="579"/>
      <c r="C19" s="575"/>
      <c r="D19" s="580"/>
      <c r="E19" s="579"/>
    </row>
    <row r="20" spans="1:7">
      <c r="A20" s="573"/>
      <c r="B20" s="583" t="s">
        <v>474</v>
      </c>
      <c r="C20" s="575"/>
      <c r="D20" s="583"/>
      <c r="E20" s="574"/>
    </row>
    <row r="21" spans="1:7">
      <c r="A21" s="573"/>
      <c r="B21" s="579"/>
      <c r="C21" s="575"/>
      <c r="D21" s="580"/>
      <c r="E21" s="574"/>
    </row>
    <row r="22" spans="1:7">
      <c r="A22" s="573">
        <v>11</v>
      </c>
      <c r="B22" s="574" t="s">
        <v>475</v>
      </c>
      <c r="C22" s="575"/>
      <c r="D22" s="578" t="s">
        <v>476</v>
      </c>
      <c r="E22" s="577">
        <f>'ATT H-1 '!H289</f>
        <v>4704333.333333333</v>
      </c>
    </row>
    <row r="23" spans="1:7">
      <c r="A23" s="573"/>
      <c r="B23" s="574"/>
      <c r="C23" s="575"/>
      <c r="D23" s="580"/>
      <c r="E23" s="574"/>
    </row>
    <row r="24" spans="1:7">
      <c r="A24" s="573"/>
      <c r="B24" s="579"/>
      <c r="C24" s="575"/>
      <c r="D24" s="580"/>
      <c r="E24" s="574"/>
    </row>
    <row r="25" spans="1:7">
      <c r="A25" s="573">
        <v>12</v>
      </c>
      <c r="B25" s="574" t="s">
        <v>477</v>
      </c>
      <c r="C25" s="575"/>
      <c r="D25" s="578" t="s">
        <v>560</v>
      </c>
      <c r="E25" s="584">
        <f>E16/E22</f>
        <v>0.85358088287394607</v>
      </c>
    </row>
    <row r="26" spans="1:7">
      <c r="A26" s="573">
        <v>13</v>
      </c>
      <c r="B26" s="574" t="s">
        <v>478</v>
      </c>
      <c r="C26" s="575"/>
      <c r="D26" s="578" t="s">
        <v>561</v>
      </c>
      <c r="E26" s="584">
        <f>($E$16/$E$22)/12</f>
        <v>7.1131740239495506E-2</v>
      </c>
    </row>
    <row r="27" spans="1:7">
      <c r="A27" s="573">
        <v>14</v>
      </c>
      <c r="B27" s="574" t="s">
        <v>479</v>
      </c>
      <c r="C27" s="575"/>
      <c r="D27" s="578" t="s">
        <v>562</v>
      </c>
      <c r="E27" s="584">
        <f>($E$16/$E$22)/52</f>
        <v>1.6415016978345118E-2</v>
      </c>
    </row>
    <row r="28" spans="1:7">
      <c r="A28" s="573"/>
      <c r="B28" s="574"/>
      <c r="C28" s="575"/>
      <c r="D28" s="578"/>
      <c r="E28" s="584"/>
    </row>
    <row r="29" spans="1:7">
      <c r="A29" s="573">
        <v>13</v>
      </c>
      <c r="B29" s="574" t="s">
        <v>480</v>
      </c>
      <c r="C29" s="575"/>
      <c r="D29" s="578" t="s">
        <v>725</v>
      </c>
      <c r="E29" s="584">
        <f>($E$27/6)</f>
        <v>2.7358361630575195E-3</v>
      </c>
    </row>
    <row r="30" spans="1:7">
      <c r="A30" s="573">
        <v>14</v>
      </c>
      <c r="B30" s="574" t="s">
        <v>481</v>
      </c>
      <c r="C30" s="575"/>
      <c r="D30" s="578" t="s">
        <v>482</v>
      </c>
      <c r="E30" s="584">
        <f>($E$27/7)</f>
        <v>2.345002425477874E-3</v>
      </c>
    </row>
    <row r="31" spans="1:7">
      <c r="A31" s="573"/>
      <c r="B31" s="574"/>
      <c r="C31" s="575"/>
      <c r="D31" s="578"/>
      <c r="E31" s="584"/>
    </row>
    <row r="32" spans="1:7">
      <c r="A32" s="573">
        <v>15</v>
      </c>
      <c r="B32" s="574" t="s">
        <v>483</v>
      </c>
      <c r="C32" s="575"/>
      <c r="D32" s="578" t="s">
        <v>484</v>
      </c>
      <c r="E32" s="584">
        <f>($E$29/16)*1000</f>
        <v>0.17098976019109496</v>
      </c>
    </row>
    <row r="33" spans="1:7">
      <c r="A33" s="573">
        <v>16</v>
      </c>
      <c r="B33" s="574" t="s">
        <v>485</v>
      </c>
      <c r="C33" s="575"/>
      <c r="D33" s="578" t="s">
        <v>486</v>
      </c>
      <c r="E33" s="584">
        <f>($E$30/24)*1000</f>
        <v>9.770843439491142E-2</v>
      </c>
    </row>
    <row r="34" spans="1:7">
      <c r="A34" s="575"/>
      <c r="B34" s="575"/>
      <c r="C34" s="575"/>
      <c r="D34" s="585"/>
      <c r="E34" s="579"/>
    </row>
    <row r="35" spans="1:7">
      <c r="A35" s="586"/>
      <c r="B35" s="586"/>
      <c r="C35" s="586"/>
      <c r="D35" s="587"/>
      <c r="E35" s="588"/>
    </row>
    <row r="36" spans="1:7">
      <c r="A36" s="586"/>
      <c r="B36" s="586"/>
      <c r="C36" s="586"/>
      <c r="D36" s="587"/>
      <c r="E36" s="178"/>
    </row>
    <row r="37" spans="1:7">
      <c r="A37" s="589"/>
      <c r="B37" s="589"/>
      <c r="C37" s="589"/>
      <c r="D37" s="590"/>
      <c r="E37" s="185"/>
    </row>
    <row r="38" spans="1:7" ht="15">
      <c r="A38" s="591" t="s">
        <v>487</v>
      </c>
      <c r="B38" s="592"/>
      <c r="C38" s="592"/>
      <c r="D38" s="592"/>
      <c r="E38" s="592"/>
    </row>
    <row r="39" spans="1:7" ht="15">
      <c r="A39" s="593">
        <v>1</v>
      </c>
      <c r="B39" s="1887" t="s">
        <v>554</v>
      </c>
      <c r="C39" s="1887"/>
      <c r="D39" s="1887"/>
      <c r="E39" s="1887"/>
    </row>
    <row r="40" spans="1:7" ht="15">
      <c r="A40" s="593">
        <v>2</v>
      </c>
      <c r="B40" s="1883" t="s">
        <v>488</v>
      </c>
      <c r="C40" s="1883"/>
      <c r="D40" s="1883"/>
      <c r="E40" s="592"/>
    </row>
    <row r="45" spans="1:7">
      <c r="F45" s="832"/>
      <c r="G45" s="832"/>
    </row>
    <row r="46" spans="1:7">
      <c r="E46" s="438"/>
    </row>
    <row r="47" spans="1:7">
      <c r="E47" s="833"/>
    </row>
    <row r="48" spans="1:7">
      <c r="E48" s="438"/>
    </row>
    <row r="49" spans="5:6">
      <c r="E49" s="438"/>
    </row>
    <row r="50" spans="5:6">
      <c r="E50" s="438"/>
    </row>
    <row r="51" spans="5:6">
      <c r="E51" s="501"/>
      <c r="F51" s="832"/>
    </row>
    <row r="52" spans="5:6">
      <c r="E52" s="834"/>
    </row>
    <row r="53" spans="5:6">
      <c r="E53" s="833"/>
    </row>
  </sheetData>
  <mergeCells count="5">
    <mergeCell ref="B40:D40"/>
    <mergeCell ref="A2:E2"/>
    <mergeCell ref="A3:E3"/>
    <mergeCell ref="A4:E4"/>
    <mergeCell ref="B39:E39"/>
  </mergeCells>
  <phoneticPr fontId="77" type="noConversion"/>
  <pageMargins left="0.2" right="0.2" top="0.75" bottom="0.75" header="0.3" footer="0.3"/>
  <pageSetup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90"/>
  <sheetViews>
    <sheetView tabSelected="1" topLeftCell="A136" zoomScale="75" zoomScaleNormal="75" zoomScaleSheetLayoutView="55" workbookViewId="0">
      <selection activeCell="S149" sqref="S149"/>
    </sheetView>
  </sheetViews>
  <sheetFormatPr defaultRowHeight="12.75"/>
  <cols>
    <col min="3" max="3" width="18.140625" customWidth="1"/>
    <col min="4" max="4" width="18.85546875" customWidth="1"/>
    <col min="5" max="5" width="28.85546875" customWidth="1"/>
    <col min="6" max="6" width="16.42578125" customWidth="1"/>
    <col min="7" max="7" width="19.42578125" customWidth="1"/>
    <col min="8" max="8" width="20.5703125" customWidth="1"/>
    <col min="9" max="9" width="11.5703125" customWidth="1"/>
    <col min="10" max="11" width="13.5703125" customWidth="1"/>
    <col min="12" max="12" width="13.140625" customWidth="1"/>
    <col min="13" max="13" width="16" customWidth="1"/>
    <col min="14" max="14" width="15" customWidth="1"/>
  </cols>
  <sheetData>
    <row r="2" spans="1:28" ht="15">
      <c r="A2" s="1904" t="s">
        <v>540</v>
      </c>
      <c r="B2" s="1904"/>
      <c r="C2" s="1904"/>
      <c r="D2" s="1904"/>
      <c r="E2" s="1904"/>
      <c r="F2" s="1904"/>
      <c r="G2" s="1904"/>
      <c r="H2" s="1904"/>
      <c r="I2" s="1904"/>
      <c r="J2" s="1904"/>
      <c r="K2" s="1904"/>
      <c r="L2" s="1904"/>
      <c r="M2" s="1904"/>
      <c r="N2" s="1904"/>
      <c r="O2" s="1904"/>
      <c r="P2" s="1904"/>
      <c r="Q2" s="1904"/>
      <c r="R2" s="1904"/>
    </row>
    <row r="3" spans="1:28" ht="18">
      <c r="A3" s="1495" t="s">
        <v>1046</v>
      </c>
      <c r="B3" s="594"/>
      <c r="C3" s="594"/>
      <c r="D3" s="594"/>
      <c r="E3" s="594"/>
      <c r="F3" s="594"/>
      <c r="G3" s="594"/>
      <c r="H3" s="594"/>
      <c r="I3" s="595"/>
      <c r="J3" s="595"/>
      <c r="K3" s="431"/>
      <c r="L3" s="431"/>
      <c r="M3" s="431"/>
      <c r="N3" s="431"/>
      <c r="O3" s="431"/>
      <c r="P3" s="431"/>
      <c r="Q3" s="431"/>
      <c r="R3" s="431"/>
      <c r="X3" s="97"/>
      <c r="Y3" s="97"/>
      <c r="Z3" s="97"/>
      <c r="AA3" s="97"/>
      <c r="AB3" s="97"/>
    </row>
    <row r="4" spans="1:28">
      <c r="A4" s="431"/>
      <c r="B4" s="431"/>
      <c r="C4" s="431"/>
      <c r="D4" s="431"/>
      <c r="E4" s="1956" t="s">
        <v>1438</v>
      </c>
      <c r="F4" s="1969">
        <f>'6 - Est and True up'!F4</f>
        <v>2013</v>
      </c>
      <c r="G4" s="431"/>
      <c r="H4" s="431"/>
      <c r="I4" s="431"/>
      <c r="J4" s="431"/>
      <c r="K4" s="431"/>
      <c r="L4" s="431"/>
      <c r="M4" s="431"/>
      <c r="N4" s="431"/>
      <c r="O4" s="431"/>
      <c r="P4" s="431"/>
      <c r="Q4" s="431"/>
      <c r="R4" s="431"/>
      <c r="X4" s="97"/>
      <c r="Y4" s="97"/>
      <c r="Z4" s="97"/>
      <c r="AA4" s="97"/>
      <c r="AB4" s="97"/>
    </row>
    <row r="5" spans="1:28" ht="16.5">
      <c r="A5" s="430"/>
      <c r="B5" s="430"/>
      <c r="C5" s="430"/>
      <c r="D5" s="429"/>
      <c r="E5" s="1956" t="s">
        <v>1439</v>
      </c>
      <c r="F5" s="1969">
        <f>'6 - Est and True up'!F5</f>
        <v>2014</v>
      </c>
      <c r="G5" s="429"/>
      <c r="H5" s="429"/>
      <c r="I5" s="429"/>
      <c r="J5" s="596"/>
      <c r="K5" s="429"/>
      <c r="L5" s="429"/>
      <c r="M5" s="429"/>
      <c r="N5" s="429"/>
      <c r="O5" s="429"/>
      <c r="P5" s="429"/>
      <c r="Q5" s="429"/>
      <c r="R5" s="429"/>
      <c r="X5" s="97"/>
      <c r="Y5" s="97"/>
      <c r="Z5" s="97"/>
      <c r="AA5" s="97"/>
      <c r="AB5" s="97"/>
    </row>
    <row r="6" spans="1:28" ht="13.5">
      <c r="A6" s="597" t="s">
        <v>780</v>
      </c>
      <c r="B6" s="597" t="s">
        <v>781</v>
      </c>
      <c r="C6" s="597" t="s">
        <v>782</v>
      </c>
      <c r="D6" s="597" t="s">
        <v>783</v>
      </c>
      <c r="E6" s="1956" t="s">
        <v>1440</v>
      </c>
      <c r="F6" s="1969">
        <f>'6 - Est and True up'!F6</f>
        <v>2015</v>
      </c>
      <c r="G6" s="598"/>
      <c r="H6" s="598"/>
      <c r="I6" s="598"/>
      <c r="J6" s="598"/>
      <c r="K6" s="598"/>
      <c r="L6" s="598"/>
      <c r="M6" s="598"/>
      <c r="N6" s="598"/>
      <c r="O6" s="598"/>
      <c r="P6" s="598"/>
      <c r="Q6" s="598"/>
      <c r="R6" s="598"/>
      <c r="X6" s="622"/>
      <c r="Y6" s="622"/>
      <c r="Z6" s="622"/>
      <c r="AA6" s="622"/>
      <c r="AB6" s="97"/>
    </row>
    <row r="7" spans="1:28" ht="13.5">
      <c r="A7" s="430"/>
      <c r="B7" s="597"/>
      <c r="C7" s="597"/>
      <c r="D7" s="598"/>
      <c r="E7" s="598"/>
      <c r="F7" s="598"/>
      <c r="G7" s="598"/>
      <c r="H7" s="598"/>
      <c r="I7" s="598"/>
      <c r="J7" s="598"/>
      <c r="K7" s="598"/>
      <c r="L7" s="598"/>
      <c r="M7" s="598"/>
      <c r="N7" s="598"/>
      <c r="O7" s="598"/>
      <c r="P7" s="598"/>
      <c r="Q7" s="598"/>
      <c r="R7" s="598"/>
      <c r="X7" s="884"/>
      <c r="Y7" s="884"/>
      <c r="Z7" s="884"/>
      <c r="AA7" s="884"/>
      <c r="AB7" s="97"/>
    </row>
    <row r="8" spans="1:28" ht="13.5">
      <c r="A8" s="599" t="s">
        <v>784</v>
      </c>
      <c r="B8" s="597"/>
      <c r="C8" s="597"/>
      <c r="D8" s="598"/>
      <c r="E8" s="598"/>
      <c r="F8" s="598"/>
      <c r="G8" s="598"/>
      <c r="H8" s="598"/>
      <c r="I8" s="598"/>
      <c r="J8" s="598"/>
      <c r="K8" s="598"/>
      <c r="L8" s="598"/>
      <c r="M8" s="598"/>
      <c r="N8" s="598"/>
      <c r="X8" s="884"/>
      <c r="Y8" s="884"/>
      <c r="Z8" s="884"/>
      <c r="AA8" s="884"/>
      <c r="AB8" s="97"/>
    </row>
    <row r="9" spans="1:28" ht="15.75">
      <c r="A9" s="600">
        <v>1</v>
      </c>
      <c r="B9" s="600" t="s">
        <v>785</v>
      </c>
      <c r="C9" s="600" t="s">
        <v>760</v>
      </c>
      <c r="D9" s="1970" t="s">
        <v>1424</v>
      </c>
      <c r="E9" s="602"/>
      <c r="F9" s="602"/>
      <c r="G9" s="602"/>
      <c r="H9" s="602"/>
      <c r="I9" s="602"/>
      <c r="J9" s="602"/>
      <c r="K9" s="602"/>
      <c r="L9" s="602"/>
      <c r="M9" s="602"/>
      <c r="N9" s="602"/>
      <c r="X9" s="884"/>
      <c r="Y9" s="885"/>
      <c r="Z9" s="885"/>
      <c r="AA9" s="886"/>
      <c r="AB9" s="97"/>
    </row>
    <row r="10" spans="1:28" ht="13.5">
      <c r="A10" s="600">
        <v>2</v>
      </c>
      <c r="B10" s="600" t="s">
        <v>785</v>
      </c>
      <c r="C10" s="600" t="s">
        <v>760</v>
      </c>
      <c r="D10" s="601" t="s">
        <v>1425</v>
      </c>
      <c r="E10" s="602"/>
      <c r="F10" s="602"/>
      <c r="G10" s="602"/>
      <c r="H10" s="602"/>
      <c r="I10" s="602"/>
      <c r="J10" s="602"/>
      <c r="K10" s="602"/>
      <c r="L10" s="602"/>
      <c r="M10" s="602"/>
      <c r="N10" s="602"/>
      <c r="X10" s="884"/>
      <c r="Y10" s="885"/>
      <c r="Z10" s="885"/>
      <c r="AA10" s="886"/>
      <c r="AB10" s="97"/>
    </row>
    <row r="11" spans="1:28" ht="13.5">
      <c r="A11" s="600">
        <v>3</v>
      </c>
      <c r="B11" s="600" t="s">
        <v>785</v>
      </c>
      <c r="C11" s="600" t="s">
        <v>760</v>
      </c>
      <c r="D11" s="601" t="s">
        <v>1426</v>
      </c>
      <c r="E11" s="602"/>
      <c r="F11" s="602"/>
      <c r="G11" s="602"/>
      <c r="H11" s="602"/>
      <c r="I11" s="602"/>
      <c r="J11" s="602"/>
      <c r="K11" s="602"/>
      <c r="L11" s="602"/>
      <c r="M11" s="602"/>
      <c r="N11" s="602"/>
      <c r="X11" s="884"/>
      <c r="Y11" s="885"/>
      <c r="Z11" s="885"/>
      <c r="AA11" s="886"/>
      <c r="AB11" s="97"/>
    </row>
    <row r="12" spans="1:28" ht="13.5">
      <c r="A12" s="600">
        <v>4</v>
      </c>
      <c r="B12" s="600" t="s">
        <v>786</v>
      </c>
      <c r="C12" s="600" t="s">
        <v>760</v>
      </c>
      <c r="D12" s="601" t="s">
        <v>1127</v>
      </c>
      <c r="E12" s="602"/>
      <c r="F12" s="602"/>
      <c r="G12" s="602"/>
      <c r="H12" s="602"/>
      <c r="I12" s="602"/>
      <c r="J12" s="602"/>
      <c r="K12" s="602"/>
      <c r="L12" s="602"/>
      <c r="M12" s="602"/>
      <c r="N12" s="602"/>
      <c r="X12" s="622"/>
      <c r="Y12" s="887"/>
      <c r="Z12" s="887"/>
      <c r="AA12" s="886"/>
      <c r="AB12" s="97"/>
    </row>
    <row r="13" spans="1:28" ht="13.5">
      <c r="A13" s="600">
        <v>5</v>
      </c>
      <c r="B13" s="603" t="s">
        <v>787</v>
      </c>
      <c r="C13" s="600" t="s">
        <v>760</v>
      </c>
      <c r="D13" s="601" t="s">
        <v>1427</v>
      </c>
      <c r="E13" s="602"/>
      <c r="F13" s="602"/>
      <c r="G13" s="602"/>
      <c r="H13" s="602"/>
      <c r="I13" s="602"/>
      <c r="J13" s="602"/>
      <c r="K13" s="602"/>
      <c r="L13" s="602"/>
      <c r="M13" s="602"/>
      <c r="N13" s="602"/>
      <c r="X13" s="622"/>
      <c r="Y13" s="887"/>
      <c r="Z13" s="887"/>
      <c r="AA13" s="886"/>
      <c r="AB13" s="97"/>
    </row>
    <row r="14" spans="1:28" ht="13.5">
      <c r="A14" s="597">
        <v>6</v>
      </c>
      <c r="B14" s="597" t="s">
        <v>785</v>
      </c>
      <c r="C14" s="600" t="s">
        <v>761</v>
      </c>
      <c r="D14" s="601" t="s">
        <v>1428</v>
      </c>
      <c r="E14" s="598"/>
      <c r="F14" s="598"/>
      <c r="G14" s="598"/>
      <c r="H14" s="598"/>
      <c r="I14" s="598"/>
      <c r="J14" s="598"/>
      <c r="K14" s="598"/>
      <c r="L14" s="598"/>
      <c r="M14" s="598"/>
      <c r="N14" s="598"/>
      <c r="X14" s="622"/>
      <c r="Y14" s="887"/>
      <c r="Z14" s="887"/>
      <c r="AA14" s="886"/>
      <c r="AB14" s="97"/>
    </row>
    <row r="15" spans="1:28" ht="13.5">
      <c r="A15" s="597">
        <v>7</v>
      </c>
      <c r="B15" s="597" t="s">
        <v>785</v>
      </c>
      <c r="C15" s="600" t="s">
        <v>761</v>
      </c>
      <c r="D15" s="601" t="str">
        <f>+D65</f>
        <v>Reconciliation</v>
      </c>
      <c r="E15" s="605"/>
      <c r="F15" s="605"/>
      <c r="G15" s="605"/>
      <c r="H15" s="605"/>
      <c r="I15" s="605"/>
      <c r="J15" s="605"/>
      <c r="K15" s="598"/>
      <c r="L15" s="598"/>
      <c r="M15" s="598"/>
      <c r="N15" s="598"/>
      <c r="X15" s="622"/>
      <c r="Y15" s="887"/>
      <c r="Z15" s="887"/>
      <c r="AA15" s="886"/>
      <c r="AB15" s="97"/>
    </row>
    <row r="16" spans="1:28" ht="13.5">
      <c r="A16" s="597">
        <v>8</v>
      </c>
      <c r="B16" s="597" t="s">
        <v>785</v>
      </c>
      <c r="C16" s="600" t="s">
        <v>761</v>
      </c>
      <c r="D16" s="601" t="s">
        <v>1443</v>
      </c>
      <c r="E16" s="598"/>
      <c r="F16" s="598"/>
      <c r="G16" s="598"/>
      <c r="H16" s="598"/>
      <c r="I16" s="598"/>
      <c r="J16" s="598"/>
      <c r="K16" s="598"/>
      <c r="L16" s="598"/>
      <c r="M16" s="598"/>
      <c r="N16" s="598"/>
      <c r="X16" s="622"/>
      <c r="Y16" s="887"/>
      <c r="Z16" s="887"/>
      <c r="AA16" s="886"/>
      <c r="AB16" s="97"/>
    </row>
    <row r="17" spans="1:28" ht="13.5">
      <c r="A17" s="597">
        <v>9</v>
      </c>
      <c r="B17" s="597" t="s">
        <v>785</v>
      </c>
      <c r="C17" s="600" t="s">
        <v>761</v>
      </c>
      <c r="D17" s="601" t="s">
        <v>1429</v>
      </c>
      <c r="E17" s="598"/>
      <c r="F17" s="598"/>
      <c r="G17" s="598"/>
      <c r="H17" s="598"/>
      <c r="I17" s="598"/>
      <c r="J17" s="598"/>
      <c r="K17" s="598"/>
      <c r="L17" s="598"/>
      <c r="M17" s="598"/>
      <c r="N17" s="598"/>
      <c r="X17" s="622"/>
      <c r="Y17" s="887"/>
      <c r="Z17" s="887"/>
      <c r="AA17" s="886"/>
      <c r="AB17" s="97"/>
    </row>
    <row r="18" spans="1:28" ht="13.5">
      <c r="A18" s="597">
        <v>10</v>
      </c>
      <c r="B18" s="597" t="s">
        <v>786</v>
      </c>
      <c r="C18" s="600" t="s">
        <v>761</v>
      </c>
      <c r="D18" s="601" t="s">
        <v>555</v>
      </c>
      <c r="E18" s="598"/>
      <c r="F18" s="598"/>
      <c r="G18" s="598"/>
      <c r="H18" s="598"/>
      <c r="I18" s="598"/>
      <c r="J18" s="598"/>
      <c r="K18" s="598"/>
      <c r="L18" s="598"/>
      <c r="M18" s="598"/>
      <c r="N18" s="598"/>
      <c r="X18" s="622"/>
      <c r="Y18" s="887"/>
      <c r="Z18" s="887"/>
      <c r="AA18" s="886"/>
      <c r="AB18" s="97"/>
    </row>
    <row r="19" spans="1:28" ht="13.5">
      <c r="A19" s="597">
        <v>11</v>
      </c>
      <c r="B19" s="606" t="s">
        <v>787</v>
      </c>
      <c r="C19" s="600" t="s">
        <v>761</v>
      </c>
      <c r="D19" s="601" t="s">
        <v>1430</v>
      </c>
      <c r="E19" s="598"/>
      <c r="F19" s="598"/>
      <c r="G19" s="598"/>
      <c r="H19" s="598"/>
      <c r="I19" s="598"/>
      <c r="J19" s="598"/>
      <c r="K19" s="598"/>
      <c r="L19" s="598"/>
      <c r="M19" s="598"/>
      <c r="N19" s="598"/>
      <c r="X19" s="622"/>
      <c r="Y19" s="887"/>
      <c r="Z19" s="887"/>
      <c r="AA19" s="887"/>
      <c r="AB19" s="97"/>
    </row>
    <row r="20" spans="1:28" ht="13.5">
      <c r="A20" s="597"/>
      <c r="B20" s="606"/>
      <c r="C20" s="597"/>
      <c r="D20" s="604"/>
      <c r="E20" s="598"/>
      <c r="F20" s="598"/>
      <c r="G20" s="598"/>
      <c r="H20" s="598"/>
      <c r="I20" s="598"/>
      <c r="J20" s="598"/>
      <c r="K20" s="598"/>
      <c r="L20" s="598"/>
      <c r="M20" s="598"/>
      <c r="N20" s="598"/>
      <c r="X20" s="622"/>
      <c r="Y20" s="622"/>
      <c r="Z20" s="622"/>
      <c r="AA20" s="622"/>
      <c r="AB20" s="97"/>
    </row>
    <row r="21" spans="1:28" ht="13.5">
      <c r="A21" s="607"/>
      <c r="B21" s="600"/>
      <c r="C21" s="597"/>
      <c r="D21" s="608"/>
      <c r="E21" s="598"/>
      <c r="F21" s="598"/>
      <c r="G21" s="598"/>
      <c r="H21" s="598"/>
      <c r="I21" s="598"/>
      <c r="J21" s="598"/>
      <c r="K21" s="598"/>
      <c r="L21" s="598"/>
      <c r="M21" s="598"/>
      <c r="N21" s="598"/>
      <c r="X21" s="622"/>
      <c r="Y21" s="622"/>
      <c r="Z21" s="622"/>
      <c r="AA21" s="622"/>
      <c r="AB21" s="97"/>
    </row>
    <row r="22" spans="1:28" ht="13.5">
      <c r="A22" s="597">
        <v>1</v>
      </c>
      <c r="B22" s="597" t="s">
        <v>785</v>
      </c>
      <c r="C22" s="597" t="s">
        <v>760</v>
      </c>
      <c r="D22" s="598" t="s">
        <v>1431</v>
      </c>
      <c r="E22" s="598"/>
      <c r="F22" s="598"/>
      <c r="G22" s="598"/>
      <c r="H22" s="598"/>
      <c r="I22" s="598"/>
      <c r="J22" s="429"/>
      <c r="K22" s="598"/>
      <c r="L22" s="598"/>
      <c r="M22" s="598"/>
      <c r="N22" s="598"/>
    </row>
    <row r="23" spans="1:28" ht="13.5">
      <c r="A23" s="597"/>
      <c r="B23" s="597"/>
      <c r="C23" s="597"/>
      <c r="D23" s="609">
        <v>6606086</v>
      </c>
      <c r="E23" s="598" t="s">
        <v>448</v>
      </c>
      <c r="F23" s="598"/>
      <c r="G23" s="1971" t="s">
        <v>1421</v>
      </c>
      <c r="H23" s="1589"/>
      <c r="I23" s="1589"/>
      <c r="J23" s="1589"/>
      <c r="K23" s="598"/>
      <c r="L23" s="598"/>
      <c r="M23" s="598"/>
      <c r="N23" s="598"/>
    </row>
    <row r="24" spans="1:28" ht="13.5">
      <c r="A24" s="597"/>
      <c r="B24" s="597"/>
      <c r="C24" s="597"/>
      <c r="D24" s="611"/>
      <c r="E24" s="598"/>
      <c r="F24" s="598"/>
      <c r="G24" s="598"/>
      <c r="H24" s="598"/>
      <c r="I24" s="598"/>
      <c r="J24" s="598"/>
      <c r="K24" s="598"/>
      <c r="L24" s="598"/>
      <c r="M24" s="598"/>
      <c r="N24" s="598"/>
      <c r="O24" s="598"/>
      <c r="P24" s="598"/>
      <c r="Q24" s="598"/>
      <c r="R24" s="598"/>
    </row>
    <row r="25" spans="1:28" ht="13.5">
      <c r="A25" s="597">
        <v>2</v>
      </c>
      <c r="B25" s="597" t="s">
        <v>785</v>
      </c>
      <c r="C25" s="597" t="s">
        <v>760</v>
      </c>
      <c r="D25" s="604" t="s">
        <v>1425</v>
      </c>
      <c r="E25" s="598"/>
      <c r="F25" s="598"/>
      <c r="G25" s="598"/>
      <c r="H25" s="598"/>
      <c r="I25" s="598"/>
      <c r="J25" s="429"/>
      <c r="K25" s="598"/>
      <c r="L25" s="598"/>
      <c r="M25" s="598"/>
      <c r="N25" s="598"/>
      <c r="O25" s="598"/>
      <c r="P25" s="598"/>
      <c r="Q25" s="598"/>
      <c r="R25" s="598"/>
    </row>
    <row r="26" spans="1:28" ht="13.5">
      <c r="A26" s="597"/>
      <c r="C26" s="597"/>
      <c r="D26" s="604"/>
      <c r="E26" s="598"/>
      <c r="F26" s="598"/>
      <c r="G26" s="598"/>
      <c r="H26" s="598"/>
      <c r="I26" s="598"/>
      <c r="J26" s="429"/>
      <c r="K26" s="598"/>
      <c r="L26" s="598"/>
      <c r="M26" s="598"/>
      <c r="N26" s="598"/>
      <c r="O26" s="598"/>
      <c r="P26" s="598"/>
      <c r="Q26" s="598"/>
      <c r="R26" s="598"/>
    </row>
    <row r="27" spans="1:28" ht="13.5">
      <c r="A27" s="597"/>
      <c r="B27" s="429"/>
      <c r="C27" s="490" t="s">
        <v>344</v>
      </c>
      <c r="D27" s="490" t="s">
        <v>345</v>
      </c>
      <c r="E27" s="490" t="s">
        <v>438</v>
      </c>
      <c r="F27" s="490" t="s">
        <v>346</v>
      </c>
      <c r="G27" s="490" t="s">
        <v>347</v>
      </c>
      <c r="H27" s="490" t="s">
        <v>343</v>
      </c>
      <c r="I27" s="490"/>
      <c r="J27" s="490" t="s">
        <v>719</v>
      </c>
      <c r="K27" s="490" t="s">
        <v>720</v>
      </c>
      <c r="L27" s="490" t="s">
        <v>1128</v>
      </c>
      <c r="M27" s="600" t="s">
        <v>1129</v>
      </c>
      <c r="N27" s="597" t="s">
        <v>1130</v>
      </c>
      <c r="O27" s="597" t="s">
        <v>1131</v>
      </c>
      <c r="P27" s="597"/>
      <c r="Q27" s="600"/>
      <c r="R27" s="600"/>
    </row>
    <row r="28" spans="1:28" ht="13.5">
      <c r="A28" s="597"/>
      <c r="B28" s="429"/>
      <c r="C28" s="597" t="s">
        <v>300</v>
      </c>
      <c r="D28" s="597" t="s">
        <v>300</v>
      </c>
      <c r="E28" s="597" t="s">
        <v>300</v>
      </c>
      <c r="F28" s="597" t="s">
        <v>300</v>
      </c>
      <c r="G28" s="597" t="s">
        <v>300</v>
      </c>
      <c r="H28" s="597" t="s">
        <v>300</v>
      </c>
      <c r="I28" s="597"/>
      <c r="J28" s="597" t="s">
        <v>84</v>
      </c>
      <c r="K28" s="597" t="s">
        <v>84</v>
      </c>
      <c r="L28" s="597" t="s">
        <v>84</v>
      </c>
      <c r="M28" s="597" t="s">
        <v>84</v>
      </c>
      <c r="N28" s="597" t="s">
        <v>84</v>
      </c>
      <c r="O28" s="597" t="s">
        <v>84</v>
      </c>
      <c r="P28" s="597"/>
      <c r="Q28" s="600"/>
      <c r="R28" s="2"/>
    </row>
    <row r="29" spans="1:28" ht="13.5">
      <c r="A29" s="597"/>
      <c r="B29" s="598"/>
      <c r="C29" s="597" t="s">
        <v>80</v>
      </c>
      <c r="D29" s="597" t="s">
        <v>80</v>
      </c>
      <c r="E29" s="597" t="s">
        <v>80</v>
      </c>
      <c r="F29" s="597" t="s">
        <v>80</v>
      </c>
      <c r="G29" s="648"/>
      <c r="H29" s="648"/>
      <c r="I29" s="597"/>
      <c r="J29" s="597" t="s">
        <v>85</v>
      </c>
      <c r="K29" s="597" t="s">
        <v>86</v>
      </c>
      <c r="L29" s="597" t="s">
        <v>87</v>
      </c>
      <c r="M29" s="597" t="s">
        <v>88</v>
      </c>
      <c r="N29" s="597" t="s">
        <v>89</v>
      </c>
      <c r="O29" s="597" t="s">
        <v>90</v>
      </c>
      <c r="P29" s="597"/>
      <c r="Q29" s="602"/>
      <c r="R29" s="2"/>
    </row>
    <row r="30" spans="1:28" ht="13.5">
      <c r="A30" s="597"/>
      <c r="B30" s="598"/>
      <c r="C30" s="597"/>
      <c r="D30" s="597"/>
      <c r="E30" s="597"/>
      <c r="F30" s="597"/>
      <c r="G30" s="597" t="s">
        <v>81</v>
      </c>
      <c r="H30" s="597" t="s">
        <v>82</v>
      </c>
      <c r="I30" s="597"/>
      <c r="J30" s="597"/>
      <c r="K30" s="597"/>
      <c r="L30" s="597"/>
      <c r="M30" s="597"/>
      <c r="N30" s="597"/>
      <c r="O30" s="597"/>
      <c r="Q30" s="602"/>
      <c r="R30" s="2"/>
    </row>
    <row r="31" spans="1:28" ht="13.5">
      <c r="A31" s="597"/>
      <c r="B31" s="598"/>
      <c r="C31" s="597"/>
      <c r="D31" s="612"/>
      <c r="E31" s="612"/>
      <c r="F31" s="612"/>
      <c r="G31" s="597"/>
      <c r="H31" s="597"/>
      <c r="I31" s="647"/>
      <c r="J31" s="597"/>
      <c r="K31" s="597"/>
      <c r="L31" s="613"/>
      <c r="M31" s="597"/>
      <c r="N31" s="597"/>
      <c r="O31" s="608"/>
      <c r="Q31" s="602"/>
      <c r="R31" s="2"/>
    </row>
    <row r="32" spans="1:28" ht="13.5">
      <c r="A32" s="597"/>
      <c r="B32" s="598" t="s">
        <v>788</v>
      </c>
      <c r="C32" s="888"/>
      <c r="D32" s="614"/>
      <c r="E32" s="614"/>
      <c r="F32" s="614"/>
      <c r="G32" s="614"/>
      <c r="H32" s="614"/>
      <c r="I32" s="647"/>
      <c r="J32" s="613">
        <f t="shared" ref="J32:O32" si="0">C32</f>
        <v>0</v>
      </c>
      <c r="K32" s="613">
        <f t="shared" si="0"/>
        <v>0</v>
      </c>
      <c r="L32" s="613">
        <f t="shared" si="0"/>
        <v>0</v>
      </c>
      <c r="M32" s="613">
        <f t="shared" si="0"/>
        <v>0</v>
      </c>
      <c r="N32" s="613">
        <f t="shared" si="0"/>
        <v>0</v>
      </c>
      <c r="O32" s="613">
        <f t="shared" si="0"/>
        <v>0</v>
      </c>
      <c r="P32" s="613"/>
      <c r="Q32" s="602"/>
      <c r="R32" s="2"/>
    </row>
    <row r="33" spans="1:18" ht="13.5">
      <c r="A33" s="597"/>
      <c r="B33" s="598" t="s">
        <v>789</v>
      </c>
      <c r="C33" s="888"/>
      <c r="D33" s="614"/>
      <c r="E33" s="614"/>
      <c r="F33" s="614"/>
      <c r="G33" s="614"/>
      <c r="H33" s="614"/>
      <c r="I33" s="647"/>
      <c r="J33" s="613">
        <f>J32+C33</f>
        <v>0</v>
      </c>
      <c r="K33" s="613">
        <f t="shared" ref="K33:O43" si="1">K32+D33</f>
        <v>0</v>
      </c>
      <c r="L33" s="613">
        <f t="shared" si="1"/>
        <v>0</v>
      </c>
      <c r="M33" s="613">
        <f t="shared" si="1"/>
        <v>0</v>
      </c>
      <c r="N33" s="613">
        <f t="shared" si="1"/>
        <v>0</v>
      </c>
      <c r="O33" s="613">
        <f t="shared" si="1"/>
        <v>0</v>
      </c>
      <c r="P33" s="613"/>
      <c r="Q33" s="602"/>
      <c r="R33" s="2"/>
    </row>
    <row r="34" spans="1:18" ht="13.5">
      <c r="A34" s="597"/>
      <c r="B34" s="598" t="s">
        <v>790</v>
      </c>
      <c r="C34" s="888"/>
      <c r="D34" s="614"/>
      <c r="E34" s="614"/>
      <c r="F34" s="614"/>
      <c r="G34" s="614"/>
      <c r="H34" s="614"/>
      <c r="I34" s="647"/>
      <c r="J34" s="613">
        <f t="shared" ref="J34:J43" si="2">J33+C34</f>
        <v>0</v>
      </c>
      <c r="K34" s="613">
        <f t="shared" si="1"/>
        <v>0</v>
      </c>
      <c r="L34" s="613">
        <f t="shared" si="1"/>
        <v>0</v>
      </c>
      <c r="M34" s="613">
        <f t="shared" si="1"/>
        <v>0</v>
      </c>
      <c r="N34" s="613">
        <f t="shared" si="1"/>
        <v>0</v>
      </c>
      <c r="O34" s="613">
        <f t="shared" si="1"/>
        <v>0</v>
      </c>
      <c r="P34" s="613"/>
      <c r="Q34" s="602"/>
      <c r="R34" s="2"/>
    </row>
    <row r="35" spans="1:18" ht="13.5">
      <c r="A35" s="597"/>
      <c r="B35" s="598" t="s">
        <v>791</v>
      </c>
      <c r="C35" s="888"/>
      <c r="D35" s="614"/>
      <c r="E35" s="614"/>
      <c r="F35" s="614"/>
      <c r="G35" s="614"/>
      <c r="H35" s="614"/>
      <c r="I35" s="647"/>
      <c r="J35" s="613">
        <f t="shared" si="2"/>
        <v>0</v>
      </c>
      <c r="K35" s="613">
        <f t="shared" si="1"/>
        <v>0</v>
      </c>
      <c r="L35" s="613">
        <f t="shared" si="1"/>
        <v>0</v>
      </c>
      <c r="M35" s="613">
        <f t="shared" si="1"/>
        <v>0</v>
      </c>
      <c r="N35" s="613">
        <f t="shared" si="1"/>
        <v>0</v>
      </c>
      <c r="O35" s="613">
        <f t="shared" si="1"/>
        <v>0</v>
      </c>
      <c r="P35" s="613"/>
      <c r="Q35" s="602"/>
      <c r="R35" s="2"/>
    </row>
    <row r="36" spans="1:18" ht="13.5">
      <c r="A36" s="597"/>
      <c r="B36" s="598" t="s">
        <v>786</v>
      </c>
      <c r="C36" s="888"/>
      <c r="D36" s="614"/>
      <c r="E36" s="614"/>
      <c r="F36" s="614"/>
      <c r="G36" s="614"/>
      <c r="H36" s="614"/>
      <c r="I36" s="647"/>
      <c r="J36" s="613">
        <f t="shared" si="2"/>
        <v>0</v>
      </c>
      <c r="K36" s="613">
        <f t="shared" si="1"/>
        <v>0</v>
      </c>
      <c r="L36" s="613">
        <f t="shared" si="1"/>
        <v>0</v>
      </c>
      <c r="M36" s="613">
        <f t="shared" si="1"/>
        <v>0</v>
      </c>
      <c r="N36" s="613">
        <f t="shared" si="1"/>
        <v>0</v>
      </c>
      <c r="O36" s="613">
        <f t="shared" si="1"/>
        <v>0</v>
      </c>
      <c r="P36" s="613"/>
      <c r="Q36" s="602"/>
      <c r="R36" s="2"/>
    </row>
    <row r="37" spans="1:18" ht="13.5">
      <c r="A37" s="597"/>
      <c r="B37" s="598" t="s">
        <v>792</v>
      </c>
      <c r="C37" s="888"/>
      <c r="D37" s="614"/>
      <c r="E37" s="614"/>
      <c r="F37" s="614"/>
      <c r="G37" s="614"/>
      <c r="H37" s="614"/>
      <c r="I37" s="647"/>
      <c r="J37" s="613">
        <f t="shared" si="2"/>
        <v>0</v>
      </c>
      <c r="K37" s="613">
        <f t="shared" si="1"/>
        <v>0</v>
      </c>
      <c r="L37" s="613">
        <f t="shared" si="1"/>
        <v>0</v>
      </c>
      <c r="M37" s="613">
        <f t="shared" si="1"/>
        <v>0</v>
      </c>
      <c r="N37" s="613">
        <f t="shared" si="1"/>
        <v>0</v>
      </c>
      <c r="O37" s="613">
        <f t="shared" si="1"/>
        <v>0</v>
      </c>
      <c r="P37" s="613"/>
      <c r="Q37" s="602"/>
      <c r="R37" s="2"/>
    </row>
    <row r="38" spans="1:18" ht="13.5">
      <c r="A38" s="597"/>
      <c r="B38" s="598" t="s">
        <v>793</v>
      </c>
      <c r="C38" s="888"/>
      <c r="D38" s="614"/>
      <c r="E38" s="614"/>
      <c r="F38" s="614"/>
      <c r="G38" s="614"/>
      <c r="H38" s="614"/>
      <c r="I38" s="647"/>
      <c r="J38" s="613">
        <f t="shared" si="2"/>
        <v>0</v>
      </c>
      <c r="K38" s="613">
        <f t="shared" si="1"/>
        <v>0</v>
      </c>
      <c r="L38" s="613">
        <f t="shared" si="1"/>
        <v>0</v>
      </c>
      <c r="M38" s="613">
        <f t="shared" si="1"/>
        <v>0</v>
      </c>
      <c r="N38" s="613">
        <f t="shared" si="1"/>
        <v>0</v>
      </c>
      <c r="O38" s="613">
        <f t="shared" si="1"/>
        <v>0</v>
      </c>
      <c r="P38" s="613"/>
      <c r="Q38" s="602"/>
      <c r="R38" s="2"/>
    </row>
    <row r="39" spans="1:18" ht="13.5">
      <c r="A39" s="597"/>
      <c r="B39" s="598" t="s">
        <v>794</v>
      </c>
      <c r="C39" s="888"/>
      <c r="D39" s="614"/>
      <c r="E39" s="614"/>
      <c r="F39" s="614"/>
      <c r="G39" s="614"/>
      <c r="H39" s="614"/>
      <c r="I39" s="647"/>
      <c r="J39" s="613">
        <f t="shared" si="2"/>
        <v>0</v>
      </c>
      <c r="K39" s="613">
        <f t="shared" si="1"/>
        <v>0</v>
      </c>
      <c r="L39" s="613">
        <f t="shared" si="1"/>
        <v>0</v>
      </c>
      <c r="M39" s="613">
        <f t="shared" si="1"/>
        <v>0</v>
      </c>
      <c r="N39" s="613">
        <f t="shared" si="1"/>
        <v>0</v>
      </c>
      <c r="O39" s="613">
        <f t="shared" si="1"/>
        <v>0</v>
      </c>
      <c r="P39" s="613"/>
      <c r="Q39" s="602"/>
      <c r="R39" s="2"/>
    </row>
    <row r="40" spans="1:18" ht="13.5">
      <c r="A40" s="597"/>
      <c r="B40" s="598" t="s">
        <v>795</v>
      </c>
      <c r="C40" s="888"/>
      <c r="D40" s="614"/>
      <c r="E40" s="614"/>
      <c r="F40" s="614"/>
      <c r="G40" s="614"/>
      <c r="H40" s="614"/>
      <c r="I40" s="647"/>
      <c r="J40" s="613">
        <f t="shared" si="2"/>
        <v>0</v>
      </c>
      <c r="K40" s="613">
        <f t="shared" si="1"/>
        <v>0</v>
      </c>
      <c r="L40" s="613">
        <f t="shared" si="1"/>
        <v>0</v>
      </c>
      <c r="M40" s="613">
        <f t="shared" si="1"/>
        <v>0</v>
      </c>
      <c r="N40" s="613">
        <f t="shared" si="1"/>
        <v>0</v>
      </c>
      <c r="O40" s="613">
        <f t="shared" si="1"/>
        <v>0</v>
      </c>
      <c r="P40" s="613"/>
      <c r="Q40" s="602"/>
      <c r="R40" s="2"/>
    </row>
    <row r="41" spans="1:18" ht="13.5">
      <c r="A41" s="597"/>
      <c r="B41" s="598" t="s">
        <v>796</v>
      </c>
      <c r="C41" s="888"/>
      <c r="D41" s="614"/>
      <c r="E41" s="614"/>
      <c r="F41" s="614"/>
      <c r="G41" s="614"/>
      <c r="H41" s="614"/>
      <c r="I41" s="647"/>
      <c r="J41" s="613">
        <f t="shared" si="2"/>
        <v>0</v>
      </c>
      <c r="K41" s="613">
        <f t="shared" si="1"/>
        <v>0</v>
      </c>
      <c r="L41" s="613">
        <f t="shared" si="1"/>
        <v>0</v>
      </c>
      <c r="M41" s="613">
        <f t="shared" si="1"/>
        <v>0</v>
      </c>
      <c r="N41" s="613">
        <f t="shared" si="1"/>
        <v>0</v>
      </c>
      <c r="O41" s="613">
        <f t="shared" si="1"/>
        <v>0</v>
      </c>
      <c r="P41" s="613"/>
      <c r="Q41" s="602"/>
      <c r="R41" s="2"/>
    </row>
    <row r="42" spans="1:18" ht="13.5">
      <c r="A42" s="597"/>
      <c r="B42" s="598" t="s">
        <v>797</v>
      </c>
      <c r="C42" s="888"/>
      <c r="D42" s="614"/>
      <c r="E42" s="614"/>
      <c r="F42" s="614"/>
      <c r="G42" s="614"/>
      <c r="H42" s="614"/>
      <c r="I42" s="647"/>
      <c r="J42" s="613">
        <f t="shared" si="2"/>
        <v>0</v>
      </c>
      <c r="K42" s="613">
        <f t="shared" si="1"/>
        <v>0</v>
      </c>
      <c r="L42" s="613">
        <f t="shared" si="1"/>
        <v>0</v>
      </c>
      <c r="M42" s="613">
        <f t="shared" si="1"/>
        <v>0</v>
      </c>
      <c r="N42" s="613">
        <f t="shared" si="1"/>
        <v>0</v>
      </c>
      <c r="O42" s="613">
        <f t="shared" si="1"/>
        <v>0</v>
      </c>
      <c r="P42" s="613"/>
      <c r="Q42" s="602"/>
      <c r="R42" s="2"/>
    </row>
    <row r="43" spans="1:18" ht="13.5">
      <c r="A43" s="597"/>
      <c r="B43" s="598" t="s">
        <v>798</v>
      </c>
      <c r="C43" s="888"/>
      <c r="D43" s="614"/>
      <c r="E43" s="614"/>
      <c r="F43" s="614"/>
      <c r="G43" s="614"/>
      <c r="H43" s="614"/>
      <c r="I43" s="647"/>
      <c r="J43" s="613">
        <f t="shared" si="2"/>
        <v>0</v>
      </c>
      <c r="K43" s="613">
        <f t="shared" si="1"/>
        <v>0</v>
      </c>
      <c r="L43" s="613">
        <f t="shared" si="1"/>
        <v>0</v>
      </c>
      <c r="M43" s="613">
        <f t="shared" si="1"/>
        <v>0</v>
      </c>
      <c r="N43" s="613">
        <f t="shared" si="1"/>
        <v>0</v>
      </c>
      <c r="O43" s="613">
        <f t="shared" si="1"/>
        <v>0</v>
      </c>
      <c r="P43" s="613"/>
      <c r="Q43" s="602"/>
      <c r="R43" s="2"/>
    </row>
    <row r="44" spans="1:18" ht="13.5">
      <c r="A44" s="597"/>
      <c r="B44" s="598" t="s">
        <v>1015</v>
      </c>
      <c r="C44" s="613">
        <f t="shared" ref="C44:H44" si="3">SUM(C32:C43)</f>
        <v>0</v>
      </c>
      <c r="D44" s="613">
        <f t="shared" si="3"/>
        <v>0</v>
      </c>
      <c r="E44" s="613">
        <f t="shared" si="3"/>
        <v>0</v>
      </c>
      <c r="F44" s="613">
        <f t="shared" si="3"/>
        <v>0</v>
      </c>
      <c r="G44" s="613">
        <f t="shared" si="3"/>
        <v>0</v>
      </c>
      <c r="H44" s="613">
        <f t="shared" si="3"/>
        <v>0</v>
      </c>
      <c r="I44" s="613" t="s">
        <v>91</v>
      </c>
      <c r="J44" s="613">
        <f t="shared" ref="J44:O44" si="4">AVERAGE(J32:J43)</f>
        <v>0</v>
      </c>
      <c r="K44" s="613">
        <f t="shared" si="4"/>
        <v>0</v>
      </c>
      <c r="L44" s="613">
        <f t="shared" si="4"/>
        <v>0</v>
      </c>
      <c r="M44" s="613">
        <f t="shared" si="4"/>
        <v>0</v>
      </c>
      <c r="N44" s="613">
        <f t="shared" si="4"/>
        <v>0</v>
      </c>
      <c r="O44" s="613">
        <f t="shared" si="4"/>
        <v>0</v>
      </c>
      <c r="P44" s="613"/>
      <c r="Q44" s="634"/>
      <c r="R44" s="2"/>
    </row>
    <row r="45" spans="1:18" ht="13.5">
      <c r="A45" s="597"/>
      <c r="C45" s="598"/>
      <c r="D45" s="429"/>
      <c r="E45" s="429"/>
      <c r="F45" s="429"/>
      <c r="G45" s="429"/>
      <c r="H45" s="429"/>
      <c r="I45" s="429"/>
      <c r="J45" s="429"/>
      <c r="K45" s="429"/>
      <c r="L45" s="615"/>
      <c r="M45" s="598"/>
      <c r="N45" s="598"/>
      <c r="O45" s="598"/>
      <c r="Q45" s="602"/>
      <c r="R45" s="2"/>
    </row>
    <row r="46" spans="1:18" ht="13.5">
      <c r="A46" s="597"/>
      <c r="B46" s="598" t="s">
        <v>93</v>
      </c>
      <c r="C46" s="598"/>
      <c r="D46" s="429"/>
      <c r="E46" s="429"/>
      <c r="F46" s="429"/>
      <c r="G46" s="429"/>
      <c r="H46" s="429"/>
      <c r="I46" s="429"/>
      <c r="J46" s="598"/>
      <c r="K46" s="649" t="s">
        <v>92</v>
      </c>
      <c r="L46" s="429"/>
      <c r="M46" s="613">
        <f>SUM(J44:O44)</f>
        <v>0</v>
      </c>
      <c r="N46" s="613"/>
      <c r="O46" s="613"/>
      <c r="Q46" s="634"/>
      <c r="R46" s="2"/>
    </row>
    <row r="47" spans="1:18" ht="13.5">
      <c r="A47" s="597"/>
      <c r="B47" s="598"/>
      <c r="C47" s="598"/>
      <c r="D47" s="429"/>
      <c r="E47" s="429"/>
      <c r="F47" s="429"/>
      <c r="G47" s="429"/>
      <c r="H47" s="429"/>
      <c r="I47" s="429"/>
      <c r="J47" s="598"/>
      <c r="K47" s="598"/>
      <c r="L47" s="429"/>
      <c r="M47" s="613"/>
      <c r="N47" s="598"/>
      <c r="O47" s="613"/>
      <c r="Q47" s="634"/>
      <c r="R47" s="2"/>
    </row>
    <row r="48" spans="1:18" ht="13.5">
      <c r="A48" s="597"/>
      <c r="B48" s="597"/>
      <c r="C48" s="597"/>
      <c r="D48" s="598"/>
      <c r="E48" s="598"/>
      <c r="F48" s="429"/>
      <c r="G48" s="429"/>
      <c r="H48" s="429"/>
      <c r="I48" s="429"/>
      <c r="J48" s="598"/>
      <c r="L48" s="429"/>
      <c r="M48" s="616"/>
      <c r="N48" s="616"/>
      <c r="O48" s="617"/>
      <c r="Q48" s="602"/>
      <c r="R48" s="2"/>
    </row>
    <row r="49" spans="1:18" ht="13.5">
      <c r="A49" s="597">
        <v>3</v>
      </c>
      <c r="B49" s="597" t="s">
        <v>785</v>
      </c>
      <c r="C49" s="597" t="s">
        <v>760</v>
      </c>
      <c r="D49" s="604" t="s">
        <v>1426</v>
      </c>
      <c r="E49" s="598"/>
      <c r="F49" s="598"/>
      <c r="G49" s="598"/>
      <c r="H49" s="598"/>
      <c r="I49" s="598"/>
      <c r="J49" s="598"/>
      <c r="K49" s="598"/>
      <c r="L49" s="613"/>
      <c r="M49" s="598"/>
      <c r="N49" s="598"/>
      <c r="O49" s="598"/>
      <c r="P49" s="598"/>
      <c r="Q49" s="598"/>
      <c r="R49" s="598"/>
    </row>
    <row r="50" spans="1:18" ht="13.5">
      <c r="A50" s="597"/>
      <c r="B50" s="597"/>
      <c r="C50" s="597"/>
      <c r="D50" s="618">
        <v>6580299</v>
      </c>
      <c r="E50" s="611"/>
      <c r="F50" s="613"/>
      <c r="G50" s="1960" t="s">
        <v>1420</v>
      </c>
      <c r="H50" s="1588"/>
      <c r="I50" s="598"/>
      <c r="J50" s="598"/>
      <c r="K50" s="598"/>
      <c r="L50" s="613"/>
      <c r="M50" s="598"/>
      <c r="N50" s="598"/>
      <c r="O50" s="598"/>
      <c r="P50" s="598"/>
      <c r="Q50" s="598"/>
      <c r="R50" s="598"/>
    </row>
    <row r="51" spans="1:18" ht="13.5">
      <c r="A51" s="597"/>
      <c r="B51" s="597"/>
      <c r="C51" s="597"/>
      <c r="D51" s="619"/>
      <c r="E51" s="597"/>
      <c r="F51" s="613"/>
      <c r="G51" s="1961"/>
      <c r="H51" s="1588"/>
      <c r="I51" s="598"/>
      <c r="J51" s="598"/>
      <c r="K51" s="598"/>
      <c r="L51" s="598"/>
      <c r="M51" s="598"/>
      <c r="N51" s="598"/>
      <c r="O51" s="598"/>
      <c r="P51" s="598"/>
      <c r="Q51" s="598"/>
      <c r="R51" s="598"/>
    </row>
    <row r="52" spans="1:18" ht="13.5">
      <c r="A52" s="597">
        <v>4</v>
      </c>
      <c r="B52" s="597" t="s">
        <v>786</v>
      </c>
      <c r="C52" s="597" t="s">
        <v>760</v>
      </c>
      <c r="D52" s="598" t="s">
        <v>1127</v>
      </c>
      <c r="E52" s="598"/>
      <c r="F52" s="598"/>
      <c r="G52" s="1962"/>
      <c r="H52" s="1589"/>
      <c r="I52" s="598"/>
      <c r="J52" s="598"/>
      <c r="K52" s="598"/>
      <c r="L52" s="598"/>
      <c r="M52" s="598"/>
      <c r="N52" s="598"/>
      <c r="O52" s="598"/>
      <c r="P52" s="598"/>
      <c r="Q52" s="598"/>
      <c r="R52" s="598"/>
    </row>
    <row r="53" spans="1:18" ht="13.5">
      <c r="A53" s="597"/>
      <c r="B53" s="597"/>
      <c r="C53" s="597"/>
      <c r="D53" s="609">
        <v>6580299</v>
      </c>
      <c r="E53" s="429"/>
      <c r="F53" s="619"/>
      <c r="G53" s="1960" t="s">
        <v>1420</v>
      </c>
      <c r="H53" s="1589"/>
      <c r="I53" s="598"/>
      <c r="J53" s="598"/>
      <c r="K53" s="598"/>
      <c r="L53" s="598"/>
      <c r="M53" s="598"/>
      <c r="N53" s="598"/>
      <c r="O53" s="598"/>
      <c r="P53" s="598"/>
      <c r="Q53" s="598"/>
      <c r="R53" s="598"/>
    </row>
    <row r="54" spans="1:18" ht="13.5">
      <c r="A54" s="597"/>
      <c r="B54" s="597"/>
      <c r="C54" s="597"/>
      <c r="D54" s="620"/>
      <c r="E54" s="598"/>
      <c r="F54" s="598"/>
      <c r="G54" s="1962"/>
      <c r="H54" s="1589"/>
      <c r="I54" s="598"/>
      <c r="J54" s="598"/>
      <c r="K54" s="598"/>
      <c r="L54" s="598"/>
      <c r="M54" s="598"/>
      <c r="N54" s="598"/>
      <c r="O54" s="598"/>
      <c r="P54" s="598"/>
      <c r="Q54" s="598"/>
      <c r="R54" s="598"/>
    </row>
    <row r="55" spans="1:18" ht="13.5">
      <c r="A55" s="597">
        <v>5</v>
      </c>
      <c r="B55" s="597" t="s">
        <v>787</v>
      </c>
      <c r="C55" s="597" t="s">
        <v>760</v>
      </c>
      <c r="D55" s="601" t="s">
        <v>1427</v>
      </c>
      <c r="E55" s="598"/>
      <c r="F55" s="598"/>
      <c r="G55" s="1962"/>
      <c r="H55" s="598"/>
      <c r="I55" s="598"/>
      <c r="J55" s="598"/>
      <c r="K55" s="598"/>
      <c r="L55" s="598"/>
      <c r="M55" s="598"/>
      <c r="N55" s="598"/>
      <c r="O55" s="598"/>
      <c r="P55" s="598"/>
      <c r="Q55" s="598"/>
      <c r="R55" s="598"/>
    </row>
    <row r="56" spans="1:18" ht="13.5">
      <c r="A56" s="597"/>
      <c r="B56" s="597"/>
      <c r="C56" s="597"/>
      <c r="D56" s="618">
        <f>D53</f>
        <v>6580299</v>
      </c>
      <c r="E56" s="598"/>
      <c r="F56" s="598"/>
      <c r="G56" s="1962"/>
      <c r="H56" s="598"/>
      <c r="I56" s="598"/>
      <c r="J56" s="598"/>
      <c r="K56" s="598"/>
      <c r="L56" s="598"/>
      <c r="M56" s="598"/>
      <c r="N56" s="598"/>
      <c r="O56" s="598"/>
      <c r="P56" s="598"/>
      <c r="Q56" s="598"/>
      <c r="R56" s="598"/>
    </row>
    <row r="57" spans="1:18" ht="13.5">
      <c r="A57" s="621"/>
      <c r="B57" s="621"/>
      <c r="C57" s="621"/>
      <c r="D57" s="622"/>
      <c r="E57" s="622"/>
      <c r="F57" s="622"/>
      <c r="G57" s="1963"/>
      <c r="H57" s="622"/>
      <c r="I57" s="622"/>
      <c r="J57" s="622"/>
      <c r="K57" s="622"/>
      <c r="L57" s="598"/>
      <c r="M57" s="598"/>
      <c r="N57" s="598"/>
      <c r="O57" s="598"/>
      <c r="P57" s="598"/>
      <c r="Q57" s="598"/>
      <c r="R57" s="598"/>
    </row>
    <row r="58" spans="1:18" ht="15.75">
      <c r="A58" s="621"/>
      <c r="B58" s="621"/>
      <c r="C58" s="621"/>
      <c r="D58" s="622"/>
      <c r="E58" s="622"/>
      <c r="F58" s="622"/>
      <c r="G58" s="1963"/>
      <c r="H58" s="622"/>
      <c r="I58" s="622"/>
      <c r="J58" s="623"/>
      <c r="K58" s="622"/>
      <c r="L58" s="598"/>
      <c r="M58" s="598"/>
      <c r="N58" s="598"/>
      <c r="O58" s="598"/>
      <c r="P58" s="598"/>
      <c r="Q58" s="598"/>
      <c r="R58" s="598"/>
    </row>
    <row r="59" spans="1:18" ht="15.75">
      <c r="A59" s="621"/>
      <c r="B59" s="621"/>
      <c r="C59" s="621"/>
      <c r="D59" s="622"/>
      <c r="E59" s="622"/>
      <c r="F59" s="622"/>
      <c r="G59" s="1963"/>
      <c r="H59" s="622"/>
      <c r="I59" s="622"/>
      <c r="J59" s="623"/>
      <c r="K59" s="622"/>
      <c r="L59" s="598"/>
      <c r="M59" s="598"/>
      <c r="N59" s="598"/>
      <c r="O59" s="598"/>
      <c r="P59" s="598"/>
      <c r="Q59" s="598"/>
      <c r="R59" s="598"/>
    </row>
    <row r="60" spans="1:18" ht="13.5">
      <c r="A60" s="597">
        <v>6</v>
      </c>
      <c r="B60" s="597" t="s">
        <v>785</v>
      </c>
      <c r="C60" s="597" t="s">
        <v>761</v>
      </c>
      <c r="D60" s="604" t="s">
        <v>1428</v>
      </c>
      <c r="E60" s="598"/>
      <c r="F60" s="598"/>
      <c r="G60" s="1962"/>
      <c r="H60" s="598"/>
      <c r="I60" s="598"/>
      <c r="J60" s="598"/>
      <c r="K60" s="598"/>
      <c r="L60" s="598"/>
      <c r="M60" s="598"/>
      <c r="N60" s="598"/>
      <c r="O60" s="598"/>
      <c r="P60" s="598"/>
      <c r="Q60" s="598"/>
      <c r="R60" s="598"/>
    </row>
    <row r="61" spans="1:18" ht="13.5">
      <c r="A61" s="597"/>
      <c r="B61" s="597"/>
      <c r="C61" s="597"/>
      <c r="D61" s="624">
        <v>7985646</v>
      </c>
      <c r="E61" s="598" t="s">
        <v>816</v>
      </c>
      <c r="F61" s="598"/>
      <c r="G61" s="1960" t="s">
        <v>1420</v>
      </c>
      <c r="H61" s="598"/>
      <c r="I61" s="598"/>
      <c r="J61" s="429"/>
      <c r="K61" s="598"/>
      <c r="L61" s="598"/>
      <c r="M61" s="598"/>
      <c r="N61" s="598"/>
      <c r="O61" s="598"/>
      <c r="P61" s="598"/>
      <c r="Q61" s="598"/>
      <c r="R61" s="598"/>
    </row>
    <row r="62" spans="1:18" ht="13.5">
      <c r="A62" s="597"/>
      <c r="B62" s="597"/>
      <c r="C62" s="597"/>
      <c r="D62" s="625"/>
      <c r="E62" s="598"/>
      <c r="F62" s="598"/>
      <c r="G62" s="1964"/>
      <c r="H62" s="598"/>
      <c r="I62" s="598"/>
      <c r="J62" s="598"/>
      <c r="K62" s="598"/>
      <c r="L62" s="598"/>
      <c r="M62" s="598"/>
      <c r="N62" s="598"/>
      <c r="O62" s="598"/>
      <c r="P62" s="598"/>
      <c r="Q62" s="598"/>
      <c r="R62" s="598"/>
    </row>
    <row r="63" spans="1:18" ht="13.5">
      <c r="A63" s="597"/>
      <c r="B63" s="597"/>
      <c r="C63" s="597"/>
      <c r="D63" s="626"/>
      <c r="E63" s="598"/>
      <c r="F63" s="598"/>
      <c r="G63" s="1962"/>
      <c r="H63" s="598"/>
      <c r="I63" s="598"/>
      <c r="J63" s="598"/>
      <c r="K63" s="598"/>
      <c r="L63" s="598"/>
      <c r="M63" s="598"/>
      <c r="N63" s="598"/>
      <c r="O63" s="598"/>
      <c r="P63" s="598"/>
      <c r="Q63" s="598"/>
      <c r="R63" s="598"/>
    </row>
    <row r="64" spans="1:18" ht="13.5">
      <c r="A64" s="597"/>
      <c r="B64" s="597"/>
      <c r="C64" s="597"/>
      <c r="D64" s="598"/>
      <c r="E64" s="598"/>
      <c r="F64" s="598"/>
      <c r="G64" s="1962"/>
      <c r="H64" s="613"/>
      <c r="I64" s="598"/>
      <c r="J64" s="598"/>
      <c r="K64" s="598"/>
      <c r="L64" s="598"/>
      <c r="M64" s="598"/>
      <c r="N64" s="598"/>
      <c r="O64" s="598"/>
      <c r="P64" s="598"/>
      <c r="Q64" s="598"/>
      <c r="R64" s="598"/>
    </row>
    <row r="65" spans="1:18" ht="13.5">
      <c r="A65" s="597">
        <v>7</v>
      </c>
      <c r="B65" s="597" t="s">
        <v>785</v>
      </c>
      <c r="C65" s="597" t="s">
        <v>761</v>
      </c>
      <c r="D65" s="604" t="str">
        <f>+'6 - Est and True up'!D65</f>
        <v>Reconciliation</v>
      </c>
      <c r="E65" s="605"/>
      <c r="F65" s="605"/>
      <c r="G65" s="1965"/>
      <c r="H65" s="605"/>
      <c r="I65" s="605"/>
      <c r="J65" s="605"/>
      <c r="K65" s="598"/>
      <c r="L65" s="598"/>
      <c r="M65" s="598"/>
      <c r="N65" s="598"/>
      <c r="O65" s="598"/>
      <c r="P65" s="598"/>
      <c r="Q65" s="598"/>
      <c r="R65" s="598"/>
    </row>
    <row r="66" spans="1:18" ht="13.5">
      <c r="A66" s="597"/>
      <c r="B66" s="597"/>
      <c r="C66" s="597"/>
      <c r="D66" s="627"/>
      <c r="E66" s="628"/>
      <c r="F66" s="628"/>
      <c r="G66" s="1966"/>
      <c r="H66" s="605"/>
      <c r="I66" s="605"/>
      <c r="J66" s="605"/>
      <c r="K66" s="598"/>
      <c r="L66" s="598"/>
      <c r="M66" s="598"/>
      <c r="N66" s="598"/>
      <c r="O66" s="598"/>
      <c r="P66" s="598"/>
      <c r="Q66" s="598"/>
      <c r="R66" s="598"/>
    </row>
    <row r="67" spans="1:18" ht="13.5">
      <c r="A67" s="597"/>
      <c r="B67" s="598"/>
      <c r="C67" s="598"/>
      <c r="D67" s="429"/>
      <c r="E67" s="429"/>
      <c r="F67" s="429"/>
      <c r="G67" s="1967"/>
      <c r="H67" s="429"/>
      <c r="I67" s="429"/>
      <c r="J67" s="598"/>
      <c r="K67" s="598"/>
      <c r="L67" s="613"/>
      <c r="M67" s="598"/>
      <c r="N67" s="429"/>
      <c r="O67" s="598"/>
      <c r="P67" s="598"/>
      <c r="Q67" s="602"/>
      <c r="R67" s="643"/>
    </row>
    <row r="68" spans="1:18" ht="13.5">
      <c r="A68" s="597"/>
      <c r="B68" s="597"/>
      <c r="C68" s="597"/>
      <c r="D68" s="624">
        <f>D61</f>
        <v>7985646</v>
      </c>
      <c r="E68" s="630" t="s">
        <v>1146</v>
      </c>
      <c r="F68" s="598"/>
      <c r="G68" s="1960" t="s">
        <v>1420</v>
      </c>
      <c r="H68" s="598"/>
      <c r="I68" s="598"/>
      <c r="J68" s="598"/>
      <c r="K68" s="598"/>
      <c r="L68" s="613"/>
      <c r="M68" s="598"/>
      <c r="N68" s="429"/>
      <c r="O68" s="632"/>
      <c r="P68" s="633"/>
      <c r="Q68" s="633"/>
      <c r="R68" s="633"/>
    </row>
    <row r="69" spans="1:18" ht="13.5">
      <c r="A69" s="430"/>
      <c r="B69" s="597"/>
      <c r="C69" s="597"/>
      <c r="D69" s="429"/>
      <c r="E69" s="598" t="s">
        <v>1166</v>
      </c>
      <c r="F69" s="598"/>
      <c r="G69" s="602"/>
      <c r="H69" s="634"/>
      <c r="I69" s="602"/>
      <c r="J69" s="598"/>
      <c r="K69" s="598"/>
      <c r="L69" s="598"/>
      <c r="M69" s="598"/>
      <c r="N69" s="598"/>
      <c r="O69" s="598"/>
      <c r="P69" s="598"/>
      <c r="Q69" s="598"/>
      <c r="R69" s="598"/>
    </row>
    <row r="70" spans="1:18" ht="13.5">
      <c r="A70" s="597"/>
      <c r="B70" s="597"/>
      <c r="C70" s="597"/>
      <c r="D70" s="630"/>
      <c r="E70" s="598"/>
      <c r="F70" s="598"/>
      <c r="G70" s="602"/>
      <c r="H70" s="634"/>
      <c r="I70" s="602"/>
      <c r="J70" s="598"/>
      <c r="K70" s="598"/>
      <c r="L70" s="598"/>
      <c r="M70" s="598"/>
      <c r="N70" s="598"/>
      <c r="O70" s="598"/>
      <c r="P70" s="598"/>
      <c r="Q70" s="598"/>
      <c r="R70" s="598"/>
    </row>
    <row r="71" spans="1:18" ht="13.5">
      <c r="A71" s="430"/>
      <c r="B71" s="597"/>
      <c r="C71" s="597"/>
      <c r="D71" s="635">
        <v>0</v>
      </c>
      <c r="E71" s="598" t="s">
        <v>509</v>
      </c>
      <c r="F71" s="598"/>
      <c r="G71" s="602"/>
      <c r="H71" s="634"/>
      <c r="I71" s="602"/>
      <c r="J71" s="598"/>
      <c r="K71" s="598"/>
      <c r="L71" s="598"/>
      <c r="M71" s="598"/>
      <c r="N71" s="598"/>
      <c r="O71" s="598"/>
      <c r="P71" s="598"/>
      <c r="Q71" s="598"/>
      <c r="R71" s="598"/>
    </row>
    <row r="72" spans="1:18" ht="13.5">
      <c r="A72" s="430"/>
      <c r="B72" s="597"/>
      <c r="C72" s="597"/>
      <c r="D72" s="429"/>
      <c r="E72" s="598"/>
      <c r="F72" s="598"/>
      <c r="G72" s="602"/>
      <c r="H72" s="634"/>
      <c r="I72" s="602"/>
      <c r="J72" s="598"/>
      <c r="K72" s="598"/>
      <c r="L72" s="598"/>
      <c r="M72" s="598"/>
      <c r="N72" s="598"/>
      <c r="O72" s="598"/>
      <c r="P72" s="598"/>
      <c r="Q72" s="598"/>
      <c r="R72" s="598"/>
    </row>
    <row r="73" spans="1:18" ht="13.5">
      <c r="A73" s="597"/>
      <c r="B73" s="597"/>
      <c r="C73" s="597"/>
      <c r="D73" s="630"/>
      <c r="E73" s="598"/>
      <c r="F73" s="598"/>
      <c r="G73" s="602"/>
      <c r="H73" s="634"/>
      <c r="I73" s="602"/>
      <c r="J73" s="598"/>
      <c r="K73" s="598"/>
      <c r="L73" s="598"/>
      <c r="M73" s="598"/>
      <c r="N73" s="598"/>
      <c r="O73" s="598"/>
      <c r="P73" s="598"/>
      <c r="Q73" s="598"/>
      <c r="R73" s="598"/>
    </row>
    <row r="74" spans="1:18" ht="13.5">
      <c r="A74" s="597">
        <v>8</v>
      </c>
      <c r="B74" s="597" t="s">
        <v>785</v>
      </c>
      <c r="C74" s="597" t="s">
        <v>761</v>
      </c>
      <c r="D74" s="604" t="str">
        <f>+'6A-Colstrip'!D74</f>
        <v>True-Up Adjustment</v>
      </c>
      <c r="E74" s="598"/>
      <c r="F74" s="598"/>
      <c r="G74" s="598"/>
      <c r="H74" s="598"/>
      <c r="I74" s="598"/>
      <c r="J74" s="598"/>
      <c r="K74" s="598"/>
      <c r="L74" s="598"/>
      <c r="M74" s="598"/>
      <c r="N74" s="598"/>
      <c r="O74" s="598"/>
      <c r="P74" s="598"/>
      <c r="Q74" s="598"/>
      <c r="R74" s="598"/>
    </row>
    <row r="75" spans="1:18" ht="13.5">
      <c r="A75" s="597"/>
      <c r="B75" s="597"/>
      <c r="C75" s="597"/>
      <c r="D75" s="604"/>
      <c r="E75" s="598"/>
      <c r="F75" s="598"/>
      <c r="G75" s="598"/>
      <c r="H75" s="598"/>
      <c r="I75" s="598"/>
      <c r="J75" s="598"/>
      <c r="K75" s="598"/>
      <c r="L75" s="598"/>
      <c r="M75" s="598"/>
      <c r="N75" s="598"/>
      <c r="O75" s="598"/>
      <c r="P75" s="598"/>
      <c r="Q75" s="598"/>
      <c r="R75" s="598"/>
    </row>
    <row r="76" spans="1:18" ht="13.5">
      <c r="A76" s="600"/>
      <c r="B76" s="600"/>
      <c r="C76" s="597"/>
      <c r="D76" s="427" t="s">
        <v>1108</v>
      </c>
      <c r="E76" s="429"/>
      <c r="F76" s="429"/>
      <c r="G76" s="429"/>
      <c r="H76" s="429"/>
      <c r="I76" s="429"/>
      <c r="J76" s="429"/>
      <c r="K76" s="429"/>
      <c r="L76" s="598"/>
      <c r="M76" s="598"/>
      <c r="N76" s="598"/>
      <c r="O76" s="598"/>
      <c r="P76" s="598"/>
      <c r="Q76" s="598"/>
      <c r="R76" s="598"/>
    </row>
    <row r="77" spans="1:18" ht="13.5">
      <c r="A77" s="600"/>
      <c r="B77" s="600"/>
      <c r="C77" s="597"/>
      <c r="D77" s="429"/>
      <c r="E77" s="598" t="s">
        <v>1167</v>
      </c>
      <c r="F77" s="598"/>
      <c r="G77" s="598"/>
      <c r="H77" s="598"/>
      <c r="I77" s="598"/>
      <c r="J77" s="598"/>
      <c r="K77" s="429"/>
      <c r="L77" s="598"/>
      <c r="M77" s="598"/>
      <c r="N77" s="598"/>
      <c r="O77" s="598"/>
      <c r="P77" s="598"/>
      <c r="Q77" s="598"/>
      <c r="R77" s="598"/>
    </row>
    <row r="78" spans="1:18" ht="27">
      <c r="A78" s="600"/>
      <c r="B78" s="600"/>
      <c r="C78" s="597"/>
      <c r="D78" s="429"/>
      <c r="E78" s="864" t="s">
        <v>781</v>
      </c>
      <c r="F78" s="864" t="s">
        <v>1168</v>
      </c>
      <c r="G78" s="864" t="s">
        <v>1169</v>
      </c>
      <c r="H78" s="864" t="s">
        <v>1170</v>
      </c>
      <c r="I78" s="864" t="s">
        <v>1171</v>
      </c>
      <c r="J78" s="864" t="s">
        <v>1172</v>
      </c>
      <c r="K78" s="629"/>
      <c r="L78" s="598"/>
      <c r="M78" s="1947" t="s">
        <v>1432</v>
      </c>
      <c r="N78" s="650"/>
      <c r="O78" s="598"/>
      <c r="P78" s="598"/>
      <c r="Q78" s="598"/>
      <c r="R78" s="598"/>
    </row>
    <row r="79" spans="1:18" ht="13.5">
      <c r="A79" s="600"/>
      <c r="B79" s="600"/>
      <c r="C79" s="597"/>
      <c r="D79" s="429"/>
      <c r="E79" s="598" t="s">
        <v>788</v>
      </c>
      <c r="F79" s="882">
        <v>1.835</v>
      </c>
      <c r="G79" s="636">
        <f>'WKSHT4 - Monthly Tx System Peak'!C34</f>
        <v>600</v>
      </c>
      <c r="H79" s="651">
        <f t="shared" ref="H79:H90" si="5">+F79*G79*1000</f>
        <v>1101000</v>
      </c>
      <c r="I79" s="636">
        <v>0</v>
      </c>
      <c r="J79" s="651">
        <f t="shared" ref="J79:J90" si="6">+H79-I79</f>
        <v>1101000</v>
      </c>
      <c r="K79" s="429"/>
      <c r="L79" s="598"/>
      <c r="M79" s="636"/>
      <c r="N79" s="636"/>
      <c r="O79" s="598"/>
      <c r="P79" s="598"/>
      <c r="Q79" s="598"/>
      <c r="R79" s="598"/>
    </row>
    <row r="80" spans="1:18" ht="13.5">
      <c r="A80" s="600"/>
      <c r="B80" s="600"/>
      <c r="C80" s="597"/>
      <c r="D80" s="429"/>
      <c r="E80" s="598" t="s">
        <v>789</v>
      </c>
      <c r="F80" s="882">
        <f>F79</f>
        <v>1.835</v>
      </c>
      <c r="G80" s="636">
        <f>'WKSHT4 - Monthly Tx System Peak'!C35</f>
        <v>600</v>
      </c>
      <c r="H80" s="651">
        <f t="shared" si="5"/>
        <v>1101000</v>
      </c>
      <c r="I80" s="636">
        <v>0</v>
      </c>
      <c r="J80" s="651">
        <f t="shared" si="6"/>
        <v>1101000</v>
      </c>
      <c r="K80" s="429"/>
      <c r="L80" s="598"/>
      <c r="M80" s="1972"/>
      <c r="N80" s="636"/>
      <c r="O80" s="598"/>
      <c r="P80" s="598"/>
      <c r="Q80" s="598"/>
      <c r="R80" s="598"/>
    </row>
    <row r="81" spans="1:18" ht="13.5">
      <c r="A81" s="600"/>
      <c r="B81" s="600"/>
      <c r="C81" s="597"/>
      <c r="D81" s="429"/>
      <c r="E81" s="598" t="s">
        <v>790</v>
      </c>
      <c r="F81" s="882">
        <f>F80</f>
        <v>1.835</v>
      </c>
      <c r="G81" s="636">
        <f>'WKSHT4 - Monthly Tx System Peak'!C36</f>
        <v>300</v>
      </c>
      <c r="H81" s="651">
        <f t="shared" si="5"/>
        <v>550500</v>
      </c>
      <c r="I81" s="636">
        <v>0</v>
      </c>
      <c r="J81" s="651">
        <f t="shared" si="6"/>
        <v>550500</v>
      </c>
      <c r="K81" s="429"/>
      <c r="L81" s="598"/>
      <c r="M81" s="636"/>
      <c r="N81" s="636"/>
      <c r="O81" s="598"/>
      <c r="P81" s="598"/>
      <c r="Q81" s="598"/>
      <c r="R81" s="598"/>
    </row>
    <row r="82" spans="1:18" ht="13.5">
      <c r="A82" s="600"/>
      <c r="B82" s="600"/>
      <c r="C82" s="597"/>
      <c r="D82" s="429"/>
      <c r="E82" s="598" t="s">
        <v>791</v>
      </c>
      <c r="F82" s="882">
        <f>F81</f>
        <v>1.835</v>
      </c>
      <c r="G82" s="636">
        <f>'WKSHT4 - Monthly Tx System Peak'!C38</f>
        <v>400</v>
      </c>
      <c r="H82" s="651">
        <f t="shared" si="5"/>
        <v>734000</v>
      </c>
      <c r="I82" s="636">
        <v>0</v>
      </c>
      <c r="J82" s="651">
        <f t="shared" si="6"/>
        <v>734000</v>
      </c>
      <c r="K82" s="429"/>
      <c r="L82" s="598"/>
      <c r="M82" s="636"/>
      <c r="N82" s="636"/>
      <c r="O82" s="598"/>
      <c r="P82" s="598"/>
      <c r="Q82" s="598"/>
      <c r="R82" s="598"/>
    </row>
    <row r="83" spans="1:18" ht="13.5">
      <c r="A83" s="600"/>
      <c r="B83" s="600"/>
      <c r="C83" s="597"/>
      <c r="D83" s="429"/>
      <c r="E83" s="598" t="s">
        <v>786</v>
      </c>
      <c r="F83" s="882">
        <f>F82</f>
        <v>1.835</v>
      </c>
      <c r="G83" s="636">
        <f>'WKSHT4 - Monthly Tx System Peak'!C39</f>
        <v>400</v>
      </c>
      <c r="H83" s="651">
        <f t="shared" si="5"/>
        <v>734000</v>
      </c>
      <c r="I83" s="636">
        <v>0</v>
      </c>
      <c r="J83" s="651">
        <f t="shared" si="6"/>
        <v>734000</v>
      </c>
      <c r="K83" s="429"/>
      <c r="L83" s="598"/>
      <c r="M83" s="636"/>
      <c r="N83" s="636"/>
      <c r="O83" s="598"/>
      <c r="P83" s="598"/>
      <c r="Q83" s="598"/>
      <c r="R83" s="598"/>
    </row>
    <row r="84" spans="1:18" ht="15.75">
      <c r="A84" s="600"/>
      <c r="B84" s="600"/>
      <c r="C84" s="597"/>
      <c r="D84" s="429"/>
      <c r="E84" s="598" t="s">
        <v>792</v>
      </c>
      <c r="F84" s="882">
        <v>0.79600000000000004</v>
      </c>
      <c r="G84" s="636">
        <f>'WKSHT4 - Monthly Tx System Peak'!C40</f>
        <v>700</v>
      </c>
      <c r="H84" s="651">
        <f t="shared" si="5"/>
        <v>557200</v>
      </c>
      <c r="I84" s="636">
        <v>0</v>
      </c>
      <c r="J84" s="651">
        <f t="shared" si="6"/>
        <v>557200</v>
      </c>
      <c r="K84" s="429"/>
      <c r="L84" s="598"/>
      <c r="M84" s="1948">
        <f>SUM(M80:M83)</f>
        <v>0</v>
      </c>
      <c r="N84" s="602" t="s">
        <v>1433</v>
      </c>
      <c r="O84" s="598"/>
      <c r="P84" s="598"/>
      <c r="Q84" s="598"/>
      <c r="R84" s="598"/>
    </row>
    <row r="85" spans="1:18" ht="13.5">
      <c r="A85" s="600"/>
      <c r="B85" s="600"/>
      <c r="C85" s="597"/>
      <c r="D85" s="429"/>
      <c r="E85" s="598" t="s">
        <v>793</v>
      </c>
      <c r="F85" s="882">
        <f t="shared" ref="F85:F90" si="7">F84</f>
        <v>0.79600000000000004</v>
      </c>
      <c r="G85" s="636">
        <f>'WKSHT4 - Monthly Tx System Peak'!C42</f>
        <v>700</v>
      </c>
      <c r="H85" s="651">
        <f t="shared" si="5"/>
        <v>557200</v>
      </c>
      <c r="I85" s="636">
        <v>0</v>
      </c>
      <c r="J85" s="651">
        <f t="shared" si="6"/>
        <v>557200</v>
      </c>
      <c r="K85" s="429"/>
      <c r="L85" s="598"/>
      <c r="M85" s="598"/>
      <c r="N85" s="598"/>
      <c r="O85" s="598"/>
      <c r="P85" s="598"/>
      <c r="Q85" s="598"/>
      <c r="R85" s="598"/>
    </row>
    <row r="86" spans="1:18" ht="13.5">
      <c r="A86" s="600"/>
      <c r="B86" s="600"/>
      <c r="C86" s="597"/>
      <c r="D86" s="429"/>
      <c r="E86" s="598" t="s">
        <v>794</v>
      </c>
      <c r="F86" s="882">
        <f t="shared" si="7"/>
        <v>0.79600000000000004</v>
      </c>
      <c r="G86" s="636">
        <f>'WKSHT4 - Monthly Tx System Peak'!C43</f>
        <v>700</v>
      </c>
      <c r="H86" s="651">
        <f t="shared" si="5"/>
        <v>557200</v>
      </c>
      <c r="I86" s="636">
        <v>0</v>
      </c>
      <c r="J86" s="651">
        <f t="shared" si="6"/>
        <v>557200</v>
      </c>
      <c r="K86" s="429"/>
      <c r="L86" s="598"/>
      <c r="M86" s="598"/>
      <c r="N86" s="598"/>
      <c r="O86" s="598"/>
      <c r="P86" s="598"/>
      <c r="Q86" s="598"/>
      <c r="R86" s="598"/>
    </row>
    <row r="87" spans="1:18" ht="13.5">
      <c r="A87" s="600"/>
      <c r="B87" s="600"/>
      <c r="C87" s="597"/>
      <c r="D87" s="429"/>
      <c r="E87" s="598" t="s">
        <v>795</v>
      </c>
      <c r="F87" s="882">
        <f t="shared" si="7"/>
        <v>0.79600000000000004</v>
      </c>
      <c r="G87" s="636">
        <f>'WKSHT4 - Monthly Tx System Peak'!C44</f>
        <v>700</v>
      </c>
      <c r="H87" s="651">
        <f t="shared" si="5"/>
        <v>557200</v>
      </c>
      <c r="I87" s="636">
        <v>0</v>
      </c>
      <c r="J87" s="651">
        <f t="shared" si="6"/>
        <v>557200</v>
      </c>
      <c r="K87" s="429"/>
      <c r="L87" s="598"/>
      <c r="M87" s="598"/>
      <c r="N87" s="598"/>
      <c r="O87" s="598"/>
      <c r="P87" s="598"/>
      <c r="Q87" s="598"/>
      <c r="R87" s="598"/>
    </row>
    <row r="88" spans="1:18" ht="13.5">
      <c r="A88" s="600"/>
      <c r="B88" s="600"/>
      <c r="C88" s="597"/>
      <c r="D88" s="429"/>
      <c r="E88" s="598" t="s">
        <v>796</v>
      </c>
      <c r="F88" s="882">
        <f t="shared" si="7"/>
        <v>0.79600000000000004</v>
      </c>
      <c r="G88" s="636">
        <f>'WKSHT4 - Monthly Tx System Peak'!C46</f>
        <v>400</v>
      </c>
      <c r="H88" s="651">
        <f t="shared" si="5"/>
        <v>318400.00000000006</v>
      </c>
      <c r="I88" s="636">
        <v>0</v>
      </c>
      <c r="J88" s="651">
        <f t="shared" si="6"/>
        <v>318400.00000000006</v>
      </c>
      <c r="K88" s="429"/>
      <c r="L88" s="598"/>
      <c r="M88" s="598"/>
      <c r="N88" s="598"/>
      <c r="O88" s="598"/>
      <c r="P88" s="598"/>
      <c r="Q88" s="598"/>
      <c r="R88" s="598"/>
    </row>
    <row r="89" spans="1:18" ht="13.5">
      <c r="A89" s="600"/>
      <c r="B89" s="600"/>
      <c r="C89" s="597"/>
      <c r="D89" s="429"/>
      <c r="E89" s="598" t="s">
        <v>797</v>
      </c>
      <c r="F89" s="882">
        <f t="shared" si="7"/>
        <v>0.79600000000000004</v>
      </c>
      <c r="G89" s="636">
        <f>'WKSHT4 - Monthly Tx System Peak'!C47</f>
        <v>700</v>
      </c>
      <c r="H89" s="651">
        <f t="shared" si="5"/>
        <v>557200</v>
      </c>
      <c r="I89" s="636">
        <v>0</v>
      </c>
      <c r="J89" s="651">
        <f t="shared" si="6"/>
        <v>557200</v>
      </c>
      <c r="K89" s="429"/>
      <c r="L89" s="598"/>
      <c r="M89" s="598"/>
      <c r="N89" s="598"/>
      <c r="O89" s="598"/>
      <c r="P89" s="598"/>
      <c r="Q89" s="598"/>
      <c r="R89" s="598"/>
    </row>
    <row r="90" spans="1:18" ht="13.5">
      <c r="A90" s="600"/>
      <c r="B90" s="600"/>
      <c r="C90" s="597"/>
      <c r="D90" s="429"/>
      <c r="E90" s="598" t="s">
        <v>798</v>
      </c>
      <c r="F90" s="882">
        <f t="shared" si="7"/>
        <v>0.79600000000000004</v>
      </c>
      <c r="G90" s="636">
        <f>'WKSHT4 - Monthly Tx System Peak'!C48</f>
        <v>700</v>
      </c>
      <c r="H90" s="651">
        <f t="shared" si="5"/>
        <v>557200</v>
      </c>
      <c r="I90" s="1411">
        <v>-2283167</v>
      </c>
      <c r="J90" s="651">
        <f t="shared" si="6"/>
        <v>2840367</v>
      </c>
      <c r="K90" s="429"/>
      <c r="L90" s="598"/>
      <c r="M90" s="598"/>
      <c r="N90" s="598"/>
      <c r="O90" s="598"/>
      <c r="P90" s="598"/>
      <c r="Q90" s="598"/>
      <c r="R90" s="598"/>
    </row>
    <row r="91" spans="1:18" ht="13.5">
      <c r="A91" s="600"/>
      <c r="B91" s="600"/>
      <c r="C91" s="597"/>
      <c r="D91" s="598"/>
      <c r="E91" s="598" t="s">
        <v>1173</v>
      </c>
      <c r="F91" s="637"/>
      <c r="G91" s="637"/>
      <c r="H91" s="637"/>
      <c r="I91" s="637"/>
      <c r="J91" s="637">
        <f>SUM(J79:J90)</f>
        <v>10165267</v>
      </c>
      <c r="K91" s="429"/>
      <c r="L91" s="598"/>
      <c r="M91" s="598"/>
      <c r="N91" s="598"/>
      <c r="O91" s="598"/>
      <c r="P91" s="598"/>
      <c r="Q91" s="598"/>
      <c r="R91" s="598"/>
    </row>
    <row r="92" spans="1:18" ht="13.5">
      <c r="A92" s="600"/>
      <c r="B92" s="600"/>
      <c r="C92" s="597"/>
      <c r="D92" s="598"/>
      <c r="E92" s="637"/>
      <c r="F92" s="637"/>
      <c r="G92" s="637"/>
      <c r="H92" s="637"/>
      <c r="I92" s="637"/>
      <c r="J92" s="429"/>
      <c r="K92" s="429"/>
      <c r="L92" s="598"/>
      <c r="M92" s="598"/>
      <c r="N92" s="598"/>
      <c r="O92" s="598"/>
      <c r="P92" s="598"/>
      <c r="Q92" s="598"/>
      <c r="R92" s="598"/>
    </row>
    <row r="93" spans="1:18" ht="13.5">
      <c r="A93" s="600"/>
      <c r="B93" s="600"/>
      <c r="C93" s="597"/>
      <c r="D93" s="604"/>
      <c r="E93" s="598"/>
      <c r="F93" s="429"/>
      <c r="G93" s="598"/>
      <c r="H93" s="598"/>
      <c r="I93" s="598"/>
      <c r="J93" s="598"/>
      <c r="K93" s="598"/>
      <c r="L93" s="598"/>
      <c r="M93" s="598"/>
      <c r="N93" s="598"/>
      <c r="O93" s="598"/>
      <c r="P93" s="598"/>
      <c r="Q93" s="598"/>
      <c r="R93" s="598"/>
    </row>
    <row r="94" spans="1:18" ht="31.5">
      <c r="A94" s="600"/>
      <c r="B94" s="600"/>
      <c r="C94" s="597"/>
      <c r="D94" s="1949" t="s">
        <v>1174</v>
      </c>
      <c r="E94" s="1973"/>
      <c r="F94" s="1973" t="s">
        <v>1149</v>
      </c>
      <c r="G94" s="598"/>
      <c r="H94" s="1951" t="s">
        <v>1435</v>
      </c>
      <c r="I94" s="178"/>
      <c r="J94" s="1952" t="s">
        <v>1436</v>
      </c>
      <c r="K94" s="188"/>
      <c r="L94" s="1953" t="s">
        <v>1437</v>
      </c>
      <c r="M94" s="598"/>
      <c r="N94" s="598"/>
      <c r="O94" s="598"/>
      <c r="P94" s="598"/>
      <c r="Q94" s="598"/>
      <c r="R94" s="598"/>
    </row>
    <row r="95" spans="1:18" ht="13.5">
      <c r="A95" s="600"/>
      <c r="B95" s="600"/>
      <c r="C95" s="604" t="s">
        <v>1175</v>
      </c>
      <c r="D95" s="634">
        <f>D68</f>
        <v>7985646</v>
      </c>
      <c r="E95" s="597" t="s">
        <v>510</v>
      </c>
      <c r="F95" s="634">
        <f>J91</f>
        <v>10165267</v>
      </c>
      <c r="G95" s="597" t="s">
        <v>511</v>
      </c>
      <c r="H95" s="613">
        <f>D95-F95</f>
        <v>-2179621</v>
      </c>
      <c r="I95" s="597" t="s">
        <v>510</v>
      </c>
      <c r="J95" s="1968">
        <f>M84</f>
        <v>0</v>
      </c>
      <c r="K95" s="597" t="s">
        <v>511</v>
      </c>
      <c r="L95" s="1862">
        <f>H95-J95</f>
        <v>-2179621</v>
      </c>
      <c r="M95" s="185"/>
      <c r="N95" s="598"/>
      <c r="O95" s="598"/>
      <c r="P95" s="598"/>
      <c r="Q95" s="598"/>
      <c r="R95" s="598"/>
    </row>
    <row r="96" spans="1:18" ht="15.75">
      <c r="A96" s="597"/>
      <c r="B96" s="597"/>
      <c r="C96" s="597"/>
      <c r="D96" s="638"/>
      <c r="E96" s="597"/>
      <c r="F96" s="613"/>
      <c r="G96" s="597"/>
      <c r="H96" s="613"/>
      <c r="I96" s="598"/>
      <c r="J96" s="178"/>
      <c r="K96" s="12"/>
      <c r="L96" s="12"/>
      <c r="M96" s="185"/>
      <c r="N96" s="598"/>
      <c r="O96" s="598"/>
      <c r="P96" s="598"/>
      <c r="Q96" s="598"/>
      <c r="R96" s="598"/>
    </row>
    <row r="97" spans="1:18" ht="15.75">
      <c r="A97" s="597"/>
      <c r="B97" s="597"/>
      <c r="C97" s="597"/>
      <c r="D97" s="638"/>
      <c r="E97" s="597"/>
      <c r="F97" s="613"/>
      <c r="G97" s="597"/>
      <c r="H97" s="613"/>
      <c r="I97" s="598"/>
      <c r="J97" s="178"/>
      <c r="K97" s="12"/>
      <c r="L97" s="12"/>
      <c r="M97" s="185"/>
      <c r="N97" s="598"/>
      <c r="O97" s="598"/>
      <c r="P97" s="598"/>
      <c r="Q97" s="598"/>
      <c r="R97" s="598"/>
    </row>
    <row r="98" spans="1:18" ht="15.75">
      <c r="A98" s="597"/>
      <c r="B98" s="597"/>
      <c r="C98" s="597"/>
      <c r="D98" s="1379" t="s">
        <v>799</v>
      </c>
      <c r="E98" s="600"/>
      <c r="F98" s="634"/>
      <c r="G98" s="597"/>
      <c r="H98" s="613"/>
      <c r="I98" s="598"/>
      <c r="J98" s="178"/>
      <c r="K98" s="12"/>
      <c r="L98" s="12"/>
      <c r="M98" s="185"/>
      <c r="N98" s="598"/>
      <c r="O98" s="598"/>
      <c r="P98" s="598"/>
      <c r="Q98" s="598"/>
      <c r="R98" s="598"/>
    </row>
    <row r="99" spans="1:18" ht="15.75">
      <c r="A99" s="597"/>
      <c r="B99" s="597"/>
      <c r="C99" s="597"/>
      <c r="D99" s="1933" t="s">
        <v>1176</v>
      </c>
      <c r="E99" s="1933"/>
      <c r="F99" s="178">
        <v>2.7000000000000001E-3</v>
      </c>
      <c r="G99" s="600"/>
      <c r="H99" s="634"/>
      <c r="I99" s="598"/>
      <c r="J99" s="178"/>
      <c r="K99" s="12"/>
      <c r="L99" s="12"/>
      <c r="M99" s="185"/>
      <c r="N99" s="598"/>
      <c r="O99" s="598"/>
      <c r="P99" s="598"/>
      <c r="Q99" s="598"/>
      <c r="R99" s="598"/>
    </row>
    <row r="100" spans="1:18" ht="13.5">
      <c r="A100" s="597"/>
      <c r="B100" s="597"/>
      <c r="C100" s="597"/>
      <c r="D100" s="631" t="s">
        <v>781</v>
      </c>
      <c r="E100" s="597" t="s">
        <v>800</v>
      </c>
      <c r="F100" s="600" t="s">
        <v>1177</v>
      </c>
      <c r="G100" s="1859" t="s">
        <v>1178</v>
      </c>
      <c r="H100" s="600"/>
      <c r="I100" s="631" t="s">
        <v>801</v>
      </c>
      <c r="J100" s="601" t="s">
        <v>1179</v>
      </c>
      <c r="K100" s="598"/>
      <c r="L100" s="598"/>
      <c r="M100" s="598"/>
      <c r="N100" s="598"/>
      <c r="O100" s="598"/>
      <c r="P100" s="598"/>
      <c r="Q100" s="598"/>
      <c r="R100" s="598"/>
    </row>
    <row r="101" spans="1:18" ht="13.5">
      <c r="A101" s="597"/>
      <c r="B101" s="597"/>
      <c r="C101" s="597"/>
      <c r="D101" s="597"/>
      <c r="E101" s="597"/>
      <c r="F101" s="600" t="s">
        <v>1180</v>
      </c>
      <c r="G101" s="600" t="s">
        <v>1181</v>
      </c>
      <c r="H101" s="600" t="s">
        <v>802</v>
      </c>
      <c r="I101" s="597"/>
      <c r="J101" s="597"/>
      <c r="K101" s="598" t="s">
        <v>1182</v>
      </c>
      <c r="L101" s="598"/>
      <c r="M101" s="598"/>
      <c r="N101" s="598"/>
      <c r="O101" s="598"/>
      <c r="P101" s="598"/>
      <c r="Q101" s="598"/>
      <c r="R101" s="598"/>
    </row>
    <row r="102" spans="1:18" ht="13.5">
      <c r="A102" s="597"/>
      <c r="B102" s="597"/>
      <c r="C102" s="597"/>
      <c r="D102" s="598" t="s">
        <v>788</v>
      </c>
      <c r="E102" s="598" t="s">
        <v>449</v>
      </c>
      <c r="F102" s="1860">
        <f>L95/12</f>
        <v>-181635.08333333334</v>
      </c>
      <c r="G102" s="1855">
        <f>+F99</f>
        <v>2.7000000000000001E-3</v>
      </c>
      <c r="H102" s="602">
        <v>12</v>
      </c>
      <c r="I102" s="608">
        <f>+F102*G102*H102</f>
        <v>-5884.9767000000002</v>
      </c>
      <c r="J102" s="608">
        <f>+F102+I102</f>
        <v>-187520.06003333334</v>
      </c>
      <c r="K102" s="598" t="s">
        <v>1183</v>
      </c>
      <c r="L102" s="598"/>
      <c r="M102" s="598"/>
      <c r="N102" s="598"/>
      <c r="O102" s="598"/>
      <c r="P102" s="598"/>
      <c r="Q102" s="598"/>
      <c r="R102" s="598"/>
    </row>
    <row r="103" spans="1:18" ht="13.5">
      <c r="A103" s="597"/>
      <c r="B103" s="597"/>
      <c r="C103" s="597"/>
      <c r="D103" s="598" t="s">
        <v>789</v>
      </c>
      <c r="E103" s="598" t="s">
        <v>449</v>
      </c>
      <c r="F103" s="634">
        <f t="shared" ref="F103:G113" si="8">+F102</f>
        <v>-181635.08333333334</v>
      </c>
      <c r="G103" s="1856">
        <f>+G102</f>
        <v>2.7000000000000001E-3</v>
      </c>
      <c r="H103" s="602">
        <v>11</v>
      </c>
      <c r="I103" s="608">
        <f t="shared" ref="I103:I113" si="9">+F103*G103*H103</f>
        <v>-5394.5619750000005</v>
      </c>
      <c r="J103" s="608">
        <f t="shared" ref="J103:J113" si="10">+F103+I103</f>
        <v>-187029.64530833333</v>
      </c>
      <c r="K103" s="598" t="s">
        <v>1184</v>
      </c>
      <c r="L103" s="598"/>
      <c r="M103" s="598"/>
      <c r="N103" s="598"/>
      <c r="O103" s="598"/>
      <c r="P103" s="598"/>
      <c r="Q103" s="598"/>
      <c r="R103" s="598"/>
    </row>
    <row r="104" spans="1:18" ht="13.5">
      <c r="A104" s="597"/>
      <c r="B104" s="597"/>
      <c r="C104" s="597"/>
      <c r="D104" s="598" t="s">
        <v>790</v>
      </c>
      <c r="E104" s="598" t="s">
        <v>449</v>
      </c>
      <c r="F104" s="634">
        <f t="shared" si="8"/>
        <v>-181635.08333333334</v>
      </c>
      <c r="G104" s="1856">
        <f t="shared" si="8"/>
        <v>2.7000000000000001E-3</v>
      </c>
      <c r="H104" s="602">
        <v>10</v>
      </c>
      <c r="I104" s="608">
        <f t="shared" si="9"/>
        <v>-4904.14725</v>
      </c>
      <c r="J104" s="608">
        <f t="shared" si="10"/>
        <v>-186539.23058333335</v>
      </c>
      <c r="K104" s="598"/>
      <c r="L104" s="598"/>
      <c r="M104" s="598"/>
      <c r="N104" s="598"/>
      <c r="O104" s="598"/>
      <c r="P104" s="598"/>
      <c r="Q104" s="598"/>
      <c r="R104" s="598"/>
    </row>
    <row r="105" spans="1:18" ht="13.5">
      <c r="A105" s="597"/>
      <c r="B105" s="597"/>
      <c r="C105" s="597"/>
      <c r="D105" s="598" t="s">
        <v>791</v>
      </c>
      <c r="E105" s="598" t="s">
        <v>449</v>
      </c>
      <c r="F105" s="634">
        <f t="shared" si="8"/>
        <v>-181635.08333333334</v>
      </c>
      <c r="G105" s="1856">
        <f t="shared" si="8"/>
        <v>2.7000000000000001E-3</v>
      </c>
      <c r="H105" s="602">
        <v>9</v>
      </c>
      <c r="I105" s="608">
        <f t="shared" si="9"/>
        <v>-4413.7325250000004</v>
      </c>
      <c r="J105" s="608">
        <f t="shared" si="10"/>
        <v>-186048.81585833334</v>
      </c>
      <c r="K105" s="598"/>
      <c r="L105" s="598"/>
      <c r="M105" s="598"/>
      <c r="N105" s="598"/>
      <c r="O105" s="598"/>
      <c r="P105" s="598"/>
      <c r="Q105" s="598"/>
      <c r="R105" s="598"/>
    </row>
    <row r="106" spans="1:18" ht="13.5">
      <c r="A106" s="597"/>
      <c r="B106" s="597"/>
      <c r="C106" s="597"/>
      <c r="D106" s="598" t="s">
        <v>786</v>
      </c>
      <c r="E106" s="598" t="s">
        <v>449</v>
      </c>
      <c r="F106" s="634">
        <f t="shared" si="8"/>
        <v>-181635.08333333334</v>
      </c>
      <c r="G106" s="1856">
        <f t="shared" si="8"/>
        <v>2.7000000000000001E-3</v>
      </c>
      <c r="H106" s="602">
        <v>8</v>
      </c>
      <c r="I106" s="608">
        <f t="shared" si="9"/>
        <v>-3923.3178000000003</v>
      </c>
      <c r="J106" s="608">
        <f t="shared" si="10"/>
        <v>-185558.40113333333</v>
      </c>
      <c r="K106" s="598"/>
      <c r="L106" s="598"/>
      <c r="M106" s="598"/>
      <c r="N106" s="598"/>
      <c r="O106" s="598"/>
      <c r="P106" s="598"/>
      <c r="Q106" s="598"/>
      <c r="R106" s="598"/>
    </row>
    <row r="107" spans="1:18" ht="13.5">
      <c r="A107" s="597"/>
      <c r="B107" s="597"/>
      <c r="C107" s="597"/>
      <c r="D107" s="598" t="s">
        <v>792</v>
      </c>
      <c r="E107" s="598" t="s">
        <v>449</v>
      </c>
      <c r="F107" s="634">
        <f t="shared" si="8"/>
        <v>-181635.08333333334</v>
      </c>
      <c r="G107" s="1856">
        <f t="shared" si="8"/>
        <v>2.7000000000000001E-3</v>
      </c>
      <c r="H107" s="602">
        <v>7</v>
      </c>
      <c r="I107" s="608">
        <f t="shared" si="9"/>
        <v>-3432.9030750000002</v>
      </c>
      <c r="J107" s="608">
        <f t="shared" si="10"/>
        <v>-185067.98640833335</v>
      </c>
      <c r="K107" s="598"/>
      <c r="L107" s="598"/>
      <c r="M107" s="598"/>
      <c r="N107" s="598"/>
      <c r="O107" s="598"/>
      <c r="P107" s="598"/>
      <c r="Q107" s="598"/>
      <c r="R107" s="598"/>
    </row>
    <row r="108" spans="1:18" ht="13.5">
      <c r="A108" s="597"/>
      <c r="B108" s="597"/>
      <c r="C108" s="597"/>
      <c r="D108" s="598" t="s">
        <v>793</v>
      </c>
      <c r="E108" s="598" t="s">
        <v>449</v>
      </c>
      <c r="F108" s="634">
        <f t="shared" si="8"/>
        <v>-181635.08333333334</v>
      </c>
      <c r="G108" s="1856">
        <f t="shared" si="8"/>
        <v>2.7000000000000001E-3</v>
      </c>
      <c r="H108" s="602">
        <v>6</v>
      </c>
      <c r="I108" s="608">
        <f t="shared" si="9"/>
        <v>-2942.4883500000001</v>
      </c>
      <c r="J108" s="608">
        <f t="shared" si="10"/>
        <v>-184577.57168333334</v>
      </c>
      <c r="K108" s="598"/>
      <c r="L108" s="598"/>
      <c r="M108" s="598"/>
      <c r="N108" s="598"/>
      <c r="O108" s="598"/>
      <c r="P108" s="598"/>
      <c r="Q108" s="598"/>
      <c r="R108" s="598"/>
    </row>
    <row r="109" spans="1:18" ht="13.5">
      <c r="A109" s="597"/>
      <c r="B109" s="597"/>
      <c r="C109" s="597"/>
      <c r="D109" s="598" t="s">
        <v>794</v>
      </c>
      <c r="E109" s="598" t="s">
        <v>760</v>
      </c>
      <c r="F109" s="634">
        <f t="shared" si="8"/>
        <v>-181635.08333333334</v>
      </c>
      <c r="G109" s="1856">
        <f t="shared" si="8"/>
        <v>2.7000000000000001E-3</v>
      </c>
      <c r="H109" s="602">
        <v>5</v>
      </c>
      <c r="I109" s="608">
        <f t="shared" si="9"/>
        <v>-2452.073625</v>
      </c>
      <c r="J109" s="608">
        <f t="shared" si="10"/>
        <v>-184087.15695833333</v>
      </c>
      <c r="K109" s="598"/>
      <c r="L109" s="598"/>
      <c r="M109" s="598"/>
      <c r="N109" s="598"/>
      <c r="O109" s="598"/>
      <c r="P109" s="598"/>
      <c r="Q109" s="598"/>
      <c r="R109" s="598"/>
    </row>
    <row r="110" spans="1:18" ht="13.5">
      <c r="A110" s="597"/>
      <c r="B110" s="597"/>
      <c r="C110" s="597"/>
      <c r="D110" s="598" t="s">
        <v>795</v>
      </c>
      <c r="E110" s="598" t="s">
        <v>760</v>
      </c>
      <c r="F110" s="634">
        <f t="shared" si="8"/>
        <v>-181635.08333333334</v>
      </c>
      <c r="G110" s="1856">
        <f t="shared" si="8"/>
        <v>2.7000000000000001E-3</v>
      </c>
      <c r="H110" s="602">
        <v>4</v>
      </c>
      <c r="I110" s="608">
        <f t="shared" si="9"/>
        <v>-1961.6589000000001</v>
      </c>
      <c r="J110" s="608">
        <f t="shared" si="10"/>
        <v>-183596.74223333335</v>
      </c>
      <c r="K110" s="598"/>
      <c r="L110" s="598"/>
      <c r="M110" s="598"/>
      <c r="N110" s="598"/>
      <c r="O110" s="598"/>
      <c r="P110" s="598"/>
      <c r="Q110" s="598"/>
      <c r="R110" s="598"/>
    </row>
    <row r="111" spans="1:18" ht="13.5">
      <c r="A111" s="597"/>
      <c r="B111" s="597"/>
      <c r="C111" s="597"/>
      <c r="D111" s="598" t="s">
        <v>796</v>
      </c>
      <c r="E111" s="598" t="s">
        <v>760</v>
      </c>
      <c r="F111" s="634">
        <f t="shared" si="8"/>
        <v>-181635.08333333334</v>
      </c>
      <c r="G111" s="1856">
        <f t="shared" si="8"/>
        <v>2.7000000000000001E-3</v>
      </c>
      <c r="H111" s="602">
        <v>3</v>
      </c>
      <c r="I111" s="608">
        <f t="shared" si="9"/>
        <v>-1471.244175</v>
      </c>
      <c r="J111" s="608">
        <f t="shared" si="10"/>
        <v>-183106.32750833334</v>
      </c>
      <c r="K111" s="598"/>
      <c r="L111" s="598"/>
      <c r="M111" s="598"/>
      <c r="N111" s="598"/>
      <c r="O111" s="598"/>
      <c r="P111" s="598"/>
      <c r="Q111" s="598"/>
      <c r="R111" s="598"/>
    </row>
    <row r="112" spans="1:18" ht="13.5">
      <c r="A112" s="597"/>
      <c r="B112" s="597"/>
      <c r="C112" s="597"/>
      <c r="D112" s="598" t="s">
        <v>797</v>
      </c>
      <c r="E112" s="598" t="s">
        <v>760</v>
      </c>
      <c r="F112" s="634">
        <f t="shared" si="8"/>
        <v>-181635.08333333334</v>
      </c>
      <c r="G112" s="1856">
        <f t="shared" si="8"/>
        <v>2.7000000000000001E-3</v>
      </c>
      <c r="H112" s="602">
        <v>2</v>
      </c>
      <c r="I112" s="608">
        <f t="shared" si="9"/>
        <v>-980.82945000000007</v>
      </c>
      <c r="J112" s="608">
        <f t="shared" si="10"/>
        <v>-182615.91278333333</v>
      </c>
      <c r="K112" s="598"/>
      <c r="L112" s="598"/>
      <c r="M112" s="598"/>
      <c r="N112" s="598"/>
      <c r="O112" s="598"/>
      <c r="P112" s="598"/>
      <c r="Q112" s="598"/>
      <c r="R112" s="598"/>
    </row>
    <row r="113" spans="1:18" ht="13.5">
      <c r="A113" s="597"/>
      <c r="B113" s="597"/>
      <c r="C113" s="597"/>
      <c r="D113" s="598" t="s">
        <v>798</v>
      </c>
      <c r="E113" s="598" t="s">
        <v>760</v>
      </c>
      <c r="F113" s="634">
        <f t="shared" si="8"/>
        <v>-181635.08333333334</v>
      </c>
      <c r="G113" s="1856">
        <f t="shared" si="8"/>
        <v>2.7000000000000001E-3</v>
      </c>
      <c r="H113" s="602">
        <v>1</v>
      </c>
      <c r="I113" s="608">
        <f t="shared" si="9"/>
        <v>-490.41472500000003</v>
      </c>
      <c r="J113" s="608">
        <f t="shared" si="10"/>
        <v>-182125.49805833335</v>
      </c>
      <c r="K113" s="598"/>
      <c r="L113" s="598"/>
      <c r="M113" s="598"/>
      <c r="N113" s="598"/>
      <c r="O113" s="598"/>
      <c r="P113" s="598"/>
      <c r="Q113" s="598"/>
      <c r="R113" s="598"/>
    </row>
    <row r="114" spans="1:18" ht="13.5">
      <c r="A114" s="597"/>
      <c r="B114" s="597"/>
      <c r="C114" s="597"/>
      <c r="D114" s="598" t="s">
        <v>1015</v>
      </c>
      <c r="E114" s="598"/>
      <c r="F114" s="634">
        <v>0</v>
      </c>
      <c r="G114" s="602"/>
      <c r="H114" s="602"/>
      <c r="I114" s="598"/>
      <c r="J114" s="608">
        <f>SUM(J102:J113)</f>
        <v>-2217873.3485500002</v>
      </c>
      <c r="K114" s="598"/>
      <c r="L114" s="598"/>
      <c r="M114" s="598"/>
      <c r="N114" s="598"/>
      <c r="O114" s="598"/>
      <c r="P114" s="598"/>
      <c r="Q114" s="598"/>
      <c r="R114" s="598"/>
    </row>
    <row r="115" spans="1:18" ht="13.5">
      <c r="A115" s="597"/>
      <c r="B115" s="597"/>
      <c r="C115" s="597"/>
      <c r="D115" s="598"/>
      <c r="E115" s="598"/>
      <c r="F115" s="1859" t="s">
        <v>803</v>
      </c>
      <c r="G115" s="1857" t="s">
        <v>1185</v>
      </c>
      <c r="H115" s="1857" t="s">
        <v>1186</v>
      </c>
      <c r="I115" s="631" t="s">
        <v>801</v>
      </c>
      <c r="J115" s="608" t="str">
        <f>+J100</f>
        <v>Surcharge (Refund) Owed</v>
      </c>
      <c r="K115" s="598"/>
      <c r="L115" s="598"/>
      <c r="M115" s="598"/>
      <c r="N115" s="598"/>
      <c r="O115" s="598"/>
      <c r="P115" s="598"/>
      <c r="Q115" s="598"/>
      <c r="R115" s="598"/>
    </row>
    <row r="116" spans="1:18" ht="13.5">
      <c r="A116" s="597"/>
      <c r="B116" s="597"/>
      <c r="C116" s="597"/>
      <c r="D116" s="598" t="s">
        <v>788</v>
      </c>
      <c r="E116" s="598" t="s">
        <v>760</v>
      </c>
      <c r="F116" s="634">
        <f>+J114</f>
        <v>-2217873.3485500002</v>
      </c>
      <c r="G116" s="1856">
        <f>+G113</f>
        <v>2.7000000000000001E-3</v>
      </c>
      <c r="H116" s="615">
        <v>0</v>
      </c>
      <c r="I116" s="608">
        <f t="shared" ref="I116:I132" si="11">+F116*G116</f>
        <v>-5988.2580410850005</v>
      </c>
      <c r="J116" s="608">
        <f>+F116+I116-H116</f>
        <v>-2223861.6065910854</v>
      </c>
      <c r="K116" s="598"/>
      <c r="L116" s="598"/>
      <c r="M116" s="598"/>
      <c r="N116" s="598"/>
      <c r="O116" s="598"/>
      <c r="P116" s="598"/>
      <c r="Q116" s="598"/>
      <c r="R116" s="598"/>
    </row>
    <row r="117" spans="1:18" ht="13.5">
      <c r="A117" s="597"/>
      <c r="B117" s="597"/>
      <c r="C117" s="597"/>
      <c r="D117" s="598" t="s">
        <v>789</v>
      </c>
      <c r="E117" s="598" t="s">
        <v>760</v>
      </c>
      <c r="F117" s="634">
        <f>+J116</f>
        <v>-2223861.6065910854</v>
      </c>
      <c r="G117" s="1856">
        <f>+G116</f>
        <v>2.7000000000000001E-3</v>
      </c>
      <c r="H117" s="1861">
        <v>0</v>
      </c>
      <c r="I117" s="608">
        <f t="shared" si="11"/>
        <v>-6004.4263377959314</v>
      </c>
      <c r="J117" s="608">
        <f t="shared" ref="J117:J132" si="12">+F117+I117-H117</f>
        <v>-2229866.0329288812</v>
      </c>
      <c r="K117" s="598"/>
      <c r="L117" s="598"/>
      <c r="M117" s="598"/>
      <c r="N117" s="598"/>
      <c r="O117" s="598"/>
      <c r="P117" s="598"/>
      <c r="Q117" s="598"/>
      <c r="R117" s="598"/>
    </row>
    <row r="118" spans="1:18" ht="13.5">
      <c r="A118" s="597"/>
      <c r="B118" s="597"/>
      <c r="C118" s="597"/>
      <c r="D118" s="598" t="s">
        <v>790</v>
      </c>
      <c r="E118" s="598" t="s">
        <v>760</v>
      </c>
      <c r="F118" s="634">
        <f t="shared" ref="F118:F132" si="13">+J117</f>
        <v>-2229866.0329288812</v>
      </c>
      <c r="G118" s="1856">
        <f t="shared" ref="G118:G132" si="14">+G117</f>
        <v>2.7000000000000001E-3</v>
      </c>
      <c r="H118" s="1861">
        <f t="shared" ref="H118:H132" si="15">H117</f>
        <v>0</v>
      </c>
      <c r="I118" s="608">
        <f t="shared" si="11"/>
        <v>-6020.6382889079796</v>
      </c>
      <c r="J118" s="608">
        <f t="shared" si="12"/>
        <v>-2235886.6712177894</v>
      </c>
      <c r="K118" s="598"/>
      <c r="L118" s="598"/>
      <c r="M118" s="598"/>
      <c r="N118" s="598"/>
      <c r="O118" s="598"/>
      <c r="P118" s="598"/>
      <c r="Q118" s="598"/>
      <c r="R118" s="598"/>
    </row>
    <row r="119" spans="1:18" ht="13.5">
      <c r="A119" s="597"/>
      <c r="B119" s="597"/>
      <c r="C119" s="597"/>
      <c r="D119" s="598" t="s">
        <v>791</v>
      </c>
      <c r="E119" s="598" t="s">
        <v>760</v>
      </c>
      <c r="F119" s="634">
        <f t="shared" si="13"/>
        <v>-2235886.6712177894</v>
      </c>
      <c r="G119" s="1856">
        <f t="shared" si="14"/>
        <v>2.7000000000000001E-3</v>
      </c>
      <c r="H119" s="1861">
        <f t="shared" si="15"/>
        <v>0</v>
      </c>
      <c r="I119" s="608">
        <f t="shared" si="11"/>
        <v>-6036.8940122880322</v>
      </c>
      <c r="J119" s="608">
        <f t="shared" si="12"/>
        <v>-2241923.5652300776</v>
      </c>
      <c r="K119" s="641"/>
      <c r="L119" s="598"/>
      <c r="M119" s="598"/>
      <c r="N119" s="598"/>
      <c r="O119" s="598"/>
      <c r="P119" s="598"/>
      <c r="Q119" s="598"/>
      <c r="R119" s="598"/>
    </row>
    <row r="120" spans="1:18" ht="13.5">
      <c r="A120" s="597"/>
      <c r="B120" s="597"/>
      <c r="C120" s="597"/>
      <c r="D120" s="598" t="s">
        <v>786</v>
      </c>
      <c r="E120" s="598" t="s">
        <v>760</v>
      </c>
      <c r="F120" s="634">
        <f t="shared" si="13"/>
        <v>-2241923.5652300776</v>
      </c>
      <c r="G120" s="1856">
        <f t="shared" si="14"/>
        <v>2.7000000000000001E-3</v>
      </c>
      <c r="H120" s="1861">
        <f t="shared" si="15"/>
        <v>0</v>
      </c>
      <c r="I120" s="608">
        <f t="shared" si="11"/>
        <v>-6053.1936261212095</v>
      </c>
      <c r="J120" s="608">
        <f t="shared" si="12"/>
        <v>-2247976.7588561988</v>
      </c>
      <c r="K120" s="640"/>
      <c r="L120" s="598"/>
      <c r="M120" s="598"/>
      <c r="N120" s="598"/>
      <c r="O120" s="598"/>
      <c r="P120" s="598"/>
      <c r="Q120" s="598"/>
      <c r="R120" s="598"/>
    </row>
    <row r="121" spans="1:18" ht="13.5">
      <c r="A121" s="597"/>
      <c r="B121" s="597"/>
      <c r="C121" s="597"/>
      <c r="D121" s="598" t="s">
        <v>792</v>
      </c>
      <c r="E121" s="598" t="s">
        <v>760</v>
      </c>
      <c r="F121" s="634">
        <f t="shared" si="13"/>
        <v>-2247976.7588561988</v>
      </c>
      <c r="G121" s="1856">
        <f t="shared" si="14"/>
        <v>2.7000000000000001E-3</v>
      </c>
      <c r="H121" s="615">
        <f>-PMT(G121,12,J120)</f>
        <v>-190635.3143120218</v>
      </c>
      <c r="I121" s="608">
        <f t="shared" si="11"/>
        <v>-6069.5372489117372</v>
      </c>
      <c r="J121" s="608">
        <f t="shared" si="12"/>
        <v>-2063410.9817930888</v>
      </c>
      <c r="K121" s="598"/>
      <c r="L121" s="598"/>
      <c r="M121" s="598"/>
      <c r="N121" s="598"/>
      <c r="O121" s="598"/>
      <c r="P121" s="598"/>
      <c r="Q121" s="598"/>
      <c r="R121" s="598"/>
    </row>
    <row r="122" spans="1:18" ht="13.5">
      <c r="A122" s="597"/>
      <c r="B122" s="597"/>
      <c r="C122" s="597"/>
      <c r="D122" s="598" t="s">
        <v>793</v>
      </c>
      <c r="E122" s="598" t="s">
        <v>760</v>
      </c>
      <c r="F122" s="634">
        <f t="shared" si="13"/>
        <v>-2063410.9817930888</v>
      </c>
      <c r="G122" s="1856">
        <f t="shared" si="14"/>
        <v>2.7000000000000001E-3</v>
      </c>
      <c r="H122" s="1861">
        <f t="shared" si="15"/>
        <v>-190635.3143120218</v>
      </c>
      <c r="I122" s="608">
        <f t="shared" si="11"/>
        <v>-5571.2096508413406</v>
      </c>
      <c r="J122" s="608">
        <f t="shared" si="12"/>
        <v>-1878346.8771319084</v>
      </c>
      <c r="K122" s="598"/>
      <c r="L122" s="598"/>
      <c r="M122" s="598"/>
      <c r="N122" s="598"/>
      <c r="O122" s="598"/>
      <c r="P122" s="598"/>
      <c r="Q122" s="598"/>
      <c r="R122" s="598"/>
    </row>
    <row r="123" spans="1:18" ht="13.5">
      <c r="A123" s="597"/>
      <c r="B123" s="597"/>
      <c r="C123" s="597"/>
      <c r="D123" s="598" t="s">
        <v>794</v>
      </c>
      <c r="E123" s="598" t="s">
        <v>760</v>
      </c>
      <c r="F123" s="634">
        <f t="shared" si="13"/>
        <v>-1878346.8771319084</v>
      </c>
      <c r="G123" s="1856">
        <f t="shared" si="14"/>
        <v>2.7000000000000001E-3</v>
      </c>
      <c r="H123" s="1861">
        <f t="shared" si="15"/>
        <v>-190635.3143120218</v>
      </c>
      <c r="I123" s="608">
        <f t="shared" si="11"/>
        <v>-5071.5365682561533</v>
      </c>
      <c r="J123" s="608">
        <f t="shared" si="12"/>
        <v>-1692783.0993881428</v>
      </c>
      <c r="K123" s="598"/>
      <c r="L123" s="598"/>
      <c r="M123" s="598"/>
      <c r="N123" s="598"/>
      <c r="O123" s="598"/>
      <c r="P123" s="598"/>
      <c r="Q123" s="598"/>
      <c r="R123" s="598"/>
    </row>
    <row r="124" spans="1:18" ht="13.5">
      <c r="A124" s="597"/>
      <c r="B124" s="597"/>
      <c r="C124" s="597"/>
      <c r="D124" s="598" t="s">
        <v>795</v>
      </c>
      <c r="E124" s="598" t="s">
        <v>760</v>
      </c>
      <c r="F124" s="634">
        <f t="shared" si="13"/>
        <v>-1692783.0993881428</v>
      </c>
      <c r="G124" s="1856">
        <f t="shared" si="14"/>
        <v>2.7000000000000001E-3</v>
      </c>
      <c r="H124" s="1861">
        <f t="shared" si="15"/>
        <v>-190635.3143120218</v>
      </c>
      <c r="I124" s="608">
        <f t="shared" si="11"/>
        <v>-4570.5143683479855</v>
      </c>
      <c r="J124" s="608">
        <f t="shared" si="12"/>
        <v>-1506718.2994444692</v>
      </c>
      <c r="K124" s="598"/>
      <c r="L124" s="598"/>
      <c r="M124" s="598"/>
      <c r="N124" s="598"/>
      <c r="O124" s="598"/>
      <c r="P124" s="598"/>
      <c r="Q124" s="598"/>
      <c r="R124" s="598"/>
    </row>
    <row r="125" spans="1:18" ht="13.5">
      <c r="A125" s="597"/>
      <c r="B125" s="597"/>
      <c r="C125" s="597"/>
      <c r="D125" s="598" t="s">
        <v>796</v>
      </c>
      <c r="E125" s="598" t="s">
        <v>760</v>
      </c>
      <c r="F125" s="634">
        <f t="shared" si="13"/>
        <v>-1506718.2994444692</v>
      </c>
      <c r="G125" s="1856">
        <f t="shared" si="14"/>
        <v>2.7000000000000001E-3</v>
      </c>
      <c r="H125" s="1861">
        <f t="shared" si="15"/>
        <v>-190635.3143120218</v>
      </c>
      <c r="I125" s="608">
        <f t="shared" si="11"/>
        <v>-4068.139408500067</v>
      </c>
      <c r="J125" s="608">
        <f t="shared" si="12"/>
        <v>-1320151.1245409476</v>
      </c>
      <c r="K125" s="598"/>
      <c r="L125" s="598"/>
      <c r="M125" s="598"/>
      <c r="N125" s="598"/>
      <c r="O125" s="598"/>
      <c r="P125" s="598"/>
      <c r="Q125" s="598"/>
      <c r="R125" s="598"/>
    </row>
    <row r="126" spans="1:18" ht="13.5">
      <c r="A126" s="597"/>
      <c r="B126" s="597"/>
      <c r="C126" s="597"/>
      <c r="D126" s="598" t="s">
        <v>797</v>
      </c>
      <c r="E126" s="598" t="s">
        <v>760</v>
      </c>
      <c r="F126" s="634">
        <f t="shared" si="13"/>
        <v>-1320151.1245409476</v>
      </c>
      <c r="G126" s="1856">
        <f t="shared" si="14"/>
        <v>2.7000000000000001E-3</v>
      </c>
      <c r="H126" s="1861">
        <f t="shared" si="15"/>
        <v>-190635.3143120218</v>
      </c>
      <c r="I126" s="608">
        <f t="shared" si="11"/>
        <v>-3564.4080362605587</v>
      </c>
      <c r="J126" s="608">
        <f t="shared" si="12"/>
        <v>-1133080.2182651865</v>
      </c>
      <c r="K126" s="598"/>
      <c r="L126" s="598"/>
      <c r="M126" s="598"/>
      <c r="N126" s="598"/>
      <c r="O126" s="598"/>
      <c r="P126" s="598"/>
      <c r="Q126" s="598"/>
      <c r="R126" s="598"/>
    </row>
    <row r="127" spans="1:18" ht="13.5">
      <c r="A127" s="597"/>
      <c r="B127" s="597"/>
      <c r="C127" s="597"/>
      <c r="D127" s="598" t="s">
        <v>798</v>
      </c>
      <c r="E127" s="598" t="s">
        <v>760</v>
      </c>
      <c r="F127" s="634">
        <f t="shared" si="13"/>
        <v>-1133080.2182651865</v>
      </c>
      <c r="G127" s="1856">
        <f t="shared" si="14"/>
        <v>2.7000000000000001E-3</v>
      </c>
      <c r="H127" s="1861">
        <f t="shared" si="15"/>
        <v>-190635.3143120218</v>
      </c>
      <c r="I127" s="608">
        <f t="shared" si="11"/>
        <v>-3059.316589316004</v>
      </c>
      <c r="J127" s="608">
        <f t="shared" si="12"/>
        <v>-945504.22054248059</v>
      </c>
      <c r="K127" s="598"/>
      <c r="L127" s="598"/>
      <c r="M127" s="598"/>
      <c r="N127" s="598"/>
      <c r="O127" s="598"/>
      <c r="P127" s="598"/>
      <c r="Q127" s="598"/>
      <c r="R127" s="598"/>
    </row>
    <row r="128" spans="1:18" ht="13.5">
      <c r="A128" s="597"/>
      <c r="B128" s="597"/>
      <c r="C128" s="597"/>
      <c r="D128" s="598" t="s">
        <v>788</v>
      </c>
      <c r="E128" s="598" t="s">
        <v>761</v>
      </c>
      <c r="F128" s="634">
        <f t="shared" si="13"/>
        <v>-945504.22054248059</v>
      </c>
      <c r="G128" s="1856">
        <f t="shared" si="14"/>
        <v>2.7000000000000001E-3</v>
      </c>
      <c r="H128" s="1861">
        <f t="shared" si="15"/>
        <v>-190635.3143120218</v>
      </c>
      <c r="I128" s="608">
        <f t="shared" si="11"/>
        <v>-2552.8613954646976</v>
      </c>
      <c r="J128" s="608">
        <f t="shared" si="12"/>
        <v>-757421.7676259235</v>
      </c>
      <c r="K128" s="598"/>
      <c r="L128" s="598"/>
      <c r="M128" s="598"/>
      <c r="N128" s="598"/>
      <c r="O128" s="598"/>
      <c r="P128" s="598"/>
      <c r="Q128" s="598"/>
      <c r="R128" s="598"/>
    </row>
    <row r="129" spans="1:18" ht="13.5">
      <c r="A129" s="597"/>
      <c r="B129" s="597"/>
      <c r="C129" s="597"/>
      <c r="D129" s="598" t="s">
        <v>789</v>
      </c>
      <c r="E129" s="598" t="s">
        <v>761</v>
      </c>
      <c r="F129" s="634">
        <f t="shared" si="13"/>
        <v>-757421.7676259235</v>
      </c>
      <c r="G129" s="1856">
        <f t="shared" si="14"/>
        <v>2.7000000000000001E-3</v>
      </c>
      <c r="H129" s="1861">
        <f t="shared" si="15"/>
        <v>-190635.3143120218</v>
      </c>
      <c r="I129" s="608">
        <f t="shared" si="11"/>
        <v>-2045.0387725899936</v>
      </c>
      <c r="J129" s="608">
        <f t="shared" si="12"/>
        <v>-568831.49208649166</v>
      </c>
      <c r="K129" s="598"/>
      <c r="L129" s="598"/>
      <c r="M129" s="598"/>
      <c r="N129" s="598"/>
      <c r="O129" s="598"/>
      <c r="P129" s="598"/>
      <c r="Q129" s="598"/>
      <c r="R129" s="598"/>
    </row>
    <row r="130" spans="1:18" ht="13.5">
      <c r="A130" s="597"/>
      <c r="B130" s="597"/>
      <c r="C130" s="597"/>
      <c r="D130" s="598" t="s">
        <v>790</v>
      </c>
      <c r="E130" s="598" t="s">
        <v>761</v>
      </c>
      <c r="F130" s="634">
        <f t="shared" si="13"/>
        <v>-568831.49208649166</v>
      </c>
      <c r="G130" s="1856">
        <f t="shared" si="14"/>
        <v>2.7000000000000001E-3</v>
      </c>
      <c r="H130" s="1861">
        <f t="shared" si="15"/>
        <v>-190635.3143120218</v>
      </c>
      <c r="I130" s="608">
        <f t="shared" si="11"/>
        <v>-1535.8450286335276</v>
      </c>
      <c r="J130" s="608">
        <f t="shared" si="12"/>
        <v>-379732.02280310332</v>
      </c>
      <c r="K130" s="598"/>
      <c r="L130" s="598"/>
      <c r="M130" s="598"/>
      <c r="N130" s="598"/>
      <c r="O130" s="598"/>
      <c r="P130" s="598"/>
      <c r="Q130" s="598"/>
      <c r="R130" s="598"/>
    </row>
    <row r="131" spans="1:18" ht="13.5">
      <c r="A131" s="597"/>
      <c r="B131" s="597"/>
      <c r="C131" s="597"/>
      <c r="D131" s="598" t="s">
        <v>791</v>
      </c>
      <c r="E131" s="598" t="s">
        <v>761</v>
      </c>
      <c r="F131" s="634">
        <f t="shared" si="13"/>
        <v>-379732.02280310332</v>
      </c>
      <c r="G131" s="1856">
        <f t="shared" si="14"/>
        <v>2.7000000000000001E-3</v>
      </c>
      <c r="H131" s="1861">
        <f t="shared" si="15"/>
        <v>-190635.3143120218</v>
      </c>
      <c r="I131" s="608">
        <f t="shared" si="11"/>
        <v>-1025.2764615683791</v>
      </c>
      <c r="J131" s="608">
        <f t="shared" si="12"/>
        <v>-190121.98495264989</v>
      </c>
      <c r="K131" s="598"/>
      <c r="L131" s="598"/>
      <c r="M131" s="598"/>
      <c r="N131" s="598"/>
      <c r="O131" s="598"/>
      <c r="P131" s="598"/>
      <c r="Q131" s="598"/>
      <c r="R131" s="598"/>
    </row>
    <row r="132" spans="1:18" ht="13.5">
      <c r="A132" s="597"/>
      <c r="B132" s="597"/>
      <c r="C132" s="597"/>
      <c r="D132" s="598" t="s">
        <v>786</v>
      </c>
      <c r="E132" s="598" t="s">
        <v>761</v>
      </c>
      <c r="F132" s="634">
        <f t="shared" si="13"/>
        <v>-190121.98495264989</v>
      </c>
      <c r="G132" s="1856">
        <f t="shared" si="14"/>
        <v>2.7000000000000001E-3</v>
      </c>
      <c r="H132" s="1861">
        <f t="shared" si="15"/>
        <v>-190635.3143120218</v>
      </c>
      <c r="I132" s="608">
        <f t="shared" si="11"/>
        <v>-513.32935937215473</v>
      </c>
      <c r="J132" s="608">
        <f t="shared" si="12"/>
        <v>-2.3283064365386963E-10</v>
      </c>
      <c r="K132" s="598"/>
      <c r="L132" s="598"/>
      <c r="M132" s="598"/>
      <c r="N132" s="598"/>
      <c r="O132" s="598"/>
      <c r="P132" s="598"/>
      <c r="Q132" s="598"/>
      <c r="R132" s="598"/>
    </row>
    <row r="133" spans="1:18" ht="13.5">
      <c r="A133" s="597"/>
      <c r="B133" s="597"/>
      <c r="C133" s="597"/>
      <c r="D133" s="598" t="s">
        <v>817</v>
      </c>
      <c r="E133" s="598"/>
      <c r="F133" s="602"/>
      <c r="G133" s="602"/>
      <c r="H133" s="634">
        <f>SUM(H116:H132)</f>
        <v>-2287623.771744261</v>
      </c>
      <c r="I133" s="598"/>
      <c r="J133" s="598"/>
      <c r="K133" s="598"/>
      <c r="L133" s="598"/>
      <c r="M133" s="598"/>
      <c r="N133" s="598"/>
      <c r="O133" s="598"/>
      <c r="P133" s="598"/>
      <c r="Q133" s="598"/>
      <c r="R133" s="598"/>
    </row>
    <row r="134" spans="1:18" ht="13.5">
      <c r="A134" s="597"/>
      <c r="B134" s="597"/>
      <c r="C134" s="597"/>
      <c r="D134" s="598"/>
      <c r="E134" s="598"/>
      <c r="F134" s="598"/>
      <c r="G134" s="598"/>
      <c r="H134" s="598"/>
      <c r="I134" s="598"/>
      <c r="J134" s="598"/>
      <c r="K134" s="598"/>
      <c r="L134" s="598"/>
      <c r="M134" s="598"/>
      <c r="N134" s="598"/>
      <c r="O134" s="598"/>
      <c r="P134" s="598"/>
      <c r="Q134" s="598"/>
      <c r="R134" s="598"/>
    </row>
    <row r="135" spans="1:18" ht="13.5">
      <c r="A135" s="430"/>
      <c r="B135" s="597"/>
      <c r="C135" s="597"/>
      <c r="D135" s="639" t="str">
        <f>+D133</f>
        <v>Total with interest</v>
      </c>
      <c r="E135" s="597"/>
      <c r="F135" s="429"/>
      <c r="G135" s="597"/>
      <c r="H135" s="613">
        <f>+H133</f>
        <v>-2287623.771744261</v>
      </c>
      <c r="I135" s="597"/>
      <c r="J135" s="613"/>
      <c r="K135" s="598"/>
      <c r="L135" s="598"/>
      <c r="M135" s="598"/>
      <c r="N135" s="598"/>
      <c r="O135" s="598"/>
      <c r="P135" s="598"/>
      <c r="Q135" s="598"/>
      <c r="R135" s="598"/>
    </row>
    <row r="136" spans="1:18" ht="13.5">
      <c r="A136" s="430"/>
      <c r="B136" s="597"/>
      <c r="C136" s="597"/>
      <c r="D136" s="639" t="s">
        <v>78</v>
      </c>
      <c r="E136" s="597"/>
      <c r="F136" s="429"/>
      <c r="G136" s="597"/>
      <c r="H136" s="642">
        <f>'ATT H-1 '!L282</f>
        <v>7985645.9044050518</v>
      </c>
      <c r="I136" s="610"/>
      <c r="J136" s="634"/>
      <c r="K136" s="598"/>
      <c r="L136" s="598"/>
      <c r="M136" s="598"/>
      <c r="N136" s="598"/>
      <c r="O136" s="598"/>
      <c r="P136" s="598"/>
      <c r="Q136" s="598"/>
      <c r="R136" s="598"/>
    </row>
    <row r="137" spans="1:18" ht="13.5">
      <c r="A137" s="430"/>
      <c r="B137" s="597"/>
      <c r="C137" s="597"/>
      <c r="D137" s="639" t="s">
        <v>79</v>
      </c>
      <c r="E137" s="597"/>
      <c r="F137" s="429"/>
      <c r="G137" s="597"/>
      <c r="H137" s="613">
        <f>+H135+H136</f>
        <v>5698022.1326607913</v>
      </c>
      <c r="I137" s="601"/>
      <c r="J137" s="634"/>
      <c r="K137" s="598"/>
      <c r="L137" s="598"/>
      <c r="M137" s="598"/>
      <c r="N137" s="598"/>
      <c r="O137" s="598"/>
      <c r="P137" s="598"/>
      <c r="Q137" s="598"/>
      <c r="R137" s="598"/>
    </row>
    <row r="138" spans="1:18" ht="13.5">
      <c r="A138" s="597"/>
      <c r="B138" s="597"/>
      <c r="C138" s="597"/>
      <c r="D138" s="630"/>
      <c r="E138" s="598"/>
      <c r="F138" s="598"/>
      <c r="G138" s="602"/>
      <c r="H138" s="634"/>
      <c r="I138" s="602"/>
      <c r="J138" s="598"/>
      <c r="K138" s="598"/>
      <c r="L138" s="598"/>
      <c r="M138" s="598"/>
      <c r="N138" s="598"/>
      <c r="O138" s="598"/>
      <c r="P138" s="598"/>
      <c r="Q138" s="598"/>
      <c r="R138" s="598"/>
    </row>
    <row r="139" spans="1:18" ht="13.5">
      <c r="A139" s="597">
        <v>9</v>
      </c>
      <c r="B139" s="597" t="s">
        <v>785</v>
      </c>
      <c r="C139" s="597" t="s">
        <v>761</v>
      </c>
      <c r="D139" s="604" t="s">
        <v>1441</v>
      </c>
      <c r="E139" s="598"/>
      <c r="F139" s="598"/>
      <c r="G139" s="598"/>
      <c r="H139" s="598"/>
      <c r="I139" s="598"/>
      <c r="J139" s="429"/>
      <c r="K139" s="598"/>
      <c r="L139" s="598"/>
      <c r="M139" s="598"/>
      <c r="N139" s="598"/>
      <c r="O139" s="598"/>
      <c r="P139" s="598"/>
      <c r="Q139" s="598"/>
      <c r="R139" s="598"/>
    </row>
    <row r="140" spans="1:18" ht="13.5">
      <c r="A140" s="597"/>
      <c r="B140" s="597"/>
      <c r="C140" s="597"/>
      <c r="D140" s="604"/>
      <c r="E140" s="598"/>
      <c r="F140" s="598"/>
      <c r="G140" s="598"/>
      <c r="H140" s="598"/>
      <c r="I140" s="598"/>
      <c r="J140" s="429"/>
      <c r="K140" s="598"/>
      <c r="L140" s="598"/>
      <c r="M140" s="598"/>
      <c r="N140" s="598"/>
      <c r="O140" s="598"/>
      <c r="P140" s="598"/>
      <c r="Q140" s="598"/>
      <c r="R140" s="598"/>
    </row>
    <row r="141" spans="1:18" ht="13.5">
      <c r="A141" s="597"/>
      <c r="B141" s="429"/>
      <c r="C141" s="490" t="s">
        <v>344</v>
      </c>
      <c r="D141" s="490" t="s">
        <v>345</v>
      </c>
      <c r="E141" s="490" t="s">
        <v>438</v>
      </c>
      <c r="F141" s="490" t="s">
        <v>346</v>
      </c>
      <c r="G141" s="490" t="s">
        <v>347</v>
      </c>
      <c r="H141" s="490" t="s">
        <v>343</v>
      </c>
      <c r="I141" s="490"/>
      <c r="J141" s="490" t="s">
        <v>719</v>
      </c>
      <c r="K141" s="490" t="s">
        <v>720</v>
      </c>
      <c r="L141" s="490" t="s">
        <v>1128</v>
      </c>
      <c r="M141" s="600" t="s">
        <v>1129</v>
      </c>
      <c r="N141" s="597" t="s">
        <v>1130</v>
      </c>
      <c r="O141" s="597" t="s">
        <v>1131</v>
      </c>
      <c r="P141" s="597"/>
      <c r="Q141" s="597"/>
      <c r="R141" s="597"/>
    </row>
    <row r="142" spans="1:18" ht="13.5">
      <c r="A142" s="597"/>
      <c r="B142" s="429"/>
      <c r="C142" s="597" t="s">
        <v>300</v>
      </c>
      <c r="D142" s="597" t="s">
        <v>300</v>
      </c>
      <c r="E142" s="597" t="s">
        <v>300</v>
      </c>
      <c r="F142" s="597" t="s">
        <v>300</v>
      </c>
      <c r="G142" s="597" t="s">
        <v>300</v>
      </c>
      <c r="H142" s="597" t="s">
        <v>300</v>
      </c>
      <c r="I142" s="597"/>
      <c r="J142" s="597" t="s">
        <v>84</v>
      </c>
      <c r="K142" s="597" t="s">
        <v>84</v>
      </c>
      <c r="L142" s="597" t="s">
        <v>84</v>
      </c>
      <c r="M142" s="597" t="s">
        <v>84</v>
      </c>
      <c r="N142" s="597" t="s">
        <v>84</v>
      </c>
      <c r="O142" s="597" t="s">
        <v>84</v>
      </c>
      <c r="P142" s="597"/>
      <c r="Q142" s="597"/>
      <c r="R142" s="597"/>
    </row>
    <row r="143" spans="1:18" ht="13.5">
      <c r="A143" s="597"/>
      <c r="B143" s="598"/>
      <c r="C143" s="597" t="s">
        <v>80</v>
      </c>
      <c r="D143" s="597" t="s">
        <v>80</v>
      </c>
      <c r="E143" s="597" t="s">
        <v>80</v>
      </c>
      <c r="F143" s="648"/>
      <c r="G143" s="648"/>
      <c r="H143" s="648"/>
      <c r="I143" s="597"/>
      <c r="J143" s="597" t="s">
        <v>85</v>
      </c>
      <c r="K143" s="597" t="s">
        <v>86</v>
      </c>
      <c r="L143" s="597" t="s">
        <v>87</v>
      </c>
      <c r="M143" s="597" t="s">
        <v>88</v>
      </c>
      <c r="N143" s="597" t="s">
        <v>89</v>
      </c>
      <c r="O143" s="597" t="s">
        <v>90</v>
      </c>
      <c r="P143" s="597"/>
      <c r="Q143" s="597"/>
      <c r="R143" s="597"/>
    </row>
    <row r="144" spans="1:18" ht="13.5">
      <c r="A144" s="597"/>
      <c r="B144" s="598"/>
      <c r="C144" s="597"/>
      <c r="D144" s="597"/>
      <c r="E144" s="597"/>
      <c r="F144" s="597" t="s">
        <v>81</v>
      </c>
      <c r="G144" s="597" t="s">
        <v>82</v>
      </c>
      <c r="H144" s="597" t="s">
        <v>83</v>
      </c>
      <c r="I144" s="597"/>
      <c r="J144" s="597"/>
      <c r="K144" s="597"/>
      <c r="L144" s="597"/>
      <c r="M144" s="597"/>
      <c r="N144" s="597"/>
      <c r="O144" s="597"/>
      <c r="P144" s="597"/>
      <c r="Q144" s="597"/>
      <c r="R144" s="597"/>
    </row>
    <row r="145" spans="1:18" ht="13.5">
      <c r="A145" s="597"/>
      <c r="B145" s="598"/>
      <c r="C145" s="597"/>
      <c r="D145" s="612"/>
      <c r="E145" s="612"/>
      <c r="F145" s="612"/>
      <c r="G145" s="597"/>
      <c r="H145" s="597"/>
      <c r="I145" s="647"/>
      <c r="J145" s="597"/>
      <c r="K145" s="597"/>
      <c r="L145" s="613"/>
      <c r="M145" s="597"/>
      <c r="N145" s="597"/>
      <c r="O145" s="608"/>
      <c r="P145" s="597"/>
      <c r="Q145" s="631"/>
      <c r="R145" s="613"/>
    </row>
    <row r="146" spans="1:18" ht="13.5">
      <c r="A146" s="597"/>
      <c r="B146" s="598" t="s">
        <v>788</v>
      </c>
      <c r="C146" s="614"/>
      <c r="D146" s="614"/>
      <c r="E146" s="614"/>
      <c r="F146" s="614"/>
      <c r="G146" s="614"/>
      <c r="H146" s="614"/>
      <c r="I146" s="647"/>
      <c r="J146" s="613">
        <f t="shared" ref="J146:O146" si="16">C146</f>
        <v>0</v>
      </c>
      <c r="K146" s="613">
        <f t="shared" si="16"/>
        <v>0</v>
      </c>
      <c r="L146" s="613">
        <f t="shared" si="16"/>
        <v>0</v>
      </c>
      <c r="M146" s="613">
        <f t="shared" si="16"/>
        <v>0</v>
      </c>
      <c r="N146" s="613">
        <f t="shared" si="16"/>
        <v>0</v>
      </c>
      <c r="O146" s="613">
        <f t="shared" si="16"/>
        <v>0</v>
      </c>
      <c r="P146" s="613"/>
      <c r="Q146" s="613"/>
      <c r="R146" s="613"/>
    </row>
    <row r="147" spans="1:18" ht="13.5">
      <c r="A147" s="597"/>
      <c r="B147" s="598" t="s">
        <v>789</v>
      </c>
      <c r="C147" s="614"/>
      <c r="D147" s="614"/>
      <c r="E147" s="614"/>
      <c r="F147" s="614"/>
      <c r="G147" s="614"/>
      <c r="H147" s="614"/>
      <c r="I147" s="647"/>
      <c r="J147" s="613">
        <f>J146+C147</f>
        <v>0</v>
      </c>
      <c r="K147" s="613">
        <f t="shared" ref="K147:K157" si="17">K146+D147</f>
        <v>0</v>
      </c>
      <c r="L147" s="613">
        <f t="shared" ref="L147:L157" si="18">L146+E147</f>
        <v>0</v>
      </c>
      <c r="M147" s="613">
        <f t="shared" ref="M147:M157" si="19">M146+F147</f>
        <v>0</v>
      </c>
      <c r="N147" s="613">
        <f t="shared" ref="N147:N157" si="20">N146+G147</f>
        <v>0</v>
      </c>
      <c r="O147" s="613">
        <f t="shared" ref="O147:O157" si="21">O146+H147</f>
        <v>0</v>
      </c>
      <c r="P147" s="613"/>
      <c r="Q147" s="613"/>
      <c r="R147" s="613"/>
    </row>
    <row r="148" spans="1:18" ht="13.5">
      <c r="A148" s="597"/>
      <c r="B148" s="598" t="s">
        <v>790</v>
      </c>
      <c r="C148" s="614"/>
      <c r="D148" s="614"/>
      <c r="E148" s="614"/>
      <c r="F148" s="614"/>
      <c r="G148" s="614"/>
      <c r="H148" s="614"/>
      <c r="I148" s="647"/>
      <c r="J148" s="613">
        <f t="shared" ref="J148:J157" si="22">J147+C148</f>
        <v>0</v>
      </c>
      <c r="K148" s="613">
        <f t="shared" si="17"/>
        <v>0</v>
      </c>
      <c r="L148" s="613">
        <f t="shared" si="18"/>
        <v>0</v>
      </c>
      <c r="M148" s="613">
        <f t="shared" si="19"/>
        <v>0</v>
      </c>
      <c r="N148" s="613">
        <f t="shared" si="20"/>
        <v>0</v>
      </c>
      <c r="O148" s="613">
        <f t="shared" si="21"/>
        <v>0</v>
      </c>
      <c r="P148" s="613"/>
      <c r="Q148" s="613"/>
      <c r="R148" s="613"/>
    </row>
    <row r="149" spans="1:18" ht="13.5">
      <c r="A149" s="597"/>
      <c r="B149" s="598" t="s">
        <v>791</v>
      </c>
      <c r="C149" s="614"/>
      <c r="D149" s="614"/>
      <c r="E149" s="614"/>
      <c r="F149" s="614"/>
      <c r="G149" s="614"/>
      <c r="H149" s="614"/>
      <c r="I149" s="647"/>
      <c r="J149" s="613">
        <f t="shared" si="22"/>
        <v>0</v>
      </c>
      <c r="K149" s="613">
        <f t="shared" si="17"/>
        <v>0</v>
      </c>
      <c r="L149" s="613">
        <f t="shared" si="18"/>
        <v>0</v>
      </c>
      <c r="M149" s="613">
        <f t="shared" si="19"/>
        <v>0</v>
      </c>
      <c r="N149" s="613">
        <f t="shared" si="20"/>
        <v>0</v>
      </c>
      <c r="O149" s="613">
        <f t="shared" si="21"/>
        <v>0</v>
      </c>
      <c r="P149" s="613"/>
      <c r="Q149" s="613"/>
      <c r="R149" s="613"/>
    </row>
    <row r="150" spans="1:18" ht="13.5">
      <c r="A150" s="597"/>
      <c r="B150" s="598" t="s">
        <v>786</v>
      </c>
      <c r="C150" s="614"/>
      <c r="D150" s="614"/>
      <c r="E150" s="614"/>
      <c r="F150" s="614"/>
      <c r="G150" s="614"/>
      <c r="H150" s="614"/>
      <c r="I150" s="647"/>
      <c r="J150" s="613">
        <f t="shared" si="22"/>
        <v>0</v>
      </c>
      <c r="K150" s="613">
        <f t="shared" si="17"/>
        <v>0</v>
      </c>
      <c r="L150" s="613">
        <f t="shared" si="18"/>
        <v>0</v>
      </c>
      <c r="M150" s="613">
        <f t="shared" si="19"/>
        <v>0</v>
      </c>
      <c r="N150" s="613">
        <f t="shared" si="20"/>
        <v>0</v>
      </c>
      <c r="O150" s="613">
        <f t="shared" si="21"/>
        <v>0</v>
      </c>
      <c r="P150" s="613"/>
      <c r="Q150" s="613"/>
      <c r="R150" s="613"/>
    </row>
    <row r="151" spans="1:18" ht="13.5">
      <c r="A151" s="597"/>
      <c r="B151" s="598" t="s">
        <v>792</v>
      </c>
      <c r="C151" s="614"/>
      <c r="D151" s="614"/>
      <c r="E151" s="614"/>
      <c r="F151" s="614"/>
      <c r="G151" s="614"/>
      <c r="H151" s="614"/>
      <c r="I151" s="647"/>
      <c r="J151" s="613">
        <f t="shared" si="22"/>
        <v>0</v>
      </c>
      <c r="K151" s="613">
        <f t="shared" si="17"/>
        <v>0</v>
      </c>
      <c r="L151" s="613">
        <f t="shared" si="18"/>
        <v>0</v>
      </c>
      <c r="M151" s="613">
        <f t="shared" si="19"/>
        <v>0</v>
      </c>
      <c r="N151" s="613">
        <f t="shared" si="20"/>
        <v>0</v>
      </c>
      <c r="O151" s="613">
        <f t="shared" si="21"/>
        <v>0</v>
      </c>
      <c r="P151" s="613"/>
      <c r="Q151" s="613"/>
      <c r="R151" s="613"/>
    </row>
    <row r="152" spans="1:18" ht="13.5">
      <c r="A152" s="597"/>
      <c r="B152" s="598" t="s">
        <v>793</v>
      </c>
      <c r="C152" s="614"/>
      <c r="D152" s="614"/>
      <c r="E152" s="614"/>
      <c r="F152" s="614"/>
      <c r="G152" s="614"/>
      <c r="H152" s="614"/>
      <c r="I152" s="647"/>
      <c r="J152" s="613">
        <f t="shared" si="22"/>
        <v>0</v>
      </c>
      <c r="K152" s="613">
        <f t="shared" si="17"/>
        <v>0</v>
      </c>
      <c r="L152" s="613">
        <f t="shared" si="18"/>
        <v>0</v>
      </c>
      <c r="M152" s="613">
        <f t="shared" si="19"/>
        <v>0</v>
      </c>
      <c r="N152" s="613">
        <f t="shared" si="20"/>
        <v>0</v>
      </c>
      <c r="O152" s="613">
        <f t="shared" si="21"/>
        <v>0</v>
      </c>
      <c r="P152" s="613"/>
      <c r="Q152" s="613"/>
      <c r="R152" s="613"/>
    </row>
    <row r="153" spans="1:18" ht="13.5">
      <c r="A153" s="597"/>
      <c r="B153" s="598" t="s">
        <v>794</v>
      </c>
      <c r="C153" s="614"/>
      <c r="D153" s="614"/>
      <c r="E153" s="614"/>
      <c r="F153" s="614"/>
      <c r="G153" s="614"/>
      <c r="H153" s="614"/>
      <c r="I153" s="647"/>
      <c r="J153" s="613">
        <f t="shared" si="22"/>
        <v>0</v>
      </c>
      <c r="K153" s="613">
        <f t="shared" si="17"/>
        <v>0</v>
      </c>
      <c r="L153" s="613">
        <f t="shared" si="18"/>
        <v>0</v>
      </c>
      <c r="M153" s="613">
        <f t="shared" si="19"/>
        <v>0</v>
      </c>
      <c r="N153" s="613">
        <f t="shared" si="20"/>
        <v>0</v>
      </c>
      <c r="O153" s="613">
        <f t="shared" si="21"/>
        <v>0</v>
      </c>
      <c r="P153" s="613"/>
      <c r="Q153" s="613"/>
      <c r="R153" s="613"/>
    </row>
    <row r="154" spans="1:18" ht="13.5">
      <c r="A154" s="597"/>
      <c r="B154" s="598" t="s">
        <v>795</v>
      </c>
      <c r="C154" s="614"/>
      <c r="D154" s="614"/>
      <c r="E154" s="614"/>
      <c r="F154" s="614"/>
      <c r="G154" s="614"/>
      <c r="H154" s="614"/>
      <c r="I154" s="647"/>
      <c r="J154" s="613">
        <f t="shared" si="22"/>
        <v>0</v>
      </c>
      <c r="K154" s="613">
        <f t="shared" si="17"/>
        <v>0</v>
      </c>
      <c r="L154" s="613">
        <f t="shared" si="18"/>
        <v>0</v>
      </c>
      <c r="M154" s="613">
        <f t="shared" si="19"/>
        <v>0</v>
      </c>
      <c r="N154" s="613">
        <f t="shared" si="20"/>
        <v>0</v>
      </c>
      <c r="O154" s="613">
        <f t="shared" si="21"/>
        <v>0</v>
      </c>
      <c r="P154" s="613"/>
      <c r="Q154" s="613"/>
      <c r="R154" s="613"/>
    </row>
    <row r="155" spans="1:18" ht="13.5">
      <c r="A155" s="597"/>
      <c r="B155" s="598" t="s">
        <v>796</v>
      </c>
      <c r="C155" s="614"/>
      <c r="D155" s="614"/>
      <c r="E155" s="614"/>
      <c r="F155" s="614"/>
      <c r="G155" s="614"/>
      <c r="H155" s="614"/>
      <c r="I155" s="647"/>
      <c r="J155" s="613">
        <f t="shared" si="22"/>
        <v>0</v>
      </c>
      <c r="K155" s="613">
        <f t="shared" si="17"/>
        <v>0</v>
      </c>
      <c r="L155" s="613">
        <f t="shared" si="18"/>
        <v>0</v>
      </c>
      <c r="M155" s="613">
        <f t="shared" si="19"/>
        <v>0</v>
      </c>
      <c r="N155" s="613">
        <f t="shared" si="20"/>
        <v>0</v>
      </c>
      <c r="O155" s="613">
        <f t="shared" si="21"/>
        <v>0</v>
      </c>
      <c r="P155" s="613"/>
      <c r="Q155" s="613"/>
      <c r="R155" s="613"/>
    </row>
    <row r="156" spans="1:18" ht="13.5">
      <c r="A156" s="597"/>
      <c r="B156" s="598" t="s">
        <v>797</v>
      </c>
      <c r="C156" s="614"/>
      <c r="D156" s="614"/>
      <c r="E156" s="614"/>
      <c r="F156" s="614"/>
      <c r="G156" s="614"/>
      <c r="H156" s="614"/>
      <c r="I156" s="647"/>
      <c r="J156" s="613">
        <f t="shared" si="22"/>
        <v>0</v>
      </c>
      <c r="K156" s="613">
        <f t="shared" si="17"/>
        <v>0</v>
      </c>
      <c r="L156" s="613">
        <f t="shared" si="18"/>
        <v>0</v>
      </c>
      <c r="M156" s="613">
        <f t="shared" si="19"/>
        <v>0</v>
      </c>
      <c r="N156" s="613">
        <f t="shared" si="20"/>
        <v>0</v>
      </c>
      <c r="O156" s="613">
        <f t="shared" si="21"/>
        <v>0</v>
      </c>
      <c r="P156" s="613"/>
      <c r="Q156" s="613"/>
      <c r="R156" s="613"/>
    </row>
    <row r="157" spans="1:18" ht="13.5">
      <c r="A157" s="597"/>
      <c r="B157" s="598" t="s">
        <v>798</v>
      </c>
      <c r="C157" s="614"/>
      <c r="D157" s="614"/>
      <c r="E157" s="614"/>
      <c r="F157" s="614"/>
      <c r="G157" s="614"/>
      <c r="H157" s="614"/>
      <c r="I157" s="647"/>
      <c r="J157" s="613">
        <f t="shared" si="22"/>
        <v>0</v>
      </c>
      <c r="K157" s="613">
        <f t="shared" si="17"/>
        <v>0</v>
      </c>
      <c r="L157" s="613">
        <f t="shared" si="18"/>
        <v>0</v>
      </c>
      <c r="M157" s="613">
        <f t="shared" si="19"/>
        <v>0</v>
      </c>
      <c r="N157" s="613">
        <f t="shared" si="20"/>
        <v>0</v>
      </c>
      <c r="O157" s="613">
        <f t="shared" si="21"/>
        <v>0</v>
      </c>
      <c r="P157" s="613"/>
      <c r="Q157" s="613"/>
      <c r="R157" s="613"/>
    </row>
    <row r="158" spans="1:18" ht="13.5">
      <c r="A158" s="597"/>
      <c r="B158" s="598" t="s">
        <v>1015</v>
      </c>
      <c r="C158" s="613">
        <f t="shared" ref="C158:H158" si="23">SUM(C146:C157)</f>
        <v>0</v>
      </c>
      <c r="D158" s="613">
        <f t="shared" si="23"/>
        <v>0</v>
      </c>
      <c r="E158" s="613">
        <f t="shared" si="23"/>
        <v>0</v>
      </c>
      <c r="F158" s="613">
        <f t="shared" si="23"/>
        <v>0</v>
      </c>
      <c r="G158" s="613">
        <f t="shared" si="23"/>
        <v>0</v>
      </c>
      <c r="H158" s="613">
        <f t="shared" si="23"/>
        <v>0</v>
      </c>
      <c r="I158" s="613" t="s">
        <v>91</v>
      </c>
      <c r="J158" s="613">
        <f t="shared" ref="J158:O158" si="24">AVERAGE(J146:J157)</f>
        <v>0</v>
      </c>
      <c r="K158" s="613">
        <f t="shared" si="24"/>
        <v>0</v>
      </c>
      <c r="L158" s="613">
        <f t="shared" si="24"/>
        <v>0</v>
      </c>
      <c r="M158" s="613">
        <f t="shared" si="24"/>
        <v>0</v>
      </c>
      <c r="N158" s="613">
        <f t="shared" si="24"/>
        <v>0</v>
      </c>
      <c r="O158" s="613">
        <f t="shared" si="24"/>
        <v>0</v>
      </c>
      <c r="P158" s="613"/>
      <c r="Q158" s="613"/>
      <c r="R158" s="613"/>
    </row>
    <row r="159" spans="1:18" ht="13.5">
      <c r="A159" s="597"/>
      <c r="C159" s="598"/>
      <c r="D159" s="429"/>
      <c r="E159" s="429"/>
      <c r="F159" s="429"/>
      <c r="G159" s="429"/>
      <c r="H159" s="429"/>
      <c r="I159" s="429"/>
      <c r="J159" s="429"/>
      <c r="K159" s="429"/>
      <c r="L159" s="615"/>
      <c r="M159" s="598"/>
      <c r="N159" s="598"/>
      <c r="O159" s="598"/>
      <c r="P159" s="429"/>
      <c r="Q159" s="615"/>
      <c r="R159" s="598"/>
    </row>
    <row r="160" spans="1:18" ht="15.75">
      <c r="A160" s="597" t="s">
        <v>919</v>
      </c>
      <c r="B160" s="598" t="s">
        <v>93</v>
      </c>
      <c r="C160" s="598"/>
      <c r="D160" s="429"/>
      <c r="E160" s="429"/>
      <c r="F160" s="429"/>
      <c r="G160" s="429"/>
      <c r="H160" s="429"/>
      <c r="I160" s="429"/>
      <c r="J160" s="598"/>
      <c r="K160" s="649" t="s">
        <v>92</v>
      </c>
      <c r="L160" s="429"/>
      <c r="M160" s="613">
        <f>SUM(J158:O158)</f>
        <v>0</v>
      </c>
      <c r="N160" s="613"/>
      <c r="O160" s="1959" t="s">
        <v>1442</v>
      </c>
      <c r="P160" s="598"/>
      <c r="Q160" s="615"/>
      <c r="R160" s="613"/>
    </row>
    <row r="161" spans="1:18" ht="13.5">
      <c r="A161" s="597"/>
      <c r="B161" s="598"/>
      <c r="C161" s="598"/>
      <c r="D161" s="429"/>
      <c r="E161" s="429"/>
      <c r="F161" s="429"/>
      <c r="G161" s="429"/>
      <c r="H161" s="429"/>
      <c r="I161" s="429"/>
      <c r="J161" s="598"/>
      <c r="K161" s="598"/>
      <c r="L161" s="613"/>
      <c r="M161" s="598"/>
      <c r="N161" s="429"/>
      <c r="O161" s="598"/>
      <c r="P161" s="598"/>
      <c r="Q161" s="598"/>
      <c r="R161" s="598"/>
    </row>
    <row r="162" spans="1:18" ht="13.5">
      <c r="A162" s="597"/>
      <c r="B162" s="597"/>
      <c r="C162" s="597"/>
      <c r="D162" s="598"/>
      <c r="E162" s="598"/>
      <c r="F162" s="429"/>
      <c r="G162" s="598"/>
      <c r="H162" s="598"/>
      <c r="I162" s="613"/>
      <c r="J162" s="598"/>
      <c r="K162" s="429"/>
      <c r="L162" s="598"/>
      <c r="M162" s="598"/>
      <c r="N162" s="616"/>
      <c r="O162" s="616"/>
      <c r="P162" s="598"/>
      <c r="Q162" s="598"/>
      <c r="R162" s="616"/>
    </row>
    <row r="163" spans="1:18" ht="13.5">
      <c r="A163" s="430"/>
      <c r="B163" s="597"/>
      <c r="C163" s="597"/>
      <c r="D163" s="619"/>
      <c r="E163" s="597"/>
      <c r="F163" s="429"/>
      <c r="G163" s="597"/>
      <c r="H163" s="613"/>
      <c r="I163" s="601"/>
      <c r="J163" s="634"/>
      <c r="K163" s="598"/>
      <c r="L163" s="598"/>
      <c r="M163" s="598"/>
      <c r="N163" s="598"/>
      <c r="O163" s="598"/>
      <c r="P163" s="598"/>
      <c r="Q163" s="598"/>
      <c r="R163" s="598"/>
    </row>
    <row r="164" spans="1:18" ht="13.5">
      <c r="A164" s="597"/>
      <c r="B164" s="597"/>
      <c r="C164" s="597"/>
      <c r="D164" s="619"/>
      <c r="E164" s="597"/>
      <c r="F164" s="613"/>
      <c r="G164" s="597"/>
      <c r="H164" s="613"/>
      <c r="I164" s="601"/>
      <c r="J164" s="634"/>
      <c r="K164" s="598"/>
      <c r="L164" s="598"/>
      <c r="M164" s="598"/>
      <c r="N164" s="598"/>
      <c r="O164" s="598"/>
      <c r="P164" s="598"/>
      <c r="Q164" s="598"/>
      <c r="R164" s="598"/>
    </row>
    <row r="165" spans="1:18" ht="13.5">
      <c r="A165" s="597">
        <v>10</v>
      </c>
      <c r="B165" s="597" t="s">
        <v>786</v>
      </c>
      <c r="C165" s="597" t="s">
        <v>761</v>
      </c>
      <c r="D165" s="604" t="s">
        <v>555</v>
      </c>
      <c r="E165" s="598"/>
      <c r="F165" s="598"/>
      <c r="G165" s="598"/>
      <c r="H165" s="598"/>
      <c r="I165" s="601"/>
      <c r="J165" s="602"/>
      <c r="K165" s="598"/>
      <c r="L165" s="598"/>
      <c r="M165" s="598"/>
      <c r="N165" s="598"/>
      <c r="O165" s="598"/>
      <c r="P165" s="598"/>
      <c r="Q165" s="602"/>
      <c r="R165" s="643"/>
    </row>
    <row r="166" spans="1:18" ht="13.5">
      <c r="A166" s="597"/>
      <c r="B166" s="597"/>
      <c r="C166" s="597"/>
      <c r="D166" s="620"/>
      <c r="E166" s="598" t="s">
        <v>1127</v>
      </c>
      <c r="F166" s="598"/>
      <c r="G166" s="598"/>
      <c r="H166" s="598"/>
      <c r="I166" s="602"/>
      <c r="J166" s="602"/>
      <c r="K166" s="598"/>
      <c r="L166" s="598"/>
      <c r="M166" s="598"/>
      <c r="N166" s="598"/>
      <c r="O166" s="598"/>
      <c r="P166" s="598"/>
      <c r="Q166" s="598"/>
      <c r="R166" s="598"/>
    </row>
    <row r="167" spans="1:18" ht="13.5">
      <c r="A167" s="597"/>
      <c r="B167" s="597"/>
      <c r="C167" s="597"/>
      <c r="D167" s="626"/>
      <c r="E167" s="619"/>
      <c r="F167" s="598"/>
      <c r="G167" s="598"/>
      <c r="H167" s="598"/>
      <c r="I167" s="602"/>
      <c r="J167" s="602"/>
      <c r="K167" s="598"/>
      <c r="L167" s="598"/>
      <c r="M167" s="598"/>
      <c r="N167" s="598"/>
      <c r="O167" s="598"/>
      <c r="P167" s="598"/>
      <c r="Q167" s="598"/>
      <c r="R167" s="598"/>
    </row>
    <row r="168" spans="1:18" ht="13.5">
      <c r="A168" s="597"/>
      <c r="B168" s="597"/>
      <c r="C168" s="597"/>
      <c r="D168" s="620"/>
      <c r="E168" s="598"/>
      <c r="F168" s="598"/>
      <c r="G168" s="598"/>
      <c r="H168" s="598"/>
      <c r="I168" s="602"/>
      <c r="J168" s="602"/>
      <c r="K168" s="598"/>
      <c r="L168" s="598"/>
      <c r="M168" s="598"/>
      <c r="N168" s="598"/>
      <c r="O168" s="598"/>
      <c r="P168" s="598"/>
      <c r="Q168" s="598"/>
      <c r="R168" s="598"/>
    </row>
    <row r="169" spans="1:18" ht="13.5">
      <c r="A169" s="597">
        <v>11</v>
      </c>
      <c r="B169" s="597" t="s">
        <v>787</v>
      </c>
      <c r="C169" s="597" t="s">
        <v>761</v>
      </c>
      <c r="D169" s="627" t="s">
        <v>1430</v>
      </c>
      <c r="E169" s="598"/>
      <c r="F169" s="598"/>
      <c r="G169" s="598"/>
      <c r="H169" s="598"/>
      <c r="I169" s="598"/>
      <c r="J169" s="598"/>
      <c r="K169" s="598"/>
      <c r="L169" s="598"/>
      <c r="M169" s="598"/>
      <c r="N169" s="598"/>
      <c r="O169" s="598"/>
      <c r="P169" s="598"/>
      <c r="Q169" s="598"/>
      <c r="R169" s="598"/>
    </row>
    <row r="170" spans="1:18" ht="13.5">
      <c r="A170" s="597"/>
      <c r="B170" s="597"/>
      <c r="C170" s="597"/>
      <c r="D170" s="644">
        <v>0</v>
      </c>
      <c r="E170" s="598"/>
      <c r="F170" s="598"/>
      <c r="G170" s="598"/>
      <c r="H170" s="598"/>
      <c r="I170" s="598"/>
      <c r="J170" s="598"/>
      <c r="K170" s="598"/>
      <c r="L170" s="598"/>
      <c r="M170" s="598"/>
      <c r="N170" s="598"/>
      <c r="O170" s="598"/>
      <c r="P170" s="598"/>
      <c r="Q170" s="598"/>
      <c r="R170" s="598"/>
    </row>
    <row r="171" spans="1:18" ht="13.5">
      <c r="A171" s="597"/>
      <c r="B171" s="597"/>
      <c r="C171" s="597"/>
      <c r="D171" s="598"/>
      <c r="E171" s="598"/>
      <c r="F171" s="598"/>
      <c r="G171" s="598"/>
      <c r="H171" s="598"/>
      <c r="I171" s="598"/>
      <c r="J171" s="598"/>
      <c r="K171" s="598"/>
      <c r="L171" s="598"/>
      <c r="M171" s="598"/>
      <c r="N171" s="598"/>
      <c r="O171" s="598"/>
      <c r="P171" s="598"/>
      <c r="Q171" s="598"/>
      <c r="R171" s="598"/>
    </row>
    <row r="172" spans="1:18" ht="13.5">
      <c r="A172" s="597"/>
      <c r="B172" s="598"/>
      <c r="C172" s="597"/>
      <c r="D172" s="619"/>
      <c r="E172" s="598"/>
      <c r="F172" s="598"/>
      <c r="G172" s="598"/>
      <c r="H172" s="598"/>
      <c r="I172" s="598"/>
      <c r="J172" s="598"/>
      <c r="K172" s="598"/>
      <c r="L172" s="598"/>
      <c r="M172" s="598"/>
      <c r="N172" s="598"/>
      <c r="O172" s="598"/>
      <c r="P172" s="598"/>
      <c r="Q172" s="598"/>
      <c r="R172" s="598"/>
    </row>
    <row r="173" spans="1:18" ht="13.5">
      <c r="A173" s="597"/>
      <c r="B173" s="597"/>
      <c r="C173" s="597"/>
      <c r="D173" s="598"/>
      <c r="E173" s="598"/>
      <c r="F173" s="598"/>
      <c r="G173" s="598"/>
      <c r="H173" s="598"/>
      <c r="I173" s="598"/>
      <c r="J173" s="598"/>
      <c r="K173" s="598"/>
      <c r="L173" s="598"/>
      <c r="M173" s="598"/>
      <c r="N173" s="598"/>
      <c r="O173" s="598"/>
      <c r="P173" s="598"/>
      <c r="Q173" s="598"/>
      <c r="R173" s="598"/>
    </row>
    <row r="174" spans="1:18" ht="13.5">
      <c r="A174" s="597"/>
      <c r="B174" s="597"/>
      <c r="C174" s="597"/>
      <c r="D174" s="598"/>
      <c r="E174" s="598"/>
      <c r="F174" s="598"/>
      <c r="G174" s="598"/>
      <c r="H174" s="598"/>
      <c r="I174" s="598"/>
      <c r="J174" s="598"/>
      <c r="K174" s="598"/>
      <c r="L174" s="598"/>
      <c r="M174" s="598"/>
      <c r="N174" s="598"/>
      <c r="O174" s="598"/>
      <c r="P174" s="598"/>
      <c r="Q174" s="598"/>
      <c r="R174" s="598"/>
    </row>
    <row r="175" spans="1:18" ht="13.5">
      <c r="A175" s="597"/>
      <c r="B175" s="597"/>
      <c r="C175" s="597"/>
      <c r="D175" s="598"/>
      <c r="E175" s="598"/>
      <c r="F175" s="598"/>
      <c r="G175" s="598"/>
      <c r="H175" s="598"/>
      <c r="I175" s="598"/>
      <c r="J175" s="598"/>
      <c r="K175" s="598"/>
      <c r="L175" s="598"/>
      <c r="M175" s="598"/>
      <c r="N175" s="598"/>
      <c r="O175" s="598"/>
      <c r="P175" s="598"/>
      <c r="Q175" s="598"/>
      <c r="R175" s="598"/>
    </row>
    <row r="176" spans="1:18" ht="13.5">
      <c r="A176" s="597"/>
      <c r="B176" s="597"/>
      <c r="C176" s="597"/>
      <c r="D176" s="598"/>
      <c r="E176" s="598"/>
      <c r="F176" s="598"/>
      <c r="G176" s="598"/>
      <c r="H176" s="598"/>
      <c r="I176" s="598"/>
      <c r="J176" s="598"/>
      <c r="K176" s="598"/>
      <c r="L176" s="598"/>
      <c r="M176" s="598"/>
      <c r="N176" s="598"/>
      <c r="O176" s="598"/>
      <c r="P176" s="598"/>
      <c r="Q176" s="598"/>
      <c r="R176" s="598"/>
    </row>
    <row r="177" spans="1:18" ht="13.5">
      <c r="A177" s="597"/>
      <c r="B177" s="597"/>
      <c r="C177" s="597"/>
      <c r="D177" s="598"/>
      <c r="E177" s="598"/>
      <c r="F177" s="598"/>
      <c r="G177" s="598"/>
      <c r="H177" s="598"/>
      <c r="I177" s="598"/>
      <c r="J177" s="598"/>
      <c r="K177" s="598"/>
      <c r="L177" s="598"/>
      <c r="M177" s="598"/>
      <c r="N177" s="598"/>
      <c r="O177" s="598"/>
      <c r="P177" s="598"/>
      <c r="Q177" s="598"/>
      <c r="R177" s="598"/>
    </row>
    <row r="178" spans="1:18" ht="13.5">
      <c r="A178" s="597"/>
      <c r="B178" s="597"/>
      <c r="C178" s="597"/>
      <c r="D178" s="598"/>
      <c r="E178" s="598"/>
      <c r="F178" s="598"/>
      <c r="G178" s="598"/>
      <c r="H178" s="598"/>
      <c r="I178" s="598"/>
      <c r="J178" s="598"/>
      <c r="K178" s="598"/>
      <c r="L178" s="598"/>
      <c r="M178" s="598"/>
      <c r="N178" s="598"/>
      <c r="O178" s="598"/>
      <c r="P178" s="598"/>
      <c r="Q178" s="598"/>
      <c r="R178" s="598"/>
    </row>
    <row r="179" spans="1:18" ht="13.5">
      <c r="A179" s="597"/>
      <c r="B179" s="597"/>
      <c r="C179" s="597"/>
      <c r="D179" s="598"/>
      <c r="E179" s="598"/>
      <c r="F179" s="598"/>
      <c r="G179" s="598"/>
      <c r="H179" s="598"/>
      <c r="I179" s="598"/>
      <c r="J179" s="598"/>
      <c r="K179" s="598"/>
      <c r="L179" s="598"/>
      <c r="M179" s="598"/>
      <c r="N179" s="598"/>
      <c r="O179" s="598"/>
      <c r="P179" s="598"/>
      <c r="Q179" s="598"/>
      <c r="R179" s="598"/>
    </row>
    <row r="180" spans="1:18" ht="13.5">
      <c r="A180" s="597"/>
      <c r="B180" s="597"/>
      <c r="C180" s="597"/>
      <c r="D180" s="598"/>
      <c r="E180" s="598"/>
      <c r="F180" s="598"/>
      <c r="G180" s="598"/>
      <c r="H180" s="598"/>
      <c r="I180" s="598"/>
      <c r="J180" s="598"/>
      <c r="K180" s="598"/>
      <c r="L180" s="598"/>
      <c r="M180" s="598"/>
      <c r="N180" s="598"/>
      <c r="O180" s="598"/>
      <c r="P180" s="598"/>
      <c r="Q180" s="598"/>
      <c r="R180" s="598"/>
    </row>
    <row r="181" spans="1:18" ht="13.5">
      <c r="A181" s="597"/>
      <c r="B181" s="597"/>
      <c r="C181" s="597"/>
      <c r="D181" s="598"/>
      <c r="E181" s="598"/>
      <c r="F181" s="598"/>
      <c r="G181" s="598"/>
      <c r="H181" s="598"/>
      <c r="I181" s="598"/>
      <c r="J181" s="598"/>
      <c r="K181" s="598"/>
      <c r="L181" s="598"/>
      <c r="M181" s="598"/>
      <c r="N181" s="598"/>
      <c r="O181" s="598"/>
      <c r="P181" s="598"/>
      <c r="Q181" s="598"/>
      <c r="R181" s="598"/>
    </row>
    <row r="182" spans="1:18" ht="13.5">
      <c r="A182" s="597"/>
      <c r="B182" s="597"/>
      <c r="C182" s="597"/>
      <c r="D182" s="598"/>
      <c r="E182" s="598"/>
      <c r="F182" s="598"/>
      <c r="G182" s="598"/>
      <c r="H182" s="598"/>
      <c r="I182" s="598"/>
      <c r="J182" s="598"/>
      <c r="K182" s="598"/>
      <c r="L182" s="598"/>
      <c r="M182" s="598"/>
      <c r="N182" s="598"/>
      <c r="O182" s="598"/>
      <c r="P182" s="598"/>
      <c r="Q182" s="598"/>
      <c r="R182" s="598"/>
    </row>
    <row r="183" spans="1:18" ht="13.5">
      <c r="A183" s="597"/>
      <c r="B183" s="597"/>
      <c r="C183" s="597"/>
      <c r="D183" s="598"/>
      <c r="E183" s="598"/>
      <c r="F183" s="598"/>
      <c r="G183" s="598"/>
      <c r="H183" s="598"/>
      <c r="I183" s="598"/>
      <c r="J183" s="598"/>
      <c r="K183" s="598"/>
      <c r="L183" s="598"/>
      <c r="M183" s="598"/>
      <c r="N183" s="598"/>
      <c r="O183" s="598"/>
      <c r="P183" s="598"/>
      <c r="Q183" s="598"/>
      <c r="R183" s="598"/>
    </row>
    <row r="184" spans="1:18" ht="13.5">
      <c r="A184" s="597"/>
      <c r="B184" s="597"/>
      <c r="C184" s="597"/>
      <c r="D184" s="598"/>
      <c r="E184" s="598"/>
      <c r="F184" s="598"/>
      <c r="G184" s="598"/>
      <c r="H184" s="598"/>
      <c r="I184" s="598"/>
      <c r="J184" s="598"/>
      <c r="K184" s="598"/>
      <c r="L184" s="598"/>
      <c r="M184" s="598"/>
      <c r="N184" s="598"/>
      <c r="O184" s="598"/>
      <c r="P184" s="598"/>
      <c r="Q184" s="598"/>
      <c r="R184" s="598"/>
    </row>
    <row r="185" spans="1:18" ht="13.5">
      <c r="A185" s="597"/>
      <c r="B185" s="597"/>
      <c r="C185" s="597"/>
      <c r="D185" s="598"/>
      <c r="E185" s="598"/>
      <c r="F185" s="598"/>
      <c r="G185" s="598"/>
      <c r="H185" s="598"/>
      <c r="I185" s="598"/>
      <c r="J185" s="598"/>
      <c r="K185" s="598"/>
      <c r="L185" s="598"/>
      <c r="M185" s="598"/>
      <c r="N185" s="598"/>
      <c r="O185" s="598"/>
      <c r="P185" s="598"/>
      <c r="Q185" s="598"/>
      <c r="R185" s="598"/>
    </row>
    <row r="186" spans="1:18" ht="13.5">
      <c r="A186" s="597"/>
      <c r="B186" s="597"/>
      <c r="C186" s="597"/>
      <c r="D186" s="598"/>
      <c r="E186" s="598"/>
      <c r="F186" s="598"/>
      <c r="G186" s="598"/>
      <c r="H186" s="598"/>
      <c r="I186" s="598"/>
      <c r="J186" s="598"/>
      <c r="K186" s="598"/>
      <c r="L186" s="598"/>
      <c r="M186" s="598"/>
      <c r="N186" s="598"/>
      <c r="O186" s="598"/>
      <c r="P186" s="598"/>
      <c r="Q186" s="598"/>
      <c r="R186" s="598"/>
    </row>
    <row r="187" spans="1:18" ht="13.5">
      <c r="A187" s="597"/>
      <c r="B187" s="597"/>
      <c r="C187" s="597"/>
      <c r="D187" s="598"/>
      <c r="E187" s="598"/>
      <c r="F187" s="598"/>
      <c r="G187" s="598"/>
      <c r="H187" s="598"/>
      <c r="I187" s="598"/>
      <c r="J187" s="598"/>
      <c r="K187" s="598"/>
      <c r="L187" s="598"/>
      <c r="M187" s="598"/>
      <c r="N187" s="598"/>
      <c r="O187" s="598"/>
      <c r="P187" s="598"/>
      <c r="Q187" s="598"/>
      <c r="R187" s="598"/>
    </row>
    <row r="188" spans="1:18" ht="15.75">
      <c r="A188" s="645"/>
      <c r="B188" s="597"/>
      <c r="C188" s="597"/>
      <c r="D188" s="598"/>
      <c r="E188" s="598"/>
      <c r="F188" s="598"/>
      <c r="G188" s="598"/>
      <c r="H188" s="598"/>
      <c r="I188" s="598"/>
      <c r="J188" s="598"/>
      <c r="K188" s="598"/>
      <c r="L188" s="598"/>
      <c r="M188" s="598"/>
      <c r="N188" s="598"/>
      <c r="O188" s="598"/>
      <c r="P188" s="598"/>
      <c r="Q188" s="598"/>
      <c r="R188" s="598"/>
    </row>
    <row r="189" spans="1:18" ht="15.75">
      <c r="A189" s="645"/>
      <c r="B189" s="597"/>
      <c r="C189" s="597"/>
      <c r="D189" s="598"/>
      <c r="E189" s="598"/>
      <c r="F189" s="598"/>
      <c r="G189" s="598"/>
      <c r="H189" s="598"/>
      <c r="I189" s="598"/>
      <c r="J189" s="598"/>
      <c r="K189" s="598"/>
      <c r="L189" s="598"/>
      <c r="M189" s="598"/>
      <c r="N189" s="598"/>
      <c r="O189" s="598"/>
      <c r="P189" s="598"/>
      <c r="Q189" s="598"/>
      <c r="R189" s="598"/>
    </row>
    <row r="190" spans="1:18" ht="15.75">
      <c r="A190" s="645"/>
      <c r="B190" s="645"/>
      <c r="C190" s="645"/>
      <c r="D190" s="646"/>
      <c r="E190" s="646"/>
      <c r="F190" s="646"/>
      <c r="G190" s="646"/>
      <c r="H190" s="646"/>
      <c r="I190" s="646"/>
      <c r="J190" s="646"/>
      <c r="K190" s="646"/>
      <c r="L190" s="646"/>
      <c r="M190" s="646"/>
      <c r="N190" s="646"/>
      <c r="O190" s="646"/>
      <c r="P190" s="646"/>
      <c r="Q190" s="646"/>
      <c r="R190" s="646"/>
    </row>
  </sheetData>
  <mergeCells count="2">
    <mergeCell ref="D99:E99"/>
    <mergeCell ref="A2:R2"/>
  </mergeCells>
  <phoneticPr fontId="77" type="noConversion"/>
  <pageMargins left="0.75" right="0.75" top="1" bottom="1" header="0.5" footer="0.5"/>
  <pageSetup scale="46" fitToHeight="8" orientation="landscape" r:id="rId1"/>
  <headerFooter alignWithMargins="0"/>
  <rowBreaks count="2" manualBreakCount="2">
    <brk id="73" max="20" man="1"/>
    <brk id="138"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4"/>
  <sheetViews>
    <sheetView topLeftCell="A28" zoomScaleNormal="100" zoomScaleSheetLayoutView="75" workbookViewId="0">
      <selection activeCell="F41" sqref="F41"/>
    </sheetView>
  </sheetViews>
  <sheetFormatPr defaultRowHeight="12.75"/>
  <cols>
    <col min="1" max="1" width="7" style="687" customWidth="1"/>
    <col min="2" max="2" width="18.140625" style="427" customWidth="1"/>
    <col min="3" max="3" width="13.5703125" style="687" customWidth="1"/>
    <col min="4" max="4" width="11.5703125" style="427" customWidth="1"/>
    <col min="5" max="5" width="17" style="427" customWidth="1"/>
    <col min="6" max="6" width="24" style="186" customWidth="1"/>
    <col min="7" max="7" width="10.7109375" style="427" customWidth="1"/>
    <col min="8" max="8" width="17.42578125" style="427" customWidth="1"/>
    <col min="9" max="9" width="25.140625" style="186" customWidth="1"/>
    <col min="10" max="12" width="11.5703125" style="427" bestFit="1" customWidth="1"/>
    <col min="13" max="13" width="10.85546875" style="427" bestFit="1" customWidth="1"/>
    <col min="14" max="16384" width="9.140625" style="427"/>
  </cols>
  <sheetData>
    <row r="1" spans="1:13" ht="18">
      <c r="A1" s="1900" t="s">
        <v>540</v>
      </c>
      <c r="B1" s="1900"/>
      <c r="C1" s="1900"/>
      <c r="D1" s="1900"/>
      <c r="E1" s="1900"/>
      <c r="F1" s="1900"/>
      <c r="G1" s="1900"/>
      <c r="H1" s="1900"/>
      <c r="I1" s="1900"/>
      <c r="J1" s="1900"/>
      <c r="K1" s="1900"/>
      <c r="L1" s="1900"/>
      <c r="M1"/>
    </row>
    <row r="2" spans="1:13" ht="10.5" customHeight="1">
      <c r="B2" s="688"/>
      <c r="C2" s="689"/>
      <c r="D2" s="689"/>
      <c r="E2" s="689"/>
      <c r="F2" s="689"/>
      <c r="G2" s="689"/>
      <c r="H2" s="689"/>
      <c r="I2" s="689"/>
      <c r="M2"/>
    </row>
    <row r="3" spans="1:13" ht="18.75" customHeight="1">
      <c r="A3" s="1937" t="s">
        <v>579</v>
      </c>
      <c r="B3" s="1937"/>
      <c r="C3" s="1937"/>
      <c r="D3" s="1937"/>
      <c r="E3" s="1937"/>
      <c r="F3" s="1937"/>
      <c r="G3" s="1937"/>
      <c r="H3" s="1937"/>
      <c r="I3" s="1937"/>
      <c r="J3" s="1937"/>
      <c r="K3" s="1937"/>
      <c r="L3" s="1937"/>
      <c r="M3"/>
    </row>
    <row r="4" spans="1:13" ht="13.5" thickBot="1">
      <c r="A4" s="687" t="s">
        <v>580</v>
      </c>
      <c r="C4" s="427" t="s">
        <v>688</v>
      </c>
      <c r="M4"/>
    </row>
    <row r="5" spans="1:13" ht="31.5">
      <c r="I5" s="1456" t="s">
        <v>569</v>
      </c>
      <c r="J5" s="1457" t="s">
        <v>1139</v>
      </c>
      <c r="K5" s="1457" t="s">
        <v>530</v>
      </c>
      <c r="L5" s="1458" t="s">
        <v>531</v>
      </c>
    </row>
    <row r="6" spans="1:13">
      <c r="I6" s="693"/>
      <c r="J6" s="693"/>
      <c r="K6" s="693"/>
      <c r="L6" s="2"/>
    </row>
    <row r="7" spans="1:13">
      <c r="B7" s="690" t="s">
        <v>689</v>
      </c>
      <c r="C7" s="691"/>
      <c r="I7" s="693"/>
      <c r="J7" s="693"/>
      <c r="K7" s="693"/>
      <c r="L7" s="2"/>
    </row>
    <row r="8" spans="1:13">
      <c r="A8" s="687">
        <v>1</v>
      </c>
      <c r="B8" s="687" t="s">
        <v>921</v>
      </c>
      <c r="C8" s="687">
        <f>+'ATT H-1 '!A271</f>
        <v>169</v>
      </c>
      <c r="D8" s="691" t="s">
        <v>1105</v>
      </c>
      <c r="F8" s="692"/>
      <c r="G8" s="691"/>
      <c r="H8" s="691"/>
      <c r="I8" s="1459">
        <f>+'ATT H-1 '!H271</f>
        <v>0.15952521693632965</v>
      </c>
      <c r="J8" s="1459">
        <f>+'ATT H-1 '!J271</f>
        <v>0.12228016842346469</v>
      </c>
      <c r="K8" s="1459">
        <f>+'ATT H-1 '!K271</f>
        <v>0.41359247133835031</v>
      </c>
      <c r="L8" s="1459">
        <f>+'ATT H-1 '!L271</f>
        <v>0.13565191249338263</v>
      </c>
    </row>
    <row r="9" spans="1:13">
      <c r="A9" s="687">
        <v>2</v>
      </c>
      <c r="B9" s="687" t="s">
        <v>1016</v>
      </c>
      <c r="C9" s="687">
        <f>+'ATT H-1 '!A280</f>
        <v>176</v>
      </c>
      <c r="D9" s="691" t="s">
        <v>1103</v>
      </c>
      <c r="F9" s="692"/>
      <c r="I9" s="1459">
        <f>+'ATT H-1 '!H280</f>
        <v>0.16594530782525849</v>
      </c>
      <c r="J9" s="1459">
        <f>+'ATT H-1 '!J280</f>
        <v>0.12864151491351919</v>
      </c>
      <c r="K9" s="1459">
        <f>+'ATT H-1 '!K280</f>
        <v>0.42104900946337087</v>
      </c>
      <c r="L9" s="1459">
        <f>+'ATT H-1 '!L280</f>
        <v>0.14310845061840313</v>
      </c>
    </row>
    <row r="10" spans="1:13">
      <c r="A10" s="687">
        <v>3</v>
      </c>
      <c r="B10" s="687" t="s">
        <v>902</v>
      </c>
      <c r="D10" s="427" t="s">
        <v>690</v>
      </c>
      <c r="F10" s="692"/>
      <c r="I10" s="1459">
        <f>+I9-I8</f>
        <v>6.4200908889288366E-3</v>
      </c>
      <c r="J10" s="1459">
        <f>+J9-J8</f>
        <v>6.3613464900545008E-3</v>
      </c>
      <c r="K10" s="1459">
        <f>+K9-K8</f>
        <v>7.456538125020562E-3</v>
      </c>
      <c r="L10" s="1459">
        <f>+L9-L8</f>
        <v>7.4565381250205065E-3</v>
      </c>
    </row>
    <row r="11" spans="1:13">
      <c r="B11" s="690" t="s">
        <v>699</v>
      </c>
      <c r="F11" s="692"/>
      <c r="I11" s="1459"/>
      <c r="J11" s="1459"/>
      <c r="K11" s="1459"/>
      <c r="L11" s="1459"/>
    </row>
    <row r="12" spans="1:13">
      <c r="A12" s="687">
        <v>4</v>
      </c>
      <c r="B12" s="687" t="s">
        <v>922</v>
      </c>
      <c r="C12" s="687">
        <f>+'ATT H-1 '!A272</f>
        <v>170</v>
      </c>
      <c r="D12" s="691" t="s">
        <v>1106</v>
      </c>
      <c r="F12" s="692"/>
      <c r="I12" s="1459">
        <f>+'ATT H-1 '!H272</f>
        <v>6.9011590181592475E-2</v>
      </c>
      <c r="J12" s="1459">
        <f>+'ATT H-1 '!J272</f>
        <v>3.2594749350772813E-2</v>
      </c>
      <c r="K12" s="1459">
        <f>+'ATT H-1 '!K272</f>
        <v>0.30846649720386538</v>
      </c>
      <c r="L12" s="1459">
        <f>+'ATT H-1 '!L272</f>
        <v>3.0525938358897661E-2</v>
      </c>
    </row>
    <row r="13" spans="1:13">
      <c r="B13" s="687"/>
      <c r="D13" s="691"/>
      <c r="F13" s="692"/>
      <c r="M13"/>
    </row>
    <row r="14" spans="1:13">
      <c r="B14" s="693" t="s">
        <v>700</v>
      </c>
      <c r="M14"/>
    </row>
    <row r="15" spans="1:13">
      <c r="B15" s="693" t="s">
        <v>701</v>
      </c>
      <c r="C15" s="702"/>
      <c r="D15" s="693"/>
      <c r="E15" s="693"/>
      <c r="F15" s="692"/>
      <c r="G15" s="693"/>
      <c r="H15" s="693"/>
      <c r="I15" s="692"/>
      <c r="J15" s="693"/>
      <c r="K15" s="693"/>
      <c r="L15" s="693"/>
      <c r="M15"/>
    </row>
    <row r="16" spans="1:13">
      <c r="B16" s="694"/>
      <c r="C16" s="702"/>
      <c r="D16" s="697"/>
      <c r="E16" s="697"/>
      <c r="F16" s="735"/>
      <c r="G16" s="697"/>
      <c r="H16" s="697"/>
      <c r="I16" s="735"/>
      <c r="J16" s="693"/>
      <c r="K16" s="693"/>
      <c r="L16" s="693"/>
      <c r="M16"/>
    </row>
    <row r="17" spans="1:13">
      <c r="C17" s="702"/>
      <c r="F17" s="735"/>
      <c r="G17" s="697"/>
      <c r="H17" s="697"/>
      <c r="J17" s="693"/>
      <c r="K17" s="693"/>
      <c r="L17" s="693"/>
      <c r="M17"/>
    </row>
    <row r="18" spans="1:13">
      <c r="C18" s="702"/>
      <c r="D18" s="697" t="s">
        <v>566</v>
      </c>
      <c r="E18" s="697"/>
      <c r="F18" s="735"/>
      <c r="G18" s="697"/>
      <c r="H18" s="697"/>
      <c r="I18" s="697" t="s">
        <v>938</v>
      </c>
      <c r="J18" s="693"/>
      <c r="K18" s="693"/>
      <c r="L18" s="693"/>
      <c r="M18"/>
    </row>
    <row r="19" spans="1:13">
      <c r="B19" s="693"/>
      <c r="C19" s="702"/>
      <c r="D19" s="697" t="s">
        <v>707</v>
      </c>
      <c r="E19" s="697"/>
      <c r="F19" s="735"/>
      <c r="G19" s="697"/>
      <c r="H19" s="697"/>
      <c r="I19" s="697" t="s">
        <v>936</v>
      </c>
      <c r="J19" s="693"/>
      <c r="K19" s="693"/>
      <c r="L19" s="693"/>
      <c r="M19"/>
    </row>
    <row r="20" spans="1:13" ht="13.5" thickBot="1">
      <c r="B20" s="694"/>
      <c r="C20" s="702"/>
      <c r="D20" s="698" t="s">
        <v>930</v>
      </c>
      <c r="E20" s="698"/>
      <c r="F20" s="1380"/>
      <c r="G20" s="697"/>
      <c r="H20" s="697"/>
      <c r="I20" s="697" t="s">
        <v>937</v>
      </c>
      <c r="J20" s="693"/>
      <c r="K20" s="693"/>
      <c r="L20" s="693"/>
      <c r="M20"/>
    </row>
    <row r="21" spans="1:13">
      <c r="B21" s="699" t="s">
        <v>160</v>
      </c>
      <c r="C21" s="1381"/>
      <c r="D21" s="1940" t="s">
        <v>508</v>
      </c>
      <c r="E21" s="1941"/>
      <c r="F21" s="1942"/>
      <c r="G21" s="1943" t="s">
        <v>708</v>
      </c>
      <c r="H21" s="1944"/>
      <c r="I21" s="1945"/>
      <c r="J21" s="1383"/>
      <c r="K21" s="699"/>
      <c r="L21" s="1480"/>
      <c r="M21" s="1482"/>
    </row>
    <row r="22" spans="1:13">
      <c r="A22" s="702"/>
      <c r="B22" s="703"/>
      <c r="C22" s="707"/>
      <c r="D22" s="704"/>
      <c r="E22" s="734"/>
      <c r="F22" s="1382"/>
      <c r="G22" s="705"/>
      <c r="H22" s="734"/>
      <c r="I22" s="1382"/>
      <c r="J22" s="1384"/>
      <c r="K22" s="703"/>
      <c r="L22" s="709"/>
      <c r="M22" s="440"/>
    </row>
    <row r="23" spans="1:13">
      <c r="A23" s="687">
        <v>5</v>
      </c>
      <c r="B23" s="703" t="s">
        <v>709</v>
      </c>
      <c r="C23" s="707"/>
      <c r="D23" s="1453">
        <v>0</v>
      </c>
      <c r="E23" s="707"/>
      <c r="F23" s="708"/>
      <c r="G23" s="1453">
        <v>0</v>
      </c>
      <c r="H23" s="707"/>
      <c r="I23" s="708"/>
      <c r="J23" s="1384"/>
      <c r="K23" s="703"/>
      <c r="L23" s="709"/>
      <c r="M23" s="440"/>
    </row>
    <row r="24" spans="1:13">
      <c r="A24" s="687">
        <v>6</v>
      </c>
      <c r="B24" s="703" t="s">
        <v>710</v>
      </c>
      <c r="C24" s="707"/>
      <c r="D24" s="1453">
        <v>0</v>
      </c>
      <c r="E24" s="707"/>
      <c r="F24" s="708"/>
      <c r="G24" s="1453">
        <v>0</v>
      </c>
      <c r="H24" s="707"/>
      <c r="I24" s="708"/>
      <c r="J24" s="1384"/>
      <c r="K24" s="703"/>
      <c r="L24" s="709"/>
      <c r="M24" s="440"/>
    </row>
    <row r="25" spans="1:13">
      <c r="A25" s="687">
        <v>7</v>
      </c>
      <c r="B25" s="703" t="s">
        <v>711</v>
      </c>
      <c r="C25" s="707"/>
      <c r="D25" s="1454">
        <v>50</v>
      </c>
      <c r="E25" s="792"/>
      <c r="F25" s="793"/>
      <c r="G25" s="1453">
        <v>0</v>
      </c>
      <c r="H25" s="707"/>
      <c r="I25" s="708"/>
      <c r="J25" s="1384"/>
      <c r="K25" s="703"/>
      <c r="L25" s="709"/>
      <c r="M25" s="440"/>
    </row>
    <row r="26" spans="1:13">
      <c r="A26" s="687">
        <v>8</v>
      </c>
      <c r="B26" s="703" t="s">
        <v>512</v>
      </c>
      <c r="C26" s="707"/>
      <c r="D26" s="1455">
        <f>+J8</f>
        <v>0.12228016842346469</v>
      </c>
      <c r="E26" s="709"/>
      <c r="F26" s="710"/>
      <c r="G26" s="1455">
        <f>+J8</f>
        <v>0.12228016842346469</v>
      </c>
      <c r="H26" s="709"/>
      <c r="I26" s="710"/>
      <c r="J26" s="1384"/>
      <c r="K26" s="703"/>
      <c r="L26" s="709"/>
      <c r="M26" s="440"/>
    </row>
    <row r="27" spans="1:13">
      <c r="A27" s="687">
        <v>9</v>
      </c>
      <c r="B27" s="703" t="s">
        <v>712</v>
      </c>
      <c r="C27" s="707"/>
      <c r="D27" s="1455">
        <f>+D25/100*J10+D26</f>
        <v>0.12546084166849195</v>
      </c>
      <c r="E27" s="709"/>
      <c r="F27" s="710"/>
      <c r="G27" s="1455">
        <f>+G25/100*J10+G26</f>
        <v>0.12228016842346469</v>
      </c>
      <c r="H27" s="709"/>
      <c r="I27" s="710"/>
      <c r="J27" s="1384"/>
      <c r="K27" s="703"/>
      <c r="L27" s="709"/>
      <c r="M27" s="440"/>
    </row>
    <row r="28" spans="1:13">
      <c r="A28" s="687">
        <v>10</v>
      </c>
      <c r="B28" s="703" t="s">
        <v>939</v>
      </c>
      <c r="C28" s="707"/>
      <c r="D28" s="711">
        <v>0</v>
      </c>
      <c r="E28" s="679"/>
      <c r="F28" s="710"/>
      <c r="G28" s="711"/>
      <c r="H28" s="679"/>
      <c r="I28" s="710"/>
      <c r="J28" s="1384"/>
      <c r="K28" s="703"/>
      <c r="L28" s="709"/>
      <c r="M28" s="440"/>
    </row>
    <row r="29" spans="1:13">
      <c r="A29" s="687">
        <v>11</v>
      </c>
      <c r="B29" s="706" t="s">
        <v>713</v>
      </c>
      <c r="C29" s="707"/>
      <c r="D29" s="711">
        <v>0</v>
      </c>
      <c r="E29" s="679"/>
      <c r="F29" s="710"/>
      <c r="G29" s="711">
        <v>0</v>
      </c>
      <c r="H29" s="679"/>
      <c r="I29" s="710"/>
      <c r="J29" s="1384"/>
      <c r="K29" s="703"/>
      <c r="L29" s="709"/>
      <c r="M29" s="440"/>
    </row>
    <row r="30" spans="1:13" ht="13.5" thickBot="1">
      <c r="B30" s="712"/>
      <c r="C30" s="1386"/>
      <c r="D30" s="713"/>
      <c r="E30" s="679"/>
      <c r="F30" s="715"/>
      <c r="G30" s="713"/>
      <c r="H30" s="714"/>
      <c r="I30" s="715"/>
      <c r="J30" s="1387"/>
      <c r="K30" s="1388"/>
      <c r="L30" s="1481"/>
      <c r="M30" s="1487"/>
    </row>
    <row r="31" spans="1:13" ht="25.5">
      <c r="A31" s="687">
        <f>+A29+1</f>
        <v>12</v>
      </c>
      <c r="B31" s="701"/>
      <c r="C31" s="717" t="s">
        <v>714</v>
      </c>
      <c r="D31" s="1389" t="s">
        <v>939</v>
      </c>
      <c r="E31" s="1489" t="s">
        <v>523</v>
      </c>
      <c r="F31" s="716" t="s">
        <v>931</v>
      </c>
      <c r="G31" s="1389" t="s">
        <v>939</v>
      </c>
      <c r="H31" s="1489" t="s">
        <v>523</v>
      </c>
      <c r="I31" s="716" t="s">
        <v>931</v>
      </c>
      <c r="J31" s="717" t="s">
        <v>1015</v>
      </c>
      <c r="K31" s="1483" t="s">
        <v>932</v>
      </c>
      <c r="L31" s="1389" t="s">
        <v>933</v>
      </c>
      <c r="M31" s="1488" t="s">
        <v>934</v>
      </c>
    </row>
    <row r="32" spans="1:13">
      <c r="A32" s="687">
        <f>+A31+1</f>
        <v>13</v>
      </c>
      <c r="B32" s="706" t="s">
        <v>512</v>
      </c>
      <c r="C32" s="1390">
        <v>2010</v>
      </c>
      <c r="D32" s="719">
        <f>+D28</f>
        <v>0</v>
      </c>
      <c r="E32" s="1490">
        <v>0</v>
      </c>
      <c r="F32" s="710">
        <f>+D32*D$26+E32</f>
        <v>0</v>
      </c>
      <c r="G32" s="719">
        <f>+G28</f>
        <v>0</v>
      </c>
      <c r="H32" s="1490">
        <v>0</v>
      </c>
      <c r="I32" s="710">
        <f>+G32*G$26+H32</f>
        <v>0</v>
      </c>
      <c r="J32" s="1391">
        <f>+F32+I32</f>
        <v>0</v>
      </c>
      <c r="K32" s="703"/>
      <c r="L32" s="1392">
        <f>J32</f>
        <v>0</v>
      </c>
      <c r="M32" s="1485">
        <f>+L32-K33</f>
        <v>0</v>
      </c>
    </row>
    <row r="33" spans="1:13">
      <c r="A33" s="687">
        <f t="shared" ref="A33:A73" si="0">+A32+1</f>
        <v>14</v>
      </c>
      <c r="B33" s="706" t="s">
        <v>715</v>
      </c>
      <c r="C33" s="1390">
        <v>2010</v>
      </c>
      <c r="D33" s="719">
        <f>+D32</f>
        <v>0</v>
      </c>
      <c r="E33" s="679">
        <v>0</v>
      </c>
      <c r="F33" s="710">
        <f>+D33*D$27+E33</f>
        <v>0</v>
      </c>
      <c r="G33" s="719">
        <f>+G32</f>
        <v>0</v>
      </c>
      <c r="H33" s="679">
        <v>0</v>
      </c>
      <c r="I33" s="710">
        <f>+G33*G$27+H33</f>
        <v>0</v>
      </c>
      <c r="J33" s="1391">
        <f t="shared" ref="J33:J71" si="1">+F33+I33</f>
        <v>0</v>
      </c>
      <c r="K33" s="1484">
        <f>J33</f>
        <v>0</v>
      </c>
      <c r="L33" s="709"/>
      <c r="M33" s="1485"/>
    </row>
    <row r="34" spans="1:13">
      <c r="A34" s="687">
        <f t="shared" si="0"/>
        <v>15</v>
      </c>
      <c r="B34" s="706" t="s">
        <v>512</v>
      </c>
      <c r="C34" s="718">
        <f>+C32+1</f>
        <v>2011</v>
      </c>
      <c r="D34" s="719">
        <v>0</v>
      </c>
      <c r="E34" s="719">
        <v>0</v>
      </c>
      <c r="F34" s="710">
        <f>+D34*D$26+E34</f>
        <v>0</v>
      </c>
      <c r="G34" s="719">
        <v>0</v>
      </c>
      <c r="H34" s="719">
        <v>0</v>
      </c>
      <c r="I34" s="710">
        <f>+G34*G$26+H34</f>
        <v>0</v>
      </c>
      <c r="J34" s="1391">
        <f t="shared" si="1"/>
        <v>0</v>
      </c>
      <c r="K34" s="706"/>
      <c r="L34" s="1392">
        <f>J34</f>
        <v>0</v>
      </c>
      <c r="M34" s="1485">
        <f>+L34-K35</f>
        <v>0</v>
      </c>
    </row>
    <row r="35" spans="1:13">
      <c r="A35" s="687">
        <f t="shared" si="0"/>
        <v>16</v>
      </c>
      <c r="B35" s="706" t="s">
        <v>715</v>
      </c>
      <c r="C35" s="718">
        <f>+C34</f>
        <v>2011</v>
      </c>
      <c r="D35" s="719">
        <v>0</v>
      </c>
      <c r="E35" s="719">
        <v>0</v>
      </c>
      <c r="F35" s="710">
        <f>+D35*D$27+E35</f>
        <v>0</v>
      </c>
      <c r="G35" s="719">
        <v>0</v>
      </c>
      <c r="H35" s="719">
        <v>0</v>
      </c>
      <c r="I35" s="710">
        <f>+G35*G$27+H35</f>
        <v>0</v>
      </c>
      <c r="J35" s="1391">
        <f t="shared" si="1"/>
        <v>0</v>
      </c>
      <c r="K35" s="1484">
        <f>J35</f>
        <v>0</v>
      </c>
      <c r="L35" s="721"/>
      <c r="M35" s="1485"/>
    </row>
    <row r="36" spans="1:13">
      <c r="A36" s="687">
        <f t="shared" si="0"/>
        <v>17</v>
      </c>
      <c r="B36" s="706" t="s">
        <v>512</v>
      </c>
      <c r="C36" s="718">
        <f>+C34+1</f>
        <v>2012</v>
      </c>
      <c r="D36" s="719">
        <v>0</v>
      </c>
      <c r="E36" s="719">
        <v>0</v>
      </c>
      <c r="F36" s="710">
        <f>+D36*D$26+E36</f>
        <v>0</v>
      </c>
      <c r="G36" s="719">
        <v>0</v>
      </c>
      <c r="H36" s="719">
        <v>0</v>
      </c>
      <c r="I36" s="710">
        <f>+G36*G$26+H36</f>
        <v>0</v>
      </c>
      <c r="J36" s="1391">
        <f t="shared" si="1"/>
        <v>0</v>
      </c>
      <c r="K36" s="706"/>
      <c r="L36" s="1392">
        <f>J36</f>
        <v>0</v>
      </c>
      <c r="M36" s="1485">
        <f>+K37-L36</f>
        <v>0</v>
      </c>
    </row>
    <row r="37" spans="1:13">
      <c r="A37" s="687">
        <f t="shared" si="0"/>
        <v>18</v>
      </c>
      <c r="B37" s="706" t="s">
        <v>715</v>
      </c>
      <c r="C37" s="718">
        <f>+C36</f>
        <v>2012</v>
      </c>
      <c r="D37" s="719">
        <v>0</v>
      </c>
      <c r="E37" s="719">
        <v>0</v>
      </c>
      <c r="F37" s="710">
        <f>+D37*D$27+E37</f>
        <v>0</v>
      </c>
      <c r="G37" s="719">
        <v>0</v>
      </c>
      <c r="H37" s="719">
        <v>0</v>
      </c>
      <c r="I37" s="710">
        <f>+G37*G$27+H37</f>
        <v>0</v>
      </c>
      <c r="J37" s="1391">
        <f t="shared" si="1"/>
        <v>0</v>
      </c>
      <c r="K37" s="1484">
        <f>J37</f>
        <v>0</v>
      </c>
      <c r="L37" s="721"/>
      <c r="M37" s="1485"/>
    </row>
    <row r="38" spans="1:13">
      <c r="A38" s="687">
        <f t="shared" si="0"/>
        <v>19</v>
      </c>
      <c r="B38" s="706" t="s">
        <v>512</v>
      </c>
      <c r="C38" s="718">
        <f>+C36+1</f>
        <v>2013</v>
      </c>
      <c r="D38" s="719">
        <v>0</v>
      </c>
      <c r="E38" s="719">
        <v>0</v>
      </c>
      <c r="F38" s="710">
        <f>+D38*D$26+E38</f>
        <v>0</v>
      </c>
      <c r="G38" s="719">
        <v>0</v>
      </c>
      <c r="H38" s="719">
        <v>0</v>
      </c>
      <c r="I38" s="710">
        <f>+G38*G$26+H38</f>
        <v>0</v>
      </c>
      <c r="J38" s="1391">
        <f t="shared" si="1"/>
        <v>0</v>
      </c>
      <c r="K38" s="706"/>
      <c r="L38" s="1392">
        <f>J38</f>
        <v>0</v>
      </c>
      <c r="M38" s="1485">
        <f>+K39-L38</f>
        <v>0</v>
      </c>
    </row>
    <row r="39" spans="1:13">
      <c r="A39" s="687">
        <f t="shared" si="0"/>
        <v>20</v>
      </c>
      <c r="B39" s="706" t="s">
        <v>715</v>
      </c>
      <c r="C39" s="718">
        <f>+C38</f>
        <v>2013</v>
      </c>
      <c r="D39" s="719">
        <v>0</v>
      </c>
      <c r="E39" s="719">
        <v>0</v>
      </c>
      <c r="F39" s="710">
        <f>+D39*D$27+E39</f>
        <v>0</v>
      </c>
      <c r="G39" s="719">
        <v>0</v>
      </c>
      <c r="H39" s="719">
        <v>0</v>
      </c>
      <c r="I39" s="710">
        <f>+G39*G$27+H39</f>
        <v>0</v>
      </c>
      <c r="J39" s="1391">
        <f t="shared" si="1"/>
        <v>0</v>
      </c>
      <c r="K39" s="1484">
        <f>J39</f>
        <v>0</v>
      </c>
      <c r="L39" s="721"/>
      <c r="M39" s="1485"/>
    </row>
    <row r="40" spans="1:13">
      <c r="A40" s="687">
        <f t="shared" si="0"/>
        <v>21</v>
      </c>
      <c r="B40" s="706" t="s">
        <v>512</v>
      </c>
      <c r="C40" s="718">
        <f>+C38+1</f>
        <v>2014</v>
      </c>
      <c r="D40" s="719">
        <v>0</v>
      </c>
      <c r="E40" s="719">
        <v>0</v>
      </c>
      <c r="F40" s="710">
        <f>+D40*D$26+E40</f>
        <v>0</v>
      </c>
      <c r="G40" s="719">
        <v>0</v>
      </c>
      <c r="H40" s="719">
        <v>0</v>
      </c>
      <c r="I40" s="710">
        <f>+G40*G$26+H40</f>
        <v>0</v>
      </c>
      <c r="J40" s="1391">
        <f t="shared" si="1"/>
        <v>0</v>
      </c>
      <c r="K40" s="706"/>
      <c r="L40" s="1392">
        <f>J40</f>
        <v>0</v>
      </c>
      <c r="M40" s="1485">
        <f>+K41-L40</f>
        <v>0</v>
      </c>
    </row>
    <row r="41" spans="1:13">
      <c r="A41" s="687">
        <f t="shared" si="0"/>
        <v>22</v>
      </c>
      <c r="B41" s="706" t="s">
        <v>715</v>
      </c>
      <c r="C41" s="718">
        <f>+C40</f>
        <v>2014</v>
      </c>
      <c r="D41" s="719">
        <v>0</v>
      </c>
      <c r="E41" s="719">
        <v>0</v>
      </c>
      <c r="F41" s="710">
        <f>+D41*D$27+E41</f>
        <v>0</v>
      </c>
      <c r="G41" s="719">
        <v>0</v>
      </c>
      <c r="H41" s="719">
        <v>0</v>
      </c>
      <c r="I41" s="710">
        <f>+G41*G$27+H41</f>
        <v>0</v>
      </c>
      <c r="J41" s="1391">
        <f t="shared" si="1"/>
        <v>0</v>
      </c>
      <c r="K41" s="1484">
        <f>J41</f>
        <v>0</v>
      </c>
      <c r="L41" s="721"/>
      <c r="M41" s="1485"/>
    </row>
    <row r="42" spans="1:13">
      <c r="A42" s="687">
        <f t="shared" si="0"/>
        <v>23</v>
      </c>
      <c r="B42" s="706" t="s">
        <v>512</v>
      </c>
      <c r="C42" s="718">
        <f>+C40+1</f>
        <v>2015</v>
      </c>
      <c r="D42" s="719">
        <v>0</v>
      </c>
      <c r="E42" s="719">
        <v>0</v>
      </c>
      <c r="F42" s="710">
        <f>+D42*D$26+E42</f>
        <v>0</v>
      </c>
      <c r="G42" s="719">
        <v>0</v>
      </c>
      <c r="H42" s="719">
        <v>0</v>
      </c>
      <c r="I42" s="710">
        <f>+G42*G$26+H42</f>
        <v>0</v>
      </c>
      <c r="J42" s="1391">
        <f t="shared" si="1"/>
        <v>0</v>
      </c>
      <c r="K42" s="706"/>
      <c r="L42" s="1392">
        <f>J42</f>
        <v>0</v>
      </c>
      <c r="M42" s="1485">
        <f>+K43-L42</f>
        <v>0</v>
      </c>
    </row>
    <row r="43" spans="1:13">
      <c r="A43" s="687">
        <f t="shared" si="0"/>
        <v>24</v>
      </c>
      <c r="B43" s="706" t="s">
        <v>715</v>
      </c>
      <c r="C43" s="718">
        <f>+C42</f>
        <v>2015</v>
      </c>
      <c r="D43" s="719">
        <v>0</v>
      </c>
      <c r="E43" s="719">
        <v>0</v>
      </c>
      <c r="F43" s="710">
        <f>+D43*D$27+E43</f>
        <v>0</v>
      </c>
      <c r="G43" s="719">
        <v>0</v>
      </c>
      <c r="H43" s="719">
        <v>0</v>
      </c>
      <c r="I43" s="710">
        <f>+G43*G$27+H43</f>
        <v>0</v>
      </c>
      <c r="J43" s="1391">
        <f t="shared" si="1"/>
        <v>0</v>
      </c>
      <c r="K43" s="1484">
        <f>J43</f>
        <v>0</v>
      </c>
      <c r="L43" s="721"/>
      <c r="M43" s="1485"/>
    </row>
    <row r="44" spans="1:13">
      <c r="A44" s="687">
        <f t="shared" si="0"/>
        <v>25</v>
      </c>
      <c r="B44" s="706" t="s">
        <v>512</v>
      </c>
      <c r="C44" s="718">
        <f>+C42+1</f>
        <v>2016</v>
      </c>
      <c r="D44" s="719">
        <v>0</v>
      </c>
      <c r="E44" s="719">
        <v>0</v>
      </c>
      <c r="F44" s="710">
        <f>+D44*D$26+E44</f>
        <v>0</v>
      </c>
      <c r="G44" s="719">
        <v>0</v>
      </c>
      <c r="H44" s="719">
        <v>0</v>
      </c>
      <c r="I44" s="710">
        <f>+G44*G$26+H44</f>
        <v>0</v>
      </c>
      <c r="J44" s="1391">
        <f t="shared" si="1"/>
        <v>0</v>
      </c>
      <c r="K44" s="706"/>
      <c r="L44" s="1392">
        <f>J44</f>
        <v>0</v>
      </c>
      <c r="M44" s="1485">
        <f>+K45-L44</f>
        <v>0</v>
      </c>
    </row>
    <row r="45" spans="1:13">
      <c r="A45" s="687">
        <f t="shared" si="0"/>
        <v>26</v>
      </c>
      <c r="B45" s="706" t="s">
        <v>715</v>
      </c>
      <c r="C45" s="718">
        <f>+C44</f>
        <v>2016</v>
      </c>
      <c r="D45" s="719">
        <v>0</v>
      </c>
      <c r="E45" s="719">
        <v>0</v>
      </c>
      <c r="F45" s="710">
        <f>+D45*D$27+E45</f>
        <v>0</v>
      </c>
      <c r="G45" s="719">
        <v>0</v>
      </c>
      <c r="H45" s="719">
        <v>0</v>
      </c>
      <c r="I45" s="710">
        <f>+G45*G$27+H45</f>
        <v>0</v>
      </c>
      <c r="J45" s="1391">
        <f t="shared" si="1"/>
        <v>0</v>
      </c>
      <c r="K45" s="1484">
        <f>J45</f>
        <v>0</v>
      </c>
      <c r="L45" s="721"/>
      <c r="M45" s="1485"/>
    </row>
    <row r="46" spans="1:13">
      <c r="A46" s="687">
        <f t="shared" si="0"/>
        <v>27</v>
      </c>
      <c r="B46" s="706" t="s">
        <v>512</v>
      </c>
      <c r="C46" s="718">
        <f>+C44+1</f>
        <v>2017</v>
      </c>
      <c r="D46" s="719">
        <v>0</v>
      </c>
      <c r="E46" s="719">
        <v>0</v>
      </c>
      <c r="F46" s="710">
        <f>+D46*D$26+E46</f>
        <v>0</v>
      </c>
      <c r="G46" s="719">
        <v>0</v>
      </c>
      <c r="H46" s="719">
        <v>0</v>
      </c>
      <c r="I46" s="710">
        <f>+G46*G$26+H46</f>
        <v>0</v>
      </c>
      <c r="J46" s="1391">
        <f t="shared" si="1"/>
        <v>0</v>
      </c>
      <c r="K46" s="706"/>
      <c r="L46" s="1392">
        <f>J46</f>
        <v>0</v>
      </c>
      <c r="M46" s="1485">
        <f>+K47-L46</f>
        <v>0</v>
      </c>
    </row>
    <row r="47" spans="1:13">
      <c r="A47" s="687">
        <f t="shared" si="0"/>
        <v>28</v>
      </c>
      <c r="B47" s="706" t="s">
        <v>715</v>
      </c>
      <c r="C47" s="718">
        <f>+C46</f>
        <v>2017</v>
      </c>
      <c r="D47" s="719">
        <v>0</v>
      </c>
      <c r="E47" s="719">
        <v>0</v>
      </c>
      <c r="F47" s="710">
        <f>+D47*D$27+E47</f>
        <v>0</v>
      </c>
      <c r="G47" s="719">
        <v>0</v>
      </c>
      <c r="H47" s="719">
        <v>0</v>
      </c>
      <c r="I47" s="710">
        <f>+G47*G$27+H47</f>
        <v>0</v>
      </c>
      <c r="J47" s="1391">
        <f t="shared" si="1"/>
        <v>0</v>
      </c>
      <c r="K47" s="1484">
        <f>J47</f>
        <v>0</v>
      </c>
      <c r="L47" s="721"/>
      <c r="M47" s="1485"/>
    </row>
    <row r="48" spans="1:13">
      <c r="A48" s="687">
        <f t="shared" si="0"/>
        <v>29</v>
      </c>
      <c r="B48" s="706" t="s">
        <v>512</v>
      </c>
      <c r="C48" s="718">
        <f>+C46+1</f>
        <v>2018</v>
      </c>
      <c r="D48" s="719">
        <v>0</v>
      </c>
      <c r="E48" s="719">
        <v>0</v>
      </c>
      <c r="F48" s="710">
        <f>+D48*D$26+E48</f>
        <v>0</v>
      </c>
      <c r="G48" s="719">
        <v>0</v>
      </c>
      <c r="H48" s="719">
        <v>0</v>
      </c>
      <c r="I48" s="710">
        <f>+G48*G$26+H48</f>
        <v>0</v>
      </c>
      <c r="J48" s="1391">
        <f t="shared" si="1"/>
        <v>0</v>
      </c>
      <c r="K48" s="706"/>
      <c r="L48" s="1392">
        <f>J48</f>
        <v>0</v>
      </c>
      <c r="M48" s="1485">
        <f>+K49-L48</f>
        <v>0</v>
      </c>
    </row>
    <row r="49" spans="1:13">
      <c r="A49" s="687">
        <f t="shared" si="0"/>
        <v>30</v>
      </c>
      <c r="B49" s="706" t="s">
        <v>715</v>
      </c>
      <c r="C49" s="718">
        <f>+C48</f>
        <v>2018</v>
      </c>
      <c r="D49" s="719">
        <v>0</v>
      </c>
      <c r="E49" s="719">
        <v>0</v>
      </c>
      <c r="F49" s="710">
        <f>+D49*D$27+E49</f>
        <v>0</v>
      </c>
      <c r="G49" s="719">
        <v>0</v>
      </c>
      <c r="H49" s="719">
        <v>0</v>
      </c>
      <c r="I49" s="710">
        <f>+G49*G$27+H49</f>
        <v>0</v>
      </c>
      <c r="J49" s="1391">
        <f t="shared" si="1"/>
        <v>0</v>
      </c>
      <c r="K49" s="1484">
        <f>J49</f>
        <v>0</v>
      </c>
      <c r="L49" s="721"/>
      <c r="M49" s="1485"/>
    </row>
    <row r="50" spans="1:13">
      <c r="A50" s="687">
        <f t="shared" si="0"/>
        <v>31</v>
      </c>
      <c r="B50" s="706" t="s">
        <v>512</v>
      </c>
      <c r="C50" s="718">
        <f>+C48+1</f>
        <v>2019</v>
      </c>
      <c r="D50" s="719">
        <v>0</v>
      </c>
      <c r="E50" s="719">
        <v>0</v>
      </c>
      <c r="F50" s="710">
        <f>+D50*D$26+E50</f>
        <v>0</v>
      </c>
      <c r="G50" s="719">
        <v>0</v>
      </c>
      <c r="H50" s="719">
        <v>0</v>
      </c>
      <c r="I50" s="710">
        <f>+G50*G$26+H50</f>
        <v>0</v>
      </c>
      <c r="J50" s="1391">
        <f t="shared" si="1"/>
        <v>0</v>
      </c>
      <c r="K50" s="706"/>
      <c r="L50" s="1392">
        <f>J50</f>
        <v>0</v>
      </c>
      <c r="M50" s="1485">
        <f>+K51-L50</f>
        <v>0</v>
      </c>
    </row>
    <row r="51" spans="1:13">
      <c r="A51" s="687">
        <f t="shared" si="0"/>
        <v>32</v>
      </c>
      <c r="B51" s="706" t="s">
        <v>715</v>
      </c>
      <c r="C51" s="718">
        <f>+C50</f>
        <v>2019</v>
      </c>
      <c r="D51" s="719">
        <v>0</v>
      </c>
      <c r="E51" s="719">
        <v>0</v>
      </c>
      <c r="F51" s="710">
        <f>+D51*D$27+E51</f>
        <v>0</v>
      </c>
      <c r="G51" s="719">
        <v>0</v>
      </c>
      <c r="H51" s="719">
        <v>0</v>
      </c>
      <c r="I51" s="710">
        <f>+G51*G$27+H51</f>
        <v>0</v>
      </c>
      <c r="J51" s="1391">
        <f t="shared" si="1"/>
        <v>0</v>
      </c>
      <c r="K51" s="1484">
        <f>J51</f>
        <v>0</v>
      </c>
      <c r="L51" s="721"/>
      <c r="M51" s="1485"/>
    </row>
    <row r="52" spans="1:13">
      <c r="A52" s="687">
        <f t="shared" si="0"/>
        <v>33</v>
      </c>
      <c r="B52" s="706" t="s">
        <v>512</v>
      </c>
      <c r="C52" s="718">
        <f>+C50+1</f>
        <v>2020</v>
      </c>
      <c r="D52" s="719">
        <v>0</v>
      </c>
      <c r="E52" s="719">
        <v>0</v>
      </c>
      <c r="F52" s="710">
        <f>+D52*D$26+E52</f>
        <v>0</v>
      </c>
      <c r="G52" s="719">
        <v>0</v>
      </c>
      <c r="H52" s="719">
        <v>0</v>
      </c>
      <c r="I52" s="710">
        <f>+G52*G$26+H52</f>
        <v>0</v>
      </c>
      <c r="J52" s="1391">
        <f t="shared" si="1"/>
        <v>0</v>
      </c>
      <c r="K52" s="706"/>
      <c r="L52" s="1392">
        <f>J52</f>
        <v>0</v>
      </c>
      <c r="M52" s="1485">
        <f>+K53-L52</f>
        <v>0</v>
      </c>
    </row>
    <row r="53" spans="1:13">
      <c r="A53" s="687">
        <f t="shared" si="0"/>
        <v>34</v>
      </c>
      <c r="B53" s="706" t="s">
        <v>715</v>
      </c>
      <c r="C53" s="718">
        <f>+C52</f>
        <v>2020</v>
      </c>
      <c r="D53" s="719">
        <v>0</v>
      </c>
      <c r="E53" s="719">
        <v>0</v>
      </c>
      <c r="F53" s="710">
        <f>+D53*D$27+E53</f>
        <v>0</v>
      </c>
      <c r="G53" s="719">
        <v>0</v>
      </c>
      <c r="H53" s="719">
        <v>0</v>
      </c>
      <c r="I53" s="710">
        <f>+G53*G$27+H53</f>
        <v>0</v>
      </c>
      <c r="J53" s="1391">
        <f t="shared" si="1"/>
        <v>0</v>
      </c>
      <c r="K53" s="1484">
        <f>J53</f>
        <v>0</v>
      </c>
      <c r="L53" s="721"/>
      <c r="M53" s="1485"/>
    </row>
    <row r="54" spans="1:13">
      <c r="A54" s="687">
        <f t="shared" si="0"/>
        <v>35</v>
      </c>
      <c r="B54" s="706" t="s">
        <v>512</v>
      </c>
      <c r="C54" s="718">
        <f>+C52+1</f>
        <v>2021</v>
      </c>
      <c r="D54" s="719">
        <v>0</v>
      </c>
      <c r="E54" s="719">
        <v>0</v>
      </c>
      <c r="F54" s="710">
        <f>+D54*D$26+E54</f>
        <v>0</v>
      </c>
      <c r="G54" s="719">
        <v>0</v>
      </c>
      <c r="H54" s="719">
        <v>0</v>
      </c>
      <c r="I54" s="710">
        <f>+G54*G$26+H54</f>
        <v>0</v>
      </c>
      <c r="J54" s="1391">
        <f t="shared" si="1"/>
        <v>0</v>
      </c>
      <c r="K54" s="706"/>
      <c r="L54" s="1392">
        <f>J54</f>
        <v>0</v>
      </c>
      <c r="M54" s="1485">
        <f>+K55-L54</f>
        <v>0</v>
      </c>
    </row>
    <row r="55" spans="1:13">
      <c r="A55" s="687">
        <f t="shared" si="0"/>
        <v>36</v>
      </c>
      <c r="B55" s="706" t="s">
        <v>715</v>
      </c>
      <c r="C55" s="718">
        <f>+C54</f>
        <v>2021</v>
      </c>
      <c r="D55" s="719">
        <v>0</v>
      </c>
      <c r="E55" s="719">
        <v>0</v>
      </c>
      <c r="F55" s="710">
        <f>+D55*D$27+E55</f>
        <v>0</v>
      </c>
      <c r="G55" s="719">
        <v>0</v>
      </c>
      <c r="H55" s="719">
        <v>0</v>
      </c>
      <c r="I55" s="710">
        <f>+G55*G$27+H55</f>
        <v>0</v>
      </c>
      <c r="J55" s="1391">
        <f t="shared" si="1"/>
        <v>0</v>
      </c>
      <c r="K55" s="1484">
        <f>J55</f>
        <v>0</v>
      </c>
      <c r="L55" s="721"/>
      <c r="M55" s="1485"/>
    </row>
    <row r="56" spans="1:13">
      <c r="A56" s="687">
        <f t="shared" si="0"/>
        <v>37</v>
      </c>
      <c r="B56" s="706" t="s">
        <v>512</v>
      </c>
      <c r="C56" s="718">
        <f>+C54+1</f>
        <v>2022</v>
      </c>
      <c r="D56" s="719">
        <v>0</v>
      </c>
      <c r="E56" s="719">
        <v>0</v>
      </c>
      <c r="F56" s="710">
        <f>+D56*D$26+E56</f>
        <v>0</v>
      </c>
      <c r="G56" s="719">
        <v>0</v>
      </c>
      <c r="H56" s="719">
        <v>0</v>
      </c>
      <c r="I56" s="710">
        <f>+G56*G$26+H56</f>
        <v>0</v>
      </c>
      <c r="J56" s="1391">
        <f t="shared" si="1"/>
        <v>0</v>
      </c>
      <c r="K56" s="706"/>
      <c r="L56" s="1392">
        <f>J56</f>
        <v>0</v>
      </c>
      <c r="M56" s="1485">
        <f>+K57-L56</f>
        <v>0</v>
      </c>
    </row>
    <row r="57" spans="1:13">
      <c r="A57" s="687">
        <f t="shared" si="0"/>
        <v>38</v>
      </c>
      <c r="B57" s="706" t="s">
        <v>715</v>
      </c>
      <c r="C57" s="718">
        <f>+C56</f>
        <v>2022</v>
      </c>
      <c r="D57" s="719">
        <v>0</v>
      </c>
      <c r="E57" s="719">
        <v>0</v>
      </c>
      <c r="F57" s="710">
        <f>+D57*D$27+E57</f>
        <v>0</v>
      </c>
      <c r="G57" s="719">
        <v>0</v>
      </c>
      <c r="H57" s="719">
        <v>0</v>
      </c>
      <c r="I57" s="710">
        <f>+G57*G$27+H57</f>
        <v>0</v>
      </c>
      <c r="J57" s="1391">
        <f t="shared" si="1"/>
        <v>0</v>
      </c>
      <c r="K57" s="1484">
        <f>J57</f>
        <v>0</v>
      </c>
      <c r="L57" s="721"/>
      <c r="M57" s="1485"/>
    </row>
    <row r="58" spans="1:13">
      <c r="A58" s="687">
        <f t="shared" si="0"/>
        <v>39</v>
      </c>
      <c r="B58" s="706" t="s">
        <v>512</v>
      </c>
      <c r="C58" s="718">
        <f>+C56+1</f>
        <v>2023</v>
      </c>
      <c r="D58" s="719">
        <v>0</v>
      </c>
      <c r="E58" s="719">
        <v>0</v>
      </c>
      <c r="F58" s="710">
        <f>+D58*D$26+E58</f>
        <v>0</v>
      </c>
      <c r="G58" s="719">
        <v>0</v>
      </c>
      <c r="H58" s="719">
        <v>0</v>
      </c>
      <c r="I58" s="710">
        <f>+G58*G$26+H58</f>
        <v>0</v>
      </c>
      <c r="J58" s="1391">
        <f t="shared" si="1"/>
        <v>0</v>
      </c>
      <c r="K58" s="706"/>
      <c r="L58" s="1392">
        <f>J58</f>
        <v>0</v>
      </c>
      <c r="M58" s="1485">
        <f>+K59-L58</f>
        <v>0</v>
      </c>
    </row>
    <row r="59" spans="1:13">
      <c r="A59" s="687">
        <f t="shared" si="0"/>
        <v>40</v>
      </c>
      <c r="B59" s="706" t="s">
        <v>715</v>
      </c>
      <c r="C59" s="718">
        <f>+C58</f>
        <v>2023</v>
      </c>
      <c r="D59" s="719">
        <v>0</v>
      </c>
      <c r="E59" s="719">
        <v>0</v>
      </c>
      <c r="F59" s="710">
        <f>+D59*D$27+E59</f>
        <v>0</v>
      </c>
      <c r="G59" s="719">
        <v>0</v>
      </c>
      <c r="H59" s="719">
        <v>0</v>
      </c>
      <c r="I59" s="710">
        <f>+G59*G$27+H59</f>
        <v>0</v>
      </c>
      <c r="J59" s="1391">
        <f t="shared" si="1"/>
        <v>0</v>
      </c>
      <c r="K59" s="1484">
        <f>J59</f>
        <v>0</v>
      </c>
      <c r="L59" s="721"/>
      <c r="M59" s="1485"/>
    </row>
    <row r="60" spans="1:13">
      <c r="A60" s="687">
        <f t="shared" si="0"/>
        <v>41</v>
      </c>
      <c r="B60" s="706" t="s">
        <v>512</v>
      </c>
      <c r="C60" s="718">
        <f>+C58+1</f>
        <v>2024</v>
      </c>
      <c r="D60" s="719">
        <v>0</v>
      </c>
      <c r="E60" s="719">
        <v>0</v>
      </c>
      <c r="F60" s="710">
        <f>+D60*D$26+E60</f>
        <v>0</v>
      </c>
      <c r="G60" s="719">
        <v>0</v>
      </c>
      <c r="H60" s="719">
        <v>0</v>
      </c>
      <c r="I60" s="710">
        <f>+G60*G$26+H60</f>
        <v>0</v>
      </c>
      <c r="J60" s="1391">
        <f t="shared" si="1"/>
        <v>0</v>
      </c>
      <c r="K60" s="706"/>
      <c r="L60" s="1392">
        <f>J60</f>
        <v>0</v>
      </c>
      <c r="M60" s="1485">
        <f>+K61-L60</f>
        <v>0</v>
      </c>
    </row>
    <row r="61" spans="1:13">
      <c r="A61" s="687">
        <f t="shared" si="0"/>
        <v>42</v>
      </c>
      <c r="B61" s="706" t="s">
        <v>715</v>
      </c>
      <c r="C61" s="718">
        <f>+C60</f>
        <v>2024</v>
      </c>
      <c r="D61" s="719">
        <v>0</v>
      </c>
      <c r="E61" s="719">
        <v>0</v>
      </c>
      <c r="F61" s="710">
        <f>+D61*D$27+E61</f>
        <v>0</v>
      </c>
      <c r="G61" s="719">
        <v>0</v>
      </c>
      <c r="H61" s="719">
        <v>0</v>
      </c>
      <c r="I61" s="710">
        <f>+G61*G$27+H61</f>
        <v>0</v>
      </c>
      <c r="J61" s="1391">
        <f t="shared" si="1"/>
        <v>0</v>
      </c>
      <c r="K61" s="1484">
        <f>J61</f>
        <v>0</v>
      </c>
      <c r="L61" s="721"/>
      <c r="M61" s="1485"/>
    </row>
    <row r="62" spans="1:13">
      <c r="A62" s="687">
        <f t="shared" si="0"/>
        <v>43</v>
      </c>
      <c r="B62" s="706" t="s">
        <v>512</v>
      </c>
      <c r="C62" s="718">
        <f>+C60+1</f>
        <v>2025</v>
      </c>
      <c r="D62" s="719">
        <v>0</v>
      </c>
      <c r="E62" s="719">
        <v>0</v>
      </c>
      <c r="F62" s="710">
        <f>+D62*D$26+E62</f>
        <v>0</v>
      </c>
      <c r="G62" s="719">
        <v>0</v>
      </c>
      <c r="H62" s="719">
        <v>0</v>
      </c>
      <c r="I62" s="710">
        <f>+G62*G$26+H62</f>
        <v>0</v>
      </c>
      <c r="J62" s="1391">
        <f t="shared" si="1"/>
        <v>0</v>
      </c>
      <c r="K62" s="706"/>
      <c r="L62" s="1392">
        <f>J62</f>
        <v>0</v>
      </c>
      <c r="M62" s="1485">
        <f>+K63-L62</f>
        <v>0</v>
      </c>
    </row>
    <row r="63" spans="1:13">
      <c r="A63" s="687">
        <f t="shared" si="0"/>
        <v>44</v>
      </c>
      <c r="B63" s="706" t="s">
        <v>715</v>
      </c>
      <c r="C63" s="718">
        <f>+C62</f>
        <v>2025</v>
      </c>
      <c r="D63" s="719">
        <v>0</v>
      </c>
      <c r="E63" s="719">
        <v>0</v>
      </c>
      <c r="F63" s="710">
        <f>+D63*D$27+E63</f>
        <v>0</v>
      </c>
      <c r="G63" s="719">
        <v>0</v>
      </c>
      <c r="H63" s="719">
        <v>0</v>
      </c>
      <c r="I63" s="710">
        <f>+G63*G$27+H63</f>
        <v>0</v>
      </c>
      <c r="J63" s="1391">
        <f t="shared" si="1"/>
        <v>0</v>
      </c>
      <c r="K63" s="1484">
        <f>J63</f>
        <v>0</v>
      </c>
      <c r="L63" s="721"/>
      <c r="M63" s="1485"/>
    </row>
    <row r="64" spans="1:13">
      <c r="A64" s="687">
        <f t="shared" si="0"/>
        <v>45</v>
      </c>
      <c r="B64" s="706" t="s">
        <v>512</v>
      </c>
      <c r="C64" s="718">
        <f>+C62+1</f>
        <v>2026</v>
      </c>
      <c r="D64" s="719">
        <v>0</v>
      </c>
      <c r="E64" s="719">
        <v>0</v>
      </c>
      <c r="F64" s="710">
        <f>+D64*D$26+E64</f>
        <v>0</v>
      </c>
      <c r="G64" s="719">
        <v>0</v>
      </c>
      <c r="H64" s="719">
        <v>0</v>
      </c>
      <c r="I64" s="710">
        <f>+G64*G$26+H64</f>
        <v>0</v>
      </c>
      <c r="J64" s="1391">
        <f t="shared" si="1"/>
        <v>0</v>
      </c>
      <c r="K64" s="706"/>
      <c r="L64" s="1392">
        <f>J64</f>
        <v>0</v>
      </c>
      <c r="M64" s="1485">
        <f>+K65-L64</f>
        <v>0</v>
      </c>
    </row>
    <row r="65" spans="1:13">
      <c r="A65" s="687">
        <f t="shared" si="0"/>
        <v>46</v>
      </c>
      <c r="B65" s="706" t="s">
        <v>715</v>
      </c>
      <c r="C65" s="718">
        <f>+C64</f>
        <v>2026</v>
      </c>
      <c r="D65" s="719">
        <v>0</v>
      </c>
      <c r="E65" s="719">
        <v>0</v>
      </c>
      <c r="F65" s="710">
        <f>+D65*D$27+E65</f>
        <v>0</v>
      </c>
      <c r="G65" s="719">
        <v>0</v>
      </c>
      <c r="H65" s="719">
        <v>0</v>
      </c>
      <c r="I65" s="710">
        <f>+G65*G$27+H65</f>
        <v>0</v>
      </c>
      <c r="J65" s="1391">
        <f t="shared" si="1"/>
        <v>0</v>
      </c>
      <c r="K65" s="1484">
        <f>J65</f>
        <v>0</v>
      </c>
      <c r="L65" s="721"/>
      <c r="M65" s="1485"/>
    </row>
    <row r="66" spans="1:13">
      <c r="A66" s="687">
        <f t="shared" si="0"/>
        <v>47</v>
      </c>
      <c r="B66" s="706" t="s">
        <v>512</v>
      </c>
      <c r="C66" s="718">
        <f>+C64+1</f>
        <v>2027</v>
      </c>
      <c r="D66" s="719">
        <v>0</v>
      </c>
      <c r="E66" s="719">
        <v>0</v>
      </c>
      <c r="F66" s="710">
        <f>+D66*D$26+E66</f>
        <v>0</v>
      </c>
      <c r="G66" s="719">
        <v>0</v>
      </c>
      <c r="H66" s="719">
        <v>0</v>
      </c>
      <c r="I66" s="710">
        <f>+G66*G$26+H66</f>
        <v>0</v>
      </c>
      <c r="J66" s="1391">
        <f t="shared" si="1"/>
        <v>0</v>
      </c>
      <c r="K66" s="706"/>
      <c r="L66" s="1392">
        <f>J66</f>
        <v>0</v>
      </c>
      <c r="M66" s="1485">
        <f>+K67-L66</f>
        <v>0</v>
      </c>
    </row>
    <row r="67" spans="1:13">
      <c r="A67" s="687">
        <f t="shared" si="0"/>
        <v>48</v>
      </c>
      <c r="B67" s="706" t="s">
        <v>715</v>
      </c>
      <c r="C67" s="718">
        <f>+C66</f>
        <v>2027</v>
      </c>
      <c r="D67" s="719">
        <v>0</v>
      </c>
      <c r="E67" s="719">
        <v>0</v>
      </c>
      <c r="F67" s="710">
        <f>+D67*D$27+E67</f>
        <v>0</v>
      </c>
      <c r="G67" s="719">
        <v>0</v>
      </c>
      <c r="H67" s="719">
        <v>0</v>
      </c>
      <c r="I67" s="710">
        <f>+G67*G$27+H67</f>
        <v>0</v>
      </c>
      <c r="J67" s="1391">
        <f t="shared" si="1"/>
        <v>0</v>
      </c>
      <c r="K67" s="1484">
        <f>J67</f>
        <v>0</v>
      </c>
      <c r="L67" s="721"/>
      <c r="M67" s="1485"/>
    </row>
    <row r="68" spans="1:13">
      <c r="A68" s="687">
        <f t="shared" si="0"/>
        <v>49</v>
      </c>
      <c r="B68" s="706" t="s">
        <v>512</v>
      </c>
      <c r="C68" s="718">
        <f>+C66+1</f>
        <v>2028</v>
      </c>
      <c r="D68" s="719">
        <v>0</v>
      </c>
      <c r="E68" s="719">
        <v>0</v>
      </c>
      <c r="F68" s="710">
        <f>+D68*D$26+E68</f>
        <v>0</v>
      </c>
      <c r="G68" s="719">
        <v>0</v>
      </c>
      <c r="H68" s="719">
        <v>0</v>
      </c>
      <c r="I68" s="710">
        <f>+G68*G$26+H68</f>
        <v>0</v>
      </c>
      <c r="J68" s="1391">
        <f t="shared" si="1"/>
        <v>0</v>
      </c>
      <c r="K68" s="706"/>
      <c r="L68" s="1392">
        <f>J68</f>
        <v>0</v>
      </c>
      <c r="M68" s="1485">
        <f>+K69-L68</f>
        <v>0</v>
      </c>
    </row>
    <row r="69" spans="1:13">
      <c r="A69" s="687">
        <f t="shared" si="0"/>
        <v>50</v>
      </c>
      <c r="B69" s="706" t="s">
        <v>715</v>
      </c>
      <c r="C69" s="718">
        <f>+C68</f>
        <v>2028</v>
      </c>
      <c r="D69" s="719">
        <v>0</v>
      </c>
      <c r="E69" s="719">
        <v>0</v>
      </c>
      <c r="F69" s="710">
        <f>+D69*D$27+E69</f>
        <v>0</v>
      </c>
      <c r="G69" s="719">
        <v>0</v>
      </c>
      <c r="H69" s="719">
        <v>0</v>
      </c>
      <c r="I69" s="710">
        <f>+G69*G$27+H69</f>
        <v>0</v>
      </c>
      <c r="J69" s="1391">
        <f t="shared" si="1"/>
        <v>0</v>
      </c>
      <c r="K69" s="1484">
        <f>J69</f>
        <v>0</v>
      </c>
      <c r="L69" s="721"/>
      <c r="M69" s="1485"/>
    </row>
    <row r="70" spans="1:13">
      <c r="A70" s="687">
        <f t="shared" si="0"/>
        <v>51</v>
      </c>
      <c r="B70" s="706" t="s">
        <v>512</v>
      </c>
      <c r="C70" s="718">
        <f>+C68+1</f>
        <v>2029</v>
      </c>
      <c r="D70" s="719">
        <v>0</v>
      </c>
      <c r="E70" s="719">
        <v>0</v>
      </c>
      <c r="F70" s="710">
        <f>+D70*D$26+E70</f>
        <v>0</v>
      </c>
      <c r="G70" s="719">
        <v>0</v>
      </c>
      <c r="H70" s="719">
        <v>0</v>
      </c>
      <c r="I70" s="710">
        <f>+G70*G$26+H70</f>
        <v>0</v>
      </c>
      <c r="J70" s="1391">
        <f t="shared" si="1"/>
        <v>0</v>
      </c>
      <c r="K70" s="706"/>
      <c r="L70" s="1392">
        <f>J70</f>
        <v>0</v>
      </c>
      <c r="M70" s="1485">
        <f>+K71-L70</f>
        <v>0</v>
      </c>
    </row>
    <row r="71" spans="1:13">
      <c r="A71" s="687">
        <f t="shared" si="0"/>
        <v>52</v>
      </c>
      <c r="B71" s="706" t="s">
        <v>715</v>
      </c>
      <c r="C71" s="718">
        <f>+C70</f>
        <v>2029</v>
      </c>
      <c r="D71" s="719"/>
      <c r="E71" s="719">
        <v>0</v>
      </c>
      <c r="F71" s="710">
        <f>+D71*D$27+E71</f>
        <v>0</v>
      </c>
      <c r="G71" s="719"/>
      <c r="H71" s="719">
        <v>0</v>
      </c>
      <c r="I71" s="710">
        <f>+G71*G$27+H71</f>
        <v>0</v>
      </c>
      <c r="J71" s="1391">
        <f t="shared" si="1"/>
        <v>0</v>
      </c>
      <c r="K71" s="1484">
        <f>J71</f>
        <v>0</v>
      </c>
      <c r="L71" s="721"/>
      <c r="M71" s="1485"/>
    </row>
    <row r="72" spans="1:13">
      <c r="A72" s="687">
        <f t="shared" si="0"/>
        <v>53</v>
      </c>
      <c r="B72" s="722"/>
      <c r="C72" s="718">
        <f>+C70+1</f>
        <v>2030</v>
      </c>
      <c r="D72" s="723" t="s">
        <v>716</v>
      </c>
      <c r="E72" s="723" t="s">
        <v>716</v>
      </c>
      <c r="F72" s="710" t="s">
        <v>935</v>
      </c>
      <c r="G72" s="723"/>
      <c r="H72" s="723"/>
      <c r="I72" s="724"/>
      <c r="J72" s="720"/>
      <c r="K72" s="706"/>
      <c r="L72" s="1392"/>
      <c r="M72" s="1485"/>
    </row>
    <row r="73" spans="1:13" ht="13.5" thickBot="1">
      <c r="A73" s="687">
        <f t="shared" si="0"/>
        <v>54</v>
      </c>
      <c r="B73" s="725"/>
      <c r="C73" s="718">
        <f>+C72</f>
        <v>2030</v>
      </c>
      <c r="D73" s="726" t="s">
        <v>716</v>
      </c>
      <c r="E73" s="726" t="s">
        <v>717</v>
      </c>
      <c r="F73" s="727" t="s">
        <v>716</v>
      </c>
      <c r="G73" s="726"/>
      <c r="H73" s="726"/>
      <c r="I73" s="727"/>
      <c r="J73" s="728"/>
      <c r="K73" s="1486"/>
      <c r="L73" s="729"/>
      <c r="M73" s="1487"/>
    </row>
    <row r="74" spans="1:13">
      <c r="B74" s="730"/>
      <c r="C74" s="731"/>
      <c r="D74" s="730"/>
      <c r="E74" s="730"/>
      <c r="F74" s="732"/>
      <c r="G74" s="730"/>
      <c r="H74" s="730"/>
      <c r="I74" s="732"/>
      <c r="J74" s="730"/>
      <c r="K74" s="733"/>
      <c r="L74" s="733"/>
      <c r="M74"/>
    </row>
    <row r="75" spans="1:13" ht="42.75" customHeight="1">
      <c r="A75" s="1405" t="s">
        <v>507</v>
      </c>
      <c r="B75" s="1939" t="s">
        <v>36</v>
      </c>
      <c r="C75" s="1939"/>
      <c r="D75" s="1939"/>
      <c r="E75" s="1939"/>
      <c r="F75" s="1939"/>
      <c r="G75" s="1939"/>
      <c r="H75" s="1939"/>
      <c r="I75" s="1939"/>
      <c r="J75" s="1939"/>
      <c r="K75" s="1939"/>
      <c r="L75" s="1939"/>
      <c r="M75"/>
    </row>
    <row r="76" spans="1:13" ht="14.25">
      <c r="A76" s="687" t="s">
        <v>941</v>
      </c>
      <c r="B76" s="1938" t="s">
        <v>940</v>
      </c>
      <c r="C76" s="1938"/>
      <c r="D76" s="1938"/>
      <c r="E76" s="1938"/>
      <c r="F76" s="1938"/>
      <c r="G76" s="1938"/>
      <c r="H76" s="1938"/>
      <c r="I76" s="1938"/>
      <c r="J76" s="1938"/>
      <c r="K76" s="1938"/>
      <c r="L76" s="1938"/>
      <c r="M76"/>
    </row>
    <row r="77" spans="1:13">
      <c r="A77" t="s">
        <v>691</v>
      </c>
      <c r="B77" s="1936" t="s">
        <v>692</v>
      </c>
      <c r="C77" s="1936"/>
      <c r="D77" s="1936"/>
      <c r="E77" s="1936"/>
      <c r="F77" s="1936"/>
      <c r="G77" s="1936"/>
      <c r="H77" s="1936"/>
      <c r="I77" s="1936"/>
      <c r="J77" s="1936"/>
      <c r="K77" s="1936"/>
      <c r="L77" s="1936"/>
      <c r="M77"/>
    </row>
    <row r="78" spans="1:13">
      <c r="A78"/>
      <c r="B78"/>
      <c r="C78"/>
      <c r="D78"/>
      <c r="E78"/>
      <c r="F78"/>
      <c r="G78"/>
      <c r="H78"/>
      <c r="I78"/>
      <c r="J78"/>
      <c r="K78"/>
      <c r="L78"/>
      <c r="M78"/>
    </row>
    <row r="79" spans="1:13">
      <c r="A79"/>
      <c r="B79"/>
      <c r="C79"/>
      <c r="D79"/>
      <c r="E79"/>
      <c r="F79"/>
      <c r="G79"/>
      <c r="H79"/>
      <c r="I79"/>
      <c r="J79"/>
      <c r="K79"/>
      <c r="L79"/>
      <c r="M79"/>
    </row>
    <row r="80" spans="1:13">
      <c r="A80"/>
      <c r="B80"/>
      <c r="C80"/>
      <c r="D80"/>
      <c r="E80"/>
      <c r="F80"/>
      <c r="G80"/>
      <c r="H80"/>
      <c r="I80"/>
      <c r="J80"/>
      <c r="K80"/>
      <c r="L80"/>
      <c r="M80"/>
    </row>
    <row r="81" spans="1:13">
      <c r="A81"/>
      <c r="B81"/>
      <c r="C81"/>
      <c r="D81"/>
      <c r="E81"/>
      <c r="F81"/>
      <c r="G81"/>
      <c r="H81"/>
      <c r="I81"/>
      <c r="J81"/>
      <c r="K81"/>
      <c r="L81"/>
      <c r="M81"/>
    </row>
    <row r="82" spans="1:13">
      <c r="A82"/>
      <c r="B82"/>
      <c r="C82"/>
      <c r="D82"/>
      <c r="E82"/>
      <c r="F82"/>
      <c r="G82"/>
      <c r="H82"/>
      <c r="I82"/>
      <c r="J82"/>
      <c r="K82"/>
      <c r="L82"/>
      <c r="M82"/>
    </row>
    <row r="83" spans="1:13">
      <c r="A83"/>
      <c r="B83"/>
      <c r="C83"/>
      <c r="D83"/>
      <c r="E83"/>
      <c r="F83"/>
      <c r="G83"/>
      <c r="H83"/>
      <c r="I83"/>
      <c r="J83"/>
      <c r="K83"/>
      <c r="L83"/>
      <c r="M83"/>
    </row>
    <row r="84" spans="1:13">
      <c r="A84"/>
      <c r="B84"/>
      <c r="C84"/>
      <c r="D84"/>
      <c r="E84"/>
      <c r="F84"/>
      <c r="G84"/>
      <c r="H84"/>
      <c r="I84"/>
      <c r="J84"/>
      <c r="K84"/>
      <c r="L84"/>
      <c r="M84"/>
    </row>
    <row r="85" spans="1:13">
      <c r="A85"/>
      <c r="B85"/>
      <c r="C85"/>
      <c r="D85"/>
      <c r="E85"/>
      <c r="F85"/>
      <c r="G85"/>
      <c r="H85"/>
      <c r="I85"/>
      <c r="J85"/>
      <c r="K85"/>
      <c r="L85"/>
      <c r="M85"/>
    </row>
    <row r="86" spans="1:13">
      <c r="A86"/>
      <c r="B86"/>
      <c r="C86"/>
      <c r="D86"/>
      <c r="E86"/>
      <c r="F86"/>
      <c r="G86"/>
      <c r="H86"/>
      <c r="I86"/>
      <c r="J86"/>
      <c r="K86"/>
      <c r="L86"/>
      <c r="M86"/>
    </row>
    <row r="87" spans="1:13">
      <c r="A87"/>
      <c r="B87"/>
      <c r="C87"/>
      <c r="D87"/>
      <c r="E87"/>
      <c r="F87"/>
      <c r="G87"/>
      <c r="H87"/>
      <c r="I87"/>
      <c r="J87"/>
      <c r="K87"/>
      <c r="L87"/>
      <c r="M87"/>
    </row>
    <row r="88" spans="1:13">
      <c r="A88"/>
      <c r="B88"/>
      <c r="C88"/>
      <c r="D88"/>
      <c r="E88"/>
      <c r="F88"/>
      <c r="G88"/>
      <c r="H88"/>
      <c r="I88"/>
      <c r="J88"/>
      <c r="K88"/>
      <c r="L88"/>
      <c r="M88"/>
    </row>
    <row r="89" spans="1:13">
      <c r="A89"/>
      <c r="B89"/>
      <c r="C89"/>
      <c r="D89"/>
      <c r="E89"/>
      <c r="F89"/>
      <c r="G89"/>
      <c r="H89"/>
      <c r="I89"/>
      <c r="J89"/>
      <c r="K89"/>
      <c r="L89"/>
      <c r="M89"/>
    </row>
    <row r="90" spans="1:13">
      <c r="A90"/>
      <c r="B90"/>
      <c r="C90"/>
      <c r="D90"/>
      <c r="E90"/>
      <c r="F90"/>
      <c r="G90"/>
      <c r="H90"/>
      <c r="I90"/>
      <c r="J90"/>
      <c r="K90"/>
      <c r="L90"/>
      <c r="M90"/>
    </row>
    <row r="91" spans="1:13">
      <c r="A91"/>
      <c r="B91"/>
      <c r="C91"/>
      <c r="D91"/>
      <c r="E91"/>
      <c r="F91"/>
      <c r="G91"/>
      <c r="H91"/>
      <c r="I91"/>
      <c r="J91"/>
      <c r="K91"/>
      <c r="L91"/>
      <c r="M91"/>
    </row>
    <row r="92" spans="1:13">
      <c r="A92"/>
      <c r="B92"/>
      <c r="C92"/>
      <c r="D92"/>
      <c r="E92"/>
      <c r="F92"/>
      <c r="G92"/>
      <c r="H92"/>
      <c r="I92"/>
      <c r="J92"/>
      <c r="K92"/>
      <c r="L92"/>
      <c r="M92"/>
    </row>
    <row r="93" spans="1:13">
      <c r="A93"/>
      <c r="B93"/>
      <c r="C93"/>
      <c r="D93"/>
      <c r="E93"/>
      <c r="F93"/>
      <c r="G93"/>
      <c r="H93"/>
      <c r="I93"/>
      <c r="J93"/>
      <c r="K93"/>
      <c r="L93"/>
      <c r="M93"/>
    </row>
    <row r="94" spans="1:13">
      <c r="A94"/>
      <c r="B94"/>
      <c r="C94"/>
      <c r="D94"/>
      <c r="E94"/>
      <c r="F94"/>
      <c r="G94"/>
      <c r="H94"/>
      <c r="I94"/>
      <c r="J94"/>
      <c r="K94"/>
      <c r="L94"/>
      <c r="M94"/>
    </row>
    <row r="95" spans="1:13">
      <c r="A95"/>
      <c r="B95"/>
      <c r="C95"/>
      <c r="D95"/>
      <c r="E95"/>
      <c r="F95"/>
      <c r="G95"/>
      <c r="H95"/>
      <c r="I95"/>
      <c r="J95"/>
      <c r="K95"/>
      <c r="L95"/>
      <c r="M95"/>
    </row>
    <row r="96" spans="1:13">
      <c r="A96"/>
      <c r="B96"/>
      <c r="C96"/>
      <c r="D96"/>
      <c r="E96"/>
      <c r="F96"/>
      <c r="G96"/>
      <c r="H96"/>
      <c r="I96"/>
      <c r="J96"/>
      <c r="K96"/>
      <c r="L96"/>
      <c r="M96"/>
    </row>
    <row r="97" spans="1:13">
      <c r="A97"/>
      <c r="B97"/>
      <c r="C97"/>
      <c r="D97"/>
      <c r="E97"/>
      <c r="F97"/>
      <c r="G97"/>
      <c r="H97"/>
      <c r="I97"/>
      <c r="J97"/>
      <c r="K97"/>
      <c r="L97"/>
      <c r="M97"/>
    </row>
    <row r="98" spans="1:13">
      <c r="A98"/>
      <c r="B98"/>
      <c r="C98"/>
      <c r="D98"/>
      <c r="E98"/>
      <c r="F98"/>
      <c r="G98"/>
      <c r="H98"/>
      <c r="I98"/>
      <c r="J98"/>
      <c r="K98"/>
      <c r="L98"/>
      <c r="M98"/>
    </row>
    <row r="99" spans="1:13">
      <c r="A99"/>
      <c r="B99"/>
      <c r="C99"/>
      <c r="D99"/>
      <c r="E99"/>
      <c r="F99"/>
      <c r="G99"/>
      <c r="H99"/>
      <c r="I99"/>
      <c r="J99"/>
      <c r="K99"/>
      <c r="L99"/>
      <c r="M99"/>
    </row>
    <row r="100" spans="1:13">
      <c r="A100"/>
      <c r="B100"/>
      <c r="C100"/>
      <c r="D100"/>
      <c r="E100"/>
      <c r="F100"/>
      <c r="G100"/>
      <c r="H100"/>
      <c r="I100"/>
      <c r="J100"/>
      <c r="K100"/>
      <c r="L100"/>
      <c r="M100"/>
    </row>
    <row r="101" spans="1:13">
      <c r="A101"/>
      <c r="B101"/>
      <c r="C101"/>
      <c r="D101"/>
      <c r="E101"/>
      <c r="F101"/>
      <c r="G101"/>
      <c r="H101"/>
      <c r="I101"/>
      <c r="J101"/>
      <c r="K101"/>
      <c r="L101"/>
      <c r="M101"/>
    </row>
    <row r="102" spans="1:13">
      <c r="A102"/>
      <c r="B102"/>
      <c r="C102"/>
      <c r="D102"/>
      <c r="E102"/>
      <c r="F102"/>
      <c r="G102"/>
      <c r="H102"/>
      <c r="I102"/>
      <c r="J102"/>
      <c r="K102"/>
      <c r="L102"/>
      <c r="M102"/>
    </row>
    <row r="103" spans="1:13">
      <c r="A103"/>
      <c r="B103"/>
      <c r="C103"/>
      <c r="D103"/>
      <c r="E103"/>
      <c r="F103"/>
      <c r="G103"/>
      <c r="H103"/>
      <c r="I103"/>
      <c r="J103"/>
      <c r="K103"/>
      <c r="L103"/>
      <c r="M103"/>
    </row>
    <row r="104" spans="1:13">
      <c r="A104"/>
      <c r="B104"/>
      <c r="C104"/>
      <c r="D104"/>
      <c r="E104"/>
      <c r="F104"/>
      <c r="G104"/>
      <c r="H104"/>
      <c r="I104"/>
      <c r="J104"/>
      <c r="K104"/>
      <c r="L104"/>
      <c r="M104"/>
    </row>
    <row r="105" spans="1:13">
      <c r="A105"/>
      <c r="B105"/>
      <c r="C105"/>
      <c r="D105"/>
      <c r="E105"/>
      <c r="F105"/>
      <c r="G105"/>
      <c r="H105"/>
      <c r="I105"/>
      <c r="J105"/>
      <c r="K105"/>
      <c r="L105"/>
      <c r="M105"/>
    </row>
    <row r="106" spans="1:13">
      <c r="A106"/>
      <c r="B106"/>
      <c r="C106"/>
      <c r="D106"/>
      <c r="E106"/>
      <c r="F106"/>
      <c r="G106"/>
      <c r="H106"/>
      <c r="I106"/>
      <c r="J106"/>
      <c r="K106"/>
      <c r="L106"/>
      <c r="M106"/>
    </row>
    <row r="107" spans="1:13">
      <c r="A107"/>
      <c r="B107"/>
      <c r="C107"/>
      <c r="D107"/>
      <c r="E107"/>
      <c r="F107"/>
      <c r="G107"/>
      <c r="H107"/>
      <c r="I107"/>
      <c r="J107"/>
      <c r="K107"/>
      <c r="L107"/>
      <c r="M107"/>
    </row>
    <row r="108" spans="1:13">
      <c r="A108"/>
      <c r="B108"/>
      <c r="C108"/>
      <c r="D108"/>
      <c r="E108"/>
      <c r="F108"/>
      <c r="G108"/>
      <c r="H108"/>
      <c r="I108"/>
      <c r="J108"/>
      <c r="K108"/>
      <c r="L108"/>
      <c r="M108"/>
    </row>
    <row r="109" spans="1:13">
      <c r="A109"/>
      <c r="B109"/>
      <c r="C109"/>
      <c r="D109"/>
      <c r="E109"/>
      <c r="F109"/>
      <c r="G109"/>
      <c r="H109"/>
      <c r="I109"/>
      <c r="J109"/>
      <c r="K109"/>
      <c r="L109"/>
      <c r="M109"/>
    </row>
    <row r="110" spans="1:13">
      <c r="A110"/>
      <c r="B110"/>
      <c r="C110"/>
      <c r="D110"/>
      <c r="E110"/>
      <c r="F110"/>
      <c r="G110"/>
      <c r="H110"/>
      <c r="I110"/>
      <c r="J110"/>
      <c r="K110"/>
      <c r="L110"/>
      <c r="M110"/>
    </row>
    <row r="111" spans="1:13">
      <c r="A111"/>
      <c r="B111"/>
      <c r="C111"/>
      <c r="D111"/>
      <c r="E111"/>
      <c r="F111"/>
      <c r="G111"/>
      <c r="H111"/>
      <c r="I111"/>
      <c r="J111"/>
      <c r="K111"/>
      <c r="L111"/>
      <c r="M111"/>
    </row>
    <row r="112" spans="1:13">
      <c r="A112"/>
      <c r="B112"/>
      <c r="C112"/>
      <c r="D112"/>
      <c r="E112"/>
      <c r="F112"/>
      <c r="G112"/>
      <c r="H112"/>
      <c r="I112"/>
      <c r="J112"/>
      <c r="K112"/>
      <c r="L112"/>
      <c r="M112"/>
    </row>
    <row r="113" spans="1:13">
      <c r="A113"/>
      <c r="B113"/>
      <c r="C113"/>
      <c r="D113"/>
      <c r="E113"/>
      <c r="F113"/>
      <c r="G113"/>
      <c r="H113"/>
      <c r="I113"/>
      <c r="J113"/>
      <c r="K113"/>
      <c r="L113"/>
      <c r="M113"/>
    </row>
    <row r="114" spans="1:13">
      <c r="A114"/>
      <c r="B114"/>
      <c r="C114"/>
      <c r="D114"/>
      <c r="E114"/>
      <c r="F114"/>
      <c r="G114"/>
      <c r="H114"/>
      <c r="I114"/>
      <c r="J114"/>
      <c r="K114"/>
      <c r="L114"/>
      <c r="M114"/>
    </row>
    <row r="115" spans="1:13">
      <c r="A115"/>
      <c r="B115"/>
      <c r="C115"/>
      <c r="D115"/>
      <c r="E115"/>
      <c r="F115"/>
      <c r="G115"/>
      <c r="H115"/>
      <c r="I115"/>
      <c r="J115"/>
      <c r="K115"/>
      <c r="L115"/>
      <c r="M115"/>
    </row>
    <row r="116" spans="1:13">
      <c r="A116"/>
      <c r="B116"/>
      <c r="C116"/>
      <c r="D116"/>
      <c r="E116"/>
      <c r="F116"/>
      <c r="G116"/>
      <c r="H116"/>
      <c r="I116"/>
      <c r="J116"/>
      <c r="K116"/>
      <c r="L116"/>
      <c r="M116"/>
    </row>
    <row r="117" spans="1:13">
      <c r="A117"/>
      <c r="B117"/>
      <c r="C117"/>
      <c r="D117"/>
      <c r="E117"/>
      <c r="F117"/>
      <c r="G117"/>
      <c r="H117"/>
      <c r="I117"/>
      <c r="J117"/>
      <c r="K117"/>
      <c r="L117"/>
      <c r="M117"/>
    </row>
    <row r="118" spans="1:13">
      <c r="A118"/>
      <c r="B118"/>
      <c r="C118"/>
      <c r="D118"/>
      <c r="E118"/>
      <c r="F118"/>
      <c r="G118"/>
      <c r="H118"/>
      <c r="I118"/>
      <c r="J118"/>
      <c r="K118"/>
      <c r="L118"/>
      <c r="M118"/>
    </row>
    <row r="119" spans="1:13">
      <c r="A119"/>
      <c r="B119"/>
      <c r="C119"/>
      <c r="D119"/>
      <c r="E119"/>
      <c r="F119"/>
      <c r="G119"/>
      <c r="H119"/>
      <c r="I119"/>
      <c r="J119"/>
      <c r="K119"/>
      <c r="L119"/>
      <c r="M119"/>
    </row>
    <row r="120" spans="1:13">
      <c r="A120"/>
      <c r="B120"/>
      <c r="C120"/>
      <c r="D120"/>
      <c r="E120"/>
      <c r="F120"/>
      <c r="G120"/>
      <c r="H120"/>
      <c r="I120"/>
      <c r="J120"/>
      <c r="K120"/>
      <c r="L120"/>
      <c r="M120"/>
    </row>
    <row r="121" spans="1:13">
      <c r="A121"/>
      <c r="B121"/>
      <c r="C121"/>
      <c r="D121"/>
      <c r="E121"/>
      <c r="F121"/>
      <c r="G121"/>
      <c r="H121"/>
      <c r="I121"/>
      <c r="J121"/>
      <c r="K121"/>
      <c r="L121"/>
      <c r="M121"/>
    </row>
    <row r="122" spans="1:13">
      <c r="A122"/>
      <c r="B122"/>
      <c r="C122"/>
      <c r="D122"/>
      <c r="E122"/>
      <c r="F122"/>
      <c r="G122"/>
      <c r="H122"/>
      <c r="I122"/>
      <c r="J122"/>
      <c r="K122"/>
      <c r="L122"/>
      <c r="M122"/>
    </row>
    <row r="123" spans="1:13">
      <c r="A123"/>
      <c r="B123"/>
      <c r="C123"/>
      <c r="D123"/>
      <c r="E123"/>
      <c r="F123"/>
      <c r="G123"/>
      <c r="H123"/>
      <c r="I123"/>
      <c r="J123"/>
      <c r="K123"/>
      <c r="L123"/>
      <c r="M123"/>
    </row>
    <row r="124" spans="1:13">
      <c r="A124"/>
      <c r="B124"/>
      <c r="C124"/>
      <c r="D124"/>
      <c r="E124"/>
      <c r="F124"/>
      <c r="G124"/>
      <c r="H124"/>
      <c r="I124"/>
      <c r="J124"/>
      <c r="K124"/>
      <c r="L124"/>
      <c r="M124"/>
    </row>
    <row r="125" spans="1:13">
      <c r="A125"/>
      <c r="B125"/>
      <c r="C125"/>
      <c r="D125"/>
      <c r="E125"/>
      <c r="F125"/>
      <c r="G125"/>
      <c r="H125"/>
      <c r="I125"/>
      <c r="J125"/>
      <c r="K125"/>
      <c r="L125"/>
      <c r="M125"/>
    </row>
    <row r="126" spans="1:13">
      <c r="A126"/>
      <c r="B126"/>
      <c r="C126"/>
      <c r="D126"/>
      <c r="E126"/>
      <c r="F126"/>
      <c r="G126"/>
      <c r="H126"/>
      <c r="I126"/>
      <c r="J126"/>
      <c r="K126"/>
      <c r="L126"/>
      <c r="M126"/>
    </row>
    <row r="127" spans="1:13">
      <c r="A127"/>
      <c r="B127"/>
      <c r="C127"/>
      <c r="D127"/>
      <c r="E127"/>
      <c r="F127"/>
      <c r="G127"/>
      <c r="H127"/>
      <c r="I127"/>
      <c r="J127"/>
      <c r="K127"/>
      <c r="L127"/>
      <c r="M127"/>
    </row>
    <row r="128" spans="1:13">
      <c r="A128"/>
      <c r="B128"/>
      <c r="C128"/>
      <c r="D128"/>
      <c r="E128"/>
      <c r="F128"/>
      <c r="G128"/>
      <c r="H128"/>
      <c r="I128"/>
      <c r="J128"/>
      <c r="K128"/>
      <c r="L128"/>
      <c r="M128"/>
    </row>
    <row r="129" spans="1:13">
      <c r="A129"/>
      <c r="B129"/>
      <c r="C129"/>
      <c r="D129"/>
      <c r="E129"/>
      <c r="F129"/>
      <c r="G129"/>
      <c r="H129"/>
      <c r="I129"/>
      <c r="J129"/>
      <c r="K129"/>
      <c r="L129"/>
      <c r="M129"/>
    </row>
    <row r="130" spans="1:13">
      <c r="A130"/>
      <c r="B130"/>
      <c r="C130"/>
      <c r="D130"/>
      <c r="E130"/>
      <c r="F130"/>
      <c r="G130"/>
      <c r="H130"/>
      <c r="I130"/>
      <c r="J130"/>
      <c r="K130"/>
      <c r="L130"/>
      <c r="M130"/>
    </row>
    <row r="131" spans="1:13">
      <c r="A131"/>
      <c r="B131"/>
      <c r="C131"/>
      <c r="D131"/>
      <c r="E131"/>
      <c r="F131"/>
      <c r="G131"/>
      <c r="H131"/>
      <c r="I131"/>
      <c r="J131"/>
      <c r="K131"/>
      <c r="L131"/>
      <c r="M131"/>
    </row>
    <row r="132" spans="1:13">
      <c r="A132"/>
      <c r="B132"/>
      <c r="C132"/>
      <c r="D132"/>
      <c r="E132"/>
      <c r="F132"/>
      <c r="G132"/>
      <c r="H132"/>
      <c r="I132"/>
      <c r="J132"/>
      <c r="K132"/>
      <c r="L132"/>
      <c r="M132"/>
    </row>
    <row r="133" spans="1:13">
      <c r="A133"/>
      <c r="B133"/>
      <c r="C133"/>
      <c r="D133"/>
      <c r="E133"/>
      <c r="F133"/>
      <c r="G133"/>
      <c r="H133"/>
      <c r="I133"/>
      <c r="J133"/>
      <c r="K133"/>
      <c r="L133"/>
      <c r="M133"/>
    </row>
    <row r="134" spans="1:13">
      <c r="A134"/>
      <c r="B134"/>
      <c r="C134"/>
      <c r="D134"/>
      <c r="E134"/>
      <c r="F134"/>
      <c r="G134"/>
      <c r="H134"/>
      <c r="I134"/>
      <c r="J134"/>
      <c r="K134"/>
      <c r="L134"/>
      <c r="M134"/>
    </row>
    <row r="135" spans="1:13">
      <c r="A135"/>
      <c r="B135"/>
      <c r="C135"/>
      <c r="D135"/>
      <c r="E135"/>
      <c r="F135"/>
      <c r="G135"/>
      <c r="H135"/>
      <c r="I135"/>
      <c r="J135"/>
      <c r="K135"/>
      <c r="L135"/>
      <c r="M135"/>
    </row>
    <row r="136" spans="1:13">
      <c r="A136"/>
      <c r="B136"/>
      <c r="C136"/>
      <c r="D136"/>
      <c r="E136"/>
      <c r="F136"/>
      <c r="G136"/>
      <c r="H136"/>
      <c r="I136"/>
      <c r="J136"/>
      <c r="K136"/>
      <c r="L136"/>
      <c r="M136"/>
    </row>
    <row r="137" spans="1:13">
      <c r="A137"/>
      <c r="B137"/>
      <c r="C137"/>
      <c r="D137"/>
      <c r="E137"/>
      <c r="F137"/>
      <c r="G137"/>
      <c r="H137"/>
      <c r="I137"/>
      <c r="J137"/>
      <c r="K137"/>
      <c r="L137"/>
      <c r="M137"/>
    </row>
    <row r="138" spans="1:13">
      <c r="A138"/>
      <c r="B138"/>
      <c r="C138"/>
      <c r="D138"/>
      <c r="E138"/>
      <c r="F138"/>
      <c r="G138"/>
      <c r="H138"/>
      <c r="I138"/>
      <c r="J138"/>
      <c r="K138"/>
      <c r="L138"/>
      <c r="M138"/>
    </row>
    <row r="139" spans="1:13">
      <c r="A139"/>
      <c r="B139"/>
      <c r="C139"/>
      <c r="D139"/>
      <c r="E139"/>
      <c r="F139"/>
      <c r="G139"/>
      <c r="H139"/>
      <c r="I139"/>
      <c r="J139"/>
      <c r="K139"/>
      <c r="L139"/>
      <c r="M139"/>
    </row>
    <row r="140" spans="1:13">
      <c r="A140"/>
      <c r="B140"/>
      <c r="C140"/>
      <c r="D140"/>
      <c r="E140"/>
      <c r="F140"/>
      <c r="G140"/>
      <c r="H140"/>
      <c r="I140"/>
      <c r="J140"/>
      <c r="K140"/>
      <c r="L140"/>
      <c r="M140"/>
    </row>
    <row r="141" spans="1:13">
      <c r="A141"/>
      <c r="B141"/>
      <c r="C141"/>
      <c r="D141"/>
      <c r="E141"/>
      <c r="F141"/>
      <c r="G141"/>
      <c r="H141"/>
      <c r="I141"/>
      <c r="J141"/>
      <c r="K141"/>
      <c r="L141"/>
      <c r="M141"/>
    </row>
    <row r="142" spans="1:13">
      <c r="A142"/>
      <c r="B142"/>
      <c r="C142"/>
      <c r="D142"/>
      <c r="E142"/>
      <c r="F142"/>
      <c r="G142"/>
      <c r="H142"/>
      <c r="I142"/>
      <c r="J142"/>
      <c r="K142"/>
      <c r="L142"/>
      <c r="M142"/>
    </row>
    <row r="143" spans="1:13">
      <c r="A143"/>
      <c r="B143"/>
      <c r="C143"/>
      <c r="D143"/>
      <c r="E143"/>
      <c r="F143"/>
      <c r="G143"/>
      <c r="H143"/>
      <c r="I143"/>
      <c r="J143"/>
      <c r="K143"/>
      <c r="L143"/>
      <c r="M143"/>
    </row>
    <row r="144" spans="1:13">
      <c r="A144"/>
      <c r="B144"/>
      <c r="C144"/>
      <c r="D144"/>
      <c r="E144"/>
      <c r="F144"/>
      <c r="G144"/>
      <c r="H144"/>
      <c r="I144"/>
      <c r="J144"/>
      <c r="K144"/>
      <c r="L144"/>
      <c r="M144"/>
    </row>
    <row r="145" spans="1:13">
      <c r="A145"/>
      <c r="B145"/>
      <c r="C145"/>
      <c r="D145"/>
      <c r="E145"/>
      <c r="F145"/>
      <c r="G145"/>
      <c r="H145"/>
      <c r="I145"/>
      <c r="J145"/>
      <c r="K145"/>
      <c r="L145"/>
      <c r="M145"/>
    </row>
    <row r="146" spans="1:13">
      <c r="A146"/>
      <c r="B146"/>
      <c r="C146"/>
      <c r="D146"/>
      <c r="E146"/>
      <c r="F146"/>
      <c r="G146"/>
      <c r="H146"/>
      <c r="I146"/>
      <c r="J146"/>
      <c r="K146"/>
      <c r="L146"/>
      <c r="M146"/>
    </row>
    <row r="147" spans="1:13">
      <c r="A147"/>
      <c r="B147"/>
      <c r="C147"/>
      <c r="D147"/>
      <c r="E147"/>
      <c r="F147"/>
      <c r="G147"/>
      <c r="H147"/>
      <c r="I147"/>
      <c r="J147"/>
      <c r="K147"/>
      <c r="L147"/>
      <c r="M147"/>
    </row>
    <row r="148" spans="1:13">
      <c r="A148"/>
      <c r="B148"/>
      <c r="C148"/>
      <c r="D148"/>
      <c r="E148"/>
      <c r="F148"/>
      <c r="G148"/>
      <c r="H148"/>
      <c r="I148"/>
      <c r="J148"/>
      <c r="K148"/>
      <c r="L148"/>
      <c r="M148"/>
    </row>
    <row r="149" spans="1:13">
      <c r="A149"/>
      <c r="B149"/>
      <c r="C149"/>
      <c r="D149"/>
      <c r="E149"/>
      <c r="F149"/>
      <c r="G149"/>
      <c r="H149"/>
      <c r="I149"/>
      <c r="J149"/>
      <c r="K149"/>
      <c r="L149"/>
      <c r="M149"/>
    </row>
    <row r="150" spans="1:13">
      <c r="A150"/>
      <c r="B150"/>
      <c r="C150"/>
      <c r="D150"/>
      <c r="E150"/>
      <c r="F150"/>
      <c r="G150"/>
      <c r="H150"/>
      <c r="I150"/>
      <c r="J150"/>
      <c r="K150"/>
      <c r="L150"/>
      <c r="M150"/>
    </row>
    <row r="151" spans="1:13">
      <c r="A151"/>
      <c r="B151"/>
      <c r="C151"/>
      <c r="D151"/>
      <c r="E151"/>
      <c r="F151"/>
      <c r="G151"/>
      <c r="H151"/>
      <c r="I151"/>
      <c r="J151"/>
      <c r="K151"/>
      <c r="L151"/>
      <c r="M151"/>
    </row>
    <row r="152" spans="1:13">
      <c r="A152"/>
      <c r="B152"/>
      <c r="C152"/>
      <c r="D152"/>
      <c r="E152"/>
      <c r="F152"/>
      <c r="G152"/>
      <c r="H152"/>
      <c r="I152"/>
      <c r="J152"/>
      <c r="K152"/>
      <c r="L152"/>
      <c r="M152"/>
    </row>
    <row r="153" spans="1:13">
      <c r="A153"/>
      <c r="B153"/>
      <c r="C153"/>
      <c r="D153"/>
      <c r="E153"/>
      <c r="F153"/>
      <c r="G153"/>
      <c r="H153"/>
      <c r="I153"/>
      <c r="J153"/>
      <c r="K153"/>
      <c r="L153"/>
      <c r="M153"/>
    </row>
    <row r="154" spans="1:13">
      <c r="A154"/>
      <c r="B154"/>
      <c r="C154"/>
      <c r="D154"/>
      <c r="E154"/>
      <c r="F154"/>
      <c r="G154"/>
      <c r="H154"/>
      <c r="I154"/>
      <c r="J154"/>
      <c r="K154"/>
      <c r="L154"/>
      <c r="M154"/>
    </row>
    <row r="155" spans="1:13">
      <c r="A155"/>
      <c r="B155"/>
      <c r="C155"/>
      <c r="D155"/>
      <c r="E155"/>
      <c r="F155"/>
      <c r="G155"/>
      <c r="H155"/>
      <c r="I155"/>
      <c r="J155"/>
      <c r="K155"/>
      <c r="L155"/>
      <c r="M155"/>
    </row>
    <row r="156" spans="1:13">
      <c r="A156"/>
      <c r="B156"/>
      <c r="C156"/>
      <c r="D156"/>
      <c r="E156"/>
      <c r="F156"/>
      <c r="G156"/>
      <c r="H156"/>
      <c r="I156"/>
      <c r="J156"/>
      <c r="K156"/>
      <c r="L156"/>
      <c r="M156"/>
    </row>
    <row r="157" spans="1:13">
      <c r="A157"/>
      <c r="B157"/>
      <c r="C157"/>
      <c r="D157"/>
      <c r="E157"/>
      <c r="F157"/>
      <c r="G157"/>
      <c r="H157"/>
      <c r="I157"/>
      <c r="J157"/>
      <c r="K157"/>
      <c r="L157"/>
      <c r="M157"/>
    </row>
    <row r="158" spans="1:13">
      <c r="A158"/>
      <c r="B158"/>
      <c r="C158"/>
      <c r="D158"/>
      <c r="E158"/>
      <c r="F158"/>
      <c r="G158"/>
      <c r="H158"/>
      <c r="I158"/>
      <c r="J158"/>
      <c r="K158"/>
      <c r="L158"/>
      <c r="M158"/>
    </row>
    <row r="159" spans="1:13">
      <c r="A159"/>
      <c r="B159"/>
      <c r="C159"/>
      <c r="D159"/>
      <c r="E159"/>
      <c r="F159"/>
      <c r="G159"/>
      <c r="H159"/>
      <c r="I159"/>
      <c r="J159"/>
      <c r="K159"/>
      <c r="L159"/>
      <c r="M159"/>
    </row>
    <row r="160" spans="1:13">
      <c r="A160"/>
      <c r="B160"/>
      <c r="C160"/>
      <c r="D160"/>
      <c r="E160"/>
      <c r="F160"/>
      <c r="G160"/>
      <c r="H160"/>
      <c r="I160"/>
      <c r="J160"/>
      <c r="K160"/>
      <c r="L160"/>
      <c r="M160"/>
    </row>
    <row r="161" spans="1:13">
      <c r="A161"/>
      <c r="B161"/>
      <c r="C161"/>
      <c r="D161"/>
      <c r="E161"/>
      <c r="F161"/>
      <c r="G161"/>
      <c r="H161"/>
      <c r="I161"/>
      <c r="J161"/>
      <c r="K161"/>
      <c r="L161"/>
      <c r="M161"/>
    </row>
    <row r="162" spans="1:13">
      <c r="A162"/>
      <c r="B162"/>
      <c r="C162"/>
      <c r="D162"/>
      <c r="E162"/>
      <c r="F162"/>
      <c r="G162"/>
      <c r="H162"/>
      <c r="I162"/>
      <c r="J162"/>
      <c r="K162"/>
      <c r="L162"/>
      <c r="M162"/>
    </row>
    <row r="163" spans="1:13">
      <c r="A163"/>
      <c r="B163"/>
      <c r="C163"/>
      <c r="D163"/>
      <c r="E163"/>
      <c r="F163"/>
      <c r="G163"/>
      <c r="H163"/>
      <c r="I163"/>
      <c r="J163"/>
      <c r="K163"/>
      <c r="L163"/>
      <c r="M163"/>
    </row>
    <row r="164" spans="1:13">
      <c r="A164"/>
      <c r="B164"/>
      <c r="C164"/>
      <c r="D164"/>
      <c r="E164"/>
      <c r="F164"/>
      <c r="G164"/>
      <c r="H164"/>
      <c r="I164"/>
      <c r="J164"/>
      <c r="K164"/>
      <c r="L164"/>
      <c r="M164"/>
    </row>
    <row r="165" spans="1:13">
      <c r="A165"/>
      <c r="B165"/>
      <c r="C165"/>
      <c r="D165"/>
      <c r="E165"/>
      <c r="F165"/>
      <c r="G165"/>
      <c r="H165"/>
      <c r="I165"/>
      <c r="J165"/>
      <c r="K165"/>
      <c r="L165"/>
      <c r="M165"/>
    </row>
    <row r="166" spans="1:13">
      <c r="A166"/>
      <c r="B166"/>
      <c r="C166"/>
      <c r="D166"/>
      <c r="E166"/>
      <c r="F166"/>
      <c r="G166"/>
      <c r="H166"/>
      <c r="I166"/>
      <c r="J166"/>
      <c r="K166"/>
      <c r="L166"/>
      <c r="M166"/>
    </row>
    <row r="167" spans="1:13">
      <c r="A167"/>
      <c r="B167"/>
      <c r="C167"/>
      <c r="D167"/>
      <c r="E167"/>
      <c r="F167"/>
      <c r="G167"/>
      <c r="H167"/>
      <c r="I167"/>
      <c r="J167"/>
      <c r="K167"/>
      <c r="L167"/>
      <c r="M167"/>
    </row>
    <row r="168" spans="1:13">
      <c r="A168"/>
      <c r="B168"/>
      <c r="C168"/>
      <c r="D168"/>
      <c r="E168"/>
      <c r="F168"/>
      <c r="G168"/>
      <c r="H168"/>
      <c r="I168"/>
      <c r="J168"/>
      <c r="K168"/>
      <c r="L168"/>
      <c r="M168"/>
    </row>
    <row r="169" spans="1:13">
      <c r="A169"/>
      <c r="B169"/>
      <c r="C169"/>
      <c r="D169"/>
      <c r="E169"/>
      <c r="F169"/>
      <c r="G169"/>
      <c r="H169"/>
      <c r="I169"/>
      <c r="J169"/>
      <c r="K169"/>
      <c r="L169"/>
      <c r="M169"/>
    </row>
    <row r="170" spans="1:13">
      <c r="A170"/>
      <c r="B170"/>
      <c r="C170"/>
      <c r="D170"/>
      <c r="E170"/>
      <c r="F170"/>
      <c r="G170"/>
      <c r="H170"/>
      <c r="I170"/>
      <c r="J170"/>
      <c r="K170"/>
      <c r="L170"/>
      <c r="M170"/>
    </row>
    <row r="171" spans="1:13">
      <c r="A171"/>
      <c r="B171"/>
      <c r="C171"/>
      <c r="D171"/>
      <c r="E171"/>
      <c r="F171"/>
      <c r="G171"/>
      <c r="H171"/>
      <c r="I171"/>
      <c r="J171"/>
      <c r="K171"/>
      <c r="L171"/>
      <c r="M171"/>
    </row>
    <row r="172" spans="1:13">
      <c r="A172"/>
      <c r="B172"/>
      <c r="C172"/>
      <c r="D172"/>
      <c r="E172"/>
      <c r="F172"/>
      <c r="G172"/>
      <c r="H172"/>
      <c r="I172"/>
      <c r="J172"/>
      <c r="K172"/>
      <c r="L172"/>
      <c r="M172"/>
    </row>
    <row r="173" spans="1:13">
      <c r="A173"/>
      <c r="B173"/>
      <c r="C173"/>
      <c r="D173"/>
      <c r="E173"/>
      <c r="F173"/>
      <c r="G173"/>
      <c r="H173"/>
      <c r="I173"/>
      <c r="J173"/>
      <c r="K173"/>
      <c r="L173"/>
      <c r="M173"/>
    </row>
    <row r="174" spans="1:13">
      <c r="A174"/>
      <c r="B174"/>
      <c r="C174"/>
      <c r="D174"/>
      <c r="E174"/>
      <c r="F174"/>
      <c r="G174"/>
      <c r="H174"/>
      <c r="I174"/>
      <c r="J174"/>
      <c r="K174"/>
      <c r="L174"/>
      <c r="M174"/>
    </row>
    <row r="175" spans="1:13">
      <c r="A175"/>
      <c r="B175"/>
      <c r="C175"/>
      <c r="D175"/>
      <c r="E175"/>
      <c r="F175"/>
      <c r="G175"/>
      <c r="H175"/>
      <c r="I175"/>
      <c r="J175"/>
      <c r="K175"/>
      <c r="L175"/>
      <c r="M175"/>
    </row>
    <row r="176" spans="1:13">
      <c r="A176"/>
      <c r="B176"/>
      <c r="C176"/>
      <c r="D176"/>
      <c r="E176"/>
      <c r="F176"/>
      <c r="G176"/>
      <c r="H176"/>
      <c r="I176"/>
      <c r="J176"/>
      <c r="K176"/>
      <c r="L176"/>
      <c r="M176"/>
    </row>
    <row r="177" spans="1:13">
      <c r="A177"/>
      <c r="B177"/>
      <c r="C177"/>
      <c r="D177"/>
      <c r="E177"/>
      <c r="F177"/>
      <c r="G177"/>
      <c r="H177"/>
      <c r="I177"/>
      <c r="J177"/>
      <c r="K177"/>
      <c r="L177"/>
      <c r="M177"/>
    </row>
    <row r="178" spans="1:13">
      <c r="A178"/>
      <c r="B178"/>
      <c r="C178"/>
      <c r="D178"/>
      <c r="E178"/>
      <c r="F178"/>
      <c r="G178"/>
      <c r="H178"/>
      <c r="I178"/>
      <c r="J178"/>
      <c r="K178"/>
      <c r="L178"/>
      <c r="M178"/>
    </row>
    <row r="179" spans="1:13">
      <c r="A179"/>
      <c r="B179"/>
      <c r="C179"/>
      <c r="D179"/>
      <c r="E179"/>
      <c r="F179"/>
      <c r="G179"/>
      <c r="H179"/>
      <c r="I179"/>
      <c r="J179"/>
      <c r="K179"/>
      <c r="L179"/>
      <c r="M179"/>
    </row>
    <row r="180" spans="1:13">
      <c r="A180"/>
      <c r="B180"/>
      <c r="C180"/>
      <c r="D180"/>
      <c r="E180"/>
      <c r="F180"/>
      <c r="G180"/>
      <c r="H180"/>
      <c r="I180"/>
      <c r="J180"/>
      <c r="K180"/>
      <c r="L180"/>
      <c r="M180"/>
    </row>
    <row r="181" spans="1:13">
      <c r="A181"/>
      <c r="B181"/>
      <c r="C181"/>
      <c r="D181"/>
      <c r="E181"/>
      <c r="F181"/>
      <c r="G181"/>
      <c r="H181"/>
      <c r="I181"/>
      <c r="J181"/>
      <c r="K181"/>
      <c r="L181"/>
      <c r="M181"/>
    </row>
    <row r="182" spans="1:13">
      <c r="A182"/>
      <c r="B182"/>
      <c r="C182"/>
      <c r="D182"/>
      <c r="E182"/>
      <c r="F182"/>
      <c r="G182"/>
      <c r="H182"/>
      <c r="I182"/>
      <c r="J182"/>
      <c r="K182"/>
      <c r="L182"/>
      <c r="M182"/>
    </row>
    <row r="183" spans="1:13">
      <c r="A183"/>
      <c r="B183"/>
      <c r="C183"/>
      <c r="D183"/>
      <c r="E183"/>
      <c r="F183"/>
      <c r="G183"/>
      <c r="H183"/>
      <c r="I183"/>
      <c r="J183"/>
      <c r="K183"/>
      <c r="L183"/>
      <c r="M183"/>
    </row>
    <row r="184" spans="1:13">
      <c r="A184"/>
      <c r="B184"/>
      <c r="C184"/>
      <c r="D184"/>
      <c r="E184"/>
      <c r="F184"/>
      <c r="G184"/>
      <c r="H184"/>
      <c r="I184"/>
      <c r="J184"/>
      <c r="K184"/>
      <c r="L184"/>
      <c r="M184"/>
    </row>
    <row r="185" spans="1:13">
      <c r="A185"/>
      <c r="B185"/>
      <c r="C185"/>
      <c r="D185"/>
      <c r="E185"/>
      <c r="F185"/>
      <c r="G185"/>
      <c r="H185"/>
      <c r="I185"/>
      <c r="J185"/>
      <c r="K185"/>
      <c r="L185"/>
      <c r="M185"/>
    </row>
    <row r="186" spans="1:13">
      <c r="A186"/>
      <c r="B186"/>
      <c r="C186"/>
      <c r="D186"/>
      <c r="E186"/>
      <c r="F186"/>
      <c r="G186"/>
      <c r="H186"/>
      <c r="I186"/>
      <c r="J186"/>
      <c r="K186"/>
      <c r="L186"/>
      <c r="M186"/>
    </row>
    <row r="187" spans="1:13">
      <c r="A187"/>
      <c r="B187"/>
      <c r="C187"/>
      <c r="D187"/>
      <c r="E187"/>
      <c r="F187"/>
      <c r="G187"/>
      <c r="H187"/>
      <c r="I187"/>
      <c r="J187"/>
      <c r="K187"/>
      <c r="L187"/>
      <c r="M187"/>
    </row>
    <row r="188" spans="1:13">
      <c r="A188"/>
      <c r="B188"/>
      <c r="C188"/>
      <c r="D188"/>
      <c r="E188"/>
      <c r="F188"/>
      <c r="G188"/>
      <c r="H188"/>
      <c r="I188"/>
      <c r="J188"/>
      <c r="K188"/>
      <c r="L188"/>
      <c r="M188"/>
    </row>
    <row r="189" spans="1:13">
      <c r="A189"/>
      <c r="B189"/>
      <c r="C189"/>
      <c r="D189"/>
      <c r="E189"/>
      <c r="F189"/>
      <c r="G189"/>
      <c r="H189"/>
      <c r="I189"/>
      <c r="J189"/>
      <c r="K189"/>
      <c r="L189"/>
      <c r="M189"/>
    </row>
    <row r="190" spans="1:13">
      <c r="A190"/>
      <c r="B190"/>
      <c r="C190"/>
      <c r="D190"/>
      <c r="E190"/>
      <c r="F190"/>
      <c r="G190"/>
      <c r="H190"/>
      <c r="I190"/>
      <c r="J190"/>
      <c r="K190"/>
      <c r="L190"/>
      <c r="M190"/>
    </row>
    <row r="191" spans="1:13">
      <c r="A191"/>
      <c r="B191"/>
      <c r="C191"/>
      <c r="D191"/>
      <c r="E191"/>
      <c r="F191"/>
      <c r="G191"/>
      <c r="H191"/>
      <c r="I191"/>
      <c r="J191"/>
      <c r="K191"/>
      <c r="L191"/>
      <c r="M191"/>
    </row>
    <row r="192" spans="1:13">
      <c r="A192"/>
      <c r="B192"/>
      <c r="C192"/>
      <c r="D192"/>
      <c r="E192"/>
      <c r="F192"/>
      <c r="G192"/>
      <c r="H192"/>
      <c r="I192"/>
      <c r="J192"/>
      <c r="K192"/>
      <c r="L192"/>
      <c r="M192"/>
    </row>
    <row r="193" spans="1:13">
      <c r="A193"/>
      <c r="B193"/>
      <c r="C193"/>
      <c r="D193"/>
      <c r="E193"/>
      <c r="F193"/>
      <c r="G193"/>
      <c r="H193"/>
      <c r="I193"/>
      <c r="J193"/>
      <c r="K193"/>
      <c r="L193"/>
      <c r="M193"/>
    </row>
    <row r="194" spans="1:13">
      <c r="A194"/>
      <c r="B194"/>
      <c r="C194"/>
      <c r="D194"/>
      <c r="E194"/>
      <c r="F194"/>
      <c r="G194"/>
      <c r="H194"/>
      <c r="I194"/>
      <c r="J194"/>
      <c r="K194"/>
      <c r="L194"/>
      <c r="M194"/>
    </row>
    <row r="195" spans="1:13">
      <c r="A195"/>
      <c r="B195"/>
      <c r="C195"/>
      <c r="D195"/>
      <c r="E195"/>
      <c r="F195"/>
      <c r="G195"/>
      <c r="H195"/>
      <c r="I195"/>
      <c r="J195"/>
      <c r="K195"/>
      <c r="L195"/>
      <c r="M195"/>
    </row>
    <row r="196" spans="1:13">
      <c r="A196"/>
      <c r="B196"/>
      <c r="C196"/>
      <c r="D196"/>
      <c r="E196"/>
      <c r="F196"/>
      <c r="G196"/>
      <c r="H196"/>
      <c r="I196"/>
      <c r="J196"/>
      <c r="K196"/>
      <c r="L196"/>
      <c r="M196"/>
    </row>
    <row r="197" spans="1:13">
      <c r="A197"/>
      <c r="B197"/>
      <c r="C197"/>
      <c r="D197"/>
      <c r="E197"/>
      <c r="F197"/>
      <c r="G197"/>
      <c r="H197"/>
      <c r="I197"/>
      <c r="J197"/>
      <c r="K197"/>
      <c r="L197"/>
      <c r="M197"/>
    </row>
    <row r="198" spans="1:13">
      <c r="A198"/>
      <c r="B198"/>
      <c r="C198"/>
      <c r="D198"/>
      <c r="E198"/>
      <c r="F198"/>
      <c r="G198"/>
      <c r="H198"/>
      <c r="I198"/>
      <c r="J198"/>
      <c r="K198"/>
      <c r="L198"/>
      <c r="M198"/>
    </row>
    <row r="199" spans="1:13">
      <c r="A199"/>
      <c r="B199"/>
      <c r="C199"/>
      <c r="D199"/>
      <c r="E199"/>
      <c r="F199"/>
      <c r="G199"/>
      <c r="H199"/>
      <c r="I199"/>
      <c r="J199"/>
      <c r="K199"/>
      <c r="L199"/>
      <c r="M199"/>
    </row>
    <row r="200" spans="1:13">
      <c r="A200"/>
      <c r="B200"/>
      <c r="C200"/>
      <c r="D200"/>
      <c r="E200"/>
      <c r="F200"/>
      <c r="G200"/>
      <c r="H200"/>
      <c r="I200"/>
      <c r="J200"/>
      <c r="K200"/>
      <c r="L200"/>
      <c r="M200"/>
    </row>
    <row r="201" spans="1:13">
      <c r="A201"/>
      <c r="B201"/>
      <c r="C201"/>
      <c r="D201"/>
      <c r="E201"/>
      <c r="F201"/>
      <c r="G201"/>
      <c r="H201"/>
      <c r="I201"/>
      <c r="J201"/>
      <c r="K201"/>
      <c r="L201"/>
      <c r="M201"/>
    </row>
    <row r="202" spans="1:13">
      <c r="A202"/>
      <c r="B202"/>
      <c r="C202"/>
      <c r="D202"/>
      <c r="E202"/>
      <c r="F202"/>
      <c r="G202"/>
      <c r="H202"/>
      <c r="I202"/>
      <c r="J202"/>
      <c r="K202"/>
      <c r="L202"/>
      <c r="M202"/>
    </row>
    <row r="203" spans="1:13">
      <c r="A203"/>
      <c r="B203"/>
      <c r="C203"/>
      <c r="D203"/>
      <c r="E203"/>
      <c r="F203"/>
      <c r="G203"/>
      <c r="H203"/>
      <c r="I203"/>
      <c r="J203"/>
      <c r="K203"/>
      <c r="L203"/>
      <c r="M203"/>
    </row>
    <row r="204" spans="1:13">
      <c r="A204"/>
      <c r="B204"/>
      <c r="C204"/>
      <c r="D204"/>
      <c r="E204"/>
      <c r="F204"/>
      <c r="G204"/>
      <c r="H204"/>
      <c r="I204"/>
      <c r="J204"/>
      <c r="K204"/>
      <c r="L204"/>
      <c r="M204"/>
    </row>
    <row r="205" spans="1:13">
      <c r="A205"/>
      <c r="B205"/>
      <c r="C205"/>
      <c r="D205"/>
      <c r="E205"/>
      <c r="F205"/>
      <c r="G205"/>
      <c r="H205"/>
      <c r="I205"/>
      <c r="J205"/>
      <c r="K205"/>
      <c r="L205"/>
      <c r="M205"/>
    </row>
    <row r="206" spans="1:13">
      <c r="A206"/>
      <c r="B206"/>
      <c r="C206"/>
      <c r="D206"/>
      <c r="E206"/>
      <c r="F206"/>
      <c r="G206"/>
      <c r="H206"/>
      <c r="I206"/>
      <c r="J206"/>
      <c r="K206"/>
      <c r="L206"/>
      <c r="M206"/>
    </row>
    <row r="207" spans="1:13">
      <c r="A207"/>
      <c r="B207"/>
      <c r="C207"/>
      <c r="D207"/>
      <c r="E207"/>
      <c r="F207"/>
      <c r="G207"/>
      <c r="H207"/>
      <c r="I207"/>
      <c r="J207"/>
      <c r="K207"/>
      <c r="L207"/>
      <c r="M207"/>
    </row>
    <row r="208" spans="1:13">
      <c r="A208"/>
      <c r="B208"/>
      <c r="C208"/>
      <c r="D208"/>
      <c r="E208"/>
      <c r="F208"/>
      <c r="G208"/>
      <c r="H208"/>
      <c r="I208"/>
      <c r="J208"/>
      <c r="K208"/>
      <c r="L208"/>
      <c r="M208"/>
    </row>
    <row r="209" spans="1:13">
      <c r="A209"/>
      <c r="B209"/>
      <c r="C209"/>
      <c r="D209"/>
      <c r="E209"/>
      <c r="F209"/>
      <c r="G209"/>
      <c r="H209"/>
      <c r="I209"/>
      <c r="J209"/>
      <c r="K209"/>
      <c r="L209"/>
      <c r="M209"/>
    </row>
    <row r="210" spans="1:13">
      <c r="A210"/>
      <c r="B210"/>
      <c r="C210"/>
      <c r="D210"/>
      <c r="E210"/>
      <c r="F210"/>
      <c r="G210"/>
      <c r="H210"/>
      <c r="I210"/>
      <c r="J210"/>
      <c r="K210"/>
      <c r="L210"/>
      <c r="M210"/>
    </row>
    <row r="211" spans="1:13">
      <c r="A211"/>
      <c r="B211"/>
      <c r="C211"/>
      <c r="D211"/>
      <c r="E211"/>
      <c r="F211"/>
      <c r="G211"/>
      <c r="H211"/>
      <c r="I211"/>
      <c r="J211"/>
      <c r="K211"/>
      <c r="L211"/>
      <c r="M211"/>
    </row>
    <row r="212" spans="1:13">
      <c r="A212"/>
      <c r="B212"/>
      <c r="C212"/>
      <c r="D212"/>
      <c r="E212"/>
      <c r="F212"/>
      <c r="G212"/>
      <c r="H212"/>
      <c r="I212"/>
      <c r="J212"/>
      <c r="K212"/>
      <c r="L212"/>
      <c r="M212"/>
    </row>
    <row r="213" spans="1:13">
      <c r="A213"/>
      <c r="B213"/>
      <c r="C213"/>
      <c r="D213"/>
      <c r="E213"/>
      <c r="F213"/>
      <c r="G213"/>
      <c r="H213"/>
      <c r="I213"/>
      <c r="J213"/>
      <c r="K213"/>
      <c r="L213"/>
      <c r="M213"/>
    </row>
    <row r="214" spans="1:13">
      <c r="A214"/>
      <c r="B214"/>
      <c r="C214"/>
      <c r="D214"/>
      <c r="E214"/>
      <c r="F214"/>
      <c r="G214"/>
      <c r="H214"/>
      <c r="I214"/>
      <c r="J214"/>
      <c r="K214"/>
      <c r="L214"/>
      <c r="M214"/>
    </row>
    <row r="215" spans="1:13">
      <c r="A215"/>
      <c r="B215"/>
      <c r="C215"/>
      <c r="D215"/>
      <c r="E215"/>
      <c r="F215"/>
      <c r="G215"/>
      <c r="H215"/>
      <c r="I215"/>
      <c r="J215"/>
      <c r="K215"/>
      <c r="L215"/>
      <c r="M215"/>
    </row>
    <row r="216" spans="1:13">
      <c r="A216"/>
      <c r="B216"/>
      <c r="C216"/>
      <c r="D216"/>
      <c r="E216"/>
      <c r="F216"/>
      <c r="G216"/>
      <c r="H216"/>
      <c r="I216"/>
      <c r="J216"/>
      <c r="K216"/>
      <c r="L216"/>
      <c r="M216"/>
    </row>
    <row r="217" spans="1:13">
      <c r="A217"/>
      <c r="B217"/>
      <c r="C217"/>
      <c r="D217"/>
      <c r="E217"/>
      <c r="F217"/>
      <c r="G217"/>
      <c r="H217"/>
      <c r="I217"/>
      <c r="J217"/>
      <c r="K217"/>
      <c r="L217"/>
      <c r="M217"/>
    </row>
    <row r="218" spans="1:13">
      <c r="A218"/>
      <c r="B218"/>
      <c r="C218"/>
      <c r="D218"/>
      <c r="E218"/>
      <c r="F218"/>
      <c r="G218"/>
      <c r="H218"/>
      <c r="I218"/>
      <c r="J218"/>
      <c r="K218"/>
      <c r="L218"/>
      <c r="M218"/>
    </row>
    <row r="219" spans="1:13">
      <c r="A219"/>
      <c r="B219"/>
      <c r="C219"/>
      <c r="D219"/>
      <c r="E219"/>
      <c r="F219"/>
      <c r="G219"/>
      <c r="H219"/>
      <c r="I219"/>
      <c r="J219"/>
      <c r="K219"/>
      <c r="L219"/>
      <c r="M219"/>
    </row>
    <row r="220" spans="1:13">
      <c r="A220"/>
      <c r="B220"/>
      <c r="C220"/>
      <c r="D220"/>
      <c r="E220"/>
      <c r="F220"/>
      <c r="G220"/>
      <c r="H220"/>
      <c r="I220"/>
      <c r="J220"/>
      <c r="K220"/>
      <c r="L220"/>
      <c r="M220"/>
    </row>
    <row r="221" spans="1:13">
      <c r="A221"/>
      <c r="B221"/>
      <c r="C221"/>
      <c r="D221"/>
      <c r="E221"/>
      <c r="F221"/>
      <c r="G221"/>
      <c r="H221"/>
      <c r="I221"/>
      <c r="J221"/>
      <c r="K221"/>
      <c r="L221"/>
      <c r="M221"/>
    </row>
    <row r="222" spans="1:13">
      <c r="A222"/>
      <c r="B222"/>
      <c r="C222"/>
      <c r="D222"/>
      <c r="E222"/>
      <c r="F222"/>
      <c r="G222"/>
      <c r="H222"/>
      <c r="I222"/>
      <c r="J222"/>
      <c r="K222"/>
      <c r="L222"/>
      <c r="M222"/>
    </row>
    <row r="223" spans="1:13">
      <c r="A223"/>
      <c r="B223"/>
      <c r="C223"/>
      <c r="D223"/>
      <c r="E223"/>
      <c r="F223"/>
      <c r="G223"/>
      <c r="H223"/>
      <c r="I223"/>
      <c r="J223"/>
      <c r="K223"/>
      <c r="L223"/>
      <c r="M223"/>
    </row>
    <row r="224" spans="1:13">
      <c r="A224"/>
      <c r="B224"/>
      <c r="C224"/>
      <c r="D224"/>
      <c r="E224"/>
      <c r="F224"/>
      <c r="G224"/>
      <c r="H224"/>
      <c r="I224"/>
      <c r="J224"/>
      <c r="K224"/>
      <c r="L224"/>
      <c r="M224"/>
    </row>
    <row r="225" spans="1:13">
      <c r="A225"/>
      <c r="B225"/>
      <c r="C225"/>
      <c r="D225"/>
      <c r="E225"/>
      <c r="F225"/>
      <c r="G225"/>
      <c r="H225"/>
      <c r="I225"/>
      <c r="J225"/>
      <c r="K225"/>
      <c r="L225"/>
      <c r="M225"/>
    </row>
    <row r="226" spans="1:13">
      <c r="A226"/>
      <c r="B226"/>
      <c r="C226"/>
      <c r="D226"/>
      <c r="E226"/>
      <c r="F226"/>
      <c r="G226"/>
      <c r="H226"/>
      <c r="I226"/>
      <c r="J226"/>
      <c r="K226"/>
      <c r="L226"/>
      <c r="M226"/>
    </row>
    <row r="227" spans="1:13">
      <c r="A227"/>
      <c r="B227"/>
      <c r="C227"/>
      <c r="D227"/>
      <c r="E227"/>
      <c r="F227"/>
      <c r="G227"/>
      <c r="H227"/>
      <c r="I227"/>
      <c r="J227"/>
      <c r="K227"/>
      <c r="L227"/>
      <c r="M227"/>
    </row>
    <row r="228" spans="1:13">
      <c r="A228"/>
      <c r="B228"/>
      <c r="C228"/>
      <c r="D228"/>
      <c r="E228"/>
      <c r="F228"/>
      <c r="G228"/>
      <c r="H228"/>
      <c r="I228"/>
      <c r="J228"/>
      <c r="K228"/>
      <c r="L228"/>
      <c r="M228"/>
    </row>
    <row r="229" spans="1:13">
      <c r="A229"/>
      <c r="B229"/>
      <c r="C229"/>
      <c r="D229"/>
      <c r="E229"/>
      <c r="F229"/>
      <c r="G229"/>
      <c r="H229"/>
      <c r="I229"/>
      <c r="J229"/>
      <c r="K229"/>
      <c r="L229"/>
      <c r="M229"/>
    </row>
    <row r="230" spans="1:13">
      <c r="A230"/>
      <c r="B230"/>
      <c r="C230"/>
      <c r="D230"/>
      <c r="E230"/>
      <c r="F230"/>
      <c r="G230"/>
      <c r="H230"/>
      <c r="I230"/>
      <c r="J230"/>
      <c r="K230"/>
      <c r="L230"/>
      <c r="M230"/>
    </row>
    <row r="231" spans="1:13">
      <c r="A231"/>
      <c r="B231"/>
      <c r="C231"/>
      <c r="D231"/>
      <c r="E231"/>
      <c r="F231"/>
      <c r="G231"/>
      <c r="H231"/>
      <c r="I231"/>
      <c r="J231"/>
      <c r="K231"/>
      <c r="L231"/>
      <c r="M231"/>
    </row>
    <row r="232" spans="1:13">
      <c r="A232"/>
      <c r="B232"/>
      <c r="C232"/>
      <c r="D232"/>
      <c r="E232"/>
      <c r="F232"/>
      <c r="G232"/>
      <c r="H232"/>
      <c r="I232"/>
      <c r="J232"/>
      <c r="K232"/>
      <c r="L232"/>
      <c r="M232"/>
    </row>
    <row r="233" spans="1:13">
      <c r="A233"/>
      <c r="B233"/>
      <c r="C233"/>
      <c r="D233"/>
      <c r="E233"/>
      <c r="F233"/>
      <c r="G233"/>
      <c r="H233"/>
      <c r="I233"/>
      <c r="J233"/>
      <c r="K233"/>
      <c r="L233"/>
      <c r="M233"/>
    </row>
    <row r="234" spans="1:13">
      <c r="A234"/>
      <c r="B234"/>
      <c r="C234"/>
      <c r="D234"/>
      <c r="E234"/>
      <c r="F234"/>
      <c r="G234"/>
      <c r="H234"/>
      <c r="I234"/>
      <c r="J234"/>
      <c r="K234"/>
      <c r="L234"/>
      <c r="M234"/>
    </row>
    <row r="235" spans="1:13">
      <c r="A235"/>
      <c r="B235"/>
      <c r="C235"/>
      <c r="D235"/>
      <c r="E235"/>
      <c r="F235"/>
      <c r="G235"/>
      <c r="H235"/>
      <c r="I235"/>
      <c r="J235"/>
      <c r="K235"/>
      <c r="L235"/>
      <c r="M235"/>
    </row>
    <row r="236" spans="1:13">
      <c r="A236"/>
      <c r="B236"/>
      <c r="C236"/>
      <c r="D236"/>
      <c r="E236"/>
      <c r="F236"/>
      <c r="G236"/>
      <c r="H236"/>
      <c r="I236"/>
      <c r="J236"/>
      <c r="K236"/>
      <c r="L236"/>
      <c r="M236"/>
    </row>
    <row r="237" spans="1:13">
      <c r="A237"/>
      <c r="B237"/>
      <c r="C237"/>
      <c r="D237"/>
      <c r="E237"/>
      <c r="F237"/>
      <c r="G237"/>
      <c r="H237"/>
      <c r="I237"/>
      <c r="J237"/>
      <c r="K237"/>
      <c r="L237"/>
      <c r="M237"/>
    </row>
    <row r="238" spans="1:13">
      <c r="A238"/>
      <c r="B238"/>
      <c r="C238"/>
      <c r="D238"/>
      <c r="E238"/>
      <c r="F238"/>
      <c r="G238"/>
      <c r="H238"/>
      <c r="I238"/>
      <c r="J238"/>
      <c r="K238"/>
      <c r="L238"/>
      <c r="M238"/>
    </row>
    <row r="239" spans="1:13">
      <c r="A239"/>
      <c r="B239"/>
      <c r="C239"/>
      <c r="D239"/>
      <c r="E239"/>
      <c r="F239"/>
      <c r="G239"/>
      <c r="H239"/>
      <c r="I239"/>
      <c r="J239"/>
      <c r="K239"/>
      <c r="L239"/>
      <c r="M239"/>
    </row>
    <row r="240" spans="1:13">
      <c r="A240"/>
      <c r="B240"/>
      <c r="C240"/>
      <c r="D240"/>
      <c r="E240"/>
      <c r="F240"/>
      <c r="G240"/>
      <c r="H240"/>
      <c r="I240"/>
      <c r="J240"/>
      <c r="K240"/>
      <c r="L240"/>
      <c r="M240"/>
    </row>
    <row r="241" spans="1:13">
      <c r="A241"/>
      <c r="B241"/>
      <c r="C241"/>
      <c r="D241"/>
      <c r="E241"/>
      <c r="F241"/>
      <c r="G241"/>
      <c r="H241"/>
      <c r="I241"/>
      <c r="J241"/>
      <c r="K241"/>
      <c r="L241"/>
      <c r="M241"/>
    </row>
    <row r="242" spans="1:13">
      <c r="A242"/>
      <c r="B242"/>
      <c r="C242"/>
      <c r="D242"/>
      <c r="E242"/>
      <c r="F242"/>
      <c r="G242"/>
      <c r="H242"/>
      <c r="I242"/>
      <c r="J242"/>
      <c r="K242"/>
      <c r="L242"/>
      <c r="M242"/>
    </row>
    <row r="243" spans="1:13">
      <c r="A243"/>
      <c r="B243"/>
      <c r="C243"/>
      <c r="D243"/>
      <c r="E243"/>
      <c r="F243"/>
      <c r="G243"/>
      <c r="H243"/>
      <c r="I243"/>
      <c r="J243"/>
      <c r="K243"/>
      <c r="L243"/>
      <c r="M243"/>
    </row>
    <row r="244" spans="1:13">
      <c r="A244"/>
      <c r="B244"/>
      <c r="C244"/>
      <c r="D244"/>
      <c r="E244"/>
      <c r="F244"/>
      <c r="G244"/>
      <c r="H244"/>
      <c r="I244"/>
      <c r="J244"/>
      <c r="K244"/>
      <c r="L244"/>
      <c r="M244"/>
    </row>
    <row r="245" spans="1:13">
      <c r="A245"/>
      <c r="B245"/>
      <c r="C245"/>
      <c r="D245"/>
      <c r="E245"/>
      <c r="F245"/>
      <c r="G245"/>
      <c r="H245"/>
      <c r="I245"/>
      <c r="J245"/>
      <c r="K245"/>
      <c r="L245"/>
      <c r="M245"/>
    </row>
    <row r="246" spans="1:13">
      <c r="A246"/>
      <c r="B246"/>
      <c r="C246"/>
      <c r="D246"/>
      <c r="E246"/>
      <c r="F246"/>
      <c r="G246"/>
      <c r="H246"/>
      <c r="I246"/>
      <c r="J246"/>
      <c r="K246"/>
      <c r="L246"/>
      <c r="M246"/>
    </row>
    <row r="247" spans="1:13">
      <c r="A247"/>
      <c r="B247"/>
      <c r="C247"/>
      <c r="D247"/>
      <c r="E247"/>
      <c r="F247"/>
      <c r="G247"/>
      <c r="H247"/>
      <c r="I247"/>
      <c r="J247"/>
      <c r="K247"/>
      <c r="L247"/>
      <c r="M247"/>
    </row>
    <row r="248" spans="1:13">
      <c r="A248"/>
      <c r="B248"/>
      <c r="C248"/>
      <c r="D248"/>
      <c r="E248"/>
      <c r="F248"/>
      <c r="G248"/>
      <c r="H248"/>
      <c r="I248"/>
      <c r="J248"/>
      <c r="K248"/>
      <c r="L248"/>
      <c r="M248"/>
    </row>
    <row r="249" spans="1:13">
      <c r="A249"/>
      <c r="B249"/>
      <c r="C249"/>
      <c r="D249"/>
      <c r="E249"/>
      <c r="F249"/>
      <c r="G249"/>
      <c r="H249"/>
      <c r="I249"/>
      <c r="J249"/>
      <c r="K249"/>
      <c r="L249"/>
      <c r="M249"/>
    </row>
    <row r="250" spans="1:13">
      <c r="A250"/>
      <c r="B250"/>
      <c r="C250"/>
      <c r="D250"/>
      <c r="E250"/>
      <c r="F250"/>
      <c r="G250"/>
      <c r="H250"/>
      <c r="I250"/>
      <c r="J250"/>
      <c r="K250"/>
      <c r="L250"/>
      <c r="M250"/>
    </row>
    <row r="251" spans="1:13">
      <c r="A251"/>
      <c r="B251"/>
      <c r="C251"/>
      <c r="D251"/>
      <c r="E251"/>
      <c r="F251"/>
      <c r="G251"/>
      <c r="H251"/>
      <c r="I251"/>
      <c r="J251"/>
      <c r="K251"/>
      <c r="L251"/>
      <c r="M251"/>
    </row>
    <row r="252" spans="1:13">
      <c r="A252"/>
      <c r="B252"/>
      <c r="C252"/>
      <c r="D252"/>
      <c r="E252"/>
      <c r="F252"/>
      <c r="G252"/>
      <c r="H252"/>
      <c r="I252"/>
      <c r="J252"/>
      <c r="K252"/>
      <c r="L252"/>
      <c r="M252"/>
    </row>
    <row r="253" spans="1:13">
      <c r="A253"/>
      <c r="B253"/>
      <c r="C253"/>
      <c r="D253"/>
      <c r="E253"/>
      <c r="F253"/>
      <c r="G253"/>
      <c r="H253"/>
      <c r="I253"/>
      <c r="J253"/>
      <c r="K253"/>
      <c r="L253"/>
      <c r="M253"/>
    </row>
    <row r="254" spans="1:13">
      <c r="A254"/>
      <c r="B254"/>
      <c r="C254"/>
      <c r="D254"/>
      <c r="E254"/>
      <c r="F254"/>
      <c r="G254"/>
      <c r="H254"/>
      <c r="I254"/>
      <c r="J254"/>
      <c r="K254"/>
      <c r="L254"/>
      <c r="M254"/>
    </row>
    <row r="255" spans="1:13">
      <c r="A255"/>
      <c r="B255"/>
      <c r="C255"/>
      <c r="D255"/>
      <c r="E255"/>
      <c r="F255"/>
      <c r="G255"/>
      <c r="H255"/>
      <c r="I255"/>
      <c r="J255"/>
      <c r="K255"/>
      <c r="L255"/>
      <c r="M255"/>
    </row>
    <row r="256" spans="1:13">
      <c r="A256"/>
      <c r="B256"/>
      <c r="C256"/>
      <c r="D256"/>
      <c r="E256"/>
      <c r="F256"/>
      <c r="G256"/>
      <c r="H256"/>
      <c r="I256"/>
      <c r="J256"/>
      <c r="K256"/>
      <c r="L256"/>
      <c r="M256"/>
    </row>
    <row r="257" spans="1:13">
      <c r="A257"/>
      <c r="B257"/>
      <c r="C257"/>
      <c r="D257"/>
      <c r="E257"/>
      <c r="F257"/>
      <c r="G257"/>
      <c r="H257"/>
      <c r="I257"/>
      <c r="J257"/>
      <c r="K257"/>
      <c r="L257"/>
      <c r="M257"/>
    </row>
    <row r="258" spans="1:13">
      <c r="A258"/>
      <c r="B258"/>
      <c r="C258"/>
      <c r="D258"/>
      <c r="E258"/>
      <c r="F258"/>
      <c r="G258"/>
      <c r="H258"/>
      <c r="I258"/>
      <c r="J258"/>
      <c r="K258"/>
      <c r="L258"/>
      <c r="M258"/>
    </row>
    <row r="259" spans="1:13">
      <c r="A259"/>
      <c r="B259"/>
      <c r="C259"/>
      <c r="D259"/>
      <c r="E259"/>
      <c r="F259"/>
      <c r="G259"/>
      <c r="H259"/>
      <c r="I259"/>
      <c r="J259"/>
      <c r="K259"/>
      <c r="L259"/>
      <c r="M259"/>
    </row>
    <row r="260" spans="1:13">
      <c r="A260"/>
      <c r="B260"/>
      <c r="C260"/>
      <c r="D260"/>
      <c r="E260"/>
      <c r="F260"/>
      <c r="G260"/>
      <c r="H260"/>
      <c r="I260"/>
      <c r="J260"/>
      <c r="K260"/>
      <c r="L260"/>
      <c r="M260"/>
    </row>
    <row r="261" spans="1:13">
      <c r="A261"/>
      <c r="B261"/>
      <c r="C261"/>
      <c r="D261"/>
      <c r="E261"/>
      <c r="F261"/>
      <c r="G261"/>
      <c r="H261"/>
      <c r="I261"/>
      <c r="J261"/>
      <c r="K261"/>
      <c r="L261"/>
      <c r="M261"/>
    </row>
    <row r="262" spans="1:13">
      <c r="A262"/>
      <c r="B262"/>
      <c r="C262"/>
      <c r="D262"/>
      <c r="E262"/>
      <c r="F262"/>
      <c r="G262"/>
      <c r="H262"/>
      <c r="I262"/>
      <c r="J262"/>
      <c r="K262"/>
      <c r="L262"/>
      <c r="M262"/>
    </row>
    <row r="263" spans="1:13">
      <c r="A263"/>
      <c r="B263"/>
      <c r="C263"/>
      <c r="D263"/>
      <c r="E263"/>
      <c r="F263"/>
      <c r="G263"/>
      <c r="H263"/>
      <c r="I263"/>
      <c r="J263"/>
      <c r="K263"/>
      <c r="L263"/>
      <c r="M263"/>
    </row>
    <row r="264" spans="1:13">
      <c r="A264"/>
      <c r="B264"/>
      <c r="C264"/>
      <c r="D264"/>
      <c r="E264"/>
      <c r="F264"/>
      <c r="G264"/>
      <c r="H264"/>
      <c r="I264"/>
      <c r="J264"/>
      <c r="K264"/>
      <c r="L264"/>
      <c r="M264"/>
    </row>
    <row r="265" spans="1:13">
      <c r="A265"/>
      <c r="B265"/>
      <c r="C265"/>
      <c r="D265"/>
      <c r="E265"/>
      <c r="F265"/>
      <c r="G265"/>
      <c r="H265"/>
      <c r="I265"/>
      <c r="J265"/>
      <c r="K265"/>
      <c r="L265"/>
      <c r="M265"/>
    </row>
    <row r="266" spans="1:13">
      <c r="A266"/>
      <c r="B266"/>
      <c r="C266"/>
      <c r="D266"/>
      <c r="E266"/>
      <c r="F266"/>
      <c r="G266"/>
      <c r="H266"/>
      <c r="I266"/>
      <c r="J266"/>
      <c r="K266"/>
      <c r="L266"/>
      <c r="M266"/>
    </row>
    <row r="267" spans="1:13">
      <c r="A267"/>
      <c r="B267"/>
      <c r="C267"/>
      <c r="D267"/>
      <c r="E267"/>
      <c r="F267"/>
      <c r="G267"/>
      <c r="H267"/>
      <c r="I267"/>
      <c r="J267"/>
      <c r="K267"/>
      <c r="L267"/>
      <c r="M267"/>
    </row>
    <row r="268" spans="1:13">
      <c r="A268"/>
      <c r="B268"/>
      <c r="C268"/>
      <c r="D268"/>
      <c r="E268"/>
      <c r="F268"/>
      <c r="G268"/>
      <c r="H268"/>
      <c r="I268"/>
      <c r="J268"/>
      <c r="K268"/>
      <c r="L268"/>
      <c r="M268"/>
    </row>
    <row r="269" spans="1:13">
      <c r="A269"/>
      <c r="B269"/>
      <c r="C269"/>
      <c r="D269"/>
      <c r="E269"/>
      <c r="F269"/>
      <c r="G269"/>
      <c r="H269"/>
      <c r="I269"/>
      <c r="J269"/>
      <c r="K269"/>
      <c r="L269"/>
      <c r="M269"/>
    </row>
    <row r="270" spans="1:13">
      <c r="A270"/>
      <c r="B270"/>
      <c r="C270"/>
      <c r="D270"/>
      <c r="E270"/>
      <c r="F270"/>
      <c r="G270"/>
      <c r="H270"/>
      <c r="I270"/>
      <c r="J270"/>
      <c r="K270"/>
      <c r="L270"/>
      <c r="M270"/>
    </row>
    <row r="271" spans="1:13">
      <c r="A271"/>
      <c r="B271"/>
      <c r="C271"/>
      <c r="D271"/>
      <c r="E271"/>
      <c r="F271"/>
      <c r="G271"/>
      <c r="H271"/>
      <c r="I271"/>
      <c r="J271"/>
      <c r="K271"/>
      <c r="L271"/>
      <c r="M271"/>
    </row>
    <row r="272" spans="1:13">
      <c r="A272"/>
      <c r="B272"/>
      <c r="C272"/>
      <c r="D272"/>
      <c r="E272"/>
      <c r="F272"/>
      <c r="G272"/>
      <c r="H272"/>
      <c r="I272"/>
      <c r="J272"/>
      <c r="K272"/>
      <c r="L272"/>
      <c r="M272"/>
    </row>
    <row r="273" spans="1:13">
      <c r="A273"/>
      <c r="B273"/>
      <c r="C273"/>
      <c r="D273"/>
      <c r="E273"/>
      <c r="F273"/>
      <c r="G273"/>
      <c r="H273"/>
      <c r="I273"/>
      <c r="J273"/>
      <c r="K273"/>
      <c r="L273"/>
      <c r="M273"/>
    </row>
    <row r="274" spans="1:13">
      <c r="A274"/>
      <c r="B274"/>
      <c r="C274"/>
      <c r="D274"/>
      <c r="E274"/>
      <c r="F274"/>
      <c r="G274"/>
      <c r="H274"/>
      <c r="I274"/>
      <c r="J274"/>
      <c r="K274"/>
      <c r="L274"/>
      <c r="M274"/>
    </row>
    <row r="275" spans="1:13">
      <c r="A275"/>
      <c r="B275"/>
      <c r="C275"/>
      <c r="D275"/>
      <c r="E275"/>
      <c r="F275"/>
      <c r="G275"/>
      <c r="H275"/>
      <c r="I275"/>
      <c r="J275"/>
      <c r="K275"/>
      <c r="L275"/>
      <c r="M275"/>
    </row>
    <row r="276" spans="1:13">
      <c r="A276"/>
      <c r="B276"/>
      <c r="C276"/>
      <c r="D276"/>
      <c r="E276"/>
      <c r="F276"/>
      <c r="G276"/>
      <c r="H276"/>
      <c r="I276"/>
      <c r="J276"/>
      <c r="K276"/>
      <c r="L276"/>
      <c r="M276"/>
    </row>
    <row r="277" spans="1:13">
      <c r="A277"/>
      <c r="B277"/>
      <c r="C277"/>
      <c r="D277"/>
      <c r="E277"/>
      <c r="F277"/>
      <c r="G277"/>
      <c r="H277"/>
      <c r="I277"/>
      <c r="J277"/>
      <c r="K277"/>
      <c r="L277"/>
      <c r="M277"/>
    </row>
    <row r="278" spans="1:13">
      <c r="A278"/>
      <c r="B278"/>
      <c r="C278"/>
      <c r="D278"/>
      <c r="E278"/>
      <c r="F278"/>
      <c r="G278"/>
      <c r="H278"/>
      <c r="I278"/>
      <c r="J278"/>
      <c r="K278"/>
      <c r="L278"/>
      <c r="M278"/>
    </row>
    <row r="279" spans="1:13">
      <c r="A279"/>
      <c r="B279"/>
      <c r="C279"/>
      <c r="D279"/>
      <c r="E279"/>
      <c r="F279"/>
      <c r="G279"/>
      <c r="H279"/>
      <c r="I279"/>
      <c r="J279"/>
      <c r="K279"/>
      <c r="L279"/>
      <c r="M279"/>
    </row>
    <row r="280" spans="1:13">
      <c r="A280"/>
      <c r="B280"/>
      <c r="C280"/>
      <c r="D280"/>
      <c r="E280"/>
      <c r="F280"/>
      <c r="G280"/>
      <c r="H280"/>
      <c r="I280"/>
      <c r="J280"/>
      <c r="K280"/>
      <c r="L280"/>
      <c r="M280"/>
    </row>
    <row r="281" spans="1:13">
      <c r="A281"/>
      <c r="B281"/>
      <c r="C281"/>
      <c r="D281"/>
      <c r="E281"/>
      <c r="F281"/>
      <c r="G281"/>
      <c r="H281"/>
      <c r="I281"/>
      <c r="J281"/>
      <c r="K281"/>
      <c r="L281"/>
      <c r="M281"/>
    </row>
    <row r="282" spans="1:13">
      <c r="A282"/>
      <c r="B282"/>
      <c r="C282"/>
      <c r="D282"/>
      <c r="E282"/>
      <c r="F282"/>
      <c r="G282"/>
      <c r="H282"/>
      <c r="I282"/>
      <c r="J282"/>
      <c r="K282"/>
      <c r="L282"/>
      <c r="M282"/>
    </row>
    <row r="283" spans="1:13">
      <c r="A283"/>
      <c r="B283"/>
      <c r="C283"/>
      <c r="D283"/>
      <c r="E283"/>
      <c r="F283"/>
      <c r="G283"/>
      <c r="H283"/>
      <c r="I283"/>
      <c r="J283"/>
      <c r="K283"/>
      <c r="L283"/>
      <c r="M283"/>
    </row>
    <row r="284" spans="1:13">
      <c r="A284"/>
      <c r="B284"/>
      <c r="C284"/>
      <c r="D284"/>
      <c r="E284"/>
      <c r="F284"/>
      <c r="G284"/>
      <c r="H284"/>
      <c r="I284"/>
      <c r="J284"/>
      <c r="K284"/>
      <c r="L284"/>
      <c r="M284"/>
    </row>
    <row r="285" spans="1:13">
      <c r="A285"/>
      <c r="B285"/>
      <c r="C285"/>
      <c r="D285"/>
      <c r="E285"/>
      <c r="F285"/>
      <c r="G285"/>
      <c r="H285"/>
      <c r="I285"/>
      <c r="J285"/>
      <c r="K285"/>
      <c r="L285"/>
      <c r="M285"/>
    </row>
    <row r="286" spans="1:13">
      <c r="A286"/>
      <c r="B286"/>
      <c r="C286"/>
      <c r="D286"/>
      <c r="E286"/>
      <c r="F286"/>
      <c r="G286"/>
      <c r="H286"/>
      <c r="I286"/>
      <c r="J286"/>
      <c r="K286"/>
      <c r="L286"/>
      <c r="M286"/>
    </row>
    <row r="287" spans="1:13">
      <c r="A287"/>
      <c r="B287"/>
      <c r="C287"/>
      <c r="D287"/>
      <c r="E287"/>
      <c r="F287"/>
      <c r="G287"/>
      <c r="H287"/>
      <c r="I287"/>
      <c r="J287"/>
      <c r="K287"/>
      <c r="L287"/>
      <c r="M287"/>
    </row>
    <row r="288" spans="1:13">
      <c r="A288"/>
      <c r="B288"/>
      <c r="C288"/>
      <c r="D288"/>
      <c r="E288"/>
      <c r="F288"/>
      <c r="G288"/>
      <c r="H288"/>
      <c r="I288"/>
      <c r="J288"/>
      <c r="K288"/>
      <c r="L288"/>
      <c r="M288"/>
    </row>
    <row r="289" spans="1:13">
      <c r="A289"/>
      <c r="B289"/>
      <c r="C289"/>
      <c r="D289"/>
      <c r="E289"/>
      <c r="F289"/>
      <c r="G289"/>
      <c r="H289"/>
      <c r="I289"/>
      <c r="J289"/>
      <c r="K289"/>
      <c r="L289"/>
      <c r="M289"/>
    </row>
    <row r="290" spans="1:13">
      <c r="A290"/>
      <c r="B290"/>
      <c r="C290"/>
      <c r="D290"/>
      <c r="E290"/>
      <c r="F290"/>
      <c r="G290"/>
      <c r="H290"/>
      <c r="I290"/>
      <c r="J290"/>
      <c r="K290"/>
      <c r="L290"/>
      <c r="M290"/>
    </row>
    <row r="291" spans="1:13">
      <c r="A291"/>
      <c r="B291"/>
      <c r="C291"/>
      <c r="D291"/>
      <c r="E291"/>
      <c r="F291"/>
      <c r="G291"/>
      <c r="H291"/>
      <c r="I291"/>
      <c r="J291"/>
      <c r="K291"/>
      <c r="L291"/>
      <c r="M291"/>
    </row>
    <row r="292" spans="1:13">
      <c r="A292"/>
      <c r="B292"/>
      <c r="C292"/>
      <c r="D292"/>
      <c r="E292"/>
      <c r="F292"/>
      <c r="G292"/>
      <c r="H292"/>
      <c r="I292"/>
      <c r="J292"/>
      <c r="K292"/>
      <c r="L292"/>
      <c r="M292"/>
    </row>
    <row r="293" spans="1:13">
      <c r="A293"/>
      <c r="B293"/>
      <c r="C293"/>
      <c r="D293"/>
      <c r="E293"/>
      <c r="F293"/>
      <c r="G293"/>
      <c r="H293"/>
      <c r="I293"/>
      <c r="J293"/>
      <c r="K293"/>
      <c r="L293"/>
      <c r="M293"/>
    </row>
    <row r="294" spans="1:13">
      <c r="A294"/>
      <c r="B294"/>
      <c r="C294"/>
      <c r="D294"/>
      <c r="E294"/>
      <c r="F294"/>
      <c r="G294"/>
      <c r="H294"/>
      <c r="I294"/>
      <c r="J294"/>
      <c r="K294"/>
      <c r="L294"/>
      <c r="M294"/>
    </row>
    <row r="295" spans="1:13">
      <c r="A295"/>
      <c r="B295"/>
      <c r="C295"/>
      <c r="D295"/>
      <c r="E295"/>
      <c r="F295"/>
      <c r="G295"/>
      <c r="H295"/>
      <c r="I295"/>
      <c r="J295"/>
      <c r="K295"/>
      <c r="L295"/>
      <c r="M295"/>
    </row>
    <row r="296" spans="1:13">
      <c r="A296"/>
      <c r="B296"/>
      <c r="C296"/>
      <c r="D296"/>
      <c r="E296"/>
      <c r="F296"/>
      <c r="G296"/>
      <c r="H296"/>
      <c r="I296"/>
      <c r="J296"/>
      <c r="K296"/>
      <c r="L296"/>
      <c r="M296"/>
    </row>
    <row r="297" spans="1:13">
      <c r="A297"/>
      <c r="B297"/>
      <c r="C297"/>
      <c r="D297"/>
      <c r="E297"/>
      <c r="F297"/>
      <c r="G297"/>
      <c r="H297"/>
      <c r="I297"/>
      <c r="J297"/>
      <c r="K297"/>
      <c r="L297"/>
      <c r="M297"/>
    </row>
    <row r="298" spans="1:13">
      <c r="A298"/>
      <c r="B298"/>
      <c r="C298"/>
      <c r="D298"/>
      <c r="E298"/>
      <c r="F298"/>
      <c r="G298"/>
      <c r="H298"/>
      <c r="I298"/>
      <c r="J298"/>
      <c r="K298"/>
      <c r="L298"/>
      <c r="M298"/>
    </row>
    <row r="299" spans="1:13">
      <c r="A299"/>
      <c r="B299"/>
      <c r="C299"/>
      <c r="D299"/>
      <c r="E299"/>
      <c r="F299"/>
      <c r="G299"/>
      <c r="H299"/>
      <c r="I299"/>
      <c r="J299"/>
      <c r="K299"/>
      <c r="L299"/>
      <c r="M299"/>
    </row>
    <row r="300" spans="1:13">
      <c r="A300"/>
      <c r="B300"/>
      <c r="C300"/>
      <c r="D300"/>
      <c r="E300"/>
      <c r="F300"/>
      <c r="G300"/>
      <c r="H300"/>
      <c r="I300"/>
      <c r="J300"/>
      <c r="K300"/>
      <c r="L300"/>
      <c r="M300"/>
    </row>
    <row r="301" spans="1:13">
      <c r="A301"/>
      <c r="B301"/>
      <c r="C301"/>
      <c r="D301"/>
      <c r="E301"/>
      <c r="F301"/>
      <c r="G301"/>
      <c r="H301"/>
      <c r="I301"/>
      <c r="J301"/>
      <c r="K301"/>
      <c r="L301"/>
      <c r="M301"/>
    </row>
    <row r="302" spans="1:13">
      <c r="A302"/>
      <c r="B302"/>
      <c r="C302"/>
      <c r="D302"/>
      <c r="E302"/>
      <c r="F302"/>
      <c r="G302"/>
      <c r="H302"/>
      <c r="I302"/>
      <c r="J302"/>
      <c r="K302"/>
      <c r="L302"/>
      <c r="M302"/>
    </row>
    <row r="303" spans="1:13">
      <c r="A303"/>
      <c r="B303"/>
      <c r="C303"/>
      <c r="D303"/>
      <c r="E303"/>
      <c r="F303"/>
      <c r="G303"/>
      <c r="H303"/>
      <c r="I303"/>
      <c r="J303"/>
      <c r="K303"/>
      <c r="L303"/>
      <c r="M303"/>
    </row>
    <row r="304" spans="1:13">
      <c r="A304"/>
      <c r="B304"/>
      <c r="C304"/>
      <c r="D304"/>
      <c r="E304"/>
      <c r="F304"/>
      <c r="G304"/>
      <c r="H304"/>
      <c r="I304"/>
      <c r="J304"/>
      <c r="K304"/>
      <c r="L304"/>
      <c r="M304"/>
    </row>
    <row r="305" spans="1:13">
      <c r="A305"/>
      <c r="B305"/>
      <c r="C305"/>
      <c r="D305"/>
      <c r="E305"/>
      <c r="F305"/>
      <c r="G305"/>
      <c r="H305"/>
      <c r="I305"/>
      <c r="J305"/>
      <c r="K305"/>
      <c r="L305"/>
      <c r="M305"/>
    </row>
    <row r="306" spans="1:13">
      <c r="A306"/>
      <c r="B306" s="697"/>
      <c r="C306" s="734"/>
      <c r="D306" s="697"/>
      <c r="E306" s="697"/>
      <c r="F306" s="735"/>
      <c r="G306"/>
      <c r="H306"/>
      <c r="I306"/>
      <c r="J306"/>
      <c r="K306"/>
      <c r="L306"/>
      <c r="M306"/>
    </row>
    <row r="307" spans="1:13">
      <c r="A307"/>
      <c r="B307" s="697"/>
      <c r="C307" s="734"/>
      <c r="D307" s="697"/>
      <c r="E307" s="697"/>
      <c r="F307" s="735"/>
      <c r="G307"/>
      <c r="H307"/>
      <c r="I307"/>
      <c r="J307"/>
      <c r="K307"/>
      <c r="L307"/>
      <c r="M307"/>
    </row>
    <row r="308" spans="1:13">
      <c r="A308"/>
      <c r="B308" s="697"/>
      <c r="C308" s="734"/>
      <c r="D308" s="697"/>
      <c r="E308" s="697"/>
      <c r="F308" s="735"/>
      <c r="G308"/>
      <c r="H308"/>
      <c r="I308"/>
      <c r="J308"/>
      <c r="K308"/>
      <c r="L308"/>
      <c r="M308"/>
    </row>
    <row r="309" spans="1:13">
      <c r="A309"/>
      <c r="B309" s="697"/>
      <c r="C309" s="734"/>
      <c r="D309" s="697"/>
      <c r="E309" s="697"/>
      <c r="F309" s="735"/>
      <c r="G309"/>
      <c r="H309"/>
      <c r="I309"/>
      <c r="J309"/>
      <c r="K309"/>
      <c r="L309"/>
      <c r="M309"/>
    </row>
    <row r="310" spans="1:13">
      <c r="A310"/>
      <c r="B310" s="697"/>
      <c r="C310" s="734"/>
      <c r="D310" s="697"/>
      <c r="E310" s="697"/>
      <c r="F310" s="735"/>
      <c r="G310"/>
      <c r="H310"/>
      <c r="I310"/>
      <c r="J310"/>
      <c r="K310"/>
      <c r="L310"/>
      <c r="M310"/>
    </row>
    <row r="311" spans="1:13">
      <c r="A311"/>
      <c r="B311" s="697"/>
      <c r="C311" s="734"/>
      <c r="D311" s="697"/>
      <c r="E311" s="697"/>
      <c r="F311" s="735"/>
      <c r="G311"/>
      <c r="H311"/>
      <c r="I311"/>
      <c r="J311"/>
      <c r="K311"/>
      <c r="L311"/>
      <c r="M311"/>
    </row>
    <row r="312" spans="1:13">
      <c r="A312"/>
      <c r="B312" s="697"/>
      <c r="C312" s="734"/>
      <c r="D312" s="697"/>
      <c r="E312" s="697"/>
      <c r="F312" s="735"/>
      <c r="G312"/>
      <c r="H312"/>
      <c r="I312"/>
      <c r="J312"/>
      <c r="K312"/>
      <c r="L312"/>
      <c r="M312"/>
    </row>
    <row r="313" spans="1:13">
      <c r="A313"/>
      <c r="B313" s="697"/>
      <c r="C313" s="734"/>
      <c r="D313" s="697"/>
      <c r="E313" s="697"/>
      <c r="F313" s="735"/>
      <c r="G313"/>
      <c r="H313"/>
      <c r="I313"/>
      <c r="J313"/>
      <c r="K313"/>
      <c r="L313"/>
      <c r="M313"/>
    </row>
    <row r="314" spans="1:13">
      <c r="A314"/>
      <c r="B314" s="697"/>
      <c r="C314" s="734"/>
      <c r="D314" s="697"/>
      <c r="E314" s="697"/>
      <c r="F314" s="735"/>
      <c r="G314"/>
      <c r="H314"/>
      <c r="I314"/>
      <c r="J314"/>
      <c r="K314"/>
      <c r="L314"/>
      <c r="M314"/>
    </row>
  </sheetData>
  <mergeCells count="7">
    <mergeCell ref="B77:L77"/>
    <mergeCell ref="A1:L1"/>
    <mergeCell ref="A3:L3"/>
    <mergeCell ref="B76:L76"/>
    <mergeCell ref="B75:L75"/>
    <mergeCell ref="D21:F21"/>
    <mergeCell ref="G21:I21"/>
  </mergeCells>
  <phoneticPr fontId="77" type="noConversion"/>
  <pageMargins left="0.75" right="0.75" top="0.83" bottom="1" header="0.5" footer="0.5"/>
  <pageSetup scale="47" fitToHeight="2" orientation="landscape" r:id="rId1"/>
  <headerFooter alignWithMargins="0"/>
  <rowBreaks count="4" manualBreakCount="4">
    <brk id="142" max="7" man="1"/>
    <brk id="162" max="16383" man="1"/>
    <brk id="208" max="7" man="1"/>
    <brk id="2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3"/>
  <sheetViews>
    <sheetView view="pageBreakPreview" zoomScaleNormal="100" workbookViewId="0">
      <selection activeCell="A3" sqref="A3:E3"/>
    </sheetView>
  </sheetViews>
  <sheetFormatPr defaultRowHeight="12.75"/>
  <cols>
    <col min="1" max="1" width="14.7109375" style="427" customWidth="1"/>
    <col min="2" max="2" width="38.7109375" style="427" customWidth="1"/>
    <col min="3" max="3" width="13.42578125" style="427" customWidth="1"/>
    <col min="4" max="16384" width="9.140625" style="427"/>
  </cols>
  <sheetData>
    <row r="2" spans="1:5" ht="18">
      <c r="A2" s="1935" t="str">
        <f>+'7 - Cap Add WS'!A1:L1</f>
        <v xml:space="preserve">Puget Sound Energy </v>
      </c>
      <c r="B2" s="1935"/>
      <c r="C2" s="1935"/>
      <c r="D2" s="1935"/>
      <c r="E2" s="1935"/>
    </row>
    <row r="3" spans="1:5" ht="18">
      <c r="A3" s="1935" t="s">
        <v>541</v>
      </c>
      <c r="B3" s="1935"/>
      <c r="C3" s="1935"/>
      <c r="D3" s="1935"/>
      <c r="E3" s="1935"/>
    </row>
    <row r="7" spans="1:5">
      <c r="C7" s="687"/>
    </row>
    <row r="8" spans="1:5">
      <c r="A8" s="794" t="s">
        <v>542</v>
      </c>
      <c r="B8" s="795"/>
      <c r="C8" s="794" t="s">
        <v>553</v>
      </c>
    </row>
    <row r="10" spans="1:5">
      <c r="A10" s="795" t="s">
        <v>1108</v>
      </c>
      <c r="C10" s="863"/>
      <c r="D10" s="796"/>
    </row>
    <row r="11" spans="1:5">
      <c r="A11" s="427" t="s">
        <v>221</v>
      </c>
      <c r="C11" s="863">
        <v>1.9</v>
      </c>
      <c r="D11" s="796"/>
    </row>
    <row r="12" spans="1:5">
      <c r="A12" s="427" t="s">
        <v>222</v>
      </c>
      <c r="C12" s="863">
        <v>1.7</v>
      </c>
      <c r="D12" s="796"/>
    </row>
    <row r="13" spans="1:5">
      <c r="A13" s="427" t="s">
        <v>223</v>
      </c>
      <c r="C13" s="863">
        <v>2.11</v>
      </c>
      <c r="D13" s="796"/>
    </row>
    <row r="14" spans="1:5">
      <c r="A14" s="427" t="s">
        <v>224</v>
      </c>
      <c r="C14" s="863">
        <v>1.67</v>
      </c>
      <c r="D14" s="796"/>
    </row>
    <row r="15" spans="1:5">
      <c r="A15" s="427" t="s">
        <v>272</v>
      </c>
      <c r="C15" s="863">
        <v>3.02</v>
      </c>
      <c r="D15" s="796"/>
    </row>
    <row r="16" spans="1:5">
      <c r="A16" s="427" t="s">
        <v>225</v>
      </c>
      <c r="C16" s="863">
        <v>2.11</v>
      </c>
      <c r="D16" s="796"/>
    </row>
    <row r="17" spans="1:4">
      <c r="A17" s="427" t="s">
        <v>226</v>
      </c>
      <c r="C17" s="863">
        <v>1.92</v>
      </c>
      <c r="D17" s="796"/>
    </row>
    <row r="18" spans="1:4">
      <c r="A18" s="427" t="s">
        <v>227</v>
      </c>
      <c r="C18" s="863">
        <v>1.43</v>
      </c>
      <c r="D18" s="796"/>
    </row>
    <row r="19" spans="1:4">
      <c r="C19" s="693"/>
    </row>
    <row r="20" spans="1:4">
      <c r="A20" s="795" t="s">
        <v>753</v>
      </c>
      <c r="C20" s="693"/>
    </row>
    <row r="21" spans="1:4">
      <c r="A21" s="797" t="s">
        <v>546</v>
      </c>
      <c r="C21" s="693">
        <v>1.81</v>
      </c>
    </row>
    <row r="22" spans="1:4">
      <c r="A22" s="797" t="s">
        <v>228</v>
      </c>
      <c r="C22" s="693">
        <v>1.97</v>
      </c>
    </row>
    <row r="23" spans="1:4">
      <c r="A23" s="797" t="s">
        <v>229</v>
      </c>
      <c r="C23" s="693">
        <v>3.11</v>
      </c>
    </row>
    <row r="24" spans="1:4">
      <c r="A24" s="797" t="s">
        <v>230</v>
      </c>
      <c r="C24" s="693">
        <v>2.83</v>
      </c>
    </row>
    <row r="25" spans="1:4">
      <c r="A25" s="797" t="s">
        <v>231</v>
      </c>
      <c r="C25" s="693">
        <v>2.2599999999999998</v>
      </c>
    </row>
    <row r="26" spans="1:4">
      <c r="A26" s="797" t="s">
        <v>232</v>
      </c>
      <c r="C26" s="693">
        <v>3.53</v>
      </c>
    </row>
    <row r="27" spans="1:4">
      <c r="A27" s="797" t="s">
        <v>544</v>
      </c>
      <c r="C27" s="693">
        <v>3.26</v>
      </c>
    </row>
    <row r="28" spans="1:4">
      <c r="A28" s="797" t="s">
        <v>233</v>
      </c>
      <c r="C28" s="693">
        <v>2.33</v>
      </c>
    </row>
    <row r="29" spans="1:4">
      <c r="A29" s="797" t="s">
        <v>543</v>
      </c>
      <c r="C29" s="693">
        <v>2.3199999999999998</v>
      </c>
    </row>
    <row r="30" spans="1:4">
      <c r="A30" s="797" t="s">
        <v>234</v>
      </c>
      <c r="C30" s="693">
        <v>3.34</v>
      </c>
    </row>
    <row r="31" spans="1:4">
      <c r="A31" s="797" t="s">
        <v>235</v>
      </c>
      <c r="C31" s="693">
        <v>2.2400000000000002</v>
      </c>
    </row>
    <row r="32" spans="1:4">
      <c r="C32" s="862"/>
    </row>
    <row r="33" spans="1:8">
      <c r="A33" s="795" t="s">
        <v>545</v>
      </c>
      <c r="C33" s="693"/>
    </row>
    <row r="34" spans="1:8">
      <c r="A34" s="797" t="s">
        <v>546</v>
      </c>
      <c r="C34" s="862">
        <v>6.6</v>
      </c>
      <c r="H34" s="798"/>
    </row>
    <row r="35" spans="1:8">
      <c r="A35" s="797" t="s">
        <v>547</v>
      </c>
      <c r="C35" s="862">
        <v>5</v>
      </c>
    </row>
    <row r="36" spans="1:8">
      <c r="A36" s="797" t="s">
        <v>548</v>
      </c>
      <c r="C36" s="862">
        <v>20</v>
      </c>
    </row>
    <row r="37" spans="1:8">
      <c r="A37" s="797" t="s">
        <v>236</v>
      </c>
      <c r="C37" s="862">
        <v>9</v>
      </c>
    </row>
    <row r="38" spans="1:8">
      <c r="A38" s="797" t="s">
        <v>237</v>
      </c>
      <c r="C38" s="862">
        <v>5</v>
      </c>
    </row>
    <row r="39" spans="1:8">
      <c r="A39" s="797" t="s">
        <v>549</v>
      </c>
      <c r="C39" s="862">
        <v>5</v>
      </c>
    </row>
    <row r="40" spans="1:8">
      <c r="A40" s="797" t="s">
        <v>238</v>
      </c>
      <c r="C40" s="862">
        <v>6</v>
      </c>
    </row>
    <row r="41" spans="1:8">
      <c r="A41" s="797" t="s">
        <v>550</v>
      </c>
      <c r="C41" s="862">
        <v>5</v>
      </c>
    </row>
    <row r="42" spans="1:8">
      <c r="A42" s="797" t="s">
        <v>551</v>
      </c>
      <c r="C42" s="862">
        <v>6.67</v>
      </c>
    </row>
    <row r="43" spans="1:8">
      <c r="A43" s="797" t="s">
        <v>552</v>
      </c>
      <c r="C43" s="862">
        <v>6.67</v>
      </c>
    </row>
  </sheetData>
  <mergeCells count="2">
    <mergeCell ref="A2:E2"/>
    <mergeCell ref="A3:E3"/>
  </mergeCells>
  <phoneticPr fontId="77"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154"/>
  <sheetViews>
    <sheetView zoomScale="85" zoomScaleNormal="85" zoomScaleSheetLayoutView="75" workbookViewId="0">
      <selection activeCell="Q47" sqref="Q47"/>
    </sheetView>
  </sheetViews>
  <sheetFormatPr defaultRowHeight="11.25"/>
  <cols>
    <col min="1" max="1" width="44.140625" style="457" customWidth="1"/>
    <col min="2" max="2" width="12" style="457" customWidth="1"/>
    <col min="3" max="3" width="12.85546875" style="457" bestFit="1" customWidth="1"/>
    <col min="4" max="4" width="12.140625" style="457" bestFit="1" customWidth="1"/>
    <col min="5" max="5" width="12" style="457" customWidth="1"/>
    <col min="6" max="6" width="12.5703125" style="457" customWidth="1"/>
    <col min="7" max="7" width="12.140625" style="457" customWidth="1"/>
    <col min="8" max="8" width="12.42578125" style="457" customWidth="1"/>
    <col min="9" max="9" width="13.7109375" style="457" bestFit="1" customWidth="1"/>
    <col min="10" max="10" width="11.140625" style="457" customWidth="1"/>
    <col min="11" max="11" width="14.140625" style="457" customWidth="1"/>
    <col min="12" max="12" width="19.5703125" style="457" customWidth="1"/>
    <col min="13" max="13" width="19.7109375" style="457" customWidth="1"/>
    <col min="14" max="16384" width="9.140625" style="457"/>
  </cols>
  <sheetData>
    <row r="1" spans="1:12" ht="16.5" thickBot="1">
      <c r="A1" s="76" t="s">
        <v>694</v>
      </c>
    </row>
    <row r="2" spans="1:12">
      <c r="B2" s="1602"/>
      <c r="C2" s="472"/>
      <c r="D2" s="1165" t="s">
        <v>1141</v>
      </c>
      <c r="E2" s="1156" t="s">
        <v>530</v>
      </c>
      <c r="F2" s="1165" t="s">
        <v>531</v>
      </c>
    </row>
    <row r="3" spans="1:12">
      <c r="C3" s="558" t="s">
        <v>1160</v>
      </c>
      <c r="D3" s="1158">
        <f>'ATT H-1 '!J26</f>
        <v>0.13693176298284693</v>
      </c>
      <c r="E3" s="1155">
        <f>'ATT H-1 '!K26</f>
        <v>4.989108203309436E-3</v>
      </c>
      <c r="F3" s="1158">
        <f>'ATT H-1 '!L26</f>
        <v>9.2915552671447958E-3</v>
      </c>
    </row>
    <row r="4" spans="1:12" ht="12" thickBot="1">
      <c r="A4" s="457" t="s">
        <v>819</v>
      </c>
      <c r="C4" s="1157" t="s">
        <v>514</v>
      </c>
      <c r="D4" s="1753">
        <f>'ATT H-1 '!J13</f>
        <v>0.11631299673501208</v>
      </c>
      <c r="E4" s="1754">
        <f>'ATT H-1 '!K13</f>
        <v>0</v>
      </c>
      <c r="F4" s="1753">
        <f>'ATT H-1 '!L13</f>
        <v>0</v>
      </c>
    </row>
    <row r="5" spans="1:12" ht="12" thickBot="1">
      <c r="A5" s="472" t="s">
        <v>1009</v>
      </c>
      <c r="B5" s="474" t="s">
        <v>157</v>
      </c>
      <c r="D5" s="1159"/>
      <c r="F5" s="1159"/>
      <c r="H5" s="472" t="s">
        <v>559</v>
      </c>
      <c r="I5" s="473"/>
      <c r="J5" s="473"/>
      <c r="K5" s="473"/>
      <c r="L5" s="474"/>
    </row>
    <row r="6" spans="1:12" ht="12" thickBot="1">
      <c r="A6" s="1755" t="s">
        <v>373</v>
      </c>
      <c r="B6" s="1756">
        <v>6012347.6900000004</v>
      </c>
      <c r="C6" s="1757"/>
      <c r="D6" s="1160">
        <f>B6*L10</f>
        <v>3435996.2093387651</v>
      </c>
      <c r="E6" s="1758">
        <v>0</v>
      </c>
      <c r="F6" s="1759">
        <v>0</v>
      </c>
      <c r="H6" s="343"/>
      <c r="I6" s="424"/>
      <c r="J6" s="424"/>
      <c r="K6" s="424" t="s">
        <v>492</v>
      </c>
      <c r="L6" s="345"/>
    </row>
    <row r="7" spans="1:12" ht="12" thickBot="1">
      <c r="A7" s="343" t="s">
        <v>374</v>
      </c>
      <c r="B7" s="560">
        <v>5068139.57</v>
      </c>
      <c r="D7" s="1161"/>
      <c r="E7" s="1602"/>
      <c r="F7" s="1161"/>
      <c r="H7" s="1166" t="s">
        <v>569</v>
      </c>
      <c r="I7" s="424"/>
      <c r="J7" s="424"/>
      <c r="K7" s="424"/>
      <c r="L7" s="345"/>
    </row>
    <row r="8" spans="1:12" ht="12" thickBot="1">
      <c r="A8" s="1755" t="s">
        <v>746</v>
      </c>
      <c r="B8" s="1756">
        <v>638511.53</v>
      </c>
      <c r="C8" s="1757"/>
      <c r="D8" s="1760">
        <f>$B$8*D3</f>
        <v>87432.509487774965</v>
      </c>
      <c r="E8" s="1761">
        <f>$B$8*E3</f>
        <v>3185.603112230659</v>
      </c>
      <c r="F8" s="1760">
        <f>$B$8*F3</f>
        <v>5932.7651697041829</v>
      </c>
      <c r="H8" s="343" t="s">
        <v>956</v>
      </c>
      <c r="I8" s="424"/>
      <c r="J8" s="424"/>
      <c r="K8" s="475">
        <v>92207824</v>
      </c>
      <c r="L8" s="476"/>
    </row>
    <row r="9" spans="1:12" ht="12" thickBot="1">
      <c r="A9" s="1755" t="s">
        <v>747</v>
      </c>
      <c r="B9" s="1756">
        <v>4322438.21</v>
      </c>
      <c r="C9" s="1757"/>
      <c r="D9" s="1760">
        <f>$B$9*D3</f>
        <v>591879.08447972115</v>
      </c>
      <c r="E9" s="1761">
        <f>$B$9*E3</f>
        <v>21565.111931809155</v>
      </c>
      <c r="F9" s="1760">
        <f>$B$9*F3</f>
        <v>40162.173517033421</v>
      </c>
      <c r="H9" s="343" t="s">
        <v>957</v>
      </c>
      <c r="I9" s="424"/>
      <c r="J9" s="424"/>
      <c r="K9" s="475">
        <v>323761444</v>
      </c>
      <c r="L9" s="476"/>
    </row>
    <row r="10" spans="1:12">
      <c r="A10" s="343" t="s">
        <v>748</v>
      </c>
      <c r="B10" s="560">
        <v>101477.11</v>
      </c>
      <c r="D10" s="1159"/>
      <c r="F10" s="1159"/>
      <c r="H10" s="343"/>
      <c r="I10" s="424"/>
      <c r="J10" s="424"/>
      <c r="K10" s="477">
        <f>SUM(K8:K9)</f>
        <v>415969268</v>
      </c>
      <c r="L10" s="484">
        <f>K10/K15</f>
        <v>0.57148993812411486</v>
      </c>
    </row>
    <row r="11" spans="1:12">
      <c r="A11" s="343" t="s">
        <v>749</v>
      </c>
      <c r="B11" s="560">
        <v>25986.37</v>
      </c>
      <c r="D11" s="1162"/>
      <c r="F11" s="1159"/>
      <c r="H11" s="343"/>
      <c r="I11" s="424"/>
      <c r="J11" s="424"/>
      <c r="K11" s="424"/>
      <c r="L11" s="345"/>
    </row>
    <row r="12" spans="1:12">
      <c r="A12" s="343" t="s">
        <v>750</v>
      </c>
      <c r="B12" s="560">
        <v>49357.59</v>
      </c>
      <c r="D12" s="1162"/>
      <c r="F12" s="1159"/>
      <c r="H12" s="1166" t="s">
        <v>1142</v>
      </c>
      <c r="I12" s="424"/>
      <c r="J12" s="424"/>
      <c r="K12" s="475"/>
      <c r="L12" s="345"/>
    </row>
    <row r="13" spans="1:12">
      <c r="A13" s="343" t="s">
        <v>375</v>
      </c>
      <c r="B13" s="560">
        <v>0</v>
      </c>
      <c r="D13" s="1162"/>
      <c r="F13" s="1159"/>
      <c r="H13" s="343" t="s">
        <v>958</v>
      </c>
      <c r="I13" s="424"/>
      <c r="J13" s="424"/>
      <c r="K13" s="475">
        <v>311898784</v>
      </c>
      <c r="L13" s="484">
        <f>K13/K15</f>
        <v>0.42851006187588514</v>
      </c>
    </row>
    <row r="14" spans="1:12">
      <c r="A14" s="343" t="s">
        <v>1015</v>
      </c>
      <c r="B14" s="564">
        <f>SUM(B6:B13)</f>
        <v>16218258.069999998</v>
      </c>
      <c r="C14" s="486"/>
      <c r="D14" s="1163"/>
      <c r="E14" s="486"/>
      <c r="F14" s="1159"/>
      <c r="H14" s="343"/>
      <c r="I14" s="424"/>
      <c r="J14" s="424"/>
      <c r="K14" s="424"/>
      <c r="L14" s="345"/>
    </row>
    <row r="15" spans="1:12">
      <c r="A15" s="343" t="s">
        <v>179</v>
      </c>
      <c r="B15" s="560">
        <v>16218258</v>
      </c>
      <c r="D15" s="1162"/>
      <c r="F15" s="1159"/>
      <c r="H15" s="480" t="s">
        <v>109</v>
      </c>
      <c r="I15" s="481"/>
      <c r="J15" s="481"/>
      <c r="K15" s="482">
        <f>+K10+K13</f>
        <v>727868052</v>
      </c>
      <c r="L15" s="483">
        <f>+K15/K15</f>
        <v>1</v>
      </c>
    </row>
    <row r="16" spans="1:12" ht="12" thickBot="1">
      <c r="A16" s="487" t="s">
        <v>376</v>
      </c>
      <c r="B16" s="565">
        <f>B14-B15</f>
        <v>6.9999998435378075E-2</v>
      </c>
      <c r="D16" s="1159"/>
      <c r="F16" s="1159"/>
      <c r="H16" s="478"/>
      <c r="I16" s="462"/>
      <c r="J16" s="462"/>
      <c r="K16" s="462"/>
      <c r="L16" s="479"/>
    </row>
    <row r="17" spans="1:17">
      <c r="B17" s="1762"/>
      <c r="D17" s="1159"/>
      <c r="F17" s="1159"/>
      <c r="H17" s="480" t="s">
        <v>110</v>
      </c>
      <c r="I17" s="481"/>
      <c r="J17" s="481"/>
      <c r="K17" s="482">
        <f>+K10</f>
        <v>415969268</v>
      </c>
      <c r="L17" s="485">
        <f>+K17/K15</f>
        <v>0.57148993812411486</v>
      </c>
    </row>
    <row r="18" spans="1:17" ht="12" thickBot="1">
      <c r="A18" s="457" t="s">
        <v>1010</v>
      </c>
      <c r="C18" s="424"/>
      <c r="D18" s="1763"/>
      <c r="F18" s="1159"/>
      <c r="H18" s="343"/>
      <c r="I18" s="424"/>
      <c r="J18" s="424"/>
      <c r="K18" s="424"/>
      <c r="L18" s="345"/>
    </row>
    <row r="19" spans="1:17" ht="12" thickBot="1">
      <c r="A19" s="557" t="s">
        <v>1009</v>
      </c>
      <c r="B19" s="559" t="s">
        <v>157</v>
      </c>
      <c r="C19" s="556"/>
      <c r="D19" s="1164"/>
      <c r="F19" s="1159"/>
      <c r="H19" s="343"/>
      <c r="I19" s="424"/>
      <c r="J19" s="424"/>
      <c r="K19" s="424"/>
      <c r="L19" s="345"/>
    </row>
    <row r="20" spans="1:17" ht="12" thickBot="1">
      <c r="A20" s="1641" t="s">
        <v>758</v>
      </c>
      <c r="B20" s="1764">
        <v>1026108</v>
      </c>
      <c r="C20" s="1757"/>
      <c r="D20" s="1160">
        <f>$B$20*D4</f>
        <v>119349.69645376978</v>
      </c>
      <c r="E20" s="1154">
        <f>$B$20*E4</f>
        <v>0</v>
      </c>
      <c r="F20" s="1160">
        <f>$B$20*F4</f>
        <v>0</v>
      </c>
      <c r="G20" s="672"/>
      <c r="H20" s="487"/>
      <c r="I20" s="488"/>
      <c r="J20" s="488"/>
      <c r="K20" s="488"/>
      <c r="L20" s="489"/>
    </row>
    <row r="21" spans="1:17">
      <c r="A21" s="558" t="s">
        <v>727</v>
      </c>
      <c r="B21" s="560">
        <v>150</v>
      </c>
      <c r="C21" s="424"/>
      <c r="D21" s="672"/>
      <c r="E21" s="672"/>
      <c r="F21" s="672"/>
      <c r="G21" s="672"/>
      <c r="H21" s="424"/>
      <c r="I21" s="424"/>
      <c r="J21" s="424"/>
      <c r="K21" s="424"/>
      <c r="L21" s="424"/>
    </row>
    <row r="22" spans="1:17">
      <c r="A22" s="558" t="s">
        <v>728</v>
      </c>
      <c r="B22" s="560">
        <v>9139.7999999999993</v>
      </c>
      <c r="C22" s="424"/>
      <c r="D22" s="672"/>
      <c r="E22" s="672"/>
      <c r="F22" s="672"/>
      <c r="G22" s="672"/>
      <c r="H22" s="424"/>
      <c r="I22" s="424"/>
      <c r="J22" s="424"/>
      <c r="K22" s="424"/>
      <c r="L22" s="424"/>
    </row>
    <row r="23" spans="1:17">
      <c r="A23" s="558" t="s">
        <v>726</v>
      </c>
      <c r="B23" s="560">
        <v>578075.96</v>
      </c>
      <c r="C23" s="424"/>
      <c r="D23" s="672"/>
      <c r="E23" s="672"/>
      <c r="F23" s="672"/>
      <c r="G23" s="672"/>
      <c r="H23" s="424"/>
      <c r="I23" s="424"/>
      <c r="J23" s="424"/>
      <c r="K23" s="424"/>
      <c r="L23" s="424"/>
    </row>
    <row r="24" spans="1:17">
      <c r="A24" s="558" t="s">
        <v>729</v>
      </c>
      <c r="B24" s="560">
        <v>-1011146.14</v>
      </c>
      <c r="C24" s="424"/>
      <c r="D24" s="672"/>
      <c r="E24" s="672"/>
      <c r="F24" s="672"/>
      <c r="G24" s="672"/>
      <c r="H24" s="424"/>
      <c r="I24" s="424"/>
      <c r="J24" s="424"/>
      <c r="K24" s="424"/>
      <c r="L24" s="424"/>
    </row>
    <row r="25" spans="1:17">
      <c r="A25" s="558" t="s">
        <v>730</v>
      </c>
      <c r="B25" s="560">
        <v>147385200.40000001</v>
      </c>
      <c r="C25" s="424"/>
      <c r="D25" s="672"/>
      <c r="E25" s="672"/>
      <c r="F25" s="672"/>
      <c r="G25" s="672"/>
      <c r="H25" s="424"/>
      <c r="I25" s="424"/>
      <c r="J25" s="424"/>
      <c r="K25" s="424"/>
      <c r="L25" s="424"/>
    </row>
    <row r="26" spans="1:17">
      <c r="A26" s="558" t="s">
        <v>731</v>
      </c>
      <c r="B26" s="560">
        <v>-139120519.16</v>
      </c>
      <c r="C26" s="424"/>
      <c r="D26" s="672"/>
      <c r="E26" s="672"/>
      <c r="F26" s="672"/>
      <c r="G26" s="672"/>
      <c r="H26" s="424"/>
      <c r="I26" s="424"/>
      <c r="J26" s="424"/>
      <c r="K26" s="424"/>
      <c r="L26" s="424"/>
      <c r="O26" s="1602"/>
      <c r="P26" s="1602"/>
      <c r="Q26" s="1602"/>
    </row>
    <row r="27" spans="1:17">
      <c r="A27" s="558" t="s">
        <v>732</v>
      </c>
      <c r="B27" s="560">
        <v>76604.350000000006</v>
      </c>
      <c r="C27" s="424"/>
      <c r="D27" s="672"/>
      <c r="E27" s="672"/>
      <c r="F27" s="672"/>
      <c r="G27" s="672"/>
      <c r="H27" s="424"/>
      <c r="I27" s="424"/>
      <c r="J27" s="424"/>
      <c r="K27" s="424"/>
      <c r="L27" s="424"/>
    </row>
    <row r="28" spans="1:17">
      <c r="A28" s="558" t="s">
        <v>735</v>
      </c>
      <c r="B28" s="560">
        <v>4721900.5599999996</v>
      </c>
      <c r="D28" s="672"/>
      <c r="E28" s="1846"/>
      <c r="F28" s="672"/>
      <c r="G28" s="672"/>
      <c r="H28" s="424"/>
      <c r="I28" s="424"/>
      <c r="J28" s="424"/>
      <c r="K28" s="424"/>
      <c r="L28" s="424"/>
    </row>
    <row r="29" spans="1:17">
      <c r="A29" s="558" t="s">
        <v>1413</v>
      </c>
      <c r="B29" s="560">
        <v>10472183.41</v>
      </c>
      <c r="C29" s="424"/>
      <c r="D29" s="672"/>
      <c r="E29" s="672"/>
      <c r="F29" s="672"/>
      <c r="G29" s="672"/>
      <c r="H29" s="424"/>
      <c r="I29" s="424"/>
      <c r="J29" s="424"/>
      <c r="K29" s="424"/>
      <c r="L29" s="424"/>
    </row>
    <row r="30" spans="1:17">
      <c r="A30" s="558" t="s">
        <v>1414</v>
      </c>
      <c r="B30" s="560">
        <v>2709880.67</v>
      </c>
      <c r="C30" s="424"/>
      <c r="D30" s="672"/>
      <c r="E30" s="672"/>
      <c r="F30" s="672"/>
      <c r="G30" s="672"/>
      <c r="H30" s="424"/>
      <c r="I30" s="424"/>
      <c r="J30" s="424"/>
      <c r="K30" s="424"/>
      <c r="L30" s="424"/>
    </row>
    <row r="31" spans="1:17">
      <c r="A31" s="558" t="s">
        <v>733</v>
      </c>
      <c r="B31" s="560">
        <v>26644.87</v>
      </c>
      <c r="C31" s="424"/>
      <c r="D31" s="672"/>
      <c r="E31" s="672"/>
      <c r="F31" s="672"/>
      <c r="G31" s="672"/>
      <c r="H31" s="424"/>
      <c r="I31" s="424"/>
      <c r="J31" s="424"/>
      <c r="K31" s="424"/>
      <c r="L31" s="424"/>
    </row>
    <row r="32" spans="1:17">
      <c r="A32" s="558" t="s">
        <v>1353</v>
      </c>
      <c r="B32" s="560">
        <v>31343859.469999999</v>
      </c>
      <c r="C32" s="424"/>
      <c r="D32" s="672"/>
      <c r="E32" s="672"/>
      <c r="F32" s="672"/>
      <c r="G32" s="672"/>
      <c r="H32" s="424"/>
      <c r="I32" s="424"/>
      <c r="J32" s="424"/>
      <c r="K32" s="424"/>
      <c r="L32" s="424"/>
    </row>
    <row r="33" spans="1:13">
      <c r="A33" s="558" t="s">
        <v>734</v>
      </c>
      <c r="B33" s="560">
        <v>283621.08</v>
      </c>
      <c r="C33" s="424"/>
      <c r="D33" s="672"/>
      <c r="E33" s="672"/>
      <c r="F33" s="672"/>
      <c r="G33" s="672"/>
      <c r="H33" s="424"/>
      <c r="I33" s="424"/>
      <c r="J33" s="424"/>
      <c r="K33" s="424"/>
      <c r="L33" s="424"/>
    </row>
    <row r="34" spans="1:13">
      <c r="A34" s="558"/>
      <c r="B34" s="560"/>
      <c r="C34" s="424"/>
      <c r="D34" s="672"/>
      <c r="E34" s="672"/>
      <c r="F34" s="672"/>
      <c r="G34" s="672"/>
      <c r="H34" s="424"/>
      <c r="I34" s="424"/>
      <c r="J34" s="424"/>
      <c r="K34" s="424"/>
      <c r="L34" s="424"/>
    </row>
    <row r="35" spans="1:13">
      <c r="A35" s="558"/>
      <c r="B35" s="560"/>
      <c r="C35" s="424"/>
      <c r="D35" s="672"/>
      <c r="E35" s="672"/>
      <c r="F35" s="672"/>
      <c r="G35" s="672"/>
      <c r="H35" s="424"/>
      <c r="I35" s="424"/>
      <c r="J35" s="424"/>
      <c r="K35" s="424"/>
      <c r="L35" s="424"/>
    </row>
    <row r="36" spans="1:13">
      <c r="A36" s="343" t="s">
        <v>1015</v>
      </c>
      <c r="B36" s="561">
        <f>SUM(B20:B35)</f>
        <v>58501703.270000011</v>
      </c>
      <c r="C36" s="344"/>
      <c r="D36" s="344"/>
      <c r="E36" s="424"/>
    </row>
    <row r="37" spans="1:13">
      <c r="A37" s="343" t="s">
        <v>180</v>
      </c>
      <c r="B37" s="560">
        <v>58501702</v>
      </c>
      <c r="C37" s="424"/>
      <c r="D37" s="424"/>
      <c r="E37" s="424"/>
    </row>
    <row r="38" spans="1:13" ht="12" thickBot="1">
      <c r="A38" s="487" t="s">
        <v>376</v>
      </c>
      <c r="B38" s="562">
        <f>B36-B37</f>
        <v>1.2700000107288361</v>
      </c>
      <c r="C38" s="424"/>
      <c r="D38" s="424"/>
    </row>
    <row r="39" spans="1:13">
      <c r="H39" s="424"/>
      <c r="I39" s="424"/>
      <c r="J39" s="424"/>
      <c r="K39" s="424"/>
      <c r="L39" s="424"/>
    </row>
    <row r="40" spans="1:13" ht="12" thickBot="1">
      <c r="A40" s="457" t="s">
        <v>1011</v>
      </c>
      <c r="H40" s="424"/>
      <c r="I40" s="424"/>
      <c r="J40" s="424"/>
      <c r="K40" s="424"/>
      <c r="L40" s="424"/>
    </row>
    <row r="41" spans="1:13" ht="22.5">
      <c r="A41" s="1594" t="s">
        <v>181</v>
      </c>
      <c r="B41" s="1823" t="s">
        <v>381</v>
      </c>
      <c r="C41" s="1595" t="s">
        <v>1012</v>
      </c>
      <c r="D41" s="1595" t="s">
        <v>379</v>
      </c>
      <c r="E41" s="1595" t="s">
        <v>378</v>
      </c>
      <c r="F41" s="1595" t="s">
        <v>377</v>
      </c>
      <c r="G41" s="1596"/>
      <c r="H41" s="1597"/>
      <c r="I41" s="1597"/>
      <c r="J41" s="1597"/>
      <c r="K41" s="1598" t="s">
        <v>380</v>
      </c>
      <c r="L41" s="1602"/>
    </row>
    <row r="42" spans="1:13" ht="12.75">
      <c r="A42" s="1872" t="s">
        <v>168</v>
      </c>
      <c r="B42" s="1872" t="s">
        <v>368</v>
      </c>
      <c r="C42" s="1873">
        <v>332297</v>
      </c>
      <c r="D42" s="1873">
        <v>0</v>
      </c>
      <c r="E42" s="1873">
        <v>0</v>
      </c>
      <c r="F42" s="1873">
        <v>332297</v>
      </c>
      <c r="G42" s="1835"/>
      <c r="H42" s="1838"/>
      <c r="I42" s="1838"/>
      <c r="J42" s="1838"/>
      <c r="K42" s="1831"/>
      <c r="L42" s="2"/>
      <c r="M42" s="2"/>
    </row>
    <row r="43" spans="1:13" ht="12.75">
      <c r="A43" s="1872" t="s">
        <v>169</v>
      </c>
      <c r="B43" s="1872" t="s">
        <v>370</v>
      </c>
      <c r="C43" s="1873">
        <v>0</v>
      </c>
      <c r="D43" s="1873">
        <v>0</v>
      </c>
      <c r="E43" s="1873">
        <v>600</v>
      </c>
      <c r="F43" s="1873">
        <v>600</v>
      </c>
      <c r="G43" s="1832"/>
      <c r="H43" s="1832"/>
      <c r="I43" s="1832"/>
      <c r="J43" s="1832"/>
      <c r="K43" s="1836"/>
      <c r="L43" s="2"/>
      <c r="M43" s="2"/>
    </row>
    <row r="44" spans="1:13" ht="12.75">
      <c r="A44" s="1872" t="s">
        <v>169</v>
      </c>
      <c r="B44" s="1872" t="s">
        <v>368</v>
      </c>
      <c r="C44" s="1873">
        <v>9137</v>
      </c>
      <c r="D44" s="1873">
        <v>0</v>
      </c>
      <c r="E44" s="1873">
        <v>600</v>
      </c>
      <c r="F44" s="1873">
        <v>9737</v>
      </c>
      <c r="G44" s="1835"/>
      <c r="H44" s="1838"/>
      <c r="I44" s="1838"/>
      <c r="J44" s="1838"/>
      <c r="K44" s="1831"/>
      <c r="L44" s="2"/>
      <c r="M44" s="2"/>
    </row>
    <row r="45" spans="1:13" ht="12.75">
      <c r="A45" s="1872" t="s">
        <v>169</v>
      </c>
      <c r="B45" s="1872" t="s">
        <v>368</v>
      </c>
      <c r="C45" s="1873">
        <v>1487</v>
      </c>
      <c r="D45" s="1873">
        <v>0</v>
      </c>
      <c r="E45" s="1873">
        <v>600</v>
      </c>
      <c r="F45" s="1873">
        <v>2087</v>
      </c>
      <c r="G45" s="1835"/>
      <c r="H45" s="1838"/>
      <c r="I45" s="1838"/>
      <c r="J45" s="1838"/>
      <c r="K45" s="1831"/>
      <c r="L45" s="2"/>
      <c r="M45" s="2"/>
    </row>
    <row r="46" spans="1:13" ht="12.75">
      <c r="A46" s="1872" t="s">
        <v>170</v>
      </c>
      <c r="B46" s="1872" t="s">
        <v>370</v>
      </c>
      <c r="C46" s="1873">
        <v>0</v>
      </c>
      <c r="D46" s="1873">
        <v>0</v>
      </c>
      <c r="E46" s="1873">
        <v>4576</v>
      </c>
      <c r="F46" s="1873">
        <v>4576</v>
      </c>
      <c r="G46" s="1837"/>
      <c r="H46" s="1832"/>
      <c r="I46" s="1832"/>
      <c r="J46" s="1832"/>
      <c r="K46" s="1836"/>
      <c r="L46" s="2"/>
      <c r="M46" s="2"/>
    </row>
    <row r="47" spans="1:13" ht="12.75">
      <c r="A47" s="1872" t="s">
        <v>664</v>
      </c>
      <c r="B47" s="1872" t="s">
        <v>664</v>
      </c>
      <c r="C47" s="1873">
        <v>0</v>
      </c>
      <c r="D47" s="1873">
        <v>0</v>
      </c>
      <c r="E47" s="1873">
        <v>0</v>
      </c>
      <c r="F47" s="1873">
        <v>0</v>
      </c>
      <c r="G47" s="1837"/>
      <c r="H47" s="1832"/>
      <c r="I47" s="1832"/>
      <c r="J47" s="1832"/>
      <c r="K47" s="1831"/>
      <c r="L47" s="2"/>
      <c r="M47" s="2"/>
    </row>
    <row r="48" spans="1:13" ht="12.75">
      <c r="A48" s="1872" t="s">
        <v>665</v>
      </c>
      <c r="B48" s="1872" t="s">
        <v>366</v>
      </c>
      <c r="C48" s="1873">
        <v>204137</v>
      </c>
      <c r="D48" s="1873">
        <v>0</v>
      </c>
      <c r="E48" s="1873">
        <v>166342</v>
      </c>
      <c r="F48" s="1873">
        <v>370479</v>
      </c>
      <c r="G48" s="1837"/>
      <c r="H48" s="1832"/>
      <c r="I48" s="1832"/>
      <c r="J48" s="1832"/>
      <c r="K48" s="1836"/>
      <c r="L48" s="2"/>
      <c r="M48" s="2"/>
    </row>
    <row r="49" spans="1:13" ht="12.75">
      <c r="A49" s="1872" t="s">
        <v>665</v>
      </c>
      <c r="B49" s="1872" t="s">
        <v>366</v>
      </c>
      <c r="C49" s="1873">
        <v>83944</v>
      </c>
      <c r="D49" s="1873">
        <v>0</v>
      </c>
      <c r="E49" s="1873">
        <v>182743</v>
      </c>
      <c r="F49" s="1873">
        <v>266687</v>
      </c>
      <c r="G49" s="1835"/>
      <c r="H49" s="1838"/>
      <c r="I49" s="1838"/>
      <c r="J49" s="1838"/>
      <c r="K49" s="1836"/>
      <c r="L49" s="2"/>
      <c r="M49" s="2"/>
    </row>
    <row r="50" spans="1:13" ht="12.75">
      <c r="A50" s="1872" t="s">
        <v>665</v>
      </c>
      <c r="B50" s="1872" t="s">
        <v>366</v>
      </c>
      <c r="C50" s="1873">
        <v>51622</v>
      </c>
      <c r="D50" s="1873">
        <v>0</v>
      </c>
      <c r="E50" s="1873">
        <v>77037</v>
      </c>
      <c r="F50" s="1873">
        <v>128659</v>
      </c>
      <c r="G50" s="1835"/>
      <c r="H50" s="1838"/>
      <c r="I50" s="1838"/>
      <c r="J50" s="1838"/>
      <c r="K50" s="1834"/>
      <c r="L50" s="2"/>
      <c r="M50" s="2"/>
    </row>
    <row r="51" spans="1:13" ht="12.75">
      <c r="A51" s="1872" t="s">
        <v>665</v>
      </c>
      <c r="B51" s="1872" t="s">
        <v>366</v>
      </c>
      <c r="C51" s="1873">
        <v>633417</v>
      </c>
      <c r="D51" s="1873">
        <v>0</v>
      </c>
      <c r="E51" s="1873">
        <v>374989</v>
      </c>
      <c r="F51" s="1873">
        <v>1008406</v>
      </c>
      <c r="G51" s="1837"/>
      <c r="H51" s="1832"/>
      <c r="I51" s="1832"/>
      <c r="J51" s="1832"/>
      <c r="K51" s="1836"/>
      <c r="L51" s="2"/>
      <c r="M51" s="2"/>
    </row>
    <row r="52" spans="1:13" ht="12.75">
      <c r="A52" s="1872" t="s">
        <v>665</v>
      </c>
      <c r="B52" s="1872" t="s">
        <v>366</v>
      </c>
      <c r="C52" s="1873">
        <v>65901</v>
      </c>
      <c r="D52" s="1873">
        <v>0</v>
      </c>
      <c r="E52" s="1873">
        <v>41502</v>
      </c>
      <c r="F52" s="1873">
        <v>107403</v>
      </c>
      <c r="G52" s="1837"/>
      <c r="H52" s="1832"/>
      <c r="I52" s="1832"/>
      <c r="J52" s="1832"/>
      <c r="K52" s="1836"/>
      <c r="L52" s="2"/>
      <c r="M52" s="2"/>
    </row>
    <row r="53" spans="1:13" ht="12.75">
      <c r="A53" s="1872" t="s">
        <v>665</v>
      </c>
      <c r="B53" s="1872" t="s">
        <v>366</v>
      </c>
      <c r="C53" s="1873">
        <v>38016</v>
      </c>
      <c r="D53" s="1873">
        <v>0</v>
      </c>
      <c r="E53" s="1873">
        <v>53119</v>
      </c>
      <c r="F53" s="1873">
        <v>91135</v>
      </c>
      <c r="G53" s="1837"/>
      <c r="H53" s="1832"/>
      <c r="I53" s="1832"/>
      <c r="J53" s="1832"/>
      <c r="K53" s="1836"/>
      <c r="L53" s="2"/>
      <c r="M53" s="2"/>
    </row>
    <row r="54" spans="1:13" ht="12.75">
      <c r="A54" s="1872" t="s">
        <v>665</v>
      </c>
      <c r="B54" s="1872" t="s">
        <v>366</v>
      </c>
      <c r="C54" s="1873">
        <v>169623</v>
      </c>
      <c r="D54" s="1873">
        <v>0</v>
      </c>
      <c r="E54" s="1873">
        <v>75074</v>
      </c>
      <c r="F54" s="1873">
        <v>244697</v>
      </c>
      <c r="G54" s="1835"/>
      <c r="H54" s="1838"/>
      <c r="I54" s="1838"/>
      <c r="J54" s="1838"/>
      <c r="K54" s="1831"/>
      <c r="L54" s="2"/>
      <c r="M54" s="2"/>
    </row>
    <row r="55" spans="1:13" ht="12.75">
      <c r="A55" s="1872" t="s">
        <v>665</v>
      </c>
      <c r="B55" s="1872" t="s">
        <v>366</v>
      </c>
      <c r="C55" s="1873">
        <v>318934</v>
      </c>
      <c r="D55" s="1873">
        <v>0</v>
      </c>
      <c r="E55" s="1873">
        <v>306284</v>
      </c>
      <c r="F55" s="1873">
        <v>625218</v>
      </c>
      <c r="G55" s="1837"/>
      <c r="H55" s="1832"/>
      <c r="I55" s="1832"/>
      <c r="J55" s="1832"/>
      <c r="K55" s="1836"/>
      <c r="L55" s="2"/>
      <c r="M55" s="2"/>
    </row>
    <row r="56" spans="1:13" ht="12.75">
      <c r="A56" s="1872" t="s">
        <v>664</v>
      </c>
      <c r="B56" s="1872" t="s">
        <v>664</v>
      </c>
      <c r="C56" s="1873">
        <v>0</v>
      </c>
      <c r="D56" s="1873">
        <v>0</v>
      </c>
      <c r="E56" s="1873">
        <v>0</v>
      </c>
      <c r="F56" s="1873">
        <v>0</v>
      </c>
      <c r="G56" s="1835"/>
      <c r="H56" s="1838"/>
      <c r="I56" s="1838"/>
      <c r="J56" s="1838"/>
      <c r="K56" s="1836"/>
      <c r="L56" s="2"/>
      <c r="M56" s="2"/>
    </row>
    <row r="57" spans="1:13" ht="12.75">
      <c r="A57" s="1872" t="s">
        <v>668</v>
      </c>
      <c r="B57" s="1872" t="s">
        <v>367</v>
      </c>
      <c r="C57" s="1873">
        <v>1444291</v>
      </c>
      <c r="D57" s="1873">
        <v>0</v>
      </c>
      <c r="E57" s="1873">
        <v>508132</v>
      </c>
      <c r="F57" s="1873">
        <v>1952423</v>
      </c>
      <c r="G57" s="1837"/>
      <c r="H57" s="1832"/>
      <c r="I57" s="1832"/>
      <c r="J57" s="1832"/>
      <c r="K57" s="1836"/>
      <c r="L57" s="2"/>
      <c r="M57"/>
    </row>
    <row r="58" spans="1:13" ht="12.75">
      <c r="A58" s="1872" t="s">
        <v>372</v>
      </c>
      <c r="B58" s="1872" t="s">
        <v>367</v>
      </c>
      <c r="C58" s="1873">
        <v>2765756</v>
      </c>
      <c r="D58" s="1873">
        <v>0</v>
      </c>
      <c r="E58" s="1873">
        <v>865884</v>
      </c>
      <c r="F58" s="1873">
        <v>3631640</v>
      </c>
      <c r="G58" s="1835"/>
      <c r="H58" s="1838"/>
      <c r="I58" s="1838"/>
      <c r="J58" s="1838"/>
      <c r="K58" s="1836"/>
      <c r="L58" s="2"/>
      <c r="M58"/>
    </row>
    <row r="59" spans="1:13" ht="22.5">
      <c r="A59" s="1872" t="s">
        <v>372</v>
      </c>
      <c r="B59" s="1872" t="s">
        <v>367</v>
      </c>
      <c r="C59" s="1873">
        <v>2786935</v>
      </c>
      <c r="D59" s="1873">
        <v>0</v>
      </c>
      <c r="E59" s="1873">
        <v>904323</v>
      </c>
      <c r="F59" s="1873">
        <v>3691258</v>
      </c>
      <c r="G59" s="1837"/>
      <c r="H59" s="1832"/>
      <c r="I59" s="1832"/>
      <c r="J59" s="1832"/>
      <c r="K59" s="1836">
        <v>113507.85</v>
      </c>
      <c r="L59" s="1865" t="s">
        <v>1376</v>
      </c>
      <c r="M59" s="1874" t="s">
        <v>1355</v>
      </c>
    </row>
    <row r="60" spans="1:13" ht="12.75">
      <c r="A60" s="1872" t="s">
        <v>372</v>
      </c>
      <c r="B60" s="1872" t="s">
        <v>367</v>
      </c>
      <c r="C60" s="1873">
        <v>1072632</v>
      </c>
      <c r="D60" s="1873">
        <v>0</v>
      </c>
      <c r="E60" s="1873">
        <v>2102702</v>
      </c>
      <c r="F60" s="1873">
        <v>3175334</v>
      </c>
      <c r="G60" s="1837"/>
      <c r="H60" s="1832"/>
      <c r="I60" s="1832"/>
      <c r="J60" s="1832"/>
      <c r="K60" s="1836"/>
      <c r="L60" s="2"/>
      <c r="M60"/>
    </row>
    <row r="61" spans="1:13" ht="12.75">
      <c r="A61" s="1872" t="s">
        <v>671</v>
      </c>
      <c r="B61" s="1872" t="s">
        <v>367</v>
      </c>
      <c r="C61" s="1873">
        <v>353290</v>
      </c>
      <c r="D61" s="1873">
        <v>0</v>
      </c>
      <c r="E61" s="1873">
        <v>91555</v>
      </c>
      <c r="F61" s="1873">
        <v>444845</v>
      </c>
      <c r="G61" s="1837"/>
      <c r="H61" s="1832"/>
      <c r="I61" s="1832"/>
      <c r="J61" s="1832"/>
      <c r="K61" s="1836"/>
      <c r="L61" s="2"/>
      <c r="M61"/>
    </row>
    <row r="62" spans="1:13" ht="12.75">
      <c r="A62" s="1872" t="s">
        <v>674</v>
      </c>
      <c r="B62" s="1872" t="s">
        <v>367</v>
      </c>
      <c r="C62" s="1873">
        <v>1110113</v>
      </c>
      <c r="D62" s="1873">
        <v>0</v>
      </c>
      <c r="E62" s="1873">
        <v>404572</v>
      </c>
      <c r="F62" s="1873">
        <v>1514685</v>
      </c>
      <c r="G62" s="1837"/>
      <c r="H62" s="1832"/>
      <c r="I62" s="1832"/>
      <c r="J62" s="1832"/>
      <c r="K62" s="1836"/>
      <c r="L62" s="2"/>
      <c r="M62"/>
    </row>
    <row r="63" spans="1:13" ht="12.75">
      <c r="A63" s="1872" t="s">
        <v>1377</v>
      </c>
      <c r="B63" s="1872" t="s">
        <v>367</v>
      </c>
      <c r="C63" s="1873">
        <v>7368</v>
      </c>
      <c r="D63" s="1873">
        <v>0</v>
      </c>
      <c r="E63" s="1873">
        <v>297</v>
      </c>
      <c r="F63" s="1873">
        <v>7665</v>
      </c>
      <c r="G63" s="1837"/>
      <c r="H63" s="1832"/>
      <c r="I63" s="1832"/>
      <c r="J63" s="1832"/>
      <c r="K63" s="1836"/>
      <c r="L63" s="2"/>
      <c r="M63"/>
    </row>
    <row r="64" spans="1:13" ht="12.75">
      <c r="A64" s="1872" t="s">
        <v>675</v>
      </c>
      <c r="B64" s="1872" t="s">
        <v>367</v>
      </c>
      <c r="C64" s="1873">
        <v>37111</v>
      </c>
      <c r="D64" s="1873">
        <v>0</v>
      </c>
      <c r="E64" s="1873">
        <v>8290</v>
      </c>
      <c r="F64" s="1873">
        <v>45401</v>
      </c>
      <c r="G64" s="1837"/>
      <c r="H64" s="1832"/>
      <c r="I64" s="1832"/>
      <c r="J64" s="1832"/>
      <c r="K64" s="1836"/>
      <c r="L64" s="2"/>
      <c r="M64"/>
    </row>
    <row r="65" spans="1:13" ht="12.75">
      <c r="A65" s="1872" t="s">
        <v>664</v>
      </c>
      <c r="B65" s="1872" t="s">
        <v>664</v>
      </c>
      <c r="C65" s="1873">
        <v>0</v>
      </c>
      <c r="D65" s="1873">
        <v>0</v>
      </c>
      <c r="E65" s="1873">
        <v>0</v>
      </c>
      <c r="F65" s="1873">
        <v>0</v>
      </c>
      <c r="G65" s="1837"/>
      <c r="H65" s="1832"/>
      <c r="I65" s="1832"/>
      <c r="J65" s="1832"/>
      <c r="K65" s="1836"/>
      <c r="L65" s="2"/>
      <c r="M65"/>
    </row>
    <row r="66" spans="1:13" ht="12.75">
      <c r="A66" s="1872" t="s">
        <v>1378</v>
      </c>
      <c r="B66" s="1872" t="s">
        <v>371</v>
      </c>
      <c r="C66" s="1873">
        <v>336750</v>
      </c>
      <c r="D66" s="1873">
        <v>0</v>
      </c>
      <c r="E66" s="1873">
        <v>29924</v>
      </c>
      <c r="F66" s="1873">
        <v>366674</v>
      </c>
      <c r="G66" s="1837"/>
      <c r="H66" s="1832"/>
      <c r="I66" s="1832"/>
      <c r="J66" s="1832"/>
      <c r="K66" s="1836">
        <f t="shared" ref="K66:K67" si="0">C66+D66</f>
        <v>336750</v>
      </c>
      <c r="L66" s="1872" t="s">
        <v>1351</v>
      </c>
      <c r="M66"/>
    </row>
    <row r="67" spans="1:13" ht="12.75">
      <c r="A67" s="1872" t="s">
        <v>372</v>
      </c>
      <c r="B67" s="1872" t="s">
        <v>371</v>
      </c>
      <c r="C67" s="1873">
        <v>20453</v>
      </c>
      <c r="D67" s="1873">
        <v>0</v>
      </c>
      <c r="E67" s="1873">
        <v>1860</v>
      </c>
      <c r="F67" s="1873">
        <v>22313</v>
      </c>
      <c r="G67" s="1837"/>
      <c r="H67" s="1832"/>
      <c r="I67" s="1832"/>
      <c r="J67" s="1832"/>
      <c r="K67" s="1836">
        <f t="shared" si="0"/>
        <v>20453</v>
      </c>
      <c r="L67" s="1872" t="s">
        <v>1351</v>
      </c>
      <c r="M67"/>
    </row>
    <row r="68" spans="1:13" ht="12.75">
      <c r="A68" s="1872" t="s">
        <v>372</v>
      </c>
      <c r="B68" s="1872" t="s">
        <v>371</v>
      </c>
      <c r="C68" s="1873">
        <v>1032962</v>
      </c>
      <c r="D68" s="1873">
        <v>0</v>
      </c>
      <c r="E68" s="1873">
        <v>79093</v>
      </c>
      <c r="F68" s="1873">
        <v>1112055</v>
      </c>
      <c r="G68" s="1837"/>
      <c r="H68" s="1832"/>
      <c r="I68" s="1832"/>
      <c r="J68" s="1832"/>
      <c r="K68" s="1836">
        <f>C68+D68</f>
        <v>1032962</v>
      </c>
      <c r="L68" s="1872" t="s">
        <v>1352</v>
      </c>
      <c r="M68"/>
    </row>
    <row r="69" spans="1:13" ht="12.75">
      <c r="A69" s="1872" t="s">
        <v>670</v>
      </c>
      <c r="B69" s="1872" t="s">
        <v>371</v>
      </c>
      <c r="C69" s="1873">
        <v>1657201</v>
      </c>
      <c r="D69" s="1873">
        <v>0</v>
      </c>
      <c r="E69" s="1873">
        <v>2141341</v>
      </c>
      <c r="F69" s="1873">
        <v>3798542</v>
      </c>
      <c r="G69" s="1837"/>
      <c r="H69" s="1832"/>
      <c r="I69" s="1832"/>
      <c r="J69" s="1832"/>
      <c r="K69" s="1836">
        <f>C69+D69</f>
        <v>1657201</v>
      </c>
      <c r="L69" s="1872" t="s">
        <v>1352</v>
      </c>
      <c r="M69"/>
    </row>
    <row r="70" spans="1:13" ht="12.75">
      <c r="A70" s="1872" t="s">
        <v>672</v>
      </c>
      <c r="B70" s="1872" t="s">
        <v>371</v>
      </c>
      <c r="C70" s="1873">
        <v>9167</v>
      </c>
      <c r="D70" s="1873">
        <v>0</v>
      </c>
      <c r="E70" s="1873">
        <v>3241</v>
      </c>
      <c r="F70" s="1873">
        <v>12408</v>
      </c>
      <c r="G70" s="1837"/>
      <c r="H70" s="1832"/>
      <c r="I70" s="1832"/>
      <c r="J70" s="1832"/>
      <c r="K70" s="1836">
        <f>C70+D70</f>
        <v>9167</v>
      </c>
      <c r="L70" s="1872" t="s">
        <v>1351</v>
      </c>
      <c r="M70"/>
    </row>
    <row r="71" spans="1:13" ht="12.75">
      <c r="A71" s="1872" t="s">
        <v>674</v>
      </c>
      <c r="B71" s="1872" t="s">
        <v>371</v>
      </c>
      <c r="C71" s="1873">
        <v>979</v>
      </c>
      <c r="D71" s="1873">
        <v>0</v>
      </c>
      <c r="E71" s="1873">
        <v>88</v>
      </c>
      <c r="F71" s="1873">
        <v>1067</v>
      </c>
      <c r="G71" s="1837"/>
      <c r="H71" s="1832"/>
      <c r="I71" s="1832"/>
      <c r="J71" s="1832"/>
      <c r="K71" s="1836">
        <f>C71+D71</f>
        <v>979</v>
      </c>
      <c r="L71" s="1872" t="s">
        <v>1351</v>
      </c>
      <c r="M71"/>
    </row>
    <row r="72" spans="1:13" ht="12.75">
      <c r="A72" s="1872" t="s">
        <v>1377</v>
      </c>
      <c r="B72" s="1872" t="s">
        <v>371</v>
      </c>
      <c r="C72" s="1873">
        <v>0</v>
      </c>
      <c r="D72" s="1873">
        <v>0</v>
      </c>
      <c r="E72" s="1873">
        <v>10542</v>
      </c>
      <c r="F72" s="1873">
        <v>10542</v>
      </c>
      <c r="G72" s="1835"/>
      <c r="H72" s="1838"/>
      <c r="I72" s="1838"/>
      <c r="J72" s="1838"/>
      <c r="K72" s="1836">
        <f>C72+D72</f>
        <v>0</v>
      </c>
      <c r="L72" s="1872" t="s">
        <v>1352</v>
      </c>
      <c r="M72"/>
    </row>
    <row r="73" spans="1:13" ht="12.75">
      <c r="A73" s="1872" t="s">
        <v>664</v>
      </c>
      <c r="B73" s="1872" t="s">
        <v>664</v>
      </c>
      <c r="C73" s="1873">
        <v>0</v>
      </c>
      <c r="D73" s="1873">
        <v>0</v>
      </c>
      <c r="E73" s="1873">
        <v>0</v>
      </c>
      <c r="F73" s="1873">
        <v>0</v>
      </c>
      <c r="G73" s="1837"/>
      <c r="H73" s="1832"/>
      <c r="I73" s="1832"/>
      <c r="J73" s="1832"/>
      <c r="K73" s="1836"/>
      <c r="L73" s="1872"/>
      <c r="M73"/>
    </row>
    <row r="74" spans="1:13" ht="12.75">
      <c r="A74" s="1872" t="s">
        <v>665</v>
      </c>
      <c r="B74" s="1872" t="s">
        <v>369</v>
      </c>
      <c r="C74" s="1873">
        <v>0</v>
      </c>
      <c r="D74" s="1873">
        <v>2527</v>
      </c>
      <c r="E74" s="1873">
        <v>1013</v>
      </c>
      <c r="F74" s="1873">
        <v>3540</v>
      </c>
      <c r="G74" s="1837"/>
      <c r="H74" s="1832"/>
      <c r="I74" s="1832"/>
      <c r="J74" s="1832"/>
      <c r="K74" s="1836">
        <f t="shared" ref="K74:K84" si="1">C74+D74</f>
        <v>2527</v>
      </c>
      <c r="L74" s="1872" t="s">
        <v>1351</v>
      </c>
      <c r="M74"/>
    </row>
    <row r="75" spans="1:13" ht="12.75">
      <c r="A75" s="1872" t="s">
        <v>1379</v>
      </c>
      <c r="B75" s="1872" t="s">
        <v>369</v>
      </c>
      <c r="C75" s="1873">
        <v>0</v>
      </c>
      <c r="D75" s="1873">
        <v>7774</v>
      </c>
      <c r="E75" s="1873">
        <v>2536</v>
      </c>
      <c r="F75" s="1873">
        <v>10310</v>
      </c>
      <c r="G75" s="1837"/>
      <c r="H75" s="1832"/>
      <c r="I75" s="1832"/>
      <c r="J75" s="1832"/>
      <c r="K75" s="1836">
        <f t="shared" si="1"/>
        <v>7774</v>
      </c>
      <c r="L75" s="1872" t="s">
        <v>1351</v>
      </c>
      <c r="M75"/>
    </row>
    <row r="76" spans="1:13" ht="12.75">
      <c r="A76" s="1872" t="s">
        <v>666</v>
      </c>
      <c r="B76" s="1872" t="s">
        <v>369</v>
      </c>
      <c r="C76" s="1873">
        <v>0</v>
      </c>
      <c r="D76" s="1873">
        <v>434</v>
      </c>
      <c r="E76" s="1873">
        <v>157</v>
      </c>
      <c r="F76" s="1873">
        <v>591</v>
      </c>
      <c r="G76" s="1837"/>
      <c r="H76" s="1832"/>
      <c r="I76" s="1832"/>
      <c r="J76" s="1832"/>
      <c r="K76" s="1836">
        <f t="shared" si="1"/>
        <v>434</v>
      </c>
      <c r="L76" s="1872" t="s">
        <v>1351</v>
      </c>
      <c r="M76"/>
    </row>
    <row r="77" spans="1:13" ht="12.75">
      <c r="A77" s="1872" t="s">
        <v>1347</v>
      </c>
      <c r="B77" s="1872" t="s">
        <v>369</v>
      </c>
      <c r="C77" s="1873">
        <v>0</v>
      </c>
      <c r="D77" s="1873">
        <v>3118</v>
      </c>
      <c r="E77" s="1873">
        <v>1484</v>
      </c>
      <c r="F77" s="1873">
        <v>4602</v>
      </c>
      <c r="G77" s="1837"/>
      <c r="H77" s="1832"/>
      <c r="I77" s="1832"/>
      <c r="J77" s="1832"/>
      <c r="K77" s="1836">
        <f t="shared" si="1"/>
        <v>3118</v>
      </c>
      <c r="L77" s="1872" t="s">
        <v>1351</v>
      </c>
      <c r="M77"/>
    </row>
    <row r="78" spans="1:13" ht="12.75">
      <c r="A78" s="1872" t="s">
        <v>1380</v>
      </c>
      <c r="B78" s="1872" t="s">
        <v>369</v>
      </c>
      <c r="C78" s="1873">
        <v>0</v>
      </c>
      <c r="D78" s="1873">
        <v>543</v>
      </c>
      <c r="E78" s="1873">
        <v>320</v>
      </c>
      <c r="F78" s="1873">
        <v>863</v>
      </c>
      <c r="G78" s="1835"/>
      <c r="H78" s="1838"/>
      <c r="I78" s="1838"/>
      <c r="J78" s="1838"/>
      <c r="K78" s="1836">
        <f t="shared" si="1"/>
        <v>543</v>
      </c>
      <c r="L78" s="1872" t="s">
        <v>1351</v>
      </c>
      <c r="M78"/>
    </row>
    <row r="79" spans="1:13" ht="12.75">
      <c r="A79" s="1872" t="s">
        <v>1381</v>
      </c>
      <c r="B79" s="1872" t="s">
        <v>369</v>
      </c>
      <c r="C79" s="1873">
        <v>0</v>
      </c>
      <c r="D79" s="1873">
        <v>103</v>
      </c>
      <c r="E79" s="1873">
        <v>63</v>
      </c>
      <c r="F79" s="1873">
        <v>166</v>
      </c>
      <c r="G79" s="1837"/>
      <c r="H79" s="1832"/>
      <c r="I79" s="1832"/>
      <c r="J79" s="1832"/>
      <c r="K79" s="1836">
        <f t="shared" si="1"/>
        <v>103</v>
      </c>
      <c r="L79" s="1872" t="s">
        <v>1351</v>
      </c>
      <c r="M79"/>
    </row>
    <row r="80" spans="1:13" ht="12.75">
      <c r="A80" s="1872" t="s">
        <v>667</v>
      </c>
      <c r="B80" s="1872" t="s">
        <v>369</v>
      </c>
      <c r="C80" s="1873">
        <v>0</v>
      </c>
      <c r="D80" s="1873">
        <v>11856</v>
      </c>
      <c r="E80" s="1873">
        <v>3415</v>
      </c>
      <c r="F80" s="1873">
        <v>15271</v>
      </c>
      <c r="G80" s="1837"/>
      <c r="H80" s="1832"/>
      <c r="I80" s="1832"/>
      <c r="J80" s="1832"/>
      <c r="K80" s="1836">
        <f t="shared" si="1"/>
        <v>11856</v>
      </c>
      <c r="L80" s="1872" t="s">
        <v>1351</v>
      </c>
      <c r="M80"/>
    </row>
    <row r="81" spans="1:13" ht="12.75">
      <c r="A81" s="1872" t="s">
        <v>668</v>
      </c>
      <c r="B81" s="1872" t="s">
        <v>369</v>
      </c>
      <c r="C81" s="1873">
        <v>0</v>
      </c>
      <c r="D81" s="1873">
        <v>15234</v>
      </c>
      <c r="E81" s="1873">
        <v>7521</v>
      </c>
      <c r="F81" s="1873">
        <v>22755</v>
      </c>
      <c r="G81" s="1837"/>
      <c r="H81" s="1832"/>
      <c r="I81" s="1832"/>
      <c r="J81" s="1832"/>
      <c r="K81" s="1836">
        <f t="shared" si="1"/>
        <v>15234</v>
      </c>
      <c r="L81" s="1872" t="s">
        <v>1351</v>
      </c>
      <c r="M81"/>
    </row>
    <row r="82" spans="1:13" ht="12.75">
      <c r="A82" s="1872" t="s">
        <v>1382</v>
      </c>
      <c r="B82" s="1872" t="s">
        <v>369</v>
      </c>
      <c r="C82" s="1873">
        <v>0</v>
      </c>
      <c r="D82" s="1873">
        <v>16971</v>
      </c>
      <c r="E82" s="1873">
        <v>10024</v>
      </c>
      <c r="F82" s="1873">
        <v>26995</v>
      </c>
      <c r="G82" s="1835"/>
      <c r="H82" s="1838"/>
      <c r="I82" s="1838"/>
      <c r="J82" s="1838"/>
      <c r="K82" s="1836">
        <f t="shared" si="1"/>
        <v>16971</v>
      </c>
      <c r="L82" s="1872" t="s">
        <v>1351</v>
      </c>
      <c r="M82"/>
    </row>
    <row r="83" spans="1:13" ht="12.75">
      <c r="A83" s="1872" t="s">
        <v>669</v>
      </c>
      <c r="B83" s="1872" t="s">
        <v>369</v>
      </c>
      <c r="C83" s="1873">
        <v>0</v>
      </c>
      <c r="D83" s="1873">
        <v>324</v>
      </c>
      <c r="E83" s="1873">
        <v>129</v>
      </c>
      <c r="F83" s="1873">
        <v>453</v>
      </c>
      <c r="G83" s="1835"/>
      <c r="H83" s="1838"/>
      <c r="I83" s="1838"/>
      <c r="J83" s="1838"/>
      <c r="K83" s="1836">
        <f t="shared" si="1"/>
        <v>324</v>
      </c>
      <c r="L83" s="1872" t="s">
        <v>1351</v>
      </c>
      <c r="M83"/>
    </row>
    <row r="84" spans="1:13" ht="12.75">
      <c r="A84" s="1872" t="s">
        <v>372</v>
      </c>
      <c r="B84" s="1872" t="s">
        <v>369</v>
      </c>
      <c r="C84" s="1873">
        <v>0</v>
      </c>
      <c r="D84" s="1873">
        <v>92730</v>
      </c>
      <c r="E84" s="1873">
        <v>35628</v>
      </c>
      <c r="F84" s="1873">
        <v>128358</v>
      </c>
      <c r="G84" s="1837"/>
      <c r="H84" s="1832"/>
      <c r="I84" s="1832"/>
      <c r="J84" s="1832"/>
      <c r="K84" s="1836">
        <f t="shared" si="1"/>
        <v>92730</v>
      </c>
      <c r="L84" s="1872" t="s">
        <v>1351</v>
      </c>
      <c r="M84"/>
    </row>
    <row r="85" spans="1:13" ht="12.75">
      <c r="A85" s="1872" t="s">
        <v>372</v>
      </c>
      <c r="B85" s="1872" t="s">
        <v>369</v>
      </c>
      <c r="C85" s="1873">
        <v>0</v>
      </c>
      <c r="D85" s="1873">
        <v>6871</v>
      </c>
      <c r="E85" s="1873">
        <v>5705</v>
      </c>
      <c r="F85" s="1873">
        <v>12576</v>
      </c>
      <c r="G85" s="1837"/>
      <c r="H85" s="1832"/>
      <c r="I85" s="1832"/>
      <c r="J85" s="1832"/>
      <c r="K85" s="1836">
        <f>C85+D85</f>
        <v>6871</v>
      </c>
      <c r="L85" s="1872" t="s">
        <v>1352</v>
      </c>
      <c r="M85"/>
    </row>
    <row r="86" spans="1:13" ht="12.75">
      <c r="A86" s="1872" t="s">
        <v>1383</v>
      </c>
      <c r="B86" s="1872" t="s">
        <v>369</v>
      </c>
      <c r="C86" s="1873">
        <v>0</v>
      </c>
      <c r="D86" s="1873">
        <v>401</v>
      </c>
      <c r="E86" s="1873">
        <v>242</v>
      </c>
      <c r="F86" s="1873">
        <v>643</v>
      </c>
      <c r="G86" s="1837"/>
      <c r="H86" s="1832"/>
      <c r="I86" s="1832"/>
      <c r="J86" s="1832"/>
      <c r="K86" s="1836">
        <f>C86+D86</f>
        <v>401</v>
      </c>
      <c r="L86" s="1872" t="s">
        <v>1351</v>
      </c>
      <c r="M86"/>
    </row>
    <row r="87" spans="1:13" ht="12.75">
      <c r="A87" s="1872" t="s">
        <v>1383</v>
      </c>
      <c r="B87" s="1872" t="s">
        <v>369</v>
      </c>
      <c r="C87" s="1873">
        <v>0</v>
      </c>
      <c r="D87" s="1873">
        <v>62</v>
      </c>
      <c r="E87" s="1873">
        <v>5</v>
      </c>
      <c r="F87" s="1873">
        <v>67</v>
      </c>
      <c r="G87" s="1837"/>
      <c r="H87" s="1832"/>
      <c r="I87" s="1832"/>
      <c r="J87" s="1832"/>
      <c r="K87" s="1836">
        <f>C87+D87</f>
        <v>62</v>
      </c>
      <c r="L87" s="1872" t="s">
        <v>1352</v>
      </c>
      <c r="M87"/>
    </row>
    <row r="88" spans="1:13" ht="12.75">
      <c r="A88" s="1872" t="s">
        <v>670</v>
      </c>
      <c r="B88" s="1872" t="s">
        <v>369</v>
      </c>
      <c r="C88" s="1873">
        <v>0</v>
      </c>
      <c r="D88" s="1873">
        <v>19172</v>
      </c>
      <c r="E88" s="1873">
        <v>10139</v>
      </c>
      <c r="F88" s="1873">
        <v>29311</v>
      </c>
      <c r="G88" s="1837"/>
      <c r="H88" s="1832"/>
      <c r="I88" s="1832"/>
      <c r="J88" s="1832"/>
      <c r="K88" s="1836">
        <f>C88+D88</f>
        <v>19172</v>
      </c>
      <c r="L88" s="1872" t="s">
        <v>1351</v>
      </c>
      <c r="M88"/>
    </row>
    <row r="89" spans="1:13" ht="12.75">
      <c r="A89" s="1872" t="s">
        <v>670</v>
      </c>
      <c r="B89" s="1872" t="s">
        <v>369</v>
      </c>
      <c r="C89" s="1873">
        <v>0</v>
      </c>
      <c r="D89" s="1873">
        <v>74479</v>
      </c>
      <c r="E89" s="1873">
        <v>74981</v>
      </c>
      <c r="F89" s="1873">
        <v>149460</v>
      </c>
      <c r="G89" s="1837"/>
      <c r="H89" s="1832"/>
      <c r="I89" s="1832"/>
      <c r="J89" s="1832"/>
      <c r="K89" s="1836">
        <f t="shared" ref="K89:K90" si="2">C89+D89</f>
        <v>74479</v>
      </c>
      <c r="L89" s="1872" t="s">
        <v>1352</v>
      </c>
      <c r="M89"/>
    </row>
    <row r="90" spans="1:13" ht="12.75">
      <c r="A90" s="1872" t="s">
        <v>671</v>
      </c>
      <c r="B90" s="1872" t="s">
        <v>369</v>
      </c>
      <c r="C90" s="1873">
        <v>0</v>
      </c>
      <c r="D90" s="1873">
        <v>30225</v>
      </c>
      <c r="E90" s="1873">
        <v>103801</v>
      </c>
      <c r="F90" s="1873">
        <v>134026</v>
      </c>
      <c r="G90" s="1837"/>
      <c r="H90" s="1832"/>
      <c r="I90" s="1832"/>
      <c r="J90" s="1832"/>
      <c r="K90" s="1836">
        <f t="shared" si="2"/>
        <v>30225</v>
      </c>
      <c r="L90" s="1872" t="s">
        <v>1352</v>
      </c>
      <c r="M90"/>
    </row>
    <row r="91" spans="1:13" ht="12.75">
      <c r="A91" s="1872" t="s">
        <v>672</v>
      </c>
      <c r="B91" s="1872" t="s">
        <v>369</v>
      </c>
      <c r="C91" s="1873">
        <v>0</v>
      </c>
      <c r="D91" s="1873">
        <v>52438</v>
      </c>
      <c r="E91" s="1873">
        <v>9338</v>
      </c>
      <c r="F91" s="1873">
        <v>61776</v>
      </c>
      <c r="G91" s="1837"/>
      <c r="H91" s="1832"/>
      <c r="I91" s="1832"/>
      <c r="J91" s="1832"/>
      <c r="K91" s="1836">
        <f>C91+D91</f>
        <v>52438</v>
      </c>
      <c r="L91" s="1872" t="s">
        <v>1351</v>
      </c>
      <c r="M91"/>
    </row>
    <row r="92" spans="1:13" ht="12.75">
      <c r="A92" s="1872" t="s">
        <v>742</v>
      </c>
      <c r="B92" s="1872" t="s">
        <v>369</v>
      </c>
      <c r="C92" s="1873">
        <v>0</v>
      </c>
      <c r="D92" s="1873">
        <v>290</v>
      </c>
      <c r="E92" s="1873">
        <v>103</v>
      </c>
      <c r="F92" s="1873">
        <v>393</v>
      </c>
      <c r="G92" s="1837"/>
      <c r="H92" s="1832"/>
      <c r="I92" s="1832"/>
      <c r="J92" s="1832"/>
      <c r="K92" s="1836">
        <f>C92+D92</f>
        <v>290</v>
      </c>
      <c r="L92" s="1872" t="s">
        <v>1352</v>
      </c>
      <c r="M92"/>
    </row>
    <row r="93" spans="1:13" ht="12.75">
      <c r="A93" s="1872" t="s">
        <v>673</v>
      </c>
      <c r="B93" s="1872" t="s">
        <v>369</v>
      </c>
      <c r="C93" s="1873">
        <v>0</v>
      </c>
      <c r="D93" s="1873">
        <v>2825</v>
      </c>
      <c r="E93" s="1873">
        <v>1332</v>
      </c>
      <c r="F93" s="1873">
        <v>4157</v>
      </c>
      <c r="G93" s="1835"/>
      <c r="H93" s="1838"/>
      <c r="I93" s="1838"/>
      <c r="J93" s="1838"/>
      <c r="K93" s="1836">
        <f t="shared" ref="K93:K95" si="3">C93+D93</f>
        <v>2825</v>
      </c>
      <c r="L93" s="1872" t="s">
        <v>1351</v>
      </c>
      <c r="M93"/>
    </row>
    <row r="94" spans="1:13" ht="12.75">
      <c r="A94" s="1872" t="s">
        <v>674</v>
      </c>
      <c r="B94" s="1872" t="s">
        <v>369</v>
      </c>
      <c r="C94" s="1873">
        <v>0</v>
      </c>
      <c r="D94" s="1873">
        <v>18673</v>
      </c>
      <c r="E94" s="1873">
        <v>5149</v>
      </c>
      <c r="F94" s="1873">
        <v>23822</v>
      </c>
      <c r="G94" s="1837"/>
      <c r="H94" s="1832"/>
      <c r="I94" s="1832"/>
      <c r="J94" s="1832"/>
      <c r="K94" s="1836">
        <f t="shared" si="3"/>
        <v>18673</v>
      </c>
      <c r="L94" s="1872" t="s">
        <v>1351</v>
      </c>
      <c r="M94"/>
    </row>
    <row r="95" spans="1:13">
      <c r="A95" s="1872" t="s">
        <v>1348</v>
      </c>
      <c r="B95" s="1872" t="s">
        <v>369</v>
      </c>
      <c r="C95" s="1873">
        <v>0</v>
      </c>
      <c r="D95" s="1873">
        <v>9065</v>
      </c>
      <c r="E95" s="1873">
        <v>3171</v>
      </c>
      <c r="F95" s="1873">
        <v>12236</v>
      </c>
      <c r="G95" s="1837"/>
      <c r="H95" s="1832"/>
      <c r="I95" s="1832"/>
      <c r="J95" s="1832"/>
      <c r="K95" s="1836">
        <f t="shared" si="3"/>
        <v>9065</v>
      </c>
      <c r="L95" s="1872" t="s">
        <v>1351</v>
      </c>
      <c r="M95" s="1874"/>
    </row>
    <row r="96" spans="1:13" ht="12.75">
      <c r="A96" s="1872" t="s">
        <v>664</v>
      </c>
      <c r="B96" s="1872" t="s">
        <v>664</v>
      </c>
      <c r="C96" s="1873">
        <v>0</v>
      </c>
      <c r="D96" s="1873">
        <v>0</v>
      </c>
      <c r="E96" s="1873">
        <v>0</v>
      </c>
      <c r="F96" s="1873">
        <v>0</v>
      </c>
      <c r="G96" s="1837"/>
      <c r="H96" s="1832"/>
      <c r="I96" s="1832"/>
      <c r="J96" s="1832"/>
      <c r="K96" s="1836"/>
      <c r="L96" s="1872"/>
      <c r="M96"/>
    </row>
    <row r="97" spans="1:13" ht="12.75">
      <c r="A97" s="1872" t="s">
        <v>1384</v>
      </c>
      <c r="B97" s="1872" t="s">
        <v>182</v>
      </c>
      <c r="C97" s="1873">
        <v>0</v>
      </c>
      <c r="D97" s="1873">
        <v>0</v>
      </c>
      <c r="E97" s="1873">
        <v>-8894</v>
      </c>
      <c r="F97" s="1873">
        <v>-8894</v>
      </c>
      <c r="G97" s="1837"/>
      <c r="H97" s="1832"/>
      <c r="I97" s="1832"/>
      <c r="J97" s="1832"/>
      <c r="K97" s="1836"/>
      <c r="L97" s="1872"/>
      <c r="M97"/>
    </row>
    <row r="98" spans="1:13" ht="12.75">
      <c r="A98" s="1872" t="s">
        <v>666</v>
      </c>
      <c r="B98" s="1872" t="s">
        <v>182</v>
      </c>
      <c r="C98" s="1873">
        <v>0</v>
      </c>
      <c r="D98" s="1873">
        <v>0</v>
      </c>
      <c r="E98" s="1873">
        <v>-1</v>
      </c>
      <c r="F98" s="1873">
        <v>-1</v>
      </c>
      <c r="G98" s="1835"/>
      <c r="H98" s="1838"/>
      <c r="I98" s="1838"/>
      <c r="J98" s="1838"/>
      <c r="K98" s="1836"/>
      <c r="L98" s="1872"/>
      <c r="M98"/>
    </row>
    <row r="99" spans="1:13" ht="12.75">
      <c r="A99" s="1872" t="s">
        <v>1347</v>
      </c>
      <c r="B99" s="1872" t="s">
        <v>182</v>
      </c>
      <c r="C99" s="1873">
        <v>0</v>
      </c>
      <c r="D99" s="1873">
        <v>0</v>
      </c>
      <c r="E99" s="1873">
        <v>-1141</v>
      </c>
      <c r="F99" s="1873">
        <v>-1141</v>
      </c>
      <c r="G99" s="1837"/>
      <c r="H99" s="1832"/>
      <c r="I99" s="1832"/>
      <c r="J99" s="1832"/>
      <c r="K99" s="1836"/>
      <c r="L99" s="1872"/>
      <c r="M99"/>
    </row>
    <row r="100" spans="1:13" ht="12.75">
      <c r="A100" s="1872" t="s">
        <v>667</v>
      </c>
      <c r="B100" s="1872" t="s">
        <v>182</v>
      </c>
      <c r="C100" s="1873">
        <v>0</v>
      </c>
      <c r="D100" s="1873">
        <v>0</v>
      </c>
      <c r="E100" s="1873">
        <v>-9</v>
      </c>
      <c r="F100" s="1873">
        <v>-9</v>
      </c>
      <c r="G100" s="1837"/>
      <c r="H100" s="1832"/>
      <c r="I100" s="1832"/>
      <c r="J100" s="1832"/>
      <c r="K100" s="1836"/>
      <c r="L100" s="1872"/>
      <c r="M100"/>
    </row>
    <row r="101" spans="1:13" ht="12.75">
      <c r="A101" s="1872" t="s">
        <v>668</v>
      </c>
      <c r="B101" s="1872" t="s">
        <v>182</v>
      </c>
      <c r="C101" s="1873">
        <v>0</v>
      </c>
      <c r="D101" s="1873">
        <v>0</v>
      </c>
      <c r="E101" s="1873">
        <v>-3135</v>
      </c>
      <c r="F101" s="1873">
        <v>-3135</v>
      </c>
      <c r="G101" s="1837"/>
      <c r="H101" s="1832"/>
      <c r="I101" s="1832"/>
      <c r="J101" s="1832"/>
      <c r="K101" s="1836"/>
      <c r="L101" s="1872"/>
      <c r="M101"/>
    </row>
    <row r="102" spans="1:13" ht="12.75">
      <c r="A102" s="1872" t="s">
        <v>1378</v>
      </c>
      <c r="B102" s="1872" t="s">
        <v>182</v>
      </c>
      <c r="C102" s="1873">
        <v>0</v>
      </c>
      <c r="D102" s="1873">
        <v>0</v>
      </c>
      <c r="E102" s="1873">
        <v>-186</v>
      </c>
      <c r="F102" s="1873">
        <v>-186</v>
      </c>
      <c r="G102" s="1835"/>
      <c r="H102" s="1838"/>
      <c r="I102" s="1838"/>
      <c r="J102" s="1838"/>
      <c r="K102" s="1836"/>
      <c r="L102" s="1872"/>
      <c r="M102"/>
    </row>
    <row r="103" spans="1:13" ht="12.75">
      <c r="A103" s="1872" t="s">
        <v>372</v>
      </c>
      <c r="B103" s="1872" t="s">
        <v>182</v>
      </c>
      <c r="C103" s="1873">
        <v>0</v>
      </c>
      <c r="D103" s="1873">
        <v>0</v>
      </c>
      <c r="E103" s="1873">
        <v>-21789</v>
      </c>
      <c r="F103" s="1873">
        <v>-21789</v>
      </c>
      <c r="G103" s="1835"/>
      <c r="H103" s="1838"/>
      <c r="I103" s="1838"/>
      <c r="J103" s="1838"/>
      <c r="K103" s="1836"/>
      <c r="L103" s="1872"/>
      <c r="M103"/>
    </row>
    <row r="104" spans="1:13" ht="12.75">
      <c r="A104" s="1872" t="s">
        <v>1383</v>
      </c>
      <c r="B104" s="1872" t="s">
        <v>182</v>
      </c>
      <c r="C104" s="1873">
        <v>0</v>
      </c>
      <c r="D104" s="1873">
        <v>0</v>
      </c>
      <c r="E104" s="1873">
        <v>-3</v>
      </c>
      <c r="F104" s="1873">
        <v>-3</v>
      </c>
      <c r="G104" s="1835"/>
      <c r="H104" s="1838"/>
      <c r="I104" s="1838"/>
      <c r="J104" s="1838"/>
      <c r="K104" s="1836"/>
      <c r="L104" s="1872"/>
      <c r="M104"/>
    </row>
    <row r="105" spans="1:13" ht="12.75">
      <c r="A105" s="1872" t="s">
        <v>670</v>
      </c>
      <c r="B105" s="1872" t="s">
        <v>182</v>
      </c>
      <c r="C105" s="1873">
        <v>0</v>
      </c>
      <c r="D105" s="1873">
        <v>0</v>
      </c>
      <c r="E105" s="1873">
        <v>-1317</v>
      </c>
      <c r="F105" s="1873">
        <v>-1317</v>
      </c>
      <c r="G105" s="1837"/>
      <c r="H105" s="1832"/>
      <c r="I105" s="1832"/>
      <c r="J105" s="1832"/>
      <c r="K105" s="1836"/>
      <c r="L105" s="1872"/>
      <c r="M105"/>
    </row>
    <row r="106" spans="1:13" ht="12.75">
      <c r="A106" s="1872" t="s">
        <v>671</v>
      </c>
      <c r="B106" s="1872" t="s">
        <v>182</v>
      </c>
      <c r="C106" s="1873">
        <v>0</v>
      </c>
      <c r="D106" s="1873">
        <v>0</v>
      </c>
      <c r="E106" s="1873">
        <v>-2193</v>
      </c>
      <c r="F106" s="1873">
        <v>-2193</v>
      </c>
      <c r="G106" s="1837"/>
      <c r="H106" s="1832"/>
      <c r="I106" s="1832"/>
      <c r="J106" s="1832"/>
      <c r="K106" s="1836"/>
      <c r="L106" s="1872"/>
      <c r="M106"/>
    </row>
    <row r="107" spans="1:13" ht="12.75">
      <c r="A107" s="1872" t="s">
        <v>664</v>
      </c>
      <c r="B107" s="1872" t="s">
        <v>664</v>
      </c>
      <c r="C107" s="1873">
        <v>0</v>
      </c>
      <c r="D107" s="1873">
        <v>0</v>
      </c>
      <c r="E107" s="1873">
        <v>0</v>
      </c>
      <c r="F107" s="1873">
        <v>0</v>
      </c>
      <c r="G107" s="1837"/>
      <c r="H107" s="1832"/>
      <c r="I107" s="1832"/>
      <c r="J107" s="1832"/>
      <c r="K107" s="1836"/>
      <c r="L107" s="1872"/>
      <c r="M107"/>
    </row>
    <row r="108" spans="1:13" ht="12.75">
      <c r="A108" s="1872" t="s">
        <v>169</v>
      </c>
      <c r="B108" s="1872" t="s">
        <v>182</v>
      </c>
      <c r="C108" s="1873">
        <v>0</v>
      </c>
      <c r="D108" s="1873">
        <v>0</v>
      </c>
      <c r="E108" s="1873">
        <v>-55</v>
      </c>
      <c r="F108" s="1873">
        <v>-55</v>
      </c>
      <c r="G108" s="1837"/>
      <c r="H108" s="1832"/>
      <c r="I108" s="1832"/>
      <c r="J108" s="1832"/>
      <c r="K108" s="1836"/>
      <c r="L108" s="1872"/>
      <c r="M108"/>
    </row>
    <row r="109" spans="1:13" ht="12.75">
      <c r="A109" s="1872" t="s">
        <v>742</v>
      </c>
      <c r="B109" s="1872" t="s">
        <v>182</v>
      </c>
      <c r="C109" s="1873">
        <v>0</v>
      </c>
      <c r="D109" s="1873">
        <v>0</v>
      </c>
      <c r="E109" s="1873">
        <v>-1</v>
      </c>
      <c r="F109" s="1873">
        <v>-1</v>
      </c>
      <c r="G109" s="1837"/>
      <c r="H109" s="1832"/>
      <c r="I109" s="1832"/>
      <c r="J109" s="1832"/>
      <c r="K109" s="1836"/>
      <c r="L109" s="1872"/>
      <c r="M109"/>
    </row>
    <row r="110" spans="1:13" ht="12.75">
      <c r="A110" s="1872" t="s">
        <v>673</v>
      </c>
      <c r="B110" s="1872" t="s">
        <v>182</v>
      </c>
      <c r="C110" s="1873">
        <v>0</v>
      </c>
      <c r="D110" s="1873">
        <v>0</v>
      </c>
      <c r="E110" s="1873">
        <v>-2</v>
      </c>
      <c r="F110" s="1873">
        <v>-2</v>
      </c>
      <c r="G110" s="1837"/>
      <c r="H110" s="1832"/>
      <c r="I110" s="1832"/>
      <c r="J110" s="1832"/>
      <c r="K110" s="1836"/>
      <c r="L110" s="1872"/>
      <c r="M110"/>
    </row>
    <row r="111" spans="1:13" ht="12.75">
      <c r="A111" s="1872" t="s">
        <v>674</v>
      </c>
      <c r="B111" s="1872" t="s">
        <v>182</v>
      </c>
      <c r="C111" s="1873">
        <v>0</v>
      </c>
      <c r="D111" s="1873">
        <v>0</v>
      </c>
      <c r="E111" s="1873">
        <v>-1886</v>
      </c>
      <c r="F111" s="1873">
        <v>-1886</v>
      </c>
      <c r="G111" s="1837"/>
      <c r="H111" s="1832"/>
      <c r="I111" s="1832"/>
      <c r="J111" s="1832"/>
      <c r="K111" s="1836"/>
      <c r="L111" s="1872"/>
      <c r="M111"/>
    </row>
    <row r="112" spans="1:13" ht="12.75">
      <c r="A112" s="1872" t="s">
        <v>1348</v>
      </c>
      <c r="B112" s="1872" t="s">
        <v>182</v>
      </c>
      <c r="C112" s="1873">
        <v>0</v>
      </c>
      <c r="D112" s="1873">
        <v>0</v>
      </c>
      <c r="E112" s="1873">
        <v>-1</v>
      </c>
      <c r="F112" s="1873">
        <v>-1</v>
      </c>
      <c r="G112" s="1837"/>
      <c r="H112" s="1832"/>
      <c r="I112" s="1832"/>
      <c r="J112" s="1832"/>
      <c r="K112" s="1836"/>
      <c r="L112" s="1872"/>
      <c r="M112"/>
    </row>
    <row r="113" spans="1:13" ht="12.75">
      <c r="A113" s="1872" t="s">
        <v>675</v>
      </c>
      <c r="B113" s="1872" t="s">
        <v>182</v>
      </c>
      <c r="C113" s="1873">
        <v>0</v>
      </c>
      <c r="D113" s="1873">
        <v>0</v>
      </c>
      <c r="E113" s="1873">
        <v>-253</v>
      </c>
      <c r="F113" s="1873">
        <v>-253</v>
      </c>
      <c r="G113" s="1837"/>
      <c r="H113" s="1832"/>
      <c r="I113" s="1832"/>
      <c r="J113" s="1832"/>
      <c r="K113" s="1836"/>
      <c r="L113" s="1872"/>
      <c r="M113"/>
    </row>
    <row r="114" spans="1:13" ht="12.75">
      <c r="A114" s="1872" t="s">
        <v>664</v>
      </c>
      <c r="B114" s="1872" t="s">
        <v>664</v>
      </c>
      <c r="C114" s="1873">
        <v>0</v>
      </c>
      <c r="D114" s="1873">
        <v>0</v>
      </c>
      <c r="E114" s="1873">
        <v>0</v>
      </c>
      <c r="F114" s="1873">
        <v>0</v>
      </c>
      <c r="G114" s="1837"/>
      <c r="H114" s="1832"/>
      <c r="I114" s="1832"/>
      <c r="J114" s="1832"/>
      <c r="K114" s="1836"/>
      <c r="L114" s="1872"/>
      <c r="M114"/>
    </row>
    <row r="115" spans="1:13">
      <c r="A115" s="1872" t="s">
        <v>171</v>
      </c>
      <c r="B115" s="1872" t="s">
        <v>366</v>
      </c>
      <c r="C115" s="1873">
        <v>155528</v>
      </c>
      <c r="D115" s="1873">
        <v>0</v>
      </c>
      <c r="E115" s="1873">
        <v>411115</v>
      </c>
      <c r="F115" s="1873">
        <v>566643</v>
      </c>
      <c r="G115" s="1837"/>
      <c r="H115" s="1832"/>
      <c r="I115" s="1832"/>
      <c r="J115" s="1832"/>
      <c r="K115" s="1836"/>
      <c r="L115" s="1872"/>
      <c r="M115" s="1874"/>
    </row>
    <row r="116" spans="1:13" ht="12.75">
      <c r="A116" s="1872" t="s">
        <v>893</v>
      </c>
      <c r="B116" s="1872" t="s">
        <v>366</v>
      </c>
      <c r="C116" s="1873">
        <v>108614</v>
      </c>
      <c r="D116" s="1873">
        <v>0</v>
      </c>
      <c r="E116" s="1873">
        <v>479932</v>
      </c>
      <c r="F116" s="1873">
        <v>588546</v>
      </c>
      <c r="G116" s="1837"/>
      <c r="H116" s="1832"/>
      <c r="I116" s="1832"/>
      <c r="J116" s="1832"/>
      <c r="K116" s="1836"/>
      <c r="L116" s="1872"/>
      <c r="M116"/>
    </row>
    <row r="117" spans="1:13" ht="12.75">
      <c r="A117" s="1872" t="s">
        <v>1349</v>
      </c>
      <c r="B117" s="1872" t="s">
        <v>366</v>
      </c>
      <c r="C117" s="1873">
        <v>73399</v>
      </c>
      <c r="D117" s="1873">
        <v>0</v>
      </c>
      <c r="E117" s="1873">
        <v>96649</v>
      </c>
      <c r="F117" s="1873">
        <v>170048</v>
      </c>
      <c r="G117" s="1837"/>
      <c r="H117" s="1832"/>
      <c r="I117" s="1832"/>
      <c r="J117" s="1832"/>
      <c r="K117" s="1836"/>
      <c r="L117" s="1872"/>
      <c r="M117"/>
    </row>
    <row r="118" spans="1:13" ht="12.75">
      <c r="A118" s="1872" t="s">
        <v>743</v>
      </c>
      <c r="B118" s="1872" t="s">
        <v>366</v>
      </c>
      <c r="C118" s="1873">
        <v>35866</v>
      </c>
      <c r="D118" s="1873">
        <v>0</v>
      </c>
      <c r="E118" s="1873">
        <v>-133141</v>
      </c>
      <c r="F118" s="1873">
        <v>-97275</v>
      </c>
      <c r="G118" s="1837"/>
      <c r="H118" s="1832"/>
      <c r="I118" s="1832"/>
      <c r="J118" s="1832"/>
      <c r="K118" s="1836"/>
      <c r="L118" s="1872"/>
      <c r="M118"/>
    </row>
    <row r="119" spans="1:13" ht="12.75">
      <c r="A119" s="1872" t="s">
        <v>744</v>
      </c>
      <c r="B119" s="1872" t="s">
        <v>366</v>
      </c>
      <c r="C119" s="1873">
        <v>41868</v>
      </c>
      <c r="D119" s="1873">
        <v>0</v>
      </c>
      <c r="E119" s="1873">
        <v>-41910</v>
      </c>
      <c r="F119" s="1873">
        <v>-42</v>
      </c>
      <c r="G119" s="1837"/>
      <c r="H119" s="1832"/>
      <c r="I119" s="1832"/>
      <c r="J119" s="1832"/>
      <c r="K119" s="1836"/>
      <c r="L119" s="1872"/>
      <c r="M119"/>
    </row>
    <row r="120" spans="1:13" ht="12.75">
      <c r="A120" s="1872" t="s">
        <v>172</v>
      </c>
      <c r="B120" s="1872" t="s">
        <v>366</v>
      </c>
      <c r="C120" s="1873">
        <v>1215300</v>
      </c>
      <c r="D120" s="1873">
        <v>0</v>
      </c>
      <c r="E120" s="1873">
        <v>348400</v>
      </c>
      <c r="F120" s="1873">
        <v>1563700</v>
      </c>
      <c r="G120" s="1837"/>
      <c r="H120" s="1832"/>
      <c r="I120" s="1832"/>
      <c r="J120" s="1832"/>
      <c r="K120" s="1836"/>
      <c r="L120" s="1872"/>
      <c r="M120"/>
    </row>
    <row r="121" spans="1:13" ht="12.75">
      <c r="A121" s="1872" t="s">
        <v>745</v>
      </c>
      <c r="B121" s="1872" t="s">
        <v>366</v>
      </c>
      <c r="C121" s="1873">
        <v>1713446</v>
      </c>
      <c r="D121" s="1873">
        <v>0</v>
      </c>
      <c r="E121" s="1873">
        <v>712567</v>
      </c>
      <c r="F121" s="1873">
        <v>2426013</v>
      </c>
      <c r="G121" s="1837"/>
      <c r="H121" s="1832"/>
      <c r="I121" s="1832"/>
      <c r="J121" s="1832"/>
      <c r="K121" s="1836"/>
      <c r="L121" s="1872"/>
      <c r="M121"/>
    </row>
    <row r="122" spans="1:13" ht="12.75">
      <c r="A122" s="1872" t="s">
        <v>173</v>
      </c>
      <c r="B122" s="1872" t="s">
        <v>366</v>
      </c>
      <c r="C122" s="1873">
        <v>48692</v>
      </c>
      <c r="D122" s="1873">
        <v>0</v>
      </c>
      <c r="E122" s="1873">
        <v>-458229</v>
      </c>
      <c r="F122" s="1873">
        <v>-409537</v>
      </c>
      <c r="G122" s="1837"/>
      <c r="H122" s="1832"/>
      <c r="I122" s="1832"/>
      <c r="J122" s="1832"/>
      <c r="K122" s="1836"/>
      <c r="L122" s="1872"/>
      <c r="M122"/>
    </row>
    <row r="123" spans="1:13" ht="12.75">
      <c r="A123" s="1872" t="s">
        <v>1350</v>
      </c>
      <c r="B123" s="1872" t="s">
        <v>366</v>
      </c>
      <c r="C123" s="1873">
        <v>646260</v>
      </c>
      <c r="D123" s="1873">
        <v>0</v>
      </c>
      <c r="E123" s="1873">
        <v>84629</v>
      </c>
      <c r="F123" s="1873">
        <v>730889</v>
      </c>
      <c r="G123" s="1837"/>
      <c r="H123" s="1832"/>
      <c r="I123" s="1832"/>
      <c r="J123" s="1832"/>
      <c r="K123" s="1836"/>
      <c r="L123" s="1872"/>
      <c r="M123"/>
    </row>
    <row r="124" spans="1:13" ht="12.75">
      <c r="A124" s="1872" t="s">
        <v>174</v>
      </c>
      <c r="B124" s="1872" t="s">
        <v>366</v>
      </c>
      <c r="C124" s="1873">
        <v>545481</v>
      </c>
      <c r="D124" s="1873">
        <v>0</v>
      </c>
      <c r="E124" s="1873">
        <v>309788</v>
      </c>
      <c r="F124" s="1873">
        <v>855269</v>
      </c>
      <c r="G124" s="1837"/>
      <c r="H124" s="1832"/>
      <c r="I124" s="1832"/>
      <c r="J124" s="1832"/>
      <c r="K124" s="1836"/>
      <c r="L124" s="1872"/>
      <c r="M124"/>
    </row>
    <row r="125" spans="1:13" ht="12.75">
      <c r="A125" s="1872" t="s">
        <v>664</v>
      </c>
      <c r="B125" s="1872" t="s">
        <v>664</v>
      </c>
      <c r="C125" s="1873">
        <v>0</v>
      </c>
      <c r="D125" s="1873">
        <v>0</v>
      </c>
      <c r="E125" s="1873">
        <v>0</v>
      </c>
      <c r="F125" s="1873">
        <v>0</v>
      </c>
      <c r="G125" s="1837"/>
      <c r="H125" s="1832"/>
      <c r="I125" s="1832"/>
      <c r="J125" s="1832"/>
      <c r="K125" s="1836"/>
      <c r="L125" s="1872"/>
      <c r="M125"/>
    </row>
    <row r="126" spans="1:13" ht="12.75">
      <c r="A126" s="1872" t="s">
        <v>171</v>
      </c>
      <c r="B126" s="1872" t="s">
        <v>182</v>
      </c>
      <c r="C126" s="1873">
        <v>0</v>
      </c>
      <c r="D126" s="1873">
        <v>0</v>
      </c>
      <c r="E126" s="1873">
        <v>-356</v>
      </c>
      <c r="F126" s="1873">
        <v>-356</v>
      </c>
      <c r="G126" s="1837"/>
      <c r="H126" s="1832"/>
      <c r="I126" s="1832"/>
      <c r="J126" s="1832"/>
      <c r="K126" s="1836"/>
      <c r="L126" s="1872"/>
      <c r="M126"/>
    </row>
    <row r="127" spans="1:13" ht="12.75">
      <c r="A127" s="1872" t="s">
        <v>893</v>
      </c>
      <c r="B127" s="1872" t="s">
        <v>182</v>
      </c>
      <c r="C127" s="1873">
        <v>0</v>
      </c>
      <c r="D127" s="1873">
        <v>0</v>
      </c>
      <c r="E127" s="1873">
        <v>-335</v>
      </c>
      <c r="F127" s="1873">
        <v>-335</v>
      </c>
      <c r="G127" s="1837"/>
      <c r="H127" s="1832"/>
      <c r="I127" s="1832"/>
      <c r="J127" s="1832"/>
      <c r="K127" s="1836"/>
      <c r="L127" s="1872"/>
      <c r="M127"/>
    </row>
    <row r="128" spans="1:13" ht="12.75">
      <c r="A128" s="1872" t="s">
        <v>1349</v>
      </c>
      <c r="B128" s="1872" t="s">
        <v>182</v>
      </c>
      <c r="C128" s="1873">
        <v>0</v>
      </c>
      <c r="D128" s="1873">
        <v>0</v>
      </c>
      <c r="E128" s="1873">
        <v>-535</v>
      </c>
      <c r="F128" s="1873">
        <v>-535</v>
      </c>
      <c r="G128" s="1837"/>
      <c r="H128" s="1832"/>
      <c r="I128" s="1832"/>
      <c r="J128" s="1832"/>
      <c r="K128" s="1836"/>
      <c r="L128" s="1872"/>
      <c r="M128"/>
    </row>
    <row r="129" spans="1:13" ht="12.75">
      <c r="A129" s="1872" t="s">
        <v>743</v>
      </c>
      <c r="B129" s="1872" t="s">
        <v>182</v>
      </c>
      <c r="C129" s="1873">
        <v>0</v>
      </c>
      <c r="D129" s="1873">
        <v>0</v>
      </c>
      <c r="E129" s="1873">
        <v>-487</v>
      </c>
      <c r="F129" s="1873">
        <v>-487</v>
      </c>
      <c r="G129" s="1837"/>
      <c r="H129" s="1832"/>
      <c r="I129" s="1832"/>
      <c r="J129" s="1832"/>
      <c r="K129" s="1836"/>
      <c r="L129" s="1872"/>
      <c r="M129"/>
    </row>
    <row r="130" spans="1:13" ht="12.75">
      <c r="A130" s="1872" t="s">
        <v>172</v>
      </c>
      <c r="B130" s="1872" t="s">
        <v>182</v>
      </c>
      <c r="C130" s="1873">
        <v>0</v>
      </c>
      <c r="D130" s="1873">
        <v>0</v>
      </c>
      <c r="E130" s="1873">
        <v>-6621</v>
      </c>
      <c r="F130" s="1873">
        <v>-6621</v>
      </c>
      <c r="G130" s="1837"/>
      <c r="H130" s="1832"/>
      <c r="I130" s="1832"/>
      <c r="J130" s="1832"/>
      <c r="K130" s="1836"/>
      <c r="L130" s="1872"/>
      <c r="M130"/>
    </row>
    <row r="131" spans="1:13" ht="12.75">
      <c r="A131" s="1872" t="s">
        <v>745</v>
      </c>
      <c r="B131" s="1872" t="s">
        <v>182</v>
      </c>
      <c r="C131" s="1873">
        <v>0</v>
      </c>
      <c r="D131" s="1873">
        <v>0</v>
      </c>
      <c r="E131" s="1873">
        <v>-11090</v>
      </c>
      <c r="F131" s="1873">
        <v>-11090</v>
      </c>
      <c r="G131" s="1837"/>
      <c r="H131" s="1832"/>
      <c r="I131" s="1832"/>
      <c r="J131" s="1832"/>
      <c r="K131" s="1836"/>
      <c r="L131" s="1872"/>
      <c r="M131"/>
    </row>
    <row r="132" spans="1:13" ht="12.75">
      <c r="A132" s="1872" t="s">
        <v>173</v>
      </c>
      <c r="B132" s="1872" t="s">
        <v>182</v>
      </c>
      <c r="C132" s="1873">
        <v>0</v>
      </c>
      <c r="D132" s="1873">
        <v>0</v>
      </c>
      <c r="E132" s="1873">
        <v>-347</v>
      </c>
      <c r="F132" s="1873">
        <v>-347</v>
      </c>
      <c r="G132" s="1837"/>
      <c r="H132" s="1832"/>
      <c r="I132" s="1832"/>
      <c r="J132" s="1832"/>
      <c r="K132" s="1836"/>
      <c r="L132" s="1872"/>
      <c r="M132"/>
    </row>
    <row r="133" spans="1:13" ht="12.75">
      <c r="A133" s="1872" t="s">
        <v>1350</v>
      </c>
      <c r="B133" s="1872" t="s">
        <v>182</v>
      </c>
      <c r="C133" s="1873">
        <v>0</v>
      </c>
      <c r="D133" s="1873">
        <v>0</v>
      </c>
      <c r="E133" s="1873">
        <v>-2816</v>
      </c>
      <c r="F133" s="1873">
        <v>-2816</v>
      </c>
      <c r="G133" s="1837"/>
      <c r="H133" s="1832"/>
      <c r="I133" s="1832"/>
      <c r="J133" s="1832"/>
      <c r="K133" s="1836"/>
      <c r="L133" s="1872"/>
      <c r="M133"/>
    </row>
    <row r="134" spans="1:13" ht="12.75">
      <c r="A134" s="1872" t="s">
        <v>174</v>
      </c>
      <c r="B134" s="1872" t="s">
        <v>182</v>
      </c>
      <c r="C134" s="1873">
        <v>0</v>
      </c>
      <c r="D134" s="1873">
        <v>0</v>
      </c>
      <c r="E134" s="1873">
        <v>-2904</v>
      </c>
      <c r="F134" s="1873">
        <v>-2904</v>
      </c>
      <c r="G134" s="1837"/>
      <c r="H134" s="1832"/>
      <c r="I134" s="1832"/>
      <c r="J134" s="1832"/>
      <c r="K134" s="1836"/>
      <c r="L134" s="1872"/>
      <c r="M134"/>
    </row>
    <row r="135" spans="1:13" ht="12.75">
      <c r="A135" s="1872" t="s">
        <v>664</v>
      </c>
      <c r="B135" s="1872" t="s">
        <v>664</v>
      </c>
      <c r="C135" s="1873">
        <v>0</v>
      </c>
      <c r="D135" s="1873">
        <v>0</v>
      </c>
      <c r="E135" s="1873">
        <v>0</v>
      </c>
      <c r="F135" s="1873">
        <v>0</v>
      </c>
      <c r="G135" s="1837"/>
      <c r="H135" s="1832"/>
      <c r="I135" s="1832"/>
      <c r="J135" s="1832"/>
      <c r="K135" s="1836"/>
      <c r="L135" s="1872"/>
      <c r="M135"/>
    </row>
    <row r="136" spans="1:13" ht="12.75">
      <c r="A136" s="1872" t="s">
        <v>1112</v>
      </c>
      <c r="B136" s="1872" t="s">
        <v>664</v>
      </c>
      <c r="C136" s="1873">
        <v>0</v>
      </c>
      <c r="D136" s="1873">
        <v>0</v>
      </c>
      <c r="E136" s="1873">
        <v>27151</v>
      </c>
      <c r="F136" s="1873">
        <v>27151</v>
      </c>
      <c r="G136" s="1837"/>
      <c r="H136" s="1832"/>
      <c r="I136" s="1832"/>
      <c r="J136" s="1832"/>
      <c r="K136" s="1836"/>
      <c r="L136" s="1872"/>
      <c r="M136"/>
    </row>
    <row r="137" spans="1:13" ht="12.75">
      <c r="A137" s="1839"/>
      <c r="B137" s="1839"/>
      <c r="C137" s="1840"/>
      <c r="D137" s="1840"/>
      <c r="E137" s="1840"/>
      <c r="F137" s="1840"/>
      <c r="G137" s="1837"/>
      <c r="H137" s="1832"/>
      <c r="I137" s="1832"/>
      <c r="J137" s="1832"/>
      <c r="K137" s="1836"/>
      <c r="L137" s="1833"/>
      <c r="M137" s="2"/>
    </row>
    <row r="138" spans="1:13" ht="12.75">
      <c r="A138" s="558"/>
      <c r="B138" s="1610"/>
      <c r="C138" s="1605"/>
      <c r="D138" s="1605"/>
      <c r="E138" s="1605"/>
      <c r="F138" s="1605"/>
      <c r="G138" s="1604"/>
      <c r="H138" s="1610"/>
      <c r="I138" s="1610"/>
      <c r="J138" s="1610"/>
      <c r="K138" s="1603"/>
      <c r="L138" s="2"/>
    </row>
    <row r="139" spans="1:13" ht="13.5" thickBot="1">
      <c r="A139" s="1157"/>
      <c r="B139" s="1658"/>
      <c r="C139" s="1606"/>
      <c r="D139" s="1606"/>
      <c r="E139" s="1606"/>
      <c r="F139" s="1606"/>
      <c r="G139" s="1607"/>
      <c r="H139" s="1607"/>
      <c r="I139" s="1607"/>
      <c r="J139" s="1607"/>
      <c r="K139" s="1765"/>
      <c r="L139" s="2"/>
    </row>
    <row r="140" spans="1:13">
      <c r="A140" s="1608" t="s">
        <v>1015</v>
      </c>
      <c r="B140" s="1609"/>
      <c r="C140" s="1637">
        <f>SUM(C42:C139)</f>
        <v>19127977</v>
      </c>
      <c r="D140" s="1637">
        <f>SUM(D42:D139)</f>
        <v>366115</v>
      </c>
      <c r="E140" s="1637">
        <f>SUM(E42:E139)</f>
        <v>10482160</v>
      </c>
      <c r="F140" s="1637">
        <f>SUM(F42:F139)</f>
        <v>29976252</v>
      </c>
      <c r="G140" s="1637">
        <v>0</v>
      </c>
      <c r="H140" s="1637">
        <v>0</v>
      </c>
      <c r="I140" s="1637">
        <v>0</v>
      </c>
      <c r="J140" s="1637">
        <v>0</v>
      </c>
      <c r="K140" s="1638">
        <f>SUM(K42:K139)</f>
        <v>3537134.85</v>
      </c>
      <c r="L140" s="1602"/>
    </row>
    <row r="141" spans="1:13">
      <c r="A141" s="1599" t="s">
        <v>183</v>
      </c>
      <c r="B141" s="1600"/>
      <c r="C141" s="1600"/>
      <c r="D141" s="1600"/>
      <c r="E141" s="1600"/>
      <c r="F141" s="1605">
        <v>29976252</v>
      </c>
      <c r="G141" s="1600"/>
      <c r="H141" s="1610"/>
      <c r="I141" s="1610"/>
      <c r="J141" s="1610"/>
      <c r="K141" s="1601"/>
      <c r="L141" s="1602"/>
    </row>
    <row r="142" spans="1:13">
      <c r="A142" s="1599" t="s">
        <v>376</v>
      </c>
      <c r="B142" s="1600"/>
      <c r="C142" s="1600"/>
      <c r="D142" s="1600"/>
      <c r="E142" s="1600"/>
      <c r="F142" s="672">
        <f>F140-F141</f>
        <v>0</v>
      </c>
      <c r="G142" s="1600"/>
      <c r="H142" s="1610"/>
      <c r="I142" s="1610"/>
      <c r="J142" s="1610"/>
      <c r="K142" s="1601"/>
      <c r="L142" s="1602"/>
    </row>
    <row r="143" spans="1:13">
      <c r="A143" s="1599" t="s">
        <v>1013</v>
      </c>
      <c r="B143" s="1610"/>
      <c r="C143" s="1610"/>
      <c r="D143" s="1610"/>
      <c r="E143" s="1610"/>
      <c r="F143" s="1610"/>
      <c r="G143" s="1610"/>
      <c r="H143" s="1610"/>
      <c r="I143" s="1610"/>
      <c r="J143" s="1610"/>
      <c r="K143" s="1611">
        <v>0</v>
      </c>
      <c r="L143" s="1602"/>
    </row>
    <row r="144" spans="1:13">
      <c r="A144" s="1599" t="s">
        <v>269</v>
      </c>
      <c r="B144" s="1610"/>
      <c r="C144" s="1610"/>
      <c r="D144" s="1610"/>
      <c r="E144" s="1610"/>
      <c r="F144" s="1610"/>
      <c r="G144" s="1610"/>
      <c r="H144" s="1610"/>
      <c r="I144" s="1610"/>
      <c r="J144" s="1610"/>
      <c r="K144" s="1603">
        <f>K92+K90+K89+K87+K85+K72+K69+K68+108859</f>
        <v>2910949</v>
      </c>
    </row>
    <row r="145" spans="1:12">
      <c r="A145" s="1599" t="s">
        <v>270</v>
      </c>
      <c r="B145" s="1610"/>
      <c r="C145" s="1610"/>
      <c r="D145" s="1610"/>
      <c r="E145" s="1610"/>
      <c r="F145" s="1610"/>
      <c r="G145" s="1610"/>
      <c r="H145" s="1610"/>
      <c r="I145" s="1610"/>
      <c r="J145" s="1610"/>
      <c r="K145" s="1603">
        <v>0</v>
      </c>
    </row>
    <row r="146" spans="1:12">
      <c r="A146" s="1599" t="s">
        <v>271</v>
      </c>
      <c r="B146" s="1610"/>
      <c r="C146" s="1610"/>
      <c r="D146" s="1610"/>
      <c r="E146" s="1610"/>
      <c r="F146" s="1610"/>
      <c r="G146" s="1610"/>
      <c r="H146" s="1610"/>
      <c r="I146" s="1610"/>
      <c r="J146" s="1610"/>
      <c r="K146" s="1603">
        <f>K95+K94+K93+K91+K88+K86+K84+K83+K82+K81+K80+K79+K78+K77+K76+K75+K74+K71+K70+K67+K66+4649</f>
        <v>626186</v>
      </c>
    </row>
    <row r="147" spans="1:12" ht="12" thickBot="1">
      <c r="A147" s="1612" t="s">
        <v>872</v>
      </c>
      <c r="B147" s="1658"/>
      <c r="C147" s="1658"/>
      <c r="D147" s="1658"/>
      <c r="E147" s="1658"/>
      <c r="F147" s="1658"/>
      <c r="G147" s="1658"/>
      <c r="H147" s="1658"/>
      <c r="I147" s="1658"/>
      <c r="J147" s="1658"/>
      <c r="K147" s="1613">
        <f>SUM(K143:K146)</f>
        <v>3537135</v>
      </c>
      <c r="L147" s="1602"/>
    </row>
    <row r="149" spans="1:12">
      <c r="K149" s="674"/>
    </row>
    <row r="150" spans="1:12">
      <c r="I150" s="1657"/>
      <c r="K150" s="674"/>
    </row>
    <row r="151" spans="1:12">
      <c r="I151" s="1657"/>
      <c r="K151" s="674"/>
    </row>
    <row r="152" spans="1:12">
      <c r="I152" s="1762"/>
      <c r="K152" s="674"/>
    </row>
    <row r="153" spans="1:12">
      <c r="I153" s="674"/>
      <c r="K153" s="674"/>
    </row>
    <row r="154" spans="1:12">
      <c r="I154" s="1762"/>
      <c r="K154" s="674"/>
    </row>
  </sheetData>
  <phoneticPr fontId="50" type="noConversion"/>
  <pageMargins left="0.18" right="0.7" top="0.17" bottom="0.22" header="0.3" footer="0.3"/>
  <pageSetup scale="65" fitToHeight="2" orientation="landscape" r:id="rId1"/>
  <rowBreaks count="1" manualBreakCount="1">
    <brk id="38"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R132"/>
  <sheetViews>
    <sheetView zoomScale="65" zoomScaleNormal="65" workbookViewId="0">
      <pane xSplit="3" ySplit="4" topLeftCell="K50" activePane="bottomRight" state="frozen"/>
      <selection pane="topRight" activeCell="D1" sqref="D1"/>
      <selection pane="bottomLeft" activeCell="A5" sqref="A5"/>
      <selection pane="bottomRight" activeCell="C31" sqref="C31"/>
    </sheetView>
  </sheetViews>
  <sheetFormatPr defaultRowHeight="12.75"/>
  <cols>
    <col min="1" max="1" width="15.42578125" customWidth="1"/>
    <col min="2" max="2" width="15.5703125" style="81" customWidth="1"/>
    <col min="3" max="3" width="57" customWidth="1"/>
    <col min="4" max="4" width="18.140625" style="501" customWidth="1"/>
    <col min="5" max="5" width="20.140625" style="501" customWidth="1"/>
    <col min="6" max="8" width="20.42578125" style="501" customWidth="1"/>
    <col min="9" max="10" width="21" style="501" customWidth="1"/>
    <col min="11" max="11" width="19.5703125" style="501" customWidth="1"/>
    <col min="12" max="12" width="20.140625" style="501" customWidth="1"/>
    <col min="13" max="13" width="18.7109375" style="501" customWidth="1"/>
    <col min="14" max="14" width="19.85546875" style="501" customWidth="1"/>
    <col min="15" max="15" width="17.5703125" style="501" customWidth="1"/>
    <col min="16" max="16" width="18.42578125" style="501" customWidth="1"/>
    <col min="17" max="17" width="21.5703125" style="501" customWidth="1"/>
    <col min="18" max="18" width="4" style="501" customWidth="1"/>
    <col min="19" max="19" width="19.85546875" customWidth="1"/>
    <col min="20" max="20" width="15.5703125" customWidth="1"/>
    <col min="21" max="21" width="16.85546875" customWidth="1"/>
    <col min="22" max="22" width="17.5703125" customWidth="1"/>
    <col min="23" max="23" width="17.140625" customWidth="1"/>
    <col min="25" max="25" width="11.28515625" style="2" bestFit="1" customWidth="1"/>
    <col min="26" max="26" width="13.7109375" style="2" customWidth="1"/>
    <col min="27" max="27" width="36.42578125" style="2" customWidth="1"/>
    <col min="28" max="38" width="16.42578125" style="2" customWidth="1"/>
    <col min="39" max="40" width="14.28515625" style="2" bestFit="1" customWidth="1"/>
    <col min="41" max="41" width="2.7109375" style="2" customWidth="1"/>
    <col min="42" max="44" width="9.140625" style="2"/>
  </cols>
  <sheetData>
    <row r="1" spans="1:40" ht="15.75">
      <c r="A1" s="1" t="s">
        <v>693</v>
      </c>
    </row>
    <row r="2" spans="1:40">
      <c r="B2" s="1845"/>
      <c r="D2" s="877" t="s">
        <v>206</v>
      </c>
      <c r="E2" s="877" t="s">
        <v>570</v>
      </c>
      <c r="F2" s="877" t="s">
        <v>571</v>
      </c>
      <c r="G2" s="877" t="s">
        <v>572</v>
      </c>
      <c r="H2" s="877" t="s">
        <v>785</v>
      </c>
      <c r="I2" s="877" t="s">
        <v>786</v>
      </c>
      <c r="J2" s="877" t="s">
        <v>787</v>
      </c>
      <c r="K2" s="877" t="s">
        <v>573</v>
      </c>
      <c r="L2" s="877" t="s">
        <v>574</v>
      </c>
      <c r="M2" s="877" t="s">
        <v>575</v>
      </c>
      <c r="N2" s="877" t="s">
        <v>576</v>
      </c>
      <c r="O2" s="877" t="s">
        <v>577</v>
      </c>
      <c r="P2" s="877" t="s">
        <v>206</v>
      </c>
      <c r="Q2" s="877" t="s">
        <v>497</v>
      </c>
    </row>
    <row r="3" spans="1:40">
      <c r="A3" s="491" t="s">
        <v>209</v>
      </c>
      <c r="B3" s="491" t="s">
        <v>210</v>
      </c>
      <c r="C3" s="491" t="s">
        <v>211</v>
      </c>
      <c r="D3" s="510">
        <v>2013</v>
      </c>
      <c r="E3" s="509">
        <v>2014</v>
      </c>
      <c r="F3" s="509">
        <v>2014</v>
      </c>
      <c r="G3" s="509">
        <v>2014</v>
      </c>
      <c r="H3" s="509">
        <f t="shared" ref="H3:P3" si="0">G3</f>
        <v>2014</v>
      </c>
      <c r="I3" s="509">
        <f t="shared" si="0"/>
        <v>2014</v>
      </c>
      <c r="J3" s="509">
        <f t="shared" si="0"/>
        <v>2014</v>
      </c>
      <c r="K3" s="509">
        <f t="shared" si="0"/>
        <v>2014</v>
      </c>
      <c r="L3" s="509">
        <f t="shared" si="0"/>
        <v>2014</v>
      </c>
      <c r="M3" s="509">
        <f t="shared" si="0"/>
        <v>2014</v>
      </c>
      <c r="N3" s="509">
        <f t="shared" si="0"/>
        <v>2014</v>
      </c>
      <c r="O3" s="509">
        <f t="shared" si="0"/>
        <v>2014</v>
      </c>
      <c r="P3" s="509">
        <f t="shared" si="0"/>
        <v>2014</v>
      </c>
      <c r="Q3" s="878" t="s">
        <v>296</v>
      </c>
      <c r="R3" s="511"/>
      <c r="T3" s="938" t="s">
        <v>212</v>
      </c>
      <c r="U3" s="938" t="s">
        <v>213</v>
      </c>
      <c r="V3" s="938" t="s">
        <v>214</v>
      </c>
      <c r="W3" s="938" t="s">
        <v>138</v>
      </c>
    </row>
    <row r="4" spans="1:40">
      <c r="B4" s="503" t="s">
        <v>292</v>
      </c>
      <c r="C4" s="502"/>
      <c r="D4" s="438"/>
      <c r="E4" s="438"/>
      <c r="F4" s="438"/>
      <c r="G4" s="438"/>
      <c r="H4" s="438"/>
      <c r="I4" s="438"/>
      <c r="J4" s="438"/>
      <c r="K4" s="438"/>
      <c r="L4" s="438"/>
      <c r="M4" s="438"/>
      <c r="N4" s="438"/>
      <c r="O4" s="438"/>
      <c r="P4" s="438"/>
      <c r="Q4" s="511"/>
      <c r="R4" s="511"/>
    </row>
    <row r="5" spans="1:40">
      <c r="A5" s="517" t="s">
        <v>147</v>
      </c>
      <c r="B5" s="517" t="s">
        <v>1249</v>
      </c>
      <c r="C5" s="185" t="s">
        <v>218</v>
      </c>
      <c r="D5" s="1821">
        <v>939514.87</v>
      </c>
      <c r="E5" s="1880">
        <v>626343.28</v>
      </c>
      <c r="F5" s="1880">
        <v>313171.69</v>
      </c>
      <c r="G5" s="1880">
        <v>0</v>
      </c>
      <c r="H5" s="1880">
        <v>3296392.59</v>
      </c>
      <c r="I5" s="1880">
        <v>2997007.5</v>
      </c>
      <c r="J5" s="1880">
        <v>2697306.75</v>
      </c>
      <c r="K5" s="1880">
        <v>2397606</v>
      </c>
      <c r="L5" s="1880">
        <v>2097905.25</v>
      </c>
      <c r="M5" s="1880">
        <v>1798204.5</v>
      </c>
      <c r="N5" s="1880">
        <v>1498503.75</v>
      </c>
      <c r="O5" s="1880">
        <v>1198803</v>
      </c>
      <c r="P5" s="1880">
        <v>899102.25</v>
      </c>
      <c r="Q5" s="428">
        <f t="shared" ref="Q5:Q11" si="1">AVERAGE(D5:P5)</f>
        <v>1596912.4176923076</v>
      </c>
      <c r="R5" s="497"/>
      <c r="S5" s="185" t="s">
        <v>215</v>
      </c>
      <c r="V5" s="494">
        <f t="shared" ref="V5:V11" si="2">+Q5</f>
        <v>1596912.4176923076</v>
      </c>
    </row>
    <row r="6" spans="1:40">
      <c r="A6" s="517" t="s">
        <v>147</v>
      </c>
      <c r="B6" s="517" t="s">
        <v>1250</v>
      </c>
      <c r="C6" s="185" t="s">
        <v>498</v>
      </c>
      <c r="D6" s="1821">
        <v>118549.91</v>
      </c>
      <c r="E6" s="1880">
        <v>107772.65</v>
      </c>
      <c r="F6" s="1880">
        <v>96995.39</v>
      </c>
      <c r="G6" s="1880">
        <v>86218.13</v>
      </c>
      <c r="H6" s="1880">
        <v>75440.87</v>
      </c>
      <c r="I6" s="1880">
        <v>64663.61</v>
      </c>
      <c r="J6" s="1880">
        <v>53886.35</v>
      </c>
      <c r="K6" s="1880">
        <v>43109.09</v>
      </c>
      <c r="L6" s="1880">
        <v>32331.83</v>
      </c>
      <c r="M6" s="1880">
        <v>21554.57</v>
      </c>
      <c r="N6" s="1880">
        <v>10777.31</v>
      </c>
      <c r="O6" s="1880">
        <v>0</v>
      </c>
      <c r="P6" s="1880">
        <v>0</v>
      </c>
      <c r="Q6" s="428">
        <f t="shared" si="1"/>
        <v>54715.362307692303</v>
      </c>
      <c r="R6" s="497"/>
      <c r="S6" s="185" t="s">
        <v>220</v>
      </c>
      <c r="V6" s="494">
        <f t="shared" si="2"/>
        <v>54715.362307692303</v>
      </c>
      <c r="AB6" s="881"/>
    </row>
    <row r="7" spans="1:40">
      <c r="A7" s="517" t="s">
        <v>147</v>
      </c>
      <c r="B7" s="517" t="s">
        <v>1251</v>
      </c>
      <c r="C7" s="185" t="s">
        <v>994</v>
      </c>
      <c r="D7" s="1821">
        <v>3618835.73</v>
      </c>
      <c r="E7" s="1880">
        <v>3317266.09</v>
      </c>
      <c r="F7" s="1880">
        <v>3015696.45</v>
      </c>
      <c r="G7" s="1880">
        <v>2714126.81</v>
      </c>
      <c r="H7" s="1880">
        <v>2412557.17</v>
      </c>
      <c r="I7" s="1880">
        <v>2110987.5299999998</v>
      </c>
      <c r="J7" s="1880">
        <v>1809417.89</v>
      </c>
      <c r="K7" s="1880">
        <v>1507848.25</v>
      </c>
      <c r="L7" s="1880">
        <v>1206278.6100000001</v>
      </c>
      <c r="M7" s="1880">
        <v>904708.97</v>
      </c>
      <c r="N7" s="1880">
        <v>603139.32999999996</v>
      </c>
      <c r="O7" s="1880">
        <v>301569.69</v>
      </c>
      <c r="P7" s="1880">
        <v>0</v>
      </c>
      <c r="Q7" s="428">
        <f t="shared" si="1"/>
        <v>1809417.886153846</v>
      </c>
      <c r="R7" s="497"/>
      <c r="S7" s="185" t="s">
        <v>220</v>
      </c>
      <c r="V7" s="494">
        <f t="shared" si="2"/>
        <v>1809417.886153846</v>
      </c>
      <c r="AF7" s="876"/>
    </row>
    <row r="8" spans="1:40">
      <c r="A8" s="517" t="s">
        <v>147</v>
      </c>
      <c r="B8" s="517" t="s">
        <v>1252</v>
      </c>
      <c r="C8" s="185" t="s">
        <v>283</v>
      </c>
      <c r="D8" s="1821">
        <v>0</v>
      </c>
      <c r="E8" s="1880">
        <v>0</v>
      </c>
      <c r="F8" s="1880">
        <v>184832</v>
      </c>
      <c r="G8" s="1880">
        <v>166348.79999999999</v>
      </c>
      <c r="H8" s="1880">
        <v>147865.60000000001</v>
      </c>
      <c r="I8" s="1880">
        <v>129382.39999999999</v>
      </c>
      <c r="J8" s="1880">
        <v>110899.2</v>
      </c>
      <c r="K8" s="1880">
        <v>92416</v>
      </c>
      <c r="L8" s="1880">
        <v>73932.800000000003</v>
      </c>
      <c r="M8" s="1880">
        <v>55449.599999999999</v>
      </c>
      <c r="N8" s="1880">
        <v>36966.400000000001</v>
      </c>
      <c r="O8" s="1880">
        <v>18483.2</v>
      </c>
      <c r="P8" s="1880">
        <v>0</v>
      </c>
      <c r="Q8" s="428">
        <f t="shared" si="1"/>
        <v>78198.153846153844</v>
      </c>
      <c r="R8" s="497"/>
      <c r="S8" s="178" t="s">
        <v>274</v>
      </c>
      <c r="V8" s="494">
        <f t="shared" si="2"/>
        <v>78198.153846153844</v>
      </c>
      <c r="AB8" s="876"/>
      <c r="AC8" s="876"/>
      <c r="AD8" s="876"/>
      <c r="AE8" s="876"/>
      <c r="AF8" s="876"/>
      <c r="AG8" s="876"/>
      <c r="AH8" s="876"/>
      <c r="AI8" s="876"/>
      <c r="AJ8" s="876"/>
      <c r="AK8" s="876"/>
      <c r="AL8" s="876"/>
      <c r="AM8" s="876"/>
      <c r="AN8" s="876"/>
    </row>
    <row r="9" spans="1:40">
      <c r="A9" s="517" t="s">
        <v>147</v>
      </c>
      <c r="B9" s="517" t="s">
        <v>1253</v>
      </c>
      <c r="C9" s="185" t="s">
        <v>1255</v>
      </c>
      <c r="D9" s="1821">
        <v>0</v>
      </c>
      <c r="E9" s="1880">
        <v>0</v>
      </c>
      <c r="F9" s="1880">
        <v>0</v>
      </c>
      <c r="G9" s="1880">
        <v>0</v>
      </c>
      <c r="H9" s="1880">
        <v>0</v>
      </c>
      <c r="I9" s="1880">
        <v>0</v>
      </c>
      <c r="J9" s="1880">
        <v>0</v>
      </c>
      <c r="K9" s="1880">
        <v>0</v>
      </c>
      <c r="L9" s="1880">
        <v>0</v>
      </c>
      <c r="M9" s="1880">
        <v>0</v>
      </c>
      <c r="N9" s="1880">
        <v>0</v>
      </c>
      <c r="O9" s="1880">
        <v>0</v>
      </c>
      <c r="P9" s="1880">
        <v>0</v>
      </c>
      <c r="Q9" s="428">
        <f t="shared" si="1"/>
        <v>0</v>
      </c>
      <c r="R9" s="497"/>
      <c r="S9" s="178" t="s">
        <v>220</v>
      </c>
      <c r="V9" s="494">
        <f t="shared" si="2"/>
        <v>0</v>
      </c>
      <c r="AB9" s="876"/>
      <c r="AC9" s="876"/>
      <c r="AD9" s="876"/>
      <c r="AE9" s="876"/>
      <c r="AF9" s="876"/>
      <c r="AH9" s="876"/>
      <c r="AI9" s="876"/>
      <c r="AJ9" s="876"/>
      <c r="AK9" s="876"/>
      <c r="AL9" s="876"/>
      <c r="AM9" s="876"/>
      <c r="AN9" s="876"/>
    </row>
    <row r="10" spans="1:40">
      <c r="A10" s="517" t="s">
        <v>147</v>
      </c>
      <c r="B10" s="517" t="s">
        <v>1254</v>
      </c>
      <c r="C10" s="185" t="s">
        <v>1256</v>
      </c>
      <c r="D10" s="1821">
        <v>6691.63</v>
      </c>
      <c r="E10" s="1880">
        <v>18824.669999999998</v>
      </c>
      <c r="F10" s="1880">
        <v>16694.669999999998</v>
      </c>
      <c r="G10" s="1880">
        <v>16194.67</v>
      </c>
      <c r="H10" s="1880">
        <v>14314.67</v>
      </c>
      <c r="I10" s="1880">
        <v>14314.67</v>
      </c>
      <c r="J10" s="1880">
        <v>13814.67</v>
      </c>
      <c r="K10" s="1880">
        <v>14324.67</v>
      </c>
      <c r="L10" s="1880">
        <v>13824.67</v>
      </c>
      <c r="M10" s="1880">
        <v>13574.67</v>
      </c>
      <c r="N10" s="1880">
        <v>13324.67</v>
      </c>
      <c r="O10" s="1880">
        <v>13324.67</v>
      </c>
      <c r="P10" s="1880">
        <v>29851.17</v>
      </c>
      <c r="Q10" s="428">
        <f t="shared" si="1"/>
        <v>15313.397692307695</v>
      </c>
      <c r="R10" s="497"/>
      <c r="S10" s="178" t="s">
        <v>274</v>
      </c>
      <c r="V10" s="494">
        <f t="shared" si="2"/>
        <v>15313.397692307695</v>
      </c>
      <c r="AB10" s="876"/>
      <c r="AC10" s="876"/>
      <c r="AD10" s="876"/>
      <c r="AE10" s="876"/>
      <c r="AF10" s="876"/>
      <c r="AG10" s="876"/>
      <c r="AI10" s="876"/>
      <c r="AJ10" s="876"/>
      <c r="AK10" s="876"/>
      <c r="AL10" s="876"/>
      <c r="AM10" s="876"/>
      <c r="AN10" s="876"/>
    </row>
    <row r="11" spans="1:40">
      <c r="A11" s="517" t="s">
        <v>147</v>
      </c>
      <c r="B11" s="517" t="s">
        <v>1397</v>
      </c>
      <c r="C11" s="185" t="s">
        <v>1398</v>
      </c>
      <c r="D11" s="1821"/>
      <c r="E11" s="1821">
        <v>0</v>
      </c>
      <c r="F11" s="1821">
        <v>0</v>
      </c>
      <c r="G11" s="1821">
        <v>0</v>
      </c>
      <c r="H11" s="1821">
        <v>0</v>
      </c>
      <c r="I11" s="1821">
        <v>0</v>
      </c>
      <c r="J11" s="1821">
        <v>0</v>
      </c>
      <c r="K11" s="1821">
        <v>130268.5</v>
      </c>
      <c r="L11" s="1821">
        <v>117241.65</v>
      </c>
      <c r="M11" s="1821">
        <v>104214.8</v>
      </c>
      <c r="N11" s="1821">
        <v>91187.95</v>
      </c>
      <c r="O11" s="1821">
        <v>78161.100000000006</v>
      </c>
      <c r="P11" s="1821">
        <v>65134.25</v>
      </c>
      <c r="Q11" s="428">
        <f t="shared" si="1"/>
        <v>48850.6875</v>
      </c>
      <c r="R11" s="497"/>
      <c r="S11" s="178" t="s">
        <v>220</v>
      </c>
      <c r="V11" s="494">
        <f t="shared" si="2"/>
        <v>48850.6875</v>
      </c>
      <c r="AB11" s="876"/>
      <c r="AC11" s="876"/>
      <c r="AD11" s="876"/>
      <c r="AE11" s="876"/>
      <c r="AF11" s="876"/>
      <c r="AG11" s="876"/>
      <c r="AI11" s="876"/>
      <c r="AJ11" s="876"/>
      <c r="AK11" s="876"/>
      <c r="AL11" s="876"/>
      <c r="AM11" s="876"/>
      <c r="AN11" s="876"/>
    </row>
    <row r="12" spans="1:40">
      <c r="B12" s="504" t="s">
        <v>152</v>
      </c>
      <c r="C12" s="505"/>
      <c r="D12" s="513">
        <f>SUM(D5:D11)</f>
        <v>4683592.1399999997</v>
      </c>
      <c r="E12" s="513">
        <f t="shared" ref="E12:P12" si="3">SUM(E5:E11)</f>
        <v>4070206.69</v>
      </c>
      <c r="F12" s="513">
        <f t="shared" si="3"/>
        <v>3627390.2</v>
      </c>
      <c r="G12" s="513">
        <f t="shared" si="3"/>
        <v>2982888.4099999997</v>
      </c>
      <c r="H12" s="513">
        <f t="shared" si="3"/>
        <v>5946570.8999999994</v>
      </c>
      <c r="I12" s="513">
        <f t="shared" si="3"/>
        <v>5316355.71</v>
      </c>
      <c r="J12" s="513">
        <f t="shared" si="3"/>
        <v>4685324.8600000003</v>
      </c>
      <c r="K12" s="513">
        <f t="shared" si="3"/>
        <v>4185572.51</v>
      </c>
      <c r="L12" s="513">
        <f t="shared" si="3"/>
        <v>3541514.81</v>
      </c>
      <c r="M12" s="513">
        <f t="shared" si="3"/>
        <v>2897707.11</v>
      </c>
      <c r="N12" s="513">
        <f t="shared" si="3"/>
        <v>2253899.41</v>
      </c>
      <c r="O12" s="513">
        <f t="shared" si="3"/>
        <v>1610341.66</v>
      </c>
      <c r="P12" s="513">
        <f t="shared" si="3"/>
        <v>994087.67</v>
      </c>
      <c r="Q12" s="513">
        <f>SUM(Q5:Q11)</f>
        <v>3603407.9051923081</v>
      </c>
      <c r="R12" s="514"/>
      <c r="S12" s="506"/>
      <c r="T12" s="506"/>
      <c r="U12" s="506"/>
      <c r="V12" s="937">
        <f>SUM(V5:V11)</f>
        <v>3603407.9051923081</v>
      </c>
      <c r="AB12" s="876"/>
      <c r="AC12" s="876"/>
      <c r="AD12" s="876"/>
      <c r="AE12" s="876"/>
      <c r="AF12" s="876"/>
      <c r="AG12" s="876"/>
      <c r="AH12" s="876"/>
      <c r="AI12" s="876"/>
      <c r="AJ12" s="876"/>
      <c r="AK12" s="876"/>
      <c r="AL12" s="876"/>
      <c r="AN12" s="876"/>
    </row>
    <row r="13" spans="1:40">
      <c r="B13" s="502"/>
      <c r="C13" s="502"/>
      <c r="D13" s="511"/>
      <c r="E13" s="511"/>
      <c r="F13" s="511"/>
      <c r="G13" s="511"/>
      <c r="H13" s="511"/>
      <c r="I13" s="511"/>
      <c r="J13" s="511"/>
      <c r="K13" s="511"/>
      <c r="L13" s="511"/>
      <c r="M13" s="511"/>
      <c r="N13" s="511"/>
      <c r="O13" s="511"/>
      <c r="P13" s="512"/>
      <c r="Q13" s="511"/>
      <c r="R13" s="497"/>
      <c r="S13" s="185"/>
      <c r="V13" s="494"/>
      <c r="AB13" s="876"/>
      <c r="AC13" s="876"/>
      <c r="AD13" s="876"/>
      <c r="AE13" s="876"/>
      <c r="AF13" s="876"/>
      <c r="AG13" s="876"/>
      <c r="AH13" s="876"/>
      <c r="AI13" s="876"/>
      <c r="AJ13" s="876"/>
      <c r="AK13" s="876"/>
      <c r="AL13" s="876"/>
      <c r="AM13" s="876"/>
      <c r="AN13" s="876"/>
    </row>
    <row r="14" spans="1:40">
      <c r="B14" s="502"/>
      <c r="C14" s="502"/>
      <c r="D14" s="511"/>
      <c r="E14" s="511"/>
      <c r="F14" s="511"/>
      <c r="G14" s="511"/>
      <c r="H14" s="511"/>
      <c r="I14" s="511"/>
      <c r="J14" s="511"/>
      <c r="K14" s="511"/>
      <c r="L14" s="511"/>
      <c r="M14" s="511"/>
      <c r="N14" s="511"/>
      <c r="O14" s="511"/>
      <c r="P14" s="512"/>
      <c r="Q14" s="511"/>
      <c r="AB14" s="876"/>
      <c r="AC14" s="876"/>
      <c r="AD14" s="876"/>
      <c r="AF14" s="876"/>
      <c r="AG14" s="876"/>
      <c r="AH14" s="876"/>
      <c r="AI14" s="876"/>
      <c r="AJ14" s="876"/>
      <c r="AK14" s="876"/>
      <c r="AL14" s="876"/>
      <c r="AM14" s="876"/>
      <c r="AN14" s="876"/>
    </row>
    <row r="15" spans="1:40">
      <c r="B15" s="503" t="s">
        <v>293</v>
      </c>
      <c r="C15" s="502"/>
      <c r="D15" s="511"/>
      <c r="E15" s="511"/>
      <c r="F15" s="511"/>
      <c r="G15" s="511"/>
      <c r="H15" s="511"/>
      <c r="I15" s="511"/>
      <c r="J15" s="511"/>
      <c r="K15" s="511"/>
      <c r="L15" s="511"/>
      <c r="M15" s="511"/>
      <c r="N15" s="511"/>
      <c r="O15" s="511"/>
      <c r="P15" s="512"/>
      <c r="Q15" s="511"/>
      <c r="R15" s="511"/>
      <c r="AB15" s="876"/>
      <c r="AC15" s="876"/>
      <c r="AD15" s="876"/>
      <c r="AE15" s="876"/>
      <c r="AF15" s="876"/>
      <c r="AG15" s="876"/>
      <c r="AH15" s="876"/>
      <c r="AI15" s="876"/>
      <c r="AJ15" s="876"/>
      <c r="AK15" s="876"/>
      <c r="AL15" s="876"/>
      <c r="AN15" s="876"/>
    </row>
    <row r="16" spans="1:40">
      <c r="A16" s="519" t="s">
        <v>150</v>
      </c>
      <c r="B16" s="517" t="s">
        <v>1257</v>
      </c>
      <c r="C16" s="185" t="s">
        <v>239</v>
      </c>
      <c r="D16" s="1821">
        <v>3681381.41</v>
      </c>
      <c r="E16" s="1880">
        <v>3346710.37</v>
      </c>
      <c r="F16" s="1880">
        <v>3012039.33</v>
      </c>
      <c r="G16" s="1880">
        <v>2677368.29</v>
      </c>
      <c r="H16" s="1880">
        <v>2342697.25</v>
      </c>
      <c r="I16" s="1880">
        <v>2008026.21</v>
      </c>
      <c r="J16" s="1880">
        <v>1673355.17</v>
      </c>
      <c r="K16" s="1880">
        <v>1338684.1299999999</v>
      </c>
      <c r="L16" s="1880">
        <v>1004013.09</v>
      </c>
      <c r="M16" s="1880">
        <v>669342.05000000005</v>
      </c>
      <c r="N16" s="1880">
        <v>334671.01</v>
      </c>
      <c r="O16" s="1880">
        <v>0</v>
      </c>
      <c r="P16" s="1880">
        <v>3901503.39</v>
      </c>
      <c r="Q16" s="692">
        <f t="shared" ref="Q16:Q30" si="4">AVERAGE(D16:P16)</f>
        <v>1999214.7461538464</v>
      </c>
      <c r="R16" s="511"/>
      <c r="S16" t="s">
        <v>499</v>
      </c>
      <c r="W16" s="494">
        <f t="shared" ref="W16:W30" si="5">+Q16</f>
        <v>1999214.7461538464</v>
      </c>
      <c r="AB16" s="876"/>
      <c r="AC16" s="876"/>
      <c r="AD16" s="876"/>
      <c r="AE16" s="876"/>
      <c r="AF16" s="876"/>
      <c r="AG16" s="876"/>
      <c r="AH16" s="876"/>
      <c r="AI16" s="876"/>
      <c r="AJ16" s="876"/>
      <c r="AK16" s="876"/>
      <c r="AL16" s="876"/>
      <c r="AM16" s="876"/>
    </row>
    <row r="17" spans="1:40">
      <c r="A17" s="519" t="s">
        <v>150</v>
      </c>
      <c r="B17" s="517" t="s">
        <v>1258</v>
      </c>
      <c r="C17" s="185" t="s">
        <v>216</v>
      </c>
      <c r="D17" s="1821">
        <v>36495</v>
      </c>
      <c r="E17" s="1880">
        <v>30412.5</v>
      </c>
      <c r="F17" s="1880">
        <v>24330</v>
      </c>
      <c r="G17" s="1880">
        <v>18247.5</v>
      </c>
      <c r="H17" s="1880">
        <v>12165</v>
      </c>
      <c r="I17" s="1880">
        <v>6082.5</v>
      </c>
      <c r="J17" s="1880">
        <v>0</v>
      </c>
      <c r="K17" s="1880">
        <v>0</v>
      </c>
      <c r="L17" s="1880">
        <v>0</v>
      </c>
      <c r="M17" s="1880">
        <v>0</v>
      </c>
      <c r="N17" s="1880">
        <v>0</v>
      </c>
      <c r="O17" s="1880">
        <v>0</v>
      </c>
      <c r="P17" s="1880">
        <v>0</v>
      </c>
      <c r="Q17" s="692">
        <f t="shared" si="4"/>
        <v>9825.5769230769238</v>
      </c>
      <c r="R17" s="511"/>
      <c r="S17" t="s">
        <v>499</v>
      </c>
      <c r="W17" s="494">
        <f t="shared" si="5"/>
        <v>9825.5769230769238</v>
      </c>
      <c r="AB17" s="876"/>
      <c r="AC17" s="876"/>
      <c r="AE17" s="876"/>
      <c r="AF17" s="876"/>
      <c r="AG17" s="876"/>
      <c r="AH17" s="876"/>
      <c r="AI17" s="876"/>
      <c r="AJ17" s="876"/>
      <c r="AK17" s="876"/>
      <c r="AL17" s="876"/>
      <c r="AM17" s="876"/>
      <c r="AN17" s="876"/>
    </row>
    <row r="18" spans="1:40">
      <c r="A18" s="519" t="s">
        <v>150</v>
      </c>
      <c r="B18" s="517" t="s">
        <v>1259</v>
      </c>
      <c r="C18" s="185" t="s">
        <v>217</v>
      </c>
      <c r="D18" s="1821">
        <v>393465.42</v>
      </c>
      <c r="E18" s="1880">
        <v>357695.84</v>
      </c>
      <c r="F18" s="1880">
        <v>321926.26</v>
      </c>
      <c r="G18" s="1880">
        <v>286156.68</v>
      </c>
      <c r="H18" s="1880">
        <v>250387.1</v>
      </c>
      <c r="I18" s="1880">
        <v>214617.52</v>
      </c>
      <c r="J18" s="1880">
        <v>178847.94</v>
      </c>
      <c r="K18" s="1880">
        <v>143078.35999999999</v>
      </c>
      <c r="L18" s="1880">
        <v>107308.78</v>
      </c>
      <c r="M18" s="1880">
        <v>71539.199999999997</v>
      </c>
      <c r="N18" s="1880">
        <v>35769.620000000003</v>
      </c>
      <c r="O18" s="1880">
        <v>0</v>
      </c>
      <c r="P18" s="1880">
        <v>403094.08</v>
      </c>
      <c r="Q18" s="692">
        <f t="shared" si="4"/>
        <v>212606.67692307694</v>
      </c>
      <c r="R18" s="493"/>
      <c r="S18" s="185" t="s">
        <v>215</v>
      </c>
      <c r="W18" s="494">
        <f t="shared" si="5"/>
        <v>212606.67692307694</v>
      </c>
      <c r="AB18" s="876"/>
      <c r="AC18" s="876"/>
      <c r="AD18" s="876"/>
      <c r="AE18" s="876"/>
      <c r="AF18" s="876"/>
      <c r="AG18" s="876"/>
      <c r="AH18" s="876"/>
      <c r="AI18" s="876"/>
      <c r="AJ18" s="876"/>
      <c r="AK18" s="876"/>
      <c r="AL18" s="876"/>
      <c r="AM18" s="876"/>
    </row>
    <row r="19" spans="1:40">
      <c r="A19" s="519" t="s">
        <v>150</v>
      </c>
      <c r="B19" s="517" t="s">
        <v>1260</v>
      </c>
      <c r="C19" s="185" t="s">
        <v>219</v>
      </c>
      <c r="D19" s="1821">
        <v>14620.83</v>
      </c>
      <c r="E19" s="1880">
        <v>0</v>
      </c>
      <c r="F19" s="1880">
        <v>0</v>
      </c>
      <c r="G19" s="1880">
        <v>0</v>
      </c>
      <c r="H19" s="1880">
        <v>0</v>
      </c>
      <c r="I19" s="1880">
        <v>0</v>
      </c>
      <c r="J19" s="1880">
        <v>0</v>
      </c>
      <c r="K19" s="1880">
        <v>0</v>
      </c>
      <c r="L19" s="1880">
        <v>0</v>
      </c>
      <c r="M19" s="1880">
        <v>0</v>
      </c>
      <c r="N19" s="1880">
        <v>0</v>
      </c>
      <c r="O19" s="1880">
        <v>0</v>
      </c>
      <c r="P19" s="1880">
        <v>0</v>
      </c>
      <c r="Q19" s="692">
        <f t="shared" si="4"/>
        <v>1124.6792307692308</v>
      </c>
      <c r="R19" s="493"/>
      <c r="S19" s="185" t="s">
        <v>215</v>
      </c>
      <c r="W19" s="494">
        <f t="shared" si="5"/>
        <v>1124.6792307692308</v>
      </c>
      <c r="AB19" s="876"/>
      <c r="AC19" s="876"/>
      <c r="AD19" s="876"/>
      <c r="AE19" s="876"/>
      <c r="AF19" s="876"/>
      <c r="AG19" s="876"/>
      <c r="AH19" s="876"/>
      <c r="AI19" s="876"/>
      <c r="AJ19" s="876"/>
      <c r="AK19" s="876"/>
      <c r="AL19" s="876"/>
      <c r="AN19" s="876"/>
    </row>
    <row r="20" spans="1:40">
      <c r="A20" s="519" t="s">
        <v>150</v>
      </c>
      <c r="B20" s="517" t="s">
        <v>1337</v>
      </c>
      <c r="C20" s="185" t="s">
        <v>992</v>
      </c>
      <c r="D20" s="1821"/>
      <c r="E20" s="1880">
        <v>40000</v>
      </c>
      <c r="F20" s="1880">
        <v>20000</v>
      </c>
      <c r="G20" s="1880">
        <v>60000</v>
      </c>
      <c r="H20" s="1880">
        <v>40000</v>
      </c>
      <c r="I20" s="1880">
        <v>20000</v>
      </c>
      <c r="J20" s="1880">
        <v>60000</v>
      </c>
      <c r="K20" s="1880">
        <v>40000</v>
      </c>
      <c r="L20" s="1880">
        <v>20000</v>
      </c>
      <c r="M20" s="1880">
        <v>60000</v>
      </c>
      <c r="N20" s="1880">
        <v>40000</v>
      </c>
      <c r="O20" s="1880">
        <v>20000</v>
      </c>
      <c r="P20" s="1880">
        <v>0</v>
      </c>
      <c r="Q20" s="692">
        <f t="shared" si="4"/>
        <v>35000</v>
      </c>
      <c r="R20" s="493"/>
      <c r="S20" s="188" t="s">
        <v>501</v>
      </c>
      <c r="U20" s="496"/>
      <c r="V20" s="496"/>
      <c r="W20" s="494">
        <f t="shared" si="5"/>
        <v>35000</v>
      </c>
      <c r="AB20" s="876"/>
      <c r="AC20" s="876"/>
      <c r="AD20" s="876"/>
      <c r="AE20" s="876"/>
      <c r="AF20" s="876"/>
      <c r="AG20" s="876"/>
      <c r="AH20" s="876"/>
      <c r="AI20" s="876"/>
      <c r="AJ20" s="876"/>
      <c r="AK20" s="876"/>
      <c r="AL20" s="876"/>
      <c r="AM20" s="876"/>
      <c r="AN20" s="876"/>
    </row>
    <row r="21" spans="1:40">
      <c r="A21" s="519" t="s">
        <v>150</v>
      </c>
      <c r="B21" s="517" t="s">
        <v>1265</v>
      </c>
      <c r="C21" s="185" t="s">
        <v>993</v>
      </c>
      <c r="D21" s="1821">
        <v>753943</v>
      </c>
      <c r="E21" s="1880">
        <v>691114.42</v>
      </c>
      <c r="F21" s="1880">
        <v>1320432.5</v>
      </c>
      <c r="G21" s="1880">
        <v>1188389.25</v>
      </c>
      <c r="H21" s="1880">
        <v>1056346</v>
      </c>
      <c r="I21" s="1880">
        <v>924302.75</v>
      </c>
      <c r="J21" s="1880">
        <v>792259.5</v>
      </c>
      <c r="K21" s="1880">
        <v>660216.25</v>
      </c>
      <c r="L21" s="1880">
        <v>528173</v>
      </c>
      <c r="M21" s="1880">
        <v>396129.75</v>
      </c>
      <c r="N21" s="1880">
        <v>264086.5</v>
      </c>
      <c r="O21" s="1880">
        <v>132043.25</v>
      </c>
      <c r="P21" s="1880">
        <v>2303806</v>
      </c>
      <c r="Q21" s="692">
        <f t="shared" si="4"/>
        <v>847018.62846153846</v>
      </c>
      <c r="R21" s="493"/>
      <c r="S21" s="188" t="s">
        <v>502</v>
      </c>
      <c r="T21" s="496"/>
      <c r="U21" s="496"/>
      <c r="V21" s="496"/>
      <c r="W21" s="494">
        <f t="shared" si="5"/>
        <v>847018.62846153846</v>
      </c>
      <c r="AB21" s="876"/>
      <c r="AC21" s="876"/>
      <c r="AD21" s="876"/>
      <c r="AE21" s="876"/>
      <c r="AF21" s="876"/>
      <c r="AG21" s="876"/>
      <c r="AH21" s="876"/>
      <c r="AI21" s="876"/>
      <c r="AJ21" s="876"/>
      <c r="AK21" s="876"/>
      <c r="AL21" s="876"/>
      <c r="AM21" s="876"/>
      <c r="AN21" s="876"/>
    </row>
    <row r="22" spans="1:40">
      <c r="A22" s="519" t="s">
        <v>150</v>
      </c>
      <c r="B22" s="517" t="s">
        <v>1261</v>
      </c>
      <c r="C22" s="185" t="s">
        <v>1297</v>
      </c>
      <c r="D22" s="1821">
        <v>151558.19</v>
      </c>
      <c r="E22" s="1880">
        <v>113668.63</v>
      </c>
      <c r="F22" s="1880">
        <v>75779.070000000007</v>
      </c>
      <c r="G22" s="1880">
        <v>37889.51</v>
      </c>
      <c r="H22" s="1880">
        <v>0</v>
      </c>
      <c r="I22" s="1880">
        <v>541216.27</v>
      </c>
      <c r="J22" s="1880">
        <v>492014.79</v>
      </c>
      <c r="K22" s="1880">
        <v>442813.31</v>
      </c>
      <c r="L22" s="1880">
        <v>393611.83</v>
      </c>
      <c r="M22" s="1880">
        <v>344410.35</v>
      </c>
      <c r="N22" s="1880">
        <v>295208.87</v>
      </c>
      <c r="O22" s="1880">
        <v>246007.39</v>
      </c>
      <c r="P22" s="1880">
        <v>196805.91</v>
      </c>
      <c r="Q22" s="692">
        <f t="shared" si="4"/>
        <v>256229.54769230774</v>
      </c>
      <c r="R22" s="493"/>
      <c r="S22" s="185" t="s">
        <v>499</v>
      </c>
      <c r="V22" s="495"/>
      <c r="W22" s="494">
        <f t="shared" si="5"/>
        <v>256229.54769230774</v>
      </c>
      <c r="AB22" s="876"/>
      <c r="AC22" s="876"/>
      <c r="AD22" s="876"/>
      <c r="AE22" s="876"/>
      <c r="AF22" s="876"/>
      <c r="AG22" s="876"/>
      <c r="AH22" s="876"/>
      <c r="AI22" s="876"/>
      <c r="AJ22" s="876"/>
      <c r="AK22" s="876"/>
      <c r="AL22" s="876"/>
      <c r="AM22" s="876"/>
    </row>
    <row r="23" spans="1:40">
      <c r="A23" s="519" t="s">
        <v>150</v>
      </c>
      <c r="B23" s="517" t="s">
        <v>1272</v>
      </c>
      <c r="C23" s="185" t="s">
        <v>240</v>
      </c>
      <c r="D23" s="1821">
        <v>58480.44</v>
      </c>
      <c r="E23" s="1880">
        <v>38986.97</v>
      </c>
      <c r="F23" s="1880">
        <v>19493.5</v>
      </c>
      <c r="G23" s="1880">
        <v>0</v>
      </c>
      <c r="H23" s="1880">
        <v>219538.36</v>
      </c>
      <c r="I23" s="1880">
        <v>199580.33</v>
      </c>
      <c r="J23" s="1880">
        <v>179622.3</v>
      </c>
      <c r="K23" s="1880">
        <v>159664.26999999999</v>
      </c>
      <c r="L23" s="1880">
        <v>139706.23999999999</v>
      </c>
      <c r="M23" s="1880">
        <v>119748.21</v>
      </c>
      <c r="N23" s="1880">
        <v>99790.18</v>
      </c>
      <c r="O23" s="1880">
        <v>79832.149999999994</v>
      </c>
      <c r="P23" s="1880">
        <v>59874.12</v>
      </c>
      <c r="Q23" s="692">
        <f t="shared" si="4"/>
        <v>105716.69769230767</v>
      </c>
      <c r="R23" s="493"/>
      <c r="S23" s="185" t="s">
        <v>502</v>
      </c>
      <c r="V23" s="492"/>
      <c r="W23" s="494">
        <f t="shared" si="5"/>
        <v>105716.69769230767</v>
      </c>
      <c r="AB23" s="876"/>
      <c r="AC23" s="876"/>
      <c r="AE23" s="876"/>
      <c r="AF23" s="876"/>
      <c r="AG23" s="876"/>
      <c r="AH23" s="876"/>
      <c r="AI23" s="876"/>
      <c r="AJ23" s="876"/>
      <c r="AK23" s="876"/>
      <c r="AL23" s="876"/>
      <c r="AM23" s="876"/>
      <c r="AN23" s="876"/>
    </row>
    <row r="24" spans="1:40">
      <c r="A24" s="519" t="s">
        <v>150</v>
      </c>
      <c r="B24" s="517" t="s">
        <v>1312</v>
      </c>
      <c r="C24" s="185" t="s">
        <v>241</v>
      </c>
      <c r="D24" s="1821"/>
      <c r="E24" s="1880">
        <v>14940.75</v>
      </c>
      <c r="F24" s="1880">
        <v>9960.5</v>
      </c>
      <c r="G24" s="1880">
        <v>4980.25</v>
      </c>
      <c r="H24" s="1880">
        <v>0</v>
      </c>
      <c r="I24" s="1880">
        <v>0</v>
      </c>
      <c r="J24" s="1880">
        <v>0</v>
      </c>
      <c r="K24" s="1880">
        <v>0</v>
      </c>
      <c r="L24" s="1880">
        <v>0</v>
      </c>
      <c r="M24" s="1880">
        <v>0</v>
      </c>
      <c r="N24" s="1880">
        <v>0</v>
      </c>
      <c r="O24" s="1880">
        <v>0</v>
      </c>
      <c r="P24" s="1880">
        <v>0</v>
      </c>
      <c r="Q24" s="692">
        <f>AVERAGE(D24:P24)</f>
        <v>2490.125</v>
      </c>
      <c r="R24" s="493"/>
      <c r="S24" s="185" t="s">
        <v>500</v>
      </c>
      <c r="V24" s="492"/>
      <c r="W24" s="494">
        <f t="shared" si="5"/>
        <v>2490.125</v>
      </c>
      <c r="AB24" s="876"/>
      <c r="AC24" s="876"/>
      <c r="AD24" s="876"/>
      <c r="AE24" s="876"/>
      <c r="AJ24" s="876"/>
      <c r="AK24" s="876"/>
      <c r="AL24" s="876"/>
      <c r="AM24" s="876"/>
      <c r="AN24" s="876"/>
    </row>
    <row r="25" spans="1:40">
      <c r="A25" s="519" t="s">
        <v>150</v>
      </c>
      <c r="B25" s="517" t="s">
        <v>1340</v>
      </c>
      <c r="C25" s="185" t="s">
        <v>1345</v>
      </c>
      <c r="D25" s="1821"/>
      <c r="E25" s="1880">
        <v>0</v>
      </c>
      <c r="F25" s="1880">
        <v>0</v>
      </c>
      <c r="G25" s="1880">
        <v>116754.37</v>
      </c>
      <c r="H25" s="1880">
        <v>105078.93</v>
      </c>
      <c r="I25" s="1880">
        <v>93403.49</v>
      </c>
      <c r="J25" s="1880">
        <v>81728.05</v>
      </c>
      <c r="K25" s="1880">
        <v>70052.61</v>
      </c>
      <c r="L25" s="1880">
        <v>58377.17</v>
      </c>
      <c r="M25" s="1880">
        <v>46701.73</v>
      </c>
      <c r="N25" s="1880">
        <v>35026.29</v>
      </c>
      <c r="O25" s="1880">
        <v>23350.85</v>
      </c>
      <c r="P25" s="1880">
        <v>11675.41</v>
      </c>
      <c r="Q25" s="692">
        <f>AVERAGE(D25:P25)</f>
        <v>53512.408333333333</v>
      </c>
      <c r="R25" s="493"/>
      <c r="S25" s="185" t="s">
        <v>503</v>
      </c>
      <c r="T25" s="496"/>
      <c r="U25" s="496"/>
      <c r="V25" s="496"/>
      <c r="W25" s="494">
        <f t="shared" si="5"/>
        <v>53512.408333333333</v>
      </c>
      <c r="AB25" s="876"/>
      <c r="AC25" s="876"/>
      <c r="AE25" s="876"/>
      <c r="AJ25" s="876"/>
      <c r="AK25" s="876"/>
      <c r="AL25" s="876"/>
      <c r="AM25" s="876"/>
      <c r="AN25" s="876"/>
    </row>
    <row r="26" spans="1:40">
      <c r="A26" s="519" t="s">
        <v>150</v>
      </c>
      <c r="B26" s="517" t="s">
        <v>1254</v>
      </c>
      <c r="C26" s="185" t="s">
        <v>1256</v>
      </c>
      <c r="D26" s="1821"/>
      <c r="E26" s="1880">
        <v>0</v>
      </c>
      <c r="F26" s="1880">
        <v>0</v>
      </c>
      <c r="G26" s="1880">
        <v>0</v>
      </c>
      <c r="H26" s="1880">
        <v>0</v>
      </c>
      <c r="I26" s="1880">
        <v>0</v>
      </c>
      <c r="J26" s="1880">
        <v>0</v>
      </c>
      <c r="K26" s="1880">
        <v>0</v>
      </c>
      <c r="L26" s="1880">
        <v>0</v>
      </c>
      <c r="M26" s="1880">
        <v>73513.19</v>
      </c>
      <c r="N26" s="1880">
        <v>61260.99</v>
      </c>
      <c r="O26" s="1880">
        <v>49008.79</v>
      </c>
      <c r="P26" s="1880">
        <v>36756.589999999997</v>
      </c>
      <c r="Q26" s="692">
        <f>AVERAGE(D26:P26)</f>
        <v>18378.296666666665</v>
      </c>
      <c r="R26" s="493"/>
      <c r="S26" s="185" t="s">
        <v>220</v>
      </c>
      <c r="W26" s="494">
        <f t="shared" si="5"/>
        <v>18378.296666666665</v>
      </c>
      <c r="AB26" s="876"/>
      <c r="AC26" s="876"/>
      <c r="AD26" s="876"/>
      <c r="AE26" s="876"/>
      <c r="AJ26" s="876"/>
      <c r="AK26" s="876"/>
      <c r="AL26" s="876"/>
      <c r="AM26" s="876"/>
      <c r="AN26" s="876"/>
    </row>
    <row r="27" spans="1:40">
      <c r="A27" s="519" t="s">
        <v>150</v>
      </c>
      <c r="B27" s="517" t="s">
        <v>1289</v>
      </c>
      <c r="C27" s="185" t="s">
        <v>1304</v>
      </c>
      <c r="D27" s="1821">
        <v>230.11</v>
      </c>
      <c r="E27" s="1880">
        <v>0</v>
      </c>
      <c r="F27" s="1880">
        <v>0</v>
      </c>
      <c r="G27" s="1880">
        <v>0</v>
      </c>
      <c r="H27" s="1880">
        <v>0</v>
      </c>
      <c r="I27" s="1880">
        <v>0</v>
      </c>
      <c r="J27" s="1880">
        <v>0</v>
      </c>
      <c r="K27" s="1880">
        <v>0</v>
      </c>
      <c r="L27" s="1880">
        <v>0</v>
      </c>
      <c r="M27" s="1880">
        <v>0</v>
      </c>
      <c r="N27" s="1880">
        <v>0</v>
      </c>
      <c r="O27" s="1880">
        <v>0</v>
      </c>
      <c r="P27" s="1880">
        <v>0</v>
      </c>
      <c r="Q27" s="692">
        <f>AVERAGE(D27:P27)</f>
        <v>17.700769230769232</v>
      </c>
      <c r="R27" s="493"/>
      <c r="S27" s="185" t="s">
        <v>502</v>
      </c>
      <c r="W27" s="494">
        <f t="shared" si="5"/>
        <v>17.700769230769232</v>
      </c>
      <c r="AB27" s="876"/>
      <c r="AC27" s="876"/>
      <c r="AD27" s="876"/>
      <c r="AE27" s="876"/>
      <c r="AJ27" s="876"/>
      <c r="AK27" s="876"/>
      <c r="AL27" s="876"/>
      <c r="AM27" s="876"/>
      <c r="AN27" s="876"/>
    </row>
    <row r="28" spans="1:40">
      <c r="A28" s="519" t="s">
        <v>150</v>
      </c>
      <c r="B28" s="517" t="s">
        <v>1273</v>
      </c>
      <c r="C28" s="185" t="s">
        <v>1300</v>
      </c>
      <c r="D28" s="1821">
        <v>33288</v>
      </c>
      <c r="E28" s="1880">
        <v>29615.279999999999</v>
      </c>
      <c r="F28" s="1880">
        <v>25942.560000000001</v>
      </c>
      <c r="G28" s="1880">
        <v>25942.560000000001</v>
      </c>
      <c r="H28" s="1880">
        <v>21115.62</v>
      </c>
      <c r="I28" s="1880">
        <v>17442.900000000001</v>
      </c>
      <c r="J28" s="1880">
        <v>30572.18</v>
      </c>
      <c r="K28" s="1880">
        <v>18899.46</v>
      </c>
      <c r="L28" s="1880">
        <v>15226.74</v>
      </c>
      <c r="M28" s="1880">
        <v>10983.15</v>
      </c>
      <c r="N28" s="1880">
        <v>6739.56</v>
      </c>
      <c r="O28" s="1880">
        <v>37659.26</v>
      </c>
      <c r="P28" s="1880">
        <v>37659.26</v>
      </c>
      <c r="Q28" s="692">
        <f>AVERAGE(D28:P28)</f>
        <v>23929.733076923076</v>
      </c>
      <c r="R28" s="493"/>
      <c r="S28" s="185" t="s">
        <v>220</v>
      </c>
      <c r="W28" s="494">
        <f t="shared" si="5"/>
        <v>23929.733076923076</v>
      </c>
      <c r="AB28" s="876"/>
      <c r="AC28" s="876"/>
      <c r="AD28" s="876"/>
      <c r="AE28" s="876"/>
      <c r="AJ28" s="876"/>
      <c r="AK28" s="876"/>
      <c r="AL28" s="876"/>
      <c r="AM28" s="876"/>
      <c r="AN28" s="876"/>
    </row>
    <row r="29" spans="1:40">
      <c r="A29" s="519" t="s">
        <v>150</v>
      </c>
      <c r="B29" s="517" t="s">
        <v>1262</v>
      </c>
      <c r="C29" s="185" t="s">
        <v>273</v>
      </c>
      <c r="D29" s="1821">
        <v>1502.73</v>
      </c>
      <c r="E29" s="1880">
        <v>1288.06</v>
      </c>
      <c r="F29" s="1880">
        <v>1073.43</v>
      </c>
      <c r="G29" s="1880">
        <v>858.76</v>
      </c>
      <c r="H29" s="1880">
        <v>644.09</v>
      </c>
      <c r="I29" s="1880">
        <v>429.42</v>
      </c>
      <c r="J29" s="1880">
        <v>214.75</v>
      </c>
      <c r="K29" s="1880">
        <v>0</v>
      </c>
      <c r="L29" s="1880">
        <v>2361.33</v>
      </c>
      <c r="M29" s="1880">
        <v>2146.66</v>
      </c>
      <c r="N29" s="1880">
        <v>1931.99</v>
      </c>
      <c r="O29" s="1880">
        <v>1717.32</v>
      </c>
      <c r="P29" s="1880">
        <v>1502.65</v>
      </c>
      <c r="Q29" s="692">
        <f t="shared" si="4"/>
        <v>1205.4761538461537</v>
      </c>
      <c r="R29" s="493"/>
      <c r="S29" s="185" t="s">
        <v>503</v>
      </c>
      <c r="W29" s="494">
        <f t="shared" si="5"/>
        <v>1205.4761538461537</v>
      </c>
      <c r="AB29" s="876"/>
      <c r="AC29" s="876"/>
      <c r="AD29" s="876"/>
      <c r="AE29" s="876"/>
      <c r="AJ29" s="876"/>
      <c r="AK29" s="876"/>
      <c r="AL29" s="876"/>
      <c r="AM29" s="876"/>
      <c r="AN29" s="876"/>
    </row>
    <row r="30" spans="1:40">
      <c r="A30" s="519" t="s">
        <v>150</v>
      </c>
      <c r="B30" s="517" t="s">
        <v>1263</v>
      </c>
      <c r="C30" s="185" t="s">
        <v>996</v>
      </c>
      <c r="D30" s="1821">
        <v>28286.959999999999</v>
      </c>
      <c r="E30" s="1880">
        <v>7219.45</v>
      </c>
      <c r="F30" s="1880">
        <v>0</v>
      </c>
      <c r="G30" s="1880">
        <v>0</v>
      </c>
      <c r="H30" s="1880">
        <v>0</v>
      </c>
      <c r="I30" s="1880">
        <v>0</v>
      </c>
      <c r="J30" s="1880">
        <v>0</v>
      </c>
      <c r="K30" s="1880">
        <v>0</v>
      </c>
      <c r="L30" s="1880">
        <v>0</v>
      </c>
      <c r="M30" s="1880">
        <v>0</v>
      </c>
      <c r="N30" s="1880">
        <v>2177.7800000000002</v>
      </c>
      <c r="O30" s="1880">
        <v>3337.5</v>
      </c>
      <c r="P30" s="1880">
        <v>8072.79</v>
      </c>
      <c r="Q30" s="692">
        <f t="shared" si="4"/>
        <v>3776.498461538461</v>
      </c>
      <c r="R30" s="493"/>
      <c r="S30" s="185" t="s">
        <v>500</v>
      </c>
      <c r="W30" s="494">
        <f t="shared" si="5"/>
        <v>3776.498461538461</v>
      </c>
      <c r="AB30" s="876"/>
      <c r="AC30" s="876"/>
      <c r="AD30" s="876"/>
      <c r="AE30" s="876"/>
      <c r="AJ30" s="876"/>
      <c r="AK30" s="876"/>
      <c r="AL30" s="876"/>
      <c r="AM30" s="876"/>
      <c r="AN30" s="876"/>
    </row>
    <row r="31" spans="1:40">
      <c r="A31" s="519" t="s">
        <v>150</v>
      </c>
      <c r="B31" s="517" t="s">
        <v>1267</v>
      </c>
      <c r="C31" s="185" t="s">
        <v>263</v>
      </c>
      <c r="D31" s="1821">
        <v>1036684.69</v>
      </c>
      <c r="E31" s="1880">
        <v>903845.91</v>
      </c>
      <c r="F31" s="1880">
        <v>771007.13</v>
      </c>
      <c r="G31" s="1880">
        <v>638168.35</v>
      </c>
      <c r="H31" s="1880">
        <v>505329.57</v>
      </c>
      <c r="I31" s="1880">
        <v>372490.79</v>
      </c>
      <c r="J31" s="1880">
        <v>239652.01</v>
      </c>
      <c r="K31" s="1880">
        <v>283889.83</v>
      </c>
      <c r="L31" s="1880">
        <v>136719.87</v>
      </c>
      <c r="M31" s="1880">
        <v>1415839.66</v>
      </c>
      <c r="N31" s="1880">
        <v>1284641.1399999999</v>
      </c>
      <c r="O31" s="1880">
        <v>1153442.6200000001</v>
      </c>
      <c r="P31" s="1880">
        <v>1022244.1</v>
      </c>
      <c r="Q31" s="692">
        <f>AVERAGE(D31:P31)</f>
        <v>751073.51307692309</v>
      </c>
      <c r="R31" s="493"/>
      <c r="S31" s="185" t="s">
        <v>500</v>
      </c>
      <c r="T31" s="496"/>
      <c r="W31" s="494">
        <f>+Q31</f>
        <v>751073.51307692309</v>
      </c>
      <c r="AB31" s="876"/>
      <c r="AC31" s="876"/>
      <c r="AD31" s="876"/>
      <c r="AE31" s="876"/>
      <c r="AJ31" s="876"/>
      <c r="AK31" s="876"/>
      <c r="AL31" s="876"/>
      <c r="AM31" s="876"/>
      <c r="AN31" s="876"/>
    </row>
    <row r="32" spans="1:40">
      <c r="A32" s="519" t="s">
        <v>150</v>
      </c>
      <c r="B32" s="517" t="s">
        <v>1264</v>
      </c>
      <c r="C32" s="185" t="s">
        <v>1298</v>
      </c>
      <c r="D32" s="1821">
        <v>0</v>
      </c>
      <c r="E32" s="1880">
        <v>380670.18</v>
      </c>
      <c r="F32" s="1880">
        <v>346063.8</v>
      </c>
      <c r="G32" s="1880">
        <v>311457.42</v>
      </c>
      <c r="H32" s="1880">
        <v>276851.03999999998</v>
      </c>
      <c r="I32" s="1880">
        <v>242244.66</v>
      </c>
      <c r="J32" s="1880">
        <v>207638.28</v>
      </c>
      <c r="K32" s="1880">
        <v>173031.9</v>
      </c>
      <c r="L32" s="1880">
        <v>138425.51999999999</v>
      </c>
      <c r="M32" s="1880">
        <v>103819.14</v>
      </c>
      <c r="N32" s="1880">
        <v>69212.759999999995</v>
      </c>
      <c r="O32" s="1880">
        <v>34606.379999999997</v>
      </c>
      <c r="P32" s="1880">
        <v>446138.04</v>
      </c>
      <c r="Q32" s="692">
        <f t="shared" ref="Q32:Q65" si="6">AVERAGE(D32:P32)</f>
        <v>210012.23999999996</v>
      </c>
      <c r="R32" s="493"/>
      <c r="S32" s="185" t="s">
        <v>500</v>
      </c>
      <c r="T32" s="496"/>
      <c r="W32" s="494">
        <f t="shared" ref="W32:W65" si="7">+Q32</f>
        <v>210012.23999999996</v>
      </c>
      <c r="AB32" s="876"/>
      <c r="AC32" s="876"/>
      <c r="AD32" s="876"/>
      <c r="AE32" s="876"/>
      <c r="AJ32" s="876"/>
      <c r="AK32" s="876"/>
      <c r="AL32" s="876"/>
      <c r="AM32" s="876"/>
      <c r="AN32" s="876"/>
    </row>
    <row r="33" spans="1:40">
      <c r="A33" s="519" t="s">
        <v>150</v>
      </c>
      <c r="B33" s="517" t="s">
        <v>1274</v>
      </c>
      <c r="C33" s="185" t="s">
        <v>244</v>
      </c>
      <c r="D33" s="1821">
        <v>0</v>
      </c>
      <c r="E33" s="1880">
        <v>307036.84000000003</v>
      </c>
      <c r="F33" s="1880">
        <v>279124.40000000002</v>
      </c>
      <c r="G33" s="1880">
        <v>251211.96</v>
      </c>
      <c r="H33" s="1880">
        <v>223299.52</v>
      </c>
      <c r="I33" s="1880">
        <v>195387.08</v>
      </c>
      <c r="J33" s="1880">
        <v>167474.64000000001</v>
      </c>
      <c r="K33" s="1880">
        <v>139562.20000000001</v>
      </c>
      <c r="L33" s="1880">
        <v>111649.76</v>
      </c>
      <c r="M33" s="1880">
        <v>83737.320000000007</v>
      </c>
      <c r="N33" s="1880">
        <v>55824.88</v>
      </c>
      <c r="O33" s="1880">
        <v>27912.44</v>
      </c>
      <c r="P33" s="1880">
        <v>0</v>
      </c>
      <c r="Q33" s="692">
        <f t="shared" si="6"/>
        <v>141709.31076923077</v>
      </c>
      <c r="R33" s="493"/>
      <c r="S33" s="185" t="s">
        <v>500</v>
      </c>
      <c r="T33" s="496"/>
      <c r="W33" s="494">
        <f t="shared" si="7"/>
        <v>141709.31076923077</v>
      </c>
      <c r="AB33" s="876"/>
      <c r="AC33" s="876"/>
      <c r="AD33" s="876"/>
      <c r="AE33" s="876"/>
      <c r="AJ33" s="876"/>
      <c r="AK33" s="876"/>
      <c r="AL33" s="876"/>
      <c r="AM33" s="876"/>
      <c r="AN33" s="876"/>
    </row>
    <row r="34" spans="1:40">
      <c r="A34" s="519" t="s">
        <v>150</v>
      </c>
      <c r="B34" s="517" t="s">
        <v>1275</v>
      </c>
      <c r="C34" s="185" t="s">
        <v>245</v>
      </c>
      <c r="D34" s="1821">
        <v>0</v>
      </c>
      <c r="E34" s="1880">
        <v>388171.98</v>
      </c>
      <c r="F34" s="1880">
        <v>352883.62</v>
      </c>
      <c r="G34" s="1880">
        <v>317595.26</v>
      </c>
      <c r="H34" s="1880">
        <v>282306.90000000002</v>
      </c>
      <c r="I34" s="1880">
        <v>247018.54</v>
      </c>
      <c r="J34" s="1880">
        <v>211730.18</v>
      </c>
      <c r="K34" s="1880">
        <v>176441.82</v>
      </c>
      <c r="L34" s="1880">
        <v>141153.46</v>
      </c>
      <c r="M34" s="1880">
        <v>105865.1</v>
      </c>
      <c r="N34" s="1880">
        <v>70576.740000000005</v>
      </c>
      <c r="O34" s="1880">
        <v>35288.379999999997</v>
      </c>
      <c r="P34" s="1880">
        <v>315117.73</v>
      </c>
      <c r="Q34" s="692">
        <f t="shared" si="6"/>
        <v>203396.13153846154</v>
      </c>
      <c r="R34" s="493"/>
      <c r="S34" s="185" t="s">
        <v>500</v>
      </c>
      <c r="T34" s="496"/>
      <c r="W34" s="494">
        <f t="shared" si="7"/>
        <v>203396.13153846154</v>
      </c>
      <c r="AB34" s="876"/>
      <c r="AC34" s="876"/>
      <c r="AD34" s="876"/>
      <c r="AE34" s="876"/>
      <c r="AJ34" s="876"/>
      <c r="AK34" s="876"/>
      <c r="AL34" s="876"/>
      <c r="AM34" s="876"/>
      <c r="AN34" s="876"/>
    </row>
    <row r="35" spans="1:40">
      <c r="A35" s="519" t="s">
        <v>150</v>
      </c>
      <c r="B35" s="517" t="s">
        <v>1268</v>
      </c>
      <c r="C35" s="185" t="s">
        <v>276</v>
      </c>
      <c r="D35" s="1821">
        <v>162276.35</v>
      </c>
      <c r="E35" s="1880">
        <v>148753.32</v>
      </c>
      <c r="F35" s="1880">
        <v>135230.29</v>
      </c>
      <c r="G35" s="1880">
        <v>121707.26</v>
      </c>
      <c r="H35" s="1880">
        <v>108184.23</v>
      </c>
      <c r="I35" s="1880">
        <v>94661.2</v>
      </c>
      <c r="J35" s="1880">
        <v>81138.17</v>
      </c>
      <c r="K35" s="1880">
        <v>67615.14</v>
      </c>
      <c r="L35" s="1880">
        <v>54092.11</v>
      </c>
      <c r="M35" s="1880">
        <v>40569.08</v>
      </c>
      <c r="N35" s="1880">
        <v>27046.05</v>
      </c>
      <c r="O35" s="1880">
        <v>13523.02</v>
      </c>
      <c r="P35" s="1880">
        <v>146037.35</v>
      </c>
      <c r="Q35" s="692">
        <f t="shared" si="6"/>
        <v>92371.813076923077</v>
      </c>
      <c r="R35" s="493"/>
      <c r="S35" s="185" t="s">
        <v>500</v>
      </c>
      <c r="T35" s="496"/>
      <c r="W35" s="494">
        <f t="shared" si="7"/>
        <v>92371.813076923077</v>
      </c>
      <c r="AB35" s="876"/>
      <c r="AC35" s="876"/>
      <c r="AD35" s="876"/>
      <c r="AE35" s="876"/>
      <c r="AJ35" s="876"/>
      <c r="AK35" s="876"/>
      <c r="AL35" s="876"/>
      <c r="AM35" s="876"/>
      <c r="AN35" s="876"/>
    </row>
    <row r="36" spans="1:40">
      <c r="A36" s="519" t="s">
        <v>150</v>
      </c>
      <c r="B36" s="517" t="s">
        <v>1269</v>
      </c>
      <c r="C36" s="185" t="s">
        <v>247</v>
      </c>
      <c r="D36" s="1821">
        <v>1010086.9</v>
      </c>
      <c r="E36" s="1880">
        <v>1010086.9</v>
      </c>
      <c r="F36" s="1880">
        <v>1010086.9</v>
      </c>
      <c r="G36" s="1880">
        <v>1010086.9</v>
      </c>
      <c r="H36" s="1880">
        <v>1010086.9</v>
      </c>
      <c r="I36" s="1880">
        <v>1010086.9</v>
      </c>
      <c r="J36" s="1880">
        <v>1010086.9</v>
      </c>
      <c r="K36" s="1880">
        <v>1010086.9</v>
      </c>
      <c r="L36" s="1880">
        <v>1010086.9</v>
      </c>
      <c r="M36" s="1880">
        <v>1010086.9</v>
      </c>
      <c r="N36" s="1880">
        <v>1010086.9</v>
      </c>
      <c r="O36" s="1880">
        <v>1010086.9</v>
      </c>
      <c r="P36" s="1880">
        <v>1010086.9</v>
      </c>
      <c r="Q36" s="692">
        <f t="shared" si="6"/>
        <v>1010086.9000000003</v>
      </c>
      <c r="R36" s="493"/>
      <c r="S36" s="185" t="s">
        <v>500</v>
      </c>
      <c r="T36" s="496"/>
      <c r="W36" s="494">
        <f t="shared" si="7"/>
        <v>1010086.9000000003</v>
      </c>
      <c r="AB36" s="876"/>
      <c r="AC36" s="876"/>
      <c r="AD36" s="876"/>
      <c r="AE36" s="876"/>
      <c r="AJ36" s="876"/>
      <c r="AK36" s="876"/>
      <c r="AL36" s="876"/>
      <c r="AM36" s="876"/>
      <c r="AN36" s="876"/>
    </row>
    <row r="37" spans="1:40">
      <c r="A37" s="519" t="s">
        <v>150</v>
      </c>
      <c r="B37" s="517" t="s">
        <v>1270</v>
      </c>
      <c r="C37" s="185" t="s">
        <v>279</v>
      </c>
      <c r="D37" s="1821">
        <v>55017</v>
      </c>
      <c r="E37" s="1880">
        <v>48904</v>
      </c>
      <c r="F37" s="1880">
        <v>42791</v>
      </c>
      <c r="G37" s="1880">
        <v>36678</v>
      </c>
      <c r="H37" s="1880">
        <v>30565</v>
      </c>
      <c r="I37" s="1880">
        <v>24452</v>
      </c>
      <c r="J37" s="1880">
        <v>18339</v>
      </c>
      <c r="K37" s="1880">
        <v>12226</v>
      </c>
      <c r="L37" s="1880">
        <v>6113</v>
      </c>
      <c r="M37" s="1880">
        <v>0</v>
      </c>
      <c r="N37" s="1880">
        <v>87600</v>
      </c>
      <c r="O37" s="1880">
        <v>87600</v>
      </c>
      <c r="P37" s="1880">
        <v>87600</v>
      </c>
      <c r="Q37" s="692">
        <f t="shared" si="6"/>
        <v>41375.769230769234</v>
      </c>
      <c r="R37" s="493"/>
      <c r="S37" s="185" t="s">
        <v>500</v>
      </c>
      <c r="T37" s="496"/>
      <c r="W37" s="494">
        <f t="shared" si="7"/>
        <v>41375.769230769234</v>
      </c>
      <c r="AB37" s="876"/>
      <c r="AC37" s="876"/>
      <c r="AD37" s="876"/>
      <c r="AE37" s="876"/>
      <c r="AJ37" s="876"/>
      <c r="AK37" s="876"/>
      <c r="AL37" s="876"/>
      <c r="AM37" s="876"/>
      <c r="AN37" s="876"/>
    </row>
    <row r="38" spans="1:40">
      <c r="A38" s="519" t="s">
        <v>150</v>
      </c>
      <c r="B38" s="517" t="s">
        <v>1266</v>
      </c>
      <c r="C38" s="185" t="s">
        <v>1299</v>
      </c>
      <c r="D38" s="1821">
        <v>15330</v>
      </c>
      <c r="E38" s="1880">
        <v>15330</v>
      </c>
      <c r="F38" s="1880">
        <v>15330</v>
      </c>
      <c r="G38" s="1880">
        <v>15330</v>
      </c>
      <c r="H38" s="1880">
        <v>15330</v>
      </c>
      <c r="I38" s="1880">
        <v>15330</v>
      </c>
      <c r="J38" s="1880">
        <v>15330</v>
      </c>
      <c r="K38" s="1880">
        <v>15330</v>
      </c>
      <c r="L38" s="1880">
        <v>15330</v>
      </c>
      <c r="M38" s="1880">
        <v>15330</v>
      </c>
      <c r="N38" s="1880">
        <v>15330</v>
      </c>
      <c r="O38" s="1880">
        <v>15330</v>
      </c>
      <c r="P38" s="1880">
        <v>15330</v>
      </c>
      <c r="Q38" s="692">
        <f t="shared" si="6"/>
        <v>15330</v>
      </c>
      <c r="R38" s="493"/>
      <c r="S38" s="185" t="s">
        <v>500</v>
      </c>
      <c r="T38" s="496"/>
      <c r="W38" s="494">
        <f t="shared" si="7"/>
        <v>15330</v>
      </c>
      <c r="AB38" s="876"/>
      <c r="AC38" s="876"/>
      <c r="AD38" s="876"/>
      <c r="AE38" s="876"/>
      <c r="AJ38" s="876"/>
      <c r="AK38" s="876"/>
      <c r="AL38" s="876"/>
      <c r="AM38" s="876"/>
      <c r="AN38" s="876"/>
    </row>
    <row r="39" spans="1:40">
      <c r="A39" s="519" t="s">
        <v>150</v>
      </c>
      <c r="B39" s="517" t="s">
        <v>1276</v>
      </c>
      <c r="C39" s="185" t="s">
        <v>248</v>
      </c>
      <c r="D39" s="1821">
        <v>0</v>
      </c>
      <c r="E39" s="1880">
        <v>336223.76</v>
      </c>
      <c r="F39" s="1880">
        <v>305657.96000000002</v>
      </c>
      <c r="G39" s="1880">
        <v>275092.15999999997</v>
      </c>
      <c r="H39" s="1880">
        <v>244526.36</v>
      </c>
      <c r="I39" s="1880">
        <v>213960.56</v>
      </c>
      <c r="J39" s="1880">
        <v>183394.76</v>
      </c>
      <c r="K39" s="1880">
        <v>152828.96</v>
      </c>
      <c r="L39" s="1880">
        <v>122263.16</v>
      </c>
      <c r="M39" s="1880">
        <v>91697.36</v>
      </c>
      <c r="N39" s="1880">
        <v>61131.56</v>
      </c>
      <c r="O39" s="1880">
        <v>30565.759999999998</v>
      </c>
      <c r="P39" s="1880">
        <v>428287.66</v>
      </c>
      <c r="Q39" s="692">
        <f t="shared" si="6"/>
        <v>188125.38615384616</v>
      </c>
      <c r="R39" s="493"/>
      <c r="S39" s="185" t="s">
        <v>500</v>
      </c>
      <c r="T39" s="496"/>
      <c r="W39" s="494">
        <f t="shared" si="7"/>
        <v>188125.38615384616</v>
      </c>
      <c r="AB39" s="876"/>
      <c r="AC39" s="876"/>
      <c r="AD39" s="876"/>
      <c r="AE39" s="876"/>
      <c r="AJ39" s="876"/>
      <c r="AK39" s="876"/>
      <c r="AL39" s="876"/>
      <c r="AM39" s="876"/>
      <c r="AN39" s="876"/>
    </row>
    <row r="40" spans="1:40">
      <c r="A40" s="519" t="s">
        <v>150</v>
      </c>
      <c r="B40" s="517" t="s">
        <v>1282</v>
      </c>
      <c r="C40" s="185" t="s">
        <v>249</v>
      </c>
      <c r="D40" s="1821">
        <v>16775.650000000001</v>
      </c>
      <c r="E40" s="1880">
        <v>10587.55</v>
      </c>
      <c r="F40" s="1880">
        <v>4399.45</v>
      </c>
      <c r="G40" s="1880">
        <v>72661.41</v>
      </c>
      <c r="H40" s="1880">
        <v>66606.289999999994</v>
      </c>
      <c r="I40" s="1880">
        <v>60551.17</v>
      </c>
      <c r="J40" s="1880">
        <v>54496.05</v>
      </c>
      <c r="K40" s="1880">
        <v>48440.93</v>
      </c>
      <c r="L40" s="1880">
        <v>42385.81</v>
      </c>
      <c r="M40" s="1880">
        <v>36330.69</v>
      </c>
      <c r="N40" s="1880">
        <v>30275.57</v>
      </c>
      <c r="O40" s="1880">
        <v>24220.45</v>
      </c>
      <c r="P40" s="1880">
        <v>18165.330000000002</v>
      </c>
      <c r="Q40" s="692">
        <f t="shared" si="6"/>
        <v>37376.642307692309</v>
      </c>
      <c r="R40" s="493"/>
      <c r="S40" s="185" t="s">
        <v>500</v>
      </c>
      <c r="T40" s="496"/>
      <c r="W40" s="494">
        <f t="shared" si="7"/>
        <v>37376.642307692309</v>
      </c>
      <c r="AB40" s="876"/>
      <c r="AC40" s="876"/>
      <c r="AD40" s="876"/>
      <c r="AE40" s="876"/>
      <c r="AJ40" s="876"/>
      <c r="AK40" s="876"/>
      <c r="AL40" s="876"/>
      <c r="AM40" s="876"/>
      <c r="AN40" s="876"/>
    </row>
    <row r="41" spans="1:40">
      <c r="A41" s="519" t="s">
        <v>150</v>
      </c>
      <c r="B41" s="517" t="s">
        <v>1277</v>
      </c>
      <c r="C41" s="185" t="s">
        <v>250</v>
      </c>
      <c r="D41" s="1821">
        <v>65393.78</v>
      </c>
      <c r="E41" s="1880">
        <v>49045.34</v>
      </c>
      <c r="F41" s="1880">
        <v>32696.9</v>
      </c>
      <c r="G41" s="1880">
        <v>16348.46</v>
      </c>
      <c r="H41" s="1880">
        <v>0</v>
      </c>
      <c r="I41" s="1880">
        <v>181811.02</v>
      </c>
      <c r="J41" s="1880">
        <v>165282.75</v>
      </c>
      <c r="K41" s="1880">
        <v>148754.48000000001</v>
      </c>
      <c r="L41" s="1880">
        <v>132226.21</v>
      </c>
      <c r="M41" s="1880">
        <v>115697.94</v>
      </c>
      <c r="N41" s="1880">
        <v>99169.67</v>
      </c>
      <c r="O41" s="1880">
        <v>82641.399999999994</v>
      </c>
      <c r="P41" s="1880">
        <v>66113.13</v>
      </c>
      <c r="Q41" s="692">
        <f t="shared" si="6"/>
        <v>88860.083076923082</v>
      </c>
      <c r="R41" s="493"/>
      <c r="S41" s="185" t="s">
        <v>500</v>
      </c>
      <c r="T41" s="496"/>
      <c r="W41" s="494">
        <f t="shared" si="7"/>
        <v>88860.083076923082</v>
      </c>
      <c r="AB41" s="876"/>
      <c r="AC41" s="876"/>
      <c r="AD41" s="876"/>
      <c r="AE41" s="876"/>
      <c r="AJ41" s="876"/>
      <c r="AK41" s="876"/>
      <c r="AL41" s="876"/>
      <c r="AM41" s="876"/>
      <c r="AN41" s="876"/>
    </row>
    <row r="42" spans="1:40">
      <c r="A42" s="519" t="s">
        <v>150</v>
      </c>
      <c r="B42" s="517" t="s">
        <v>1278</v>
      </c>
      <c r="C42" s="185" t="s">
        <v>251</v>
      </c>
      <c r="D42" s="1821">
        <v>296822.5</v>
      </c>
      <c r="E42" s="1880">
        <v>237458</v>
      </c>
      <c r="F42" s="1880">
        <v>178093.5</v>
      </c>
      <c r="G42" s="1880">
        <v>118729</v>
      </c>
      <c r="H42" s="1880">
        <v>59364.5</v>
      </c>
      <c r="I42" s="1880">
        <v>741419.7</v>
      </c>
      <c r="J42" s="1880">
        <v>679634.72</v>
      </c>
      <c r="K42" s="1880">
        <v>617849.74</v>
      </c>
      <c r="L42" s="1880">
        <v>556064.76</v>
      </c>
      <c r="M42" s="1880">
        <v>494279.78</v>
      </c>
      <c r="N42" s="1880">
        <v>432494.8</v>
      </c>
      <c r="O42" s="1880">
        <v>370709.82</v>
      </c>
      <c r="P42" s="1880">
        <v>308924.84000000003</v>
      </c>
      <c r="Q42" s="692">
        <f t="shared" si="6"/>
        <v>391680.43538461538</v>
      </c>
      <c r="R42" s="493"/>
      <c r="S42" s="185" t="s">
        <v>500</v>
      </c>
      <c r="T42" s="496"/>
      <c r="W42" s="494">
        <f t="shared" si="7"/>
        <v>391680.43538461538</v>
      </c>
      <c r="AB42" s="876"/>
      <c r="AC42" s="876"/>
      <c r="AD42" s="876"/>
      <c r="AE42" s="876"/>
      <c r="AJ42" s="876"/>
      <c r="AK42" s="876"/>
      <c r="AL42" s="876"/>
      <c r="AM42" s="876"/>
      <c r="AN42" s="876"/>
    </row>
    <row r="43" spans="1:40">
      <c r="A43" s="519" t="s">
        <v>150</v>
      </c>
      <c r="B43" s="517" t="s">
        <v>1279</v>
      </c>
      <c r="C43" s="185" t="s">
        <v>1301</v>
      </c>
      <c r="D43" s="1821">
        <v>295142.34999999998</v>
      </c>
      <c r="E43" s="1880">
        <v>285621.63</v>
      </c>
      <c r="F43" s="1880">
        <v>276100.90999999997</v>
      </c>
      <c r="G43" s="1880">
        <v>266580.19</v>
      </c>
      <c r="H43" s="1880">
        <v>257059.47</v>
      </c>
      <c r="I43" s="1880">
        <v>247538.75</v>
      </c>
      <c r="J43" s="1880">
        <v>238018.03</v>
      </c>
      <c r="K43" s="1880">
        <v>228497.31</v>
      </c>
      <c r="L43" s="1880">
        <v>218976.59</v>
      </c>
      <c r="M43" s="1880">
        <v>209455.87</v>
      </c>
      <c r="N43" s="1880">
        <v>199935.15</v>
      </c>
      <c r="O43" s="1880">
        <v>190414.43</v>
      </c>
      <c r="P43" s="1880">
        <v>180893.71</v>
      </c>
      <c r="Q43" s="692">
        <f t="shared" si="6"/>
        <v>238018.03</v>
      </c>
      <c r="R43" s="493"/>
      <c r="S43" s="185" t="s">
        <v>500</v>
      </c>
      <c r="T43" s="496"/>
      <c r="W43" s="494">
        <f t="shared" si="7"/>
        <v>238018.03</v>
      </c>
      <c r="AB43" s="876"/>
      <c r="AC43" s="876"/>
      <c r="AD43" s="876"/>
      <c r="AE43" s="876"/>
      <c r="AJ43" s="876"/>
      <c r="AK43" s="876"/>
      <c r="AL43" s="876"/>
      <c r="AM43" s="876"/>
      <c r="AN43" s="876"/>
    </row>
    <row r="44" spans="1:40">
      <c r="A44" s="519" t="s">
        <v>150</v>
      </c>
      <c r="B44" s="517" t="s">
        <v>1280</v>
      </c>
      <c r="C44" s="185" t="s">
        <v>252</v>
      </c>
      <c r="D44" s="1821">
        <v>78043.41</v>
      </c>
      <c r="E44" s="1880">
        <v>69371.92</v>
      </c>
      <c r="F44" s="1880">
        <v>60700.43</v>
      </c>
      <c r="G44" s="1880">
        <v>52028.94</v>
      </c>
      <c r="H44" s="1880">
        <v>43357.45</v>
      </c>
      <c r="I44" s="1880">
        <v>34685.96</v>
      </c>
      <c r="J44" s="1880">
        <v>26014.47</v>
      </c>
      <c r="K44" s="1880">
        <v>17342.98</v>
      </c>
      <c r="L44" s="1880">
        <v>8671.49</v>
      </c>
      <c r="M44" s="1880">
        <v>0</v>
      </c>
      <c r="N44" s="1880">
        <v>94427.79</v>
      </c>
      <c r="O44" s="1880">
        <v>85843.44</v>
      </c>
      <c r="P44" s="1880">
        <v>77259.09</v>
      </c>
      <c r="Q44" s="692">
        <f t="shared" si="6"/>
        <v>49826.720769230771</v>
      </c>
      <c r="R44" s="493"/>
      <c r="S44" s="185" t="s">
        <v>500</v>
      </c>
      <c r="T44" s="496"/>
      <c r="W44" s="494">
        <f t="shared" si="7"/>
        <v>49826.720769230771</v>
      </c>
      <c r="AB44" s="876"/>
      <c r="AC44" s="876"/>
      <c r="AD44" s="876"/>
      <c r="AE44" s="876"/>
      <c r="AJ44" s="876"/>
      <c r="AK44" s="876"/>
      <c r="AL44" s="876"/>
      <c r="AM44" s="876"/>
      <c r="AN44" s="876"/>
    </row>
    <row r="45" spans="1:40">
      <c r="A45" s="519" t="s">
        <v>150</v>
      </c>
      <c r="B45" s="517" t="s">
        <v>1281</v>
      </c>
      <c r="C45" s="185" t="s">
        <v>1302</v>
      </c>
      <c r="D45" s="1821">
        <v>235541.07</v>
      </c>
      <c r="E45" s="1880">
        <v>215912.65</v>
      </c>
      <c r="F45" s="1880">
        <v>196284.23</v>
      </c>
      <c r="G45" s="1880">
        <v>176655.81</v>
      </c>
      <c r="H45" s="1880">
        <v>157027.39000000001</v>
      </c>
      <c r="I45" s="1880">
        <v>137398.97</v>
      </c>
      <c r="J45" s="1880">
        <v>117770.55</v>
      </c>
      <c r="K45" s="1880">
        <v>98142.13</v>
      </c>
      <c r="L45" s="1880">
        <v>78513.710000000006</v>
      </c>
      <c r="M45" s="1880">
        <v>58885.29</v>
      </c>
      <c r="N45" s="1880">
        <v>39256.870000000003</v>
      </c>
      <c r="O45" s="1880">
        <v>19628.45</v>
      </c>
      <c r="P45" s="1880">
        <v>0</v>
      </c>
      <c r="Q45" s="692">
        <f t="shared" si="6"/>
        <v>117770.54769230772</v>
      </c>
      <c r="R45" s="493"/>
      <c r="S45" s="185" t="s">
        <v>500</v>
      </c>
      <c r="T45" s="496"/>
      <c r="W45" s="494">
        <f t="shared" si="7"/>
        <v>117770.54769230772</v>
      </c>
      <c r="AB45" s="876"/>
      <c r="AC45" s="876"/>
      <c r="AD45" s="876"/>
      <c r="AE45" s="876"/>
      <c r="AJ45" s="876"/>
      <c r="AK45" s="876"/>
      <c r="AL45" s="876"/>
      <c r="AM45" s="876"/>
      <c r="AN45" s="876"/>
    </row>
    <row r="46" spans="1:40">
      <c r="A46" s="519" t="s">
        <v>150</v>
      </c>
      <c r="B46" s="517" t="s">
        <v>1288</v>
      </c>
      <c r="C46" s="185" t="s">
        <v>1303</v>
      </c>
      <c r="D46" s="1821">
        <v>1010087.04</v>
      </c>
      <c r="E46" s="1880">
        <v>925913.12</v>
      </c>
      <c r="F46" s="1880">
        <v>841739.2</v>
      </c>
      <c r="G46" s="1880">
        <v>757565.28</v>
      </c>
      <c r="H46" s="1880">
        <v>673391.36</v>
      </c>
      <c r="I46" s="1880">
        <v>589217.43999999994</v>
      </c>
      <c r="J46" s="1880">
        <v>505043.52</v>
      </c>
      <c r="K46" s="1880">
        <v>420869.6</v>
      </c>
      <c r="L46" s="1880">
        <v>336695.68</v>
      </c>
      <c r="M46" s="1880">
        <v>252521.76</v>
      </c>
      <c r="N46" s="1880">
        <v>168347.84</v>
      </c>
      <c r="O46" s="1880">
        <v>84173.92</v>
      </c>
      <c r="P46" s="1880">
        <v>0</v>
      </c>
      <c r="Q46" s="692">
        <f t="shared" si="6"/>
        <v>505043.51999999996</v>
      </c>
      <c r="R46" s="493"/>
      <c r="S46" s="185" t="s">
        <v>500</v>
      </c>
      <c r="T46" s="496"/>
      <c r="W46" s="494">
        <f t="shared" si="7"/>
        <v>505043.51999999996</v>
      </c>
      <c r="AB46" s="876"/>
      <c r="AC46" s="876"/>
      <c r="AD46" s="876"/>
      <c r="AE46" s="876"/>
      <c r="AJ46" s="876"/>
      <c r="AK46" s="876"/>
      <c r="AL46" s="876"/>
      <c r="AM46" s="876"/>
      <c r="AN46" s="876"/>
    </row>
    <row r="47" spans="1:40">
      <c r="A47" s="519" t="s">
        <v>150</v>
      </c>
      <c r="B47" s="517" t="s">
        <v>1283</v>
      </c>
      <c r="C47" s="185" t="s">
        <v>259</v>
      </c>
      <c r="D47" s="1821">
        <v>454752.12</v>
      </c>
      <c r="E47" s="1880">
        <v>426330.12</v>
      </c>
      <c r="F47" s="1880">
        <v>397908.12</v>
      </c>
      <c r="G47" s="1880">
        <v>369486.12</v>
      </c>
      <c r="H47" s="1880">
        <v>341064.12</v>
      </c>
      <c r="I47" s="1880">
        <v>312642.12</v>
      </c>
      <c r="J47" s="1880">
        <v>284220.12</v>
      </c>
      <c r="K47" s="1880">
        <v>255798.12</v>
      </c>
      <c r="L47" s="1880">
        <v>227376.12</v>
      </c>
      <c r="M47" s="1880">
        <v>198954.12</v>
      </c>
      <c r="N47" s="1880">
        <v>170532.12</v>
      </c>
      <c r="O47" s="1880">
        <v>142110.12</v>
      </c>
      <c r="P47" s="1880">
        <v>113688.12</v>
      </c>
      <c r="Q47" s="692">
        <f t="shared" si="6"/>
        <v>284220.12000000005</v>
      </c>
      <c r="R47" s="493"/>
      <c r="S47" s="185" t="s">
        <v>500</v>
      </c>
      <c r="T47" s="496"/>
      <c r="W47" s="494">
        <f t="shared" si="7"/>
        <v>284220.12000000005</v>
      </c>
      <c r="AB47" s="876"/>
      <c r="AC47" s="876"/>
      <c r="AD47" s="876"/>
      <c r="AE47" s="876"/>
      <c r="AJ47" s="876"/>
      <c r="AK47" s="876"/>
      <c r="AL47" s="876"/>
      <c r="AM47" s="876"/>
      <c r="AN47" s="876"/>
    </row>
    <row r="48" spans="1:40">
      <c r="A48" s="519" t="s">
        <v>150</v>
      </c>
      <c r="B48" s="517" t="s">
        <v>1271</v>
      </c>
      <c r="C48" s="185" t="s">
        <v>254</v>
      </c>
      <c r="D48" s="1821">
        <v>38078.699999999997</v>
      </c>
      <c r="E48" s="1880">
        <v>0</v>
      </c>
      <c r="F48" s="1880">
        <v>0</v>
      </c>
      <c r="G48" s="1880">
        <v>0</v>
      </c>
      <c r="H48" s="1880">
        <v>0</v>
      </c>
      <c r="I48" s="1880">
        <v>0</v>
      </c>
      <c r="J48" s="1880">
        <v>0</v>
      </c>
      <c r="K48" s="1880">
        <v>0</v>
      </c>
      <c r="L48" s="1880">
        <v>0</v>
      </c>
      <c r="M48" s="1880">
        <v>0</v>
      </c>
      <c r="N48" s="1880">
        <v>0</v>
      </c>
      <c r="O48" s="1880">
        <v>0</v>
      </c>
      <c r="P48" s="1880">
        <v>0</v>
      </c>
      <c r="Q48" s="692">
        <f t="shared" si="6"/>
        <v>2929.1307692307691</v>
      </c>
      <c r="R48" s="493"/>
      <c r="S48" s="185" t="s">
        <v>500</v>
      </c>
      <c r="T48" s="496"/>
      <c r="W48" s="494">
        <f t="shared" si="7"/>
        <v>2929.1307692307691</v>
      </c>
      <c r="AB48" s="876"/>
      <c r="AC48" s="876"/>
      <c r="AD48" s="876"/>
      <c r="AE48" s="876"/>
      <c r="AJ48" s="876"/>
      <c r="AK48" s="876"/>
      <c r="AL48" s="876"/>
      <c r="AM48" s="876"/>
      <c r="AN48" s="876"/>
    </row>
    <row r="49" spans="1:40">
      <c r="A49" s="519" t="s">
        <v>150</v>
      </c>
      <c r="B49" s="517" t="s">
        <v>1284</v>
      </c>
      <c r="C49" s="185" t="s">
        <v>264</v>
      </c>
      <c r="D49" s="1821">
        <v>162563.84</v>
      </c>
      <c r="E49" s="1880">
        <v>162563.84</v>
      </c>
      <c r="F49" s="1880">
        <v>411219.73</v>
      </c>
      <c r="G49" s="1880">
        <v>370097.75</v>
      </c>
      <c r="H49" s="1880">
        <v>328975.77</v>
      </c>
      <c r="I49" s="1880">
        <v>287853.78999999998</v>
      </c>
      <c r="J49" s="1880">
        <v>246731.81</v>
      </c>
      <c r="K49" s="1880">
        <v>205609.83</v>
      </c>
      <c r="L49" s="1880">
        <v>164487.85</v>
      </c>
      <c r="M49" s="1880">
        <v>123365.87</v>
      </c>
      <c r="N49" s="1880">
        <v>82243.89</v>
      </c>
      <c r="O49" s="1880">
        <v>41121.910000000003</v>
      </c>
      <c r="P49" s="1880">
        <v>294016.59999999998</v>
      </c>
      <c r="Q49" s="692">
        <f t="shared" si="6"/>
        <v>221604.03692307696</v>
      </c>
      <c r="R49" s="493"/>
      <c r="S49" s="185" t="s">
        <v>500</v>
      </c>
      <c r="T49" s="496"/>
      <c r="W49" s="494">
        <f t="shared" si="7"/>
        <v>221604.03692307696</v>
      </c>
      <c r="AB49" s="876"/>
      <c r="AC49" s="876"/>
      <c r="AD49" s="876"/>
      <c r="AE49" s="876"/>
      <c r="AJ49" s="876"/>
      <c r="AK49" s="876"/>
      <c r="AL49" s="876"/>
      <c r="AM49" s="876"/>
      <c r="AN49" s="876"/>
    </row>
    <row r="50" spans="1:40">
      <c r="A50" s="519" t="s">
        <v>150</v>
      </c>
      <c r="B50" s="517" t="s">
        <v>1285</v>
      </c>
      <c r="C50" s="185" t="s">
        <v>265</v>
      </c>
      <c r="D50" s="1821">
        <v>55000</v>
      </c>
      <c r="E50" s="1880">
        <v>50416.67</v>
      </c>
      <c r="F50" s="1880">
        <v>45833.34</v>
      </c>
      <c r="G50" s="1880">
        <v>41250.01</v>
      </c>
      <c r="H50" s="1880">
        <v>36666.68</v>
      </c>
      <c r="I50" s="1880">
        <v>32083.35</v>
      </c>
      <c r="J50" s="1880">
        <v>27500.02</v>
      </c>
      <c r="K50" s="1880">
        <v>22916.69</v>
      </c>
      <c r="L50" s="1880">
        <v>18333.36</v>
      </c>
      <c r="M50" s="1880">
        <v>13750.03</v>
      </c>
      <c r="N50" s="1880">
        <v>9166.7000000000007</v>
      </c>
      <c r="O50" s="1880">
        <v>4583.37</v>
      </c>
      <c r="P50" s="1880">
        <v>0</v>
      </c>
      <c r="Q50" s="692">
        <f t="shared" si="6"/>
        <v>27500.016923076924</v>
      </c>
      <c r="R50" s="493"/>
      <c r="S50" s="185" t="s">
        <v>262</v>
      </c>
      <c r="T50" s="496"/>
      <c r="W50" s="494">
        <f t="shared" si="7"/>
        <v>27500.016923076924</v>
      </c>
      <c r="AB50" s="876"/>
      <c r="AC50" s="876"/>
      <c r="AD50" s="876"/>
      <c r="AE50" s="876"/>
      <c r="AJ50" s="876"/>
      <c r="AK50" s="876"/>
      <c r="AL50" s="876"/>
      <c r="AM50" s="876"/>
      <c r="AN50" s="876"/>
    </row>
    <row r="51" spans="1:40" s="2" customFormat="1">
      <c r="A51" s="1820" t="s">
        <v>150</v>
      </c>
      <c r="B51" s="517" t="s">
        <v>1286</v>
      </c>
      <c r="C51" s="185" t="s">
        <v>265</v>
      </c>
      <c r="D51" s="1821">
        <v>50000</v>
      </c>
      <c r="E51" s="1880">
        <v>45833.33</v>
      </c>
      <c r="F51" s="1880">
        <v>41666.660000000003</v>
      </c>
      <c r="G51" s="1880">
        <v>37499.99</v>
      </c>
      <c r="H51" s="1880">
        <v>33333.32</v>
      </c>
      <c r="I51" s="1880">
        <v>29166.65</v>
      </c>
      <c r="J51" s="1880">
        <v>24999.98</v>
      </c>
      <c r="K51" s="1880">
        <v>20833.310000000001</v>
      </c>
      <c r="L51" s="1880">
        <v>16666.64</v>
      </c>
      <c r="M51" s="1880">
        <v>12499.97</v>
      </c>
      <c r="N51" s="1880">
        <v>8333.2999999999993</v>
      </c>
      <c r="O51" s="1880">
        <v>4166.63</v>
      </c>
      <c r="P51" s="1880">
        <v>0</v>
      </c>
      <c r="Q51" s="692">
        <f t="shared" si="6"/>
        <v>24999.983076923076</v>
      </c>
      <c r="R51" s="497"/>
      <c r="S51" s="185" t="s">
        <v>262</v>
      </c>
      <c r="T51" s="521"/>
      <c r="W51" s="494">
        <f t="shared" si="7"/>
        <v>24999.983076923076</v>
      </c>
      <c r="AB51" s="876"/>
      <c r="AC51" s="876"/>
      <c r="AD51" s="876"/>
      <c r="AE51" s="876"/>
      <c r="AJ51" s="876"/>
      <c r="AK51" s="876"/>
      <c r="AL51" s="876"/>
      <c r="AM51" s="876"/>
      <c r="AN51" s="876"/>
    </row>
    <row r="52" spans="1:40" s="2" customFormat="1">
      <c r="A52" s="519" t="s">
        <v>150</v>
      </c>
      <c r="B52" s="517" t="s">
        <v>1287</v>
      </c>
      <c r="C52" s="185" t="s">
        <v>266</v>
      </c>
      <c r="D52" s="1821">
        <v>20074.669999999998</v>
      </c>
      <c r="E52" s="1880">
        <v>0</v>
      </c>
      <c r="F52" s="1880">
        <v>0</v>
      </c>
      <c r="G52" s="1880">
        <v>0</v>
      </c>
      <c r="H52" s="1880">
        <v>0</v>
      </c>
      <c r="I52" s="1880">
        <v>0</v>
      </c>
      <c r="J52" s="1880">
        <v>0</v>
      </c>
      <c r="K52" s="1880">
        <v>0</v>
      </c>
      <c r="L52" s="1880">
        <v>0</v>
      </c>
      <c r="M52" s="1880">
        <v>0</v>
      </c>
      <c r="N52" s="1880">
        <v>0</v>
      </c>
      <c r="O52" s="1880">
        <v>0</v>
      </c>
      <c r="P52" s="1880">
        <v>0</v>
      </c>
      <c r="Q52" s="692">
        <f t="shared" si="6"/>
        <v>1544.2053846153844</v>
      </c>
      <c r="R52" s="497"/>
      <c r="S52" s="185" t="s">
        <v>262</v>
      </c>
      <c r="T52" s="521"/>
      <c r="W52" s="494">
        <f t="shared" si="7"/>
        <v>1544.2053846153844</v>
      </c>
      <c r="AB52" s="876"/>
      <c r="AC52" s="876"/>
      <c r="AD52" s="876"/>
      <c r="AE52" s="876"/>
      <c r="AJ52" s="876"/>
      <c r="AK52" s="876"/>
      <c r="AL52" s="876"/>
      <c r="AM52" s="876"/>
      <c r="AN52" s="876"/>
    </row>
    <row r="53" spans="1:40" s="2" customFormat="1">
      <c r="A53" s="519" t="s">
        <v>150</v>
      </c>
      <c r="B53" s="517" t="s">
        <v>1296</v>
      </c>
      <c r="C53" s="185" t="s">
        <v>1311</v>
      </c>
      <c r="D53" s="1821">
        <v>40566.699999999997</v>
      </c>
      <c r="E53" s="1880">
        <v>33805.589999999997</v>
      </c>
      <c r="F53" s="1880">
        <v>27044.48</v>
      </c>
      <c r="G53" s="1880">
        <v>20283.37</v>
      </c>
      <c r="H53" s="1880">
        <v>13522.26</v>
      </c>
      <c r="I53" s="1880">
        <v>6761.15</v>
      </c>
      <c r="J53" s="1880">
        <v>0</v>
      </c>
      <c r="K53" s="1880">
        <v>0</v>
      </c>
      <c r="L53" s="1880">
        <v>0</v>
      </c>
      <c r="M53" s="1880">
        <v>105147.38</v>
      </c>
      <c r="N53" s="1880">
        <v>93464.34</v>
      </c>
      <c r="O53" s="1880">
        <v>81781.3</v>
      </c>
      <c r="P53" s="1880">
        <v>70098.259999999995</v>
      </c>
      <c r="Q53" s="692">
        <f t="shared" si="6"/>
        <v>37882.67923076923</v>
      </c>
      <c r="R53" s="497"/>
      <c r="S53" s="185" t="s">
        <v>500</v>
      </c>
      <c r="T53" s="521"/>
      <c r="W53" s="494">
        <f t="shared" si="7"/>
        <v>37882.67923076923</v>
      </c>
      <c r="AB53" s="876"/>
      <c r="AC53" s="876"/>
      <c r="AD53" s="876"/>
      <c r="AE53" s="876"/>
      <c r="AJ53" s="876"/>
      <c r="AK53" s="876"/>
      <c r="AL53" s="876"/>
      <c r="AM53" s="876"/>
      <c r="AN53" s="876"/>
    </row>
    <row r="54" spans="1:40" s="2" customFormat="1">
      <c r="A54" s="519" t="s">
        <v>150</v>
      </c>
      <c r="B54" s="517" t="s">
        <v>1295</v>
      </c>
      <c r="C54" s="185" t="s">
        <v>1310</v>
      </c>
      <c r="D54" s="1821">
        <v>11983.68</v>
      </c>
      <c r="E54" s="1880">
        <v>5991.84</v>
      </c>
      <c r="F54" s="1880">
        <v>5991.84</v>
      </c>
      <c r="G54" s="1880">
        <v>5991.84</v>
      </c>
      <c r="H54" s="1880">
        <v>0</v>
      </c>
      <c r="I54" s="1880">
        <v>23967.360000000001</v>
      </c>
      <c r="J54" s="1880">
        <v>23967.360000000001</v>
      </c>
      <c r="K54" s="1880">
        <v>17975.52</v>
      </c>
      <c r="L54" s="1880">
        <v>17975.52</v>
      </c>
      <c r="M54" s="1880">
        <v>17975.52</v>
      </c>
      <c r="N54" s="1880">
        <v>11983.68</v>
      </c>
      <c r="O54" s="1880">
        <v>11983.68</v>
      </c>
      <c r="P54" s="1880">
        <v>11983.68</v>
      </c>
      <c r="Q54" s="692">
        <f t="shared" si="6"/>
        <v>12905.501538461538</v>
      </c>
      <c r="R54" s="497"/>
      <c r="S54" s="185" t="s">
        <v>500</v>
      </c>
      <c r="T54" s="521"/>
      <c r="W54" s="494">
        <f t="shared" si="7"/>
        <v>12905.501538461538</v>
      </c>
      <c r="AB54" s="876"/>
      <c r="AC54" s="876"/>
      <c r="AD54" s="876"/>
      <c r="AE54" s="876"/>
      <c r="AJ54" s="876"/>
      <c r="AK54" s="876"/>
      <c r="AL54" s="876"/>
      <c r="AM54" s="876"/>
      <c r="AN54" s="876"/>
    </row>
    <row r="55" spans="1:40" s="2" customFormat="1">
      <c r="A55" s="519" t="s">
        <v>150</v>
      </c>
      <c r="B55" s="517" t="s">
        <v>1290</v>
      </c>
      <c r="C55" s="185" t="s">
        <v>1305</v>
      </c>
      <c r="D55" s="1821">
        <v>97870.74</v>
      </c>
      <c r="E55" s="1880">
        <v>97870.74</v>
      </c>
      <c r="F55" s="1880">
        <v>97870.74</v>
      </c>
      <c r="G55" s="1880">
        <v>97870.74</v>
      </c>
      <c r="H55" s="1880">
        <v>97870.74</v>
      </c>
      <c r="I55" s="1880">
        <v>97870.74</v>
      </c>
      <c r="J55" s="1880">
        <v>97870.74</v>
      </c>
      <c r="K55" s="1880">
        <v>97870.74</v>
      </c>
      <c r="L55" s="1880">
        <v>97870.74</v>
      </c>
      <c r="M55" s="1880">
        <v>97870.74</v>
      </c>
      <c r="N55" s="1880">
        <v>97870.74</v>
      </c>
      <c r="O55" s="1880">
        <v>97870.74</v>
      </c>
      <c r="P55" s="1880">
        <v>97870.74</v>
      </c>
      <c r="Q55" s="692">
        <f t="shared" si="6"/>
        <v>97870.74</v>
      </c>
      <c r="R55" s="497"/>
      <c r="S55" s="185" t="s">
        <v>500</v>
      </c>
      <c r="T55" s="521"/>
      <c r="W55" s="494">
        <f t="shared" si="7"/>
        <v>97870.74</v>
      </c>
      <c r="AB55" s="876"/>
      <c r="AC55" s="876"/>
      <c r="AD55" s="876"/>
      <c r="AE55" s="876"/>
      <c r="AJ55" s="876"/>
      <c r="AK55" s="876"/>
      <c r="AL55" s="876"/>
      <c r="AM55" s="876"/>
      <c r="AN55" s="876"/>
    </row>
    <row r="56" spans="1:40" s="2" customFormat="1">
      <c r="A56" s="519" t="s">
        <v>150</v>
      </c>
      <c r="B56" s="517" t="s">
        <v>1293</v>
      </c>
      <c r="C56" s="185" t="s">
        <v>1308</v>
      </c>
      <c r="D56" s="1821">
        <v>60000</v>
      </c>
      <c r="E56" s="1880">
        <v>60000</v>
      </c>
      <c r="F56" s="1880">
        <v>60000</v>
      </c>
      <c r="G56" s="1880">
        <v>60000</v>
      </c>
      <c r="H56" s="1880">
        <v>60000</v>
      </c>
      <c r="I56" s="1880">
        <v>60000</v>
      </c>
      <c r="J56" s="1880">
        <v>60000</v>
      </c>
      <c r="K56" s="1880">
        <v>60000</v>
      </c>
      <c r="L56" s="1880">
        <v>60000</v>
      </c>
      <c r="M56" s="1880">
        <v>60000</v>
      </c>
      <c r="N56" s="1880">
        <v>60000</v>
      </c>
      <c r="O56" s="1880">
        <v>60000</v>
      </c>
      <c r="P56" s="1880">
        <v>60000</v>
      </c>
      <c r="Q56" s="692">
        <f t="shared" si="6"/>
        <v>60000</v>
      </c>
      <c r="R56" s="497"/>
      <c r="S56" s="185" t="s">
        <v>502</v>
      </c>
      <c r="T56" s="521"/>
      <c r="W56" s="494">
        <f t="shared" si="7"/>
        <v>60000</v>
      </c>
      <c r="AB56" s="876"/>
      <c r="AC56" s="876"/>
      <c r="AD56" s="876"/>
      <c r="AE56" s="876"/>
      <c r="AJ56" s="876"/>
      <c r="AK56" s="876"/>
      <c r="AL56" s="876"/>
      <c r="AM56" s="876"/>
      <c r="AN56" s="876"/>
    </row>
    <row r="57" spans="1:40" s="2" customFormat="1">
      <c r="A57" s="519" t="s">
        <v>150</v>
      </c>
      <c r="B57" s="517" t="s">
        <v>1399</v>
      </c>
      <c r="C57" s="185" t="s">
        <v>1400</v>
      </c>
      <c r="D57" s="1821">
        <v>0</v>
      </c>
      <c r="E57" s="1880">
        <v>0</v>
      </c>
      <c r="F57" s="1880">
        <v>143831.15</v>
      </c>
      <c r="G57" s="1880">
        <v>129448.03</v>
      </c>
      <c r="H57" s="1880">
        <v>115064.91</v>
      </c>
      <c r="I57" s="1880">
        <v>100681.79</v>
      </c>
      <c r="J57" s="1880">
        <v>86298.67</v>
      </c>
      <c r="K57" s="1880">
        <v>71915.55</v>
      </c>
      <c r="L57" s="1880">
        <v>57532.43</v>
      </c>
      <c r="M57" s="1880">
        <v>43149.31</v>
      </c>
      <c r="N57" s="1880">
        <v>28766.19</v>
      </c>
      <c r="O57" s="1880">
        <v>14383.07</v>
      </c>
      <c r="P57" s="1880">
        <v>0</v>
      </c>
      <c r="Q57" s="692">
        <f t="shared" si="6"/>
        <v>60851.623076923075</v>
      </c>
      <c r="R57" s="497"/>
      <c r="S57" s="185" t="s">
        <v>500</v>
      </c>
      <c r="T57" s="521"/>
      <c r="W57" s="494">
        <f t="shared" si="7"/>
        <v>60851.623076923075</v>
      </c>
      <c r="AB57" s="876"/>
      <c r="AC57" s="876"/>
      <c r="AD57" s="876"/>
      <c r="AE57" s="876"/>
      <c r="AJ57" s="876"/>
      <c r="AK57" s="876"/>
      <c r="AL57" s="876"/>
      <c r="AM57" s="876"/>
      <c r="AN57" s="876"/>
    </row>
    <row r="58" spans="1:40" s="2" customFormat="1">
      <c r="A58" s="519" t="s">
        <v>150</v>
      </c>
      <c r="B58" s="517" t="s">
        <v>1291</v>
      </c>
      <c r="C58" s="185" t="s">
        <v>1306</v>
      </c>
      <c r="D58" s="1821">
        <v>57487.5</v>
      </c>
      <c r="E58" s="1880">
        <v>56210</v>
      </c>
      <c r="F58" s="1880">
        <v>54932.5</v>
      </c>
      <c r="G58" s="1880">
        <v>53655</v>
      </c>
      <c r="H58" s="1880">
        <v>52377.5</v>
      </c>
      <c r="I58" s="1880">
        <v>51100</v>
      </c>
      <c r="J58" s="1880">
        <v>49822.5</v>
      </c>
      <c r="K58" s="1880">
        <v>48545</v>
      </c>
      <c r="L58" s="1880">
        <v>47267.5</v>
      </c>
      <c r="M58" s="1880">
        <v>45990</v>
      </c>
      <c r="N58" s="1880">
        <v>44712.5</v>
      </c>
      <c r="O58" s="1880">
        <v>43435</v>
      </c>
      <c r="P58" s="1880">
        <v>42157.5</v>
      </c>
      <c r="Q58" s="692">
        <f t="shared" si="6"/>
        <v>49822.5</v>
      </c>
      <c r="R58" s="497"/>
      <c r="S58" s="185" t="s">
        <v>500</v>
      </c>
      <c r="T58" s="521"/>
      <c r="W58" s="494">
        <f t="shared" si="7"/>
        <v>49822.5</v>
      </c>
      <c r="AB58" s="876"/>
      <c r="AC58" s="876"/>
      <c r="AD58" s="876"/>
      <c r="AE58" s="876"/>
      <c r="AJ58" s="876"/>
      <c r="AK58" s="876"/>
      <c r="AL58" s="876"/>
      <c r="AM58" s="876"/>
      <c r="AN58" s="876"/>
    </row>
    <row r="59" spans="1:40" s="2" customFormat="1">
      <c r="A59" s="519" t="s">
        <v>150</v>
      </c>
      <c r="B59" s="517" t="s">
        <v>1292</v>
      </c>
      <c r="C59" s="185" t="s">
        <v>1307</v>
      </c>
      <c r="D59" s="1821">
        <v>187585.58</v>
      </c>
      <c r="E59" s="1880">
        <v>179429.69</v>
      </c>
      <c r="F59" s="1880">
        <v>171273.8</v>
      </c>
      <c r="G59" s="1880">
        <v>163117.91</v>
      </c>
      <c r="H59" s="1880">
        <v>154962.01999999999</v>
      </c>
      <c r="I59" s="1880">
        <v>146806.13</v>
      </c>
      <c r="J59" s="1880">
        <v>138650.23999999999</v>
      </c>
      <c r="K59" s="1880">
        <v>130494.35</v>
      </c>
      <c r="L59" s="1880">
        <v>122338.46</v>
      </c>
      <c r="M59" s="1880">
        <v>114182.57</v>
      </c>
      <c r="N59" s="1880">
        <v>106026.68</v>
      </c>
      <c r="O59" s="1880">
        <v>97870.79</v>
      </c>
      <c r="P59" s="1880">
        <v>89714.9</v>
      </c>
      <c r="Q59" s="692">
        <f t="shared" si="6"/>
        <v>138650.24000000002</v>
      </c>
      <c r="R59" s="497"/>
      <c r="S59" s="185" t="s">
        <v>500</v>
      </c>
      <c r="T59" s="521"/>
      <c r="W59" s="494">
        <f t="shared" si="7"/>
        <v>138650.24000000002</v>
      </c>
      <c r="AB59" s="876"/>
      <c r="AC59" s="876"/>
      <c r="AD59" s="876"/>
      <c r="AE59" s="876"/>
      <c r="AJ59" s="876"/>
      <c r="AK59" s="876"/>
      <c r="AL59" s="876"/>
      <c r="AM59" s="876"/>
      <c r="AN59" s="876"/>
    </row>
    <row r="60" spans="1:40" s="2" customFormat="1">
      <c r="A60" s="519" t="s">
        <v>150</v>
      </c>
      <c r="B60" s="517" t="s">
        <v>1294</v>
      </c>
      <c r="C60" s="185" t="s">
        <v>1309</v>
      </c>
      <c r="D60" s="1821">
        <v>215000</v>
      </c>
      <c r="E60" s="1880">
        <v>210000</v>
      </c>
      <c r="F60" s="1880">
        <v>205000</v>
      </c>
      <c r="G60" s="1880">
        <v>200000</v>
      </c>
      <c r="H60" s="1880">
        <v>195000</v>
      </c>
      <c r="I60" s="1880">
        <v>190000</v>
      </c>
      <c r="J60" s="1880">
        <v>185000</v>
      </c>
      <c r="K60" s="1880">
        <v>180000</v>
      </c>
      <c r="L60" s="1880">
        <v>175000</v>
      </c>
      <c r="M60" s="1880">
        <v>170000</v>
      </c>
      <c r="N60" s="1880">
        <v>165000</v>
      </c>
      <c r="O60" s="1880">
        <v>160000</v>
      </c>
      <c r="P60" s="1880">
        <v>155000</v>
      </c>
      <c r="Q60" s="692">
        <f t="shared" si="6"/>
        <v>185000</v>
      </c>
      <c r="R60" s="497"/>
      <c r="S60" s="185" t="s">
        <v>502</v>
      </c>
      <c r="T60" s="521"/>
      <c r="W60" s="494">
        <f t="shared" si="7"/>
        <v>185000</v>
      </c>
      <c r="AB60" s="876"/>
      <c r="AC60" s="876"/>
      <c r="AD60" s="876"/>
      <c r="AE60" s="876"/>
      <c r="AJ60" s="876"/>
      <c r="AK60" s="876"/>
      <c r="AL60" s="876"/>
      <c r="AM60" s="876"/>
      <c r="AN60" s="876"/>
    </row>
    <row r="61" spans="1:40">
      <c r="A61" s="519" t="s">
        <v>150</v>
      </c>
      <c r="B61" s="517" t="s">
        <v>1401</v>
      </c>
      <c r="C61" s="185" t="s">
        <v>1402</v>
      </c>
      <c r="D61" s="1821">
        <v>0</v>
      </c>
      <c r="E61" s="1880">
        <v>92567.83</v>
      </c>
      <c r="F61" s="1880">
        <v>84152.57</v>
      </c>
      <c r="G61" s="1880">
        <v>75737.31</v>
      </c>
      <c r="H61" s="1880">
        <v>67322.05</v>
      </c>
      <c r="I61" s="1880">
        <v>58906.79</v>
      </c>
      <c r="J61" s="1880">
        <v>50491.53</v>
      </c>
      <c r="K61" s="1880">
        <v>42076.27</v>
      </c>
      <c r="L61" s="1880">
        <v>33661.01</v>
      </c>
      <c r="M61" s="1880">
        <v>25245.75</v>
      </c>
      <c r="N61" s="1880">
        <v>16830.490000000002</v>
      </c>
      <c r="O61" s="1880">
        <v>8415.23</v>
      </c>
      <c r="P61" s="1880">
        <v>0</v>
      </c>
      <c r="Q61" s="692">
        <f t="shared" si="6"/>
        <v>42723.602307692301</v>
      </c>
      <c r="R61" s="493"/>
      <c r="S61" s="185" t="s">
        <v>262</v>
      </c>
      <c r="T61" s="496"/>
      <c r="W61" s="494">
        <f t="shared" si="7"/>
        <v>42723.602307692301</v>
      </c>
      <c r="AB61" s="876"/>
      <c r="AC61" s="876"/>
      <c r="AD61" s="876"/>
      <c r="AE61" s="876"/>
      <c r="AJ61" s="876"/>
      <c r="AK61" s="876"/>
      <c r="AL61" s="876"/>
      <c r="AM61" s="876"/>
      <c r="AN61" s="876"/>
    </row>
    <row r="62" spans="1:40">
      <c r="A62" s="519" t="s">
        <v>150</v>
      </c>
      <c r="B62" s="517" t="s">
        <v>1403</v>
      </c>
      <c r="C62" s="185" t="s">
        <v>1404</v>
      </c>
      <c r="D62" s="1821">
        <v>0</v>
      </c>
      <c r="E62" s="1880">
        <v>0</v>
      </c>
      <c r="F62" s="1880">
        <v>0</v>
      </c>
      <c r="G62" s="1880">
        <v>0</v>
      </c>
      <c r="H62" s="1880">
        <v>235273.24</v>
      </c>
      <c r="I62" s="1880">
        <v>241155.07</v>
      </c>
      <c r="J62" s="1880">
        <v>217627.75</v>
      </c>
      <c r="K62" s="1880">
        <v>194100.43</v>
      </c>
      <c r="L62" s="1880">
        <v>170573.11</v>
      </c>
      <c r="M62" s="1880">
        <v>147045.79</v>
      </c>
      <c r="N62" s="1880">
        <v>123518.47</v>
      </c>
      <c r="O62" s="1880">
        <v>99991.15</v>
      </c>
      <c r="P62" s="1880">
        <v>76463.83</v>
      </c>
      <c r="Q62" s="692">
        <f t="shared" si="6"/>
        <v>115826.83384615385</v>
      </c>
      <c r="R62" s="493"/>
      <c r="S62" s="185" t="s">
        <v>262</v>
      </c>
      <c r="T62" s="496"/>
      <c r="W62" s="494">
        <f t="shared" si="7"/>
        <v>115826.83384615385</v>
      </c>
      <c r="AB62" s="876"/>
      <c r="AC62" s="876"/>
      <c r="AD62" s="876"/>
      <c r="AE62" s="876"/>
      <c r="AJ62" s="876"/>
      <c r="AK62" s="876"/>
      <c r="AL62" s="876"/>
      <c r="AM62" s="876"/>
      <c r="AN62" s="876"/>
    </row>
    <row r="63" spans="1:40">
      <c r="A63" s="519" t="s">
        <v>150</v>
      </c>
      <c r="B63" s="517" t="s">
        <v>1405</v>
      </c>
      <c r="C63" s="185" t="s">
        <v>1406</v>
      </c>
      <c r="D63" s="1821">
        <v>0</v>
      </c>
      <c r="E63" s="1880">
        <v>0</v>
      </c>
      <c r="F63" s="1880">
        <v>0</v>
      </c>
      <c r="G63" s="1880">
        <v>0</v>
      </c>
      <c r="H63" s="1880">
        <v>0</v>
      </c>
      <c r="I63" s="1880">
        <v>0</v>
      </c>
      <c r="J63" s="1880">
        <v>81338.89</v>
      </c>
      <c r="K63" s="1880">
        <v>72301.23</v>
      </c>
      <c r="L63" s="1880">
        <v>63263.57</v>
      </c>
      <c r="M63" s="1880">
        <v>54225.91</v>
      </c>
      <c r="N63" s="1880">
        <v>45188.25</v>
      </c>
      <c r="O63" s="1880">
        <v>36150.589999999997</v>
      </c>
      <c r="P63" s="1880">
        <v>27112.93</v>
      </c>
      <c r="Q63" s="692">
        <f t="shared" si="6"/>
        <v>29198.56692307692</v>
      </c>
      <c r="R63" s="493"/>
      <c r="S63" s="185" t="s">
        <v>500</v>
      </c>
      <c r="T63" s="496"/>
      <c r="W63" s="494">
        <f t="shared" si="7"/>
        <v>29198.56692307692</v>
      </c>
      <c r="AB63" s="876"/>
      <c r="AC63" s="876"/>
      <c r="AD63" s="876"/>
      <c r="AE63" s="876"/>
      <c r="AJ63" s="876"/>
      <c r="AK63" s="876"/>
      <c r="AL63" s="876"/>
      <c r="AM63" s="876"/>
      <c r="AN63" s="876"/>
    </row>
    <row r="64" spans="1:40">
      <c r="A64" s="519" t="s">
        <v>150</v>
      </c>
      <c r="B64" s="517" t="s">
        <v>1409</v>
      </c>
      <c r="C64" s="185" t="s">
        <v>1410</v>
      </c>
      <c r="D64" s="1821">
        <v>0</v>
      </c>
      <c r="E64" s="1880">
        <v>0</v>
      </c>
      <c r="F64" s="1880">
        <v>0</v>
      </c>
      <c r="G64" s="1880">
        <v>0</v>
      </c>
      <c r="H64" s="1880">
        <v>0</v>
      </c>
      <c r="I64" s="1880">
        <v>0</v>
      </c>
      <c r="J64" s="1880">
        <v>0</v>
      </c>
      <c r="K64" s="1880">
        <v>0</v>
      </c>
      <c r="L64" s="1880">
        <v>0</v>
      </c>
      <c r="M64" s="1880">
        <v>100603</v>
      </c>
      <c r="N64" s="1880">
        <v>75452</v>
      </c>
      <c r="O64" s="1880">
        <v>67069</v>
      </c>
      <c r="P64" s="1880">
        <v>58685</v>
      </c>
      <c r="Q64" s="692">
        <f t="shared" si="6"/>
        <v>23216.076923076922</v>
      </c>
      <c r="R64" s="493"/>
      <c r="S64" s="185" t="s">
        <v>500</v>
      </c>
      <c r="T64" s="496"/>
      <c r="W64" s="494">
        <f t="shared" si="7"/>
        <v>23216.076923076922</v>
      </c>
      <c r="AB64" s="876"/>
      <c r="AC64" s="876"/>
      <c r="AD64" s="876"/>
      <c r="AE64" s="876"/>
      <c r="AJ64" s="876"/>
      <c r="AK64" s="876"/>
      <c r="AL64" s="876"/>
      <c r="AM64" s="876"/>
      <c r="AN64" s="876"/>
    </row>
    <row r="65" spans="1:44">
      <c r="A65" s="519" t="s">
        <v>150</v>
      </c>
      <c r="B65" s="517" t="s">
        <v>1411</v>
      </c>
      <c r="C65" s="185" t="s">
        <v>1412</v>
      </c>
      <c r="D65" s="1821">
        <v>0</v>
      </c>
      <c r="E65" s="1880">
        <v>0</v>
      </c>
      <c r="F65" s="1880">
        <v>0</v>
      </c>
      <c r="G65" s="1880">
        <v>0</v>
      </c>
      <c r="H65" s="1880">
        <v>0</v>
      </c>
      <c r="I65" s="1880">
        <v>0</v>
      </c>
      <c r="J65" s="1880">
        <v>0</v>
      </c>
      <c r="K65" s="1880">
        <v>0</v>
      </c>
      <c r="L65" s="1880">
        <v>0</v>
      </c>
      <c r="M65" s="1880">
        <v>0</v>
      </c>
      <c r="N65" s="1880">
        <v>167900</v>
      </c>
      <c r="O65" s="1880">
        <v>160600</v>
      </c>
      <c r="P65" s="1880">
        <v>153300</v>
      </c>
      <c r="Q65" s="692">
        <f t="shared" si="6"/>
        <v>37061.538461538461</v>
      </c>
      <c r="R65" s="493"/>
      <c r="S65" s="185" t="s">
        <v>500</v>
      </c>
      <c r="T65" s="496"/>
      <c r="W65" s="494">
        <f t="shared" si="7"/>
        <v>37061.538461538461</v>
      </c>
      <c r="AB65" s="876"/>
      <c r="AC65" s="876"/>
      <c r="AD65" s="876"/>
      <c r="AE65" s="876"/>
      <c r="AJ65" s="876"/>
      <c r="AK65" s="876"/>
      <c r="AL65" s="876"/>
      <c r="AM65" s="876"/>
      <c r="AN65" s="876"/>
    </row>
    <row r="66" spans="1:44">
      <c r="B66" s="504" t="s">
        <v>153</v>
      </c>
      <c r="C66" s="506"/>
      <c r="D66" s="873">
        <f t="shared" ref="D66:Q66" si="8">SUM(D16:D65)</f>
        <v>10881416.359999999</v>
      </c>
      <c r="E66" s="873">
        <f t="shared" si="8"/>
        <v>11425605.02</v>
      </c>
      <c r="F66" s="873">
        <f t="shared" si="8"/>
        <v>11425891.800000001</v>
      </c>
      <c r="G66" s="873">
        <f t="shared" si="8"/>
        <v>10478921.639999999</v>
      </c>
      <c r="H66" s="873">
        <f t="shared" si="8"/>
        <v>9732690.9400000013</v>
      </c>
      <c r="I66" s="873">
        <f t="shared" si="8"/>
        <v>10072351.069999997</v>
      </c>
      <c r="J66" s="873">
        <f t="shared" si="8"/>
        <v>8984178.3199999984</v>
      </c>
      <c r="K66" s="873">
        <f t="shared" si="8"/>
        <v>7904755.3499999987</v>
      </c>
      <c r="L66" s="873">
        <f t="shared" si="8"/>
        <v>6650492.5199999996</v>
      </c>
      <c r="M66" s="873">
        <f t="shared" si="8"/>
        <v>7158636.1400000015</v>
      </c>
      <c r="N66" s="873">
        <f t="shared" si="8"/>
        <v>6229009.8599999994</v>
      </c>
      <c r="O66" s="873">
        <f t="shared" si="8"/>
        <v>4990476.5000000009</v>
      </c>
      <c r="P66" s="873">
        <f t="shared" si="8"/>
        <v>12333039.640000001</v>
      </c>
      <c r="Q66" s="873">
        <f t="shared" si="8"/>
        <v>9105911.2299999986</v>
      </c>
      <c r="R66" s="507"/>
      <c r="S66" s="506"/>
      <c r="T66" s="506"/>
      <c r="U66" s="506"/>
      <c r="V66" s="506"/>
      <c r="W66" s="937">
        <f>SUM(W18:W65)</f>
        <v>7096870.9069230761</v>
      </c>
      <c r="AB66" s="876"/>
      <c r="AC66" s="876"/>
      <c r="AD66" s="876"/>
      <c r="AF66" s="876"/>
      <c r="AG66" s="876"/>
      <c r="AI66" s="876"/>
      <c r="AJ66" s="876"/>
      <c r="AK66" s="876"/>
      <c r="AL66" s="876"/>
      <c r="AM66" s="876"/>
      <c r="AN66" s="876"/>
    </row>
    <row r="67" spans="1:44">
      <c r="AB67" s="876"/>
      <c r="AC67" s="876"/>
      <c r="AF67" s="876"/>
      <c r="AG67" s="876"/>
      <c r="AI67" s="876"/>
      <c r="AJ67" s="876"/>
      <c r="AK67" s="876"/>
      <c r="AL67" s="876"/>
      <c r="AM67" s="876"/>
      <c r="AN67" s="876"/>
    </row>
    <row r="68" spans="1:44">
      <c r="B68" s="98" t="s">
        <v>294</v>
      </c>
      <c r="T68" s="2"/>
      <c r="U68" s="2"/>
      <c r="AB68" s="876"/>
      <c r="AC68" s="876"/>
      <c r="AF68" s="876"/>
      <c r="AG68" s="876"/>
      <c r="AI68" s="876"/>
      <c r="AJ68" s="876"/>
      <c r="AK68" s="876"/>
      <c r="AL68" s="876"/>
      <c r="AM68" s="876"/>
      <c r="AN68" s="876"/>
    </row>
    <row r="69" spans="1:44">
      <c r="A69" s="185" t="s">
        <v>299</v>
      </c>
      <c r="B69" s="187">
        <v>16500071</v>
      </c>
      <c r="C69" s="178" t="s">
        <v>256</v>
      </c>
      <c r="D69" s="1821">
        <v>138526.51</v>
      </c>
      <c r="E69" s="1821">
        <v>137712.91</v>
      </c>
      <c r="F69" s="1821">
        <v>136899.31</v>
      </c>
      <c r="G69" s="1821">
        <v>136085.71</v>
      </c>
      <c r="H69" s="1821">
        <v>135272.10999999999</v>
      </c>
      <c r="I69" s="1821">
        <v>134458.51</v>
      </c>
      <c r="J69" s="1821">
        <v>133644.91</v>
      </c>
      <c r="K69" s="1821">
        <v>132831.31</v>
      </c>
      <c r="L69" s="1821">
        <v>132017.71</v>
      </c>
      <c r="M69" s="1821">
        <v>131204.10999999999</v>
      </c>
      <c r="N69" s="1821">
        <v>130390.51</v>
      </c>
      <c r="O69" s="1821">
        <v>129576.91</v>
      </c>
      <c r="P69" s="1821">
        <v>128763.31</v>
      </c>
      <c r="Q69" s="692">
        <f t="shared" ref="Q69" si="9">AVERAGE(D69:P69)</f>
        <v>133644.91</v>
      </c>
      <c r="R69" s="493"/>
      <c r="S69" s="185"/>
      <c r="T69" s="2"/>
      <c r="U69" s="499">
        <f>+P69</f>
        <v>128763.31</v>
      </c>
      <c r="AB69" s="876"/>
      <c r="AC69" s="876"/>
      <c r="AD69" s="876"/>
      <c r="AE69" s="876"/>
      <c r="AF69" s="876"/>
      <c r="AG69" s="876"/>
      <c r="AH69" s="876"/>
      <c r="AI69" s="876"/>
      <c r="AJ69" s="876"/>
      <c r="AK69" s="876"/>
      <c r="AL69" s="876"/>
      <c r="AM69" s="876"/>
    </row>
    <row r="70" spans="1:44">
      <c r="A70" s="518"/>
      <c r="B70" s="342"/>
      <c r="C70" s="178"/>
      <c r="D70" s="438"/>
      <c r="E70" s="438"/>
      <c r="F70" s="438"/>
      <c r="G70" s="438"/>
      <c r="H70" s="438"/>
      <c r="I70" s="438"/>
      <c r="J70" s="438"/>
      <c r="K70" s="438"/>
      <c r="L70" s="438"/>
      <c r="M70" s="438"/>
      <c r="N70" s="438"/>
      <c r="O70" s="438"/>
      <c r="P70" s="438"/>
      <c r="Q70" s="497"/>
      <c r="R70" s="497"/>
      <c r="S70" s="498"/>
      <c r="T70" s="178"/>
      <c r="U70" s="499">
        <f>+P70</f>
        <v>0</v>
      </c>
      <c r="AB70" s="876"/>
      <c r="AC70" s="876"/>
      <c r="AD70" s="876"/>
      <c r="AE70" s="876"/>
      <c r="AF70" s="876"/>
      <c r="AG70" s="876"/>
      <c r="AH70" s="876"/>
      <c r="AI70" s="876"/>
      <c r="AJ70" s="876"/>
      <c r="AK70" s="876"/>
      <c r="AL70" s="876"/>
      <c r="AM70" s="876"/>
      <c r="AN70" s="876"/>
    </row>
    <row r="71" spans="1:44">
      <c r="A71" s="496"/>
      <c r="B71" s="504" t="s">
        <v>295</v>
      </c>
      <c r="C71" s="508"/>
      <c r="D71" s="874">
        <f>SUM(D69:D70)</f>
        <v>138526.51</v>
      </c>
      <c r="E71" s="874">
        <f t="shared" ref="E71:O71" si="10">SUM(E69:E70)</f>
        <v>137712.91</v>
      </c>
      <c r="F71" s="874">
        <f t="shared" si="10"/>
        <v>136899.31</v>
      </c>
      <c r="G71" s="874">
        <f t="shared" si="10"/>
        <v>136085.71</v>
      </c>
      <c r="H71" s="874">
        <f t="shared" si="10"/>
        <v>135272.10999999999</v>
      </c>
      <c r="I71" s="874">
        <f t="shared" si="10"/>
        <v>134458.51</v>
      </c>
      <c r="J71" s="874">
        <f t="shared" si="10"/>
        <v>133644.91</v>
      </c>
      <c r="K71" s="874">
        <f t="shared" si="10"/>
        <v>132831.31</v>
      </c>
      <c r="L71" s="874">
        <f t="shared" si="10"/>
        <v>132017.71</v>
      </c>
      <c r="M71" s="874">
        <f t="shared" si="10"/>
        <v>131204.10999999999</v>
      </c>
      <c r="N71" s="874">
        <f t="shared" si="10"/>
        <v>130390.51</v>
      </c>
      <c r="O71" s="874">
        <f t="shared" si="10"/>
        <v>129576.91</v>
      </c>
      <c r="P71" s="874">
        <f>SUM(P69)</f>
        <v>128763.31</v>
      </c>
      <c r="Q71" s="523">
        <f>SUM(Q69)</f>
        <v>133644.91</v>
      </c>
      <c r="R71" s="508"/>
      <c r="S71" s="508"/>
      <c r="T71" s="508"/>
      <c r="U71" s="523">
        <f>SUM(U69)</f>
        <v>128763.31</v>
      </c>
      <c r="V71" s="496"/>
      <c r="W71" s="496"/>
      <c r="AB71" s="876"/>
      <c r="AC71" s="876"/>
      <c r="AD71" s="876"/>
      <c r="AE71" s="876"/>
      <c r="AF71" s="876"/>
      <c r="AG71" s="876"/>
      <c r="AH71" s="876"/>
      <c r="AI71" s="876"/>
      <c r="AJ71" s="876"/>
      <c r="AK71" s="876"/>
      <c r="AL71" s="876"/>
      <c r="AM71" s="876"/>
      <c r="AN71" s="876"/>
    </row>
    <row r="72" spans="1:44">
      <c r="A72" s="496"/>
      <c r="B72" s="496"/>
      <c r="C72" s="496"/>
      <c r="D72" s="875"/>
      <c r="E72" s="875"/>
      <c r="F72" s="875"/>
      <c r="G72" s="875"/>
      <c r="H72" s="875"/>
      <c r="I72" s="875"/>
      <c r="J72" s="875"/>
      <c r="K72" s="875"/>
      <c r="L72" s="875"/>
      <c r="M72" s="875"/>
      <c r="N72" s="875"/>
      <c r="O72" s="875"/>
      <c r="P72" s="875"/>
      <c r="Q72" s="496"/>
      <c r="R72" s="496"/>
      <c r="S72" s="496"/>
      <c r="T72" s="496"/>
      <c r="U72" s="496"/>
      <c r="V72" s="496"/>
      <c r="W72" s="496"/>
      <c r="AB72" s="876"/>
      <c r="AC72" s="876"/>
      <c r="AD72" s="876"/>
      <c r="AE72" s="876"/>
      <c r="AF72" s="876"/>
      <c r="AG72" s="876"/>
      <c r="AI72" s="876"/>
      <c r="AJ72" s="876"/>
      <c r="AK72" s="876"/>
      <c r="AL72" s="876"/>
      <c r="AM72" s="876"/>
      <c r="AN72" s="876"/>
    </row>
    <row r="73" spans="1:44">
      <c r="D73" s="438"/>
      <c r="E73" s="438"/>
      <c r="F73" s="438"/>
      <c r="G73" s="438"/>
      <c r="H73" s="438"/>
      <c r="I73" s="438"/>
      <c r="J73" s="438"/>
      <c r="K73" s="438"/>
      <c r="L73" s="438"/>
      <c r="M73" s="438"/>
      <c r="N73" s="438"/>
      <c r="O73" s="438"/>
      <c r="P73" s="438"/>
      <c r="AC73" s="876"/>
      <c r="AE73" s="876"/>
      <c r="AF73" s="876"/>
      <c r="AG73" s="876"/>
      <c r="AI73" s="876"/>
      <c r="AJ73" s="876"/>
      <c r="AM73" s="876"/>
      <c r="AN73" s="876"/>
    </row>
    <row r="74" spans="1:44" s="496" customFormat="1">
      <c r="A74"/>
      <c r="B74" s="98" t="s">
        <v>297</v>
      </c>
      <c r="C74"/>
      <c r="D74" s="438"/>
      <c r="E74" s="438"/>
      <c r="F74" s="438"/>
      <c r="G74" s="438"/>
      <c r="H74" s="438"/>
      <c r="I74" s="438"/>
      <c r="J74" s="438"/>
      <c r="K74" s="438"/>
      <c r="L74" s="438"/>
      <c r="M74" s="438"/>
      <c r="N74" s="438"/>
      <c r="O74" s="438"/>
      <c r="P74" s="438"/>
      <c r="Q74" s="501"/>
      <c r="R74" s="501"/>
      <c r="S74"/>
      <c r="T74"/>
      <c r="U74"/>
      <c r="V74"/>
      <c r="W74"/>
      <c r="Y74" s="2"/>
      <c r="Z74" s="2"/>
      <c r="AA74" s="2"/>
      <c r="AB74" s="876"/>
      <c r="AC74" s="876"/>
      <c r="AD74" s="876"/>
      <c r="AE74" s="876"/>
      <c r="AF74" s="876"/>
      <c r="AG74" s="876"/>
      <c r="AH74" s="2"/>
      <c r="AI74" s="876"/>
      <c r="AJ74" s="876"/>
      <c r="AK74" s="876"/>
      <c r="AL74" s="876"/>
      <c r="AM74" s="876"/>
      <c r="AN74" s="876"/>
      <c r="AO74" s="2"/>
      <c r="AP74" s="521"/>
      <c r="AQ74" s="521"/>
      <c r="AR74" s="521"/>
    </row>
    <row r="75" spans="1:44" s="496" customFormat="1">
      <c r="A75" s="520" t="s">
        <v>353</v>
      </c>
      <c r="B75" s="1876" t="s">
        <v>1312</v>
      </c>
      <c r="C75" s="178" t="s">
        <v>241</v>
      </c>
      <c r="D75" s="1821">
        <v>19921</v>
      </c>
      <c r="E75" s="1821">
        <v>0</v>
      </c>
      <c r="F75" s="1821">
        <v>0</v>
      </c>
      <c r="G75" s="1821">
        <v>0</v>
      </c>
      <c r="H75" s="1821">
        <v>0</v>
      </c>
      <c r="I75" s="1821">
        <v>0</v>
      </c>
      <c r="J75" s="1821">
        <v>0</v>
      </c>
      <c r="K75" s="1821">
        <v>0</v>
      </c>
      <c r="L75" s="1821">
        <v>0</v>
      </c>
      <c r="M75" s="1821">
        <v>0</v>
      </c>
      <c r="N75" s="1821">
        <v>0</v>
      </c>
      <c r="O75" s="1821">
        <v>0</v>
      </c>
      <c r="P75" s="1821">
        <v>0</v>
      </c>
      <c r="Q75" s="692">
        <f t="shared" ref="Q75:Q104" si="11">AVERAGE(D75:P75)</f>
        <v>1532.3846153846155</v>
      </c>
      <c r="R75" s="493"/>
      <c r="S75" s="185"/>
      <c r="T75" s="494">
        <f>+Q75</f>
        <v>1532.3846153846155</v>
      </c>
      <c r="U75"/>
      <c r="V75" s="492"/>
      <c r="W75"/>
      <c r="Y75" s="2"/>
      <c r="Z75" s="2"/>
      <c r="AA75" s="2"/>
      <c r="AB75" s="876"/>
      <c r="AC75" s="876"/>
      <c r="AD75" s="876"/>
      <c r="AE75" s="876"/>
      <c r="AF75" s="876"/>
      <c r="AG75" s="876"/>
      <c r="AH75" s="876"/>
      <c r="AI75" s="876"/>
      <c r="AJ75" s="876"/>
      <c r="AK75" s="876"/>
      <c r="AL75" s="876"/>
      <c r="AM75" s="2"/>
      <c r="AN75" s="876"/>
      <c r="AO75" s="2"/>
      <c r="AP75" s="521"/>
      <c r="AQ75" s="521"/>
      <c r="AR75" s="521"/>
    </row>
    <row r="76" spans="1:44">
      <c r="A76" s="520" t="s">
        <v>353</v>
      </c>
      <c r="B76" s="1876" t="s">
        <v>1313</v>
      </c>
      <c r="C76" s="178" t="s">
        <v>275</v>
      </c>
      <c r="D76" s="1821">
        <v>122176.08</v>
      </c>
      <c r="E76" s="1821">
        <v>65596.960000000006</v>
      </c>
      <c r="F76" s="1821">
        <v>50652.84</v>
      </c>
      <c r="G76" s="1821">
        <v>-244534.24</v>
      </c>
      <c r="H76" s="1821">
        <v>-257888.36</v>
      </c>
      <c r="I76" s="1821">
        <v>28734.49</v>
      </c>
      <c r="J76" s="1821">
        <v>0</v>
      </c>
      <c r="K76" s="1821">
        <v>397.5</v>
      </c>
      <c r="L76" s="1821">
        <v>64266.16</v>
      </c>
      <c r="M76" s="1821">
        <v>397.5</v>
      </c>
      <c r="N76" s="1821">
        <v>1522.38</v>
      </c>
      <c r="O76" s="1821">
        <v>1522.38</v>
      </c>
      <c r="P76" s="1821">
        <v>397.5</v>
      </c>
      <c r="Q76" s="692">
        <f t="shared" si="11"/>
        <v>-12827.600769230767</v>
      </c>
      <c r="R76" s="493"/>
      <c r="S76" s="185"/>
      <c r="T76" s="494">
        <f t="shared" ref="T76:T105" si="12">+Q76</f>
        <v>-12827.600769230767</v>
      </c>
      <c r="AB76" s="876"/>
      <c r="AC76" s="876"/>
      <c r="AD76" s="876"/>
      <c r="AE76" s="876"/>
      <c r="AF76" s="876"/>
      <c r="AG76" s="876"/>
      <c r="AH76" s="876"/>
      <c r="AI76" s="876"/>
      <c r="AJ76" s="876"/>
      <c r="AK76" s="876"/>
      <c r="AL76" s="876"/>
      <c r="AM76" s="876"/>
    </row>
    <row r="77" spans="1:44">
      <c r="A77" s="520" t="s">
        <v>353</v>
      </c>
      <c r="B77" s="1876" t="s">
        <v>1314</v>
      </c>
      <c r="C77" s="178" t="s">
        <v>267</v>
      </c>
      <c r="D77" s="1821">
        <v>35552.44</v>
      </c>
      <c r="E77" s="1821">
        <v>29627.03</v>
      </c>
      <c r="F77" s="1821">
        <v>23701.62</v>
      </c>
      <c r="G77" s="1821">
        <v>17776.21</v>
      </c>
      <c r="H77" s="1821">
        <v>11850.8</v>
      </c>
      <c r="I77" s="1821">
        <v>5925.39</v>
      </c>
      <c r="J77" s="1821">
        <v>0</v>
      </c>
      <c r="K77" s="1821">
        <v>-6192.05</v>
      </c>
      <c r="L77" s="1821">
        <v>-12384.1</v>
      </c>
      <c r="M77" s="1821">
        <v>0</v>
      </c>
      <c r="N77" s="1821">
        <v>0</v>
      </c>
      <c r="O77" s="1821">
        <v>0</v>
      </c>
      <c r="P77" s="1821">
        <v>0</v>
      </c>
      <c r="Q77" s="692">
        <f t="shared" si="11"/>
        <v>8142.8723076923061</v>
      </c>
      <c r="R77" s="493"/>
      <c r="S77" s="185"/>
      <c r="T77" s="494">
        <f t="shared" si="12"/>
        <v>8142.8723076923061</v>
      </c>
      <c r="AB77" s="876"/>
      <c r="AC77" s="876"/>
      <c r="AD77" s="876"/>
      <c r="AE77" s="876"/>
      <c r="AF77" s="876"/>
      <c r="AG77" s="876"/>
      <c r="AH77" s="876"/>
      <c r="AI77" s="876"/>
      <c r="AJ77" s="876"/>
      <c r="AK77" s="876"/>
      <c r="AL77" s="876"/>
      <c r="AM77" s="876"/>
      <c r="AN77" s="876"/>
    </row>
    <row r="78" spans="1:44">
      <c r="A78" s="520" t="s">
        <v>353</v>
      </c>
      <c r="B78" s="1876" t="s">
        <v>1315</v>
      </c>
      <c r="C78" s="178" t="s">
        <v>257</v>
      </c>
      <c r="D78" s="1821">
        <v>436148.74</v>
      </c>
      <c r="E78" s="1821">
        <v>436148.74</v>
      </c>
      <c r="F78" s="1821">
        <v>513881.05</v>
      </c>
      <c r="G78" s="1821">
        <v>513881.05</v>
      </c>
      <c r="H78" s="1821">
        <v>513881.05</v>
      </c>
      <c r="I78" s="1821">
        <v>494461.35</v>
      </c>
      <c r="J78" s="1821">
        <v>0</v>
      </c>
      <c r="K78" s="1821">
        <v>0</v>
      </c>
      <c r="L78" s="1821">
        <v>61813.22</v>
      </c>
      <c r="M78" s="1821">
        <v>61813.22</v>
      </c>
      <c r="N78" s="1821">
        <v>61813.22</v>
      </c>
      <c r="O78" s="1821">
        <v>135128.07999999999</v>
      </c>
      <c r="P78" s="1821">
        <v>135128.07999999999</v>
      </c>
      <c r="Q78" s="692">
        <f t="shared" si="11"/>
        <v>258776.75384615391</v>
      </c>
      <c r="R78" s="493"/>
      <c r="S78" s="185"/>
      <c r="T78" s="494">
        <f t="shared" si="12"/>
        <v>258776.75384615391</v>
      </c>
      <c r="AB78" s="876"/>
      <c r="AC78" s="876"/>
      <c r="AD78" s="876"/>
      <c r="AE78" s="876"/>
      <c r="AF78" s="876"/>
      <c r="AG78" s="876"/>
      <c r="AH78" s="876"/>
      <c r="AI78" s="876"/>
      <c r="AJ78" s="876"/>
      <c r="AK78" s="876"/>
      <c r="AL78" s="876"/>
      <c r="AM78" s="876"/>
      <c r="AN78" s="876"/>
    </row>
    <row r="79" spans="1:44">
      <c r="A79" s="520" t="s">
        <v>353</v>
      </c>
      <c r="B79" s="1876" t="s">
        <v>1316</v>
      </c>
      <c r="C79" s="178" t="s">
        <v>258</v>
      </c>
      <c r="D79" s="1821">
        <v>1862324.08</v>
      </c>
      <c r="E79" s="1821">
        <v>1862324.08</v>
      </c>
      <c r="F79" s="1821">
        <v>2192844.4</v>
      </c>
      <c r="G79" s="1821">
        <v>2192844.4</v>
      </c>
      <c r="H79" s="1821">
        <v>2192844.4</v>
      </c>
      <c r="I79" s="1821">
        <v>2109937.19</v>
      </c>
      <c r="J79" s="1821">
        <v>0</v>
      </c>
      <c r="K79" s="1821">
        <v>0</v>
      </c>
      <c r="L79" s="1821">
        <v>264304.81</v>
      </c>
      <c r="M79" s="1821">
        <v>264304.81</v>
      </c>
      <c r="N79" s="1821">
        <v>264304.81</v>
      </c>
      <c r="O79" s="1821">
        <v>577302.86</v>
      </c>
      <c r="P79" s="1821">
        <v>577302.85</v>
      </c>
      <c r="Q79" s="692">
        <f t="shared" si="11"/>
        <v>1104664.5146153846</v>
      </c>
      <c r="R79" s="493"/>
      <c r="S79" s="185"/>
      <c r="T79" s="494">
        <f t="shared" si="12"/>
        <v>1104664.5146153846</v>
      </c>
      <c r="AB79" s="876"/>
      <c r="AC79" s="876"/>
      <c r="AD79" s="876"/>
      <c r="AE79" s="876"/>
      <c r="AF79" s="876"/>
      <c r="AG79" s="876"/>
      <c r="AI79" s="876"/>
      <c r="AJ79" s="876"/>
      <c r="AK79" s="876"/>
      <c r="AL79" s="876"/>
      <c r="AM79" s="876"/>
    </row>
    <row r="80" spans="1:44">
      <c r="A80" s="520" t="s">
        <v>353</v>
      </c>
      <c r="B80" s="1876" t="s">
        <v>1317</v>
      </c>
      <c r="C80" s="178" t="s">
        <v>277</v>
      </c>
      <c r="D80" s="1821">
        <v>0</v>
      </c>
      <c r="E80" s="1821">
        <v>622947.41</v>
      </c>
      <c r="F80" s="1821">
        <v>566315.81999999995</v>
      </c>
      <c r="G80" s="1821">
        <v>509684.23</v>
      </c>
      <c r="H80" s="1821">
        <v>453052.64</v>
      </c>
      <c r="I80" s="1821">
        <v>396421.05</v>
      </c>
      <c r="J80" s="1821">
        <v>339789.46</v>
      </c>
      <c r="K80" s="1821">
        <v>283157.87</v>
      </c>
      <c r="L80" s="1821">
        <v>226526.28</v>
      </c>
      <c r="M80" s="1821">
        <v>169894.69</v>
      </c>
      <c r="N80" s="1821">
        <v>113263.1</v>
      </c>
      <c r="O80" s="1821">
        <v>56631.51</v>
      </c>
      <c r="P80" s="1821">
        <v>0</v>
      </c>
      <c r="Q80" s="692">
        <f t="shared" si="11"/>
        <v>287514.15846153843</v>
      </c>
      <c r="R80" s="493"/>
      <c r="S80" s="185"/>
      <c r="T80" s="494">
        <f t="shared" si="12"/>
        <v>287514.15846153843</v>
      </c>
      <c r="U80" s="178"/>
      <c r="V80" s="178"/>
      <c r="W80" s="178"/>
      <c r="AB80" s="876"/>
      <c r="AC80" s="876"/>
      <c r="AE80" s="876"/>
      <c r="AF80" s="876"/>
      <c r="AG80" s="876"/>
      <c r="AH80" s="876"/>
      <c r="AI80" s="876"/>
      <c r="AJ80" s="876"/>
      <c r="AK80" s="876"/>
      <c r="AL80" s="876"/>
      <c r="AM80" s="876"/>
      <c r="AN80" s="876"/>
      <c r="AO80" s="521"/>
    </row>
    <row r="81" spans="1:44">
      <c r="A81" s="520" t="s">
        <v>353</v>
      </c>
      <c r="B81" s="1876" t="s">
        <v>1318</v>
      </c>
      <c r="C81" s="178" t="s">
        <v>278</v>
      </c>
      <c r="D81" s="1821">
        <v>0</v>
      </c>
      <c r="E81" s="1821"/>
      <c r="F81" s="1821">
        <v>364283.32</v>
      </c>
      <c r="G81" s="1821">
        <v>327854.98</v>
      </c>
      <c r="H81" s="1821">
        <v>291426.64</v>
      </c>
      <c r="I81" s="1821">
        <v>254998.3</v>
      </c>
      <c r="J81" s="1821">
        <v>218569.96</v>
      </c>
      <c r="K81" s="1821">
        <v>182141.62</v>
      </c>
      <c r="L81" s="1821">
        <v>145713.28</v>
      </c>
      <c r="M81" s="1821">
        <v>109284.94</v>
      </c>
      <c r="N81" s="1821">
        <v>72856.600000000006</v>
      </c>
      <c r="O81" s="1821">
        <v>36428.26</v>
      </c>
      <c r="P81" s="1821">
        <v>0</v>
      </c>
      <c r="Q81" s="1821">
        <f t="shared" si="11"/>
        <v>166963.15833333333</v>
      </c>
      <c r="R81" s="1821"/>
      <c r="S81" s="185"/>
      <c r="T81" s="494">
        <f t="shared" si="12"/>
        <v>166963.15833333333</v>
      </c>
      <c r="U81" s="2"/>
      <c r="V81" s="2"/>
      <c r="W81" s="499"/>
      <c r="AB81" s="876"/>
      <c r="AC81" s="876"/>
      <c r="AE81" s="876"/>
      <c r="AF81" s="876"/>
      <c r="AG81" s="876"/>
      <c r="AH81" s="876"/>
      <c r="AI81" s="876"/>
      <c r="AJ81" s="876"/>
      <c r="AK81" s="876"/>
      <c r="AL81" s="876"/>
      <c r="AN81" s="876"/>
      <c r="AO81" s="521"/>
    </row>
    <row r="82" spans="1:44">
      <c r="A82" s="520" t="s">
        <v>353</v>
      </c>
      <c r="B82" s="1876" t="s">
        <v>1319</v>
      </c>
      <c r="C82" s="178" t="s">
        <v>995</v>
      </c>
      <c r="D82" s="1821">
        <v>0</v>
      </c>
      <c r="E82" s="1821">
        <v>77064.17</v>
      </c>
      <c r="F82" s="1821">
        <v>70058.34</v>
      </c>
      <c r="G82" s="1821">
        <v>63052.51</v>
      </c>
      <c r="H82" s="1821">
        <v>56046.68</v>
      </c>
      <c r="I82" s="1821">
        <v>49040.85</v>
      </c>
      <c r="J82" s="1821">
        <v>42035.02</v>
      </c>
      <c r="K82" s="1821">
        <v>35029.19</v>
      </c>
      <c r="L82" s="1821">
        <v>28023.360000000001</v>
      </c>
      <c r="M82" s="1821">
        <v>21017.53</v>
      </c>
      <c r="N82" s="1821">
        <v>14011.7</v>
      </c>
      <c r="O82" s="1821">
        <v>7005.87</v>
      </c>
      <c r="P82" s="1821">
        <v>0</v>
      </c>
      <c r="Q82" s="692">
        <f t="shared" si="11"/>
        <v>35568.093846153846</v>
      </c>
      <c r="R82" s="493"/>
      <c r="S82" s="185"/>
      <c r="T82" s="494">
        <f t="shared" si="12"/>
        <v>35568.093846153846</v>
      </c>
      <c r="U82" s="2"/>
      <c r="V82" s="2"/>
      <c r="W82" s="2"/>
      <c r="AB82" s="876"/>
      <c r="AC82" s="876"/>
      <c r="AE82" s="876"/>
      <c r="AF82" s="876"/>
      <c r="AG82" s="876"/>
      <c r="AH82" s="876"/>
      <c r="AI82" s="876"/>
      <c r="AJ82" s="876"/>
      <c r="AK82" s="876"/>
      <c r="AL82" s="876"/>
      <c r="AM82" s="876"/>
      <c r="AN82" s="876"/>
    </row>
    <row r="83" spans="1:44" s="178" customFormat="1">
      <c r="A83" s="520" t="s">
        <v>353</v>
      </c>
      <c r="B83" s="1876" t="s">
        <v>1320</v>
      </c>
      <c r="C83" s="178" t="s">
        <v>246</v>
      </c>
      <c r="D83" s="1821">
        <v>14863.87</v>
      </c>
      <c r="E83" s="1821">
        <v>7431.92</v>
      </c>
      <c r="F83" s="1821">
        <v>0</v>
      </c>
      <c r="G83" s="1821">
        <v>0</v>
      </c>
      <c r="H83" s="1821">
        <v>74319.47</v>
      </c>
      <c r="I83" s="1821">
        <v>66887.520000000004</v>
      </c>
      <c r="J83" s="1821">
        <v>59455.57</v>
      </c>
      <c r="K83" s="1821">
        <v>52023.62</v>
      </c>
      <c r="L83" s="1821">
        <v>44591.67</v>
      </c>
      <c r="M83" s="1821">
        <v>37159.72</v>
      </c>
      <c r="N83" s="1821">
        <v>29727.77</v>
      </c>
      <c r="O83" s="1821">
        <v>22295.82</v>
      </c>
      <c r="P83" s="1821">
        <v>14863.87</v>
      </c>
      <c r="Q83" s="692">
        <f t="shared" si="11"/>
        <v>32586.216923076925</v>
      </c>
      <c r="R83" s="493"/>
      <c r="S83" s="185"/>
      <c r="T83" s="494">
        <f t="shared" si="12"/>
        <v>32586.216923076925</v>
      </c>
      <c r="U83" s="2"/>
      <c r="V83" s="2"/>
      <c r="W83" s="2"/>
      <c r="Y83" s="2"/>
      <c r="Z83" s="2"/>
      <c r="AA83" s="2"/>
      <c r="AB83" s="876"/>
      <c r="AC83" s="876"/>
      <c r="AD83" s="876"/>
      <c r="AE83" s="876"/>
      <c r="AF83" s="876"/>
      <c r="AG83" s="876"/>
      <c r="AH83" s="876"/>
      <c r="AI83" s="876"/>
      <c r="AJ83" s="876"/>
      <c r="AK83" s="876"/>
      <c r="AL83" s="876"/>
      <c r="AM83" s="876"/>
      <c r="AN83" s="876"/>
      <c r="AO83" s="2"/>
    </row>
    <row r="84" spans="1:44">
      <c r="A84" s="520" t="s">
        <v>353</v>
      </c>
      <c r="B84" s="1876" t="s">
        <v>1321</v>
      </c>
      <c r="C84" s="178" t="s">
        <v>280</v>
      </c>
      <c r="D84" s="1821">
        <v>650764.36</v>
      </c>
      <c r="E84" s="1821">
        <v>689183.02</v>
      </c>
      <c r="F84" s="1821">
        <v>716789.08</v>
      </c>
      <c r="G84" s="1821">
        <v>732567.03</v>
      </c>
      <c r="H84" s="1821">
        <v>732567.03</v>
      </c>
      <c r="I84" s="1821">
        <v>732567.03</v>
      </c>
      <c r="J84" s="1821">
        <v>735921.63</v>
      </c>
      <c r="K84" s="1821">
        <v>735921.62</v>
      </c>
      <c r="L84" s="1821">
        <v>753858.73</v>
      </c>
      <c r="M84" s="1821">
        <v>791618.79</v>
      </c>
      <c r="N84" s="1821">
        <v>827054.07</v>
      </c>
      <c r="O84" s="1821">
        <v>835253.12</v>
      </c>
      <c r="P84" s="1821">
        <v>843083.67</v>
      </c>
      <c r="Q84" s="692">
        <f t="shared" si="11"/>
        <v>752088.3984615386</v>
      </c>
      <c r="R84" s="493"/>
      <c r="S84" s="185"/>
      <c r="T84" s="494">
        <f t="shared" si="12"/>
        <v>752088.3984615386</v>
      </c>
      <c r="U84" s="2"/>
      <c r="V84" s="2"/>
      <c r="W84" s="2"/>
      <c r="AB84" s="876"/>
      <c r="AC84" s="876"/>
      <c r="AD84" s="876"/>
      <c r="AE84" s="876"/>
      <c r="AF84" s="876"/>
      <c r="AG84" s="876"/>
      <c r="AH84" s="876"/>
      <c r="AI84" s="876"/>
      <c r="AJ84" s="876"/>
      <c r="AK84" s="876"/>
      <c r="AL84" s="876"/>
      <c r="AM84" s="876"/>
      <c r="AN84" s="876"/>
    </row>
    <row r="85" spans="1:44">
      <c r="A85" s="520" t="s">
        <v>353</v>
      </c>
      <c r="B85" s="1876" t="s">
        <v>1322</v>
      </c>
      <c r="C85" s="178" t="s">
        <v>281</v>
      </c>
      <c r="D85" s="1821">
        <v>1407886.74</v>
      </c>
      <c r="E85" s="1821">
        <v>1491003.04</v>
      </c>
      <c r="F85" s="1821">
        <v>1550726.98</v>
      </c>
      <c r="G85" s="1821">
        <v>1584861.55</v>
      </c>
      <c r="H85" s="1821">
        <v>1584861.55</v>
      </c>
      <c r="I85" s="1821">
        <v>1584861.55</v>
      </c>
      <c r="J85" s="1821">
        <v>1592119</v>
      </c>
      <c r="K85" s="1821">
        <v>1592119</v>
      </c>
      <c r="L85" s="1821">
        <v>1630924.78</v>
      </c>
      <c r="M85" s="1821">
        <v>1712616.23</v>
      </c>
      <c r="N85" s="1821">
        <v>1789278.17</v>
      </c>
      <c r="O85" s="1821">
        <v>1807016.28</v>
      </c>
      <c r="P85" s="1821">
        <v>1823957.18</v>
      </c>
      <c r="Q85" s="692">
        <f t="shared" si="11"/>
        <v>1627094.7730769231</v>
      </c>
      <c r="R85" s="493"/>
      <c r="S85" s="185"/>
      <c r="T85" s="494">
        <f t="shared" si="12"/>
        <v>1627094.7730769231</v>
      </c>
      <c r="U85" s="521"/>
      <c r="V85" s="521"/>
      <c r="W85" s="522"/>
      <c r="AB85" s="876"/>
      <c r="AC85" s="876"/>
      <c r="AD85" s="876"/>
      <c r="AE85" s="876"/>
      <c r="AF85" s="876"/>
      <c r="AG85" s="876"/>
      <c r="AH85" s="876"/>
      <c r="AI85" s="876"/>
      <c r="AJ85" s="876"/>
      <c r="AK85" s="876"/>
      <c r="AL85" s="876"/>
      <c r="AM85" s="876"/>
      <c r="AN85" s="876"/>
    </row>
    <row r="86" spans="1:44">
      <c r="A86" s="520" t="s">
        <v>353</v>
      </c>
      <c r="B86" s="1876" t="s">
        <v>1323</v>
      </c>
      <c r="C86" s="178" t="s">
        <v>282</v>
      </c>
      <c r="D86" s="1821">
        <v>1794667.01</v>
      </c>
      <c r="E86" s="1821">
        <v>1831977.33</v>
      </c>
      <c r="F86" s="1821">
        <v>1858786.99</v>
      </c>
      <c r="G86" s="1821">
        <v>1874109.76</v>
      </c>
      <c r="H86" s="1821">
        <v>1874109.76</v>
      </c>
      <c r="I86" s="1821">
        <v>1874109.76</v>
      </c>
      <c r="J86" s="1821">
        <v>1877367.58</v>
      </c>
      <c r="K86" s="1821">
        <v>1877367.58</v>
      </c>
      <c r="L86" s="1821">
        <v>1894787.22</v>
      </c>
      <c r="M86" s="1821">
        <v>1931457.94</v>
      </c>
      <c r="N86" s="1821">
        <v>1965870.95</v>
      </c>
      <c r="O86" s="1821">
        <v>1973833.46</v>
      </c>
      <c r="P86" s="1821">
        <v>1981438.11</v>
      </c>
      <c r="Q86" s="692">
        <f t="shared" si="11"/>
        <v>1893067.9576923077</v>
      </c>
      <c r="R86" s="497"/>
      <c r="S86" s="185"/>
      <c r="T86" s="494">
        <f t="shared" si="12"/>
        <v>1893067.9576923077</v>
      </c>
      <c r="U86" s="2"/>
      <c r="V86" s="2"/>
      <c r="W86" s="2"/>
      <c r="AB86" s="876"/>
      <c r="AC86" s="876"/>
      <c r="AD86" s="876"/>
      <c r="AE86" s="876"/>
      <c r="AF86" s="876"/>
      <c r="AG86" s="876"/>
      <c r="AH86" s="876"/>
      <c r="AI86" s="876"/>
      <c r="AJ86" s="876"/>
      <c r="AK86" s="876"/>
      <c r="AL86" s="876"/>
      <c r="AM86" s="876"/>
      <c r="AN86" s="876"/>
    </row>
    <row r="87" spans="1:44">
      <c r="A87" s="520" t="s">
        <v>353</v>
      </c>
      <c r="B87" s="1876" t="s">
        <v>1324</v>
      </c>
      <c r="C87" s="178" t="s">
        <v>288</v>
      </c>
      <c r="D87" s="1821">
        <v>98741.61</v>
      </c>
      <c r="E87" s="1821">
        <v>98741.61</v>
      </c>
      <c r="F87" s="1821">
        <v>115804.81</v>
      </c>
      <c r="G87" s="1821">
        <v>115804.81</v>
      </c>
      <c r="H87" s="1821">
        <v>115804.81</v>
      </c>
      <c r="I87" s="1821">
        <v>111430.04</v>
      </c>
      <c r="J87" s="1821">
        <v>0</v>
      </c>
      <c r="K87" s="1821">
        <v>0</v>
      </c>
      <c r="L87" s="1821">
        <v>13854.69</v>
      </c>
      <c r="M87" s="1821">
        <v>13854.69</v>
      </c>
      <c r="N87" s="1821">
        <v>13854.69</v>
      </c>
      <c r="O87" s="1821">
        <v>30370.67</v>
      </c>
      <c r="P87" s="1821">
        <v>30370.68</v>
      </c>
      <c r="Q87" s="692">
        <f t="shared" si="11"/>
        <v>58356.393076923079</v>
      </c>
      <c r="R87" s="497"/>
      <c r="S87" s="178"/>
      <c r="T87" s="494">
        <f t="shared" si="12"/>
        <v>58356.393076923079</v>
      </c>
      <c r="U87" s="2"/>
      <c r="V87" s="2"/>
      <c r="W87" s="2"/>
      <c r="AB87" s="876"/>
      <c r="AC87" s="876"/>
      <c r="AD87" s="876"/>
      <c r="AE87" s="876"/>
      <c r="AF87" s="876"/>
      <c r="AG87" s="876"/>
      <c r="AH87" s="876"/>
      <c r="AI87" s="876"/>
      <c r="AJ87" s="876"/>
      <c r="AK87" s="876"/>
      <c r="AL87" s="876"/>
      <c r="AM87" s="876"/>
      <c r="AN87" s="876"/>
    </row>
    <row r="88" spans="1:44" s="496" customFormat="1">
      <c r="A88" s="520" t="s">
        <v>353</v>
      </c>
      <c r="B88" s="1876" t="s">
        <v>1325</v>
      </c>
      <c r="C88" s="178" t="s">
        <v>289</v>
      </c>
      <c r="D88" s="1821">
        <v>674893.72</v>
      </c>
      <c r="E88" s="1821">
        <v>674893.72</v>
      </c>
      <c r="F88" s="1821">
        <v>674893.72</v>
      </c>
      <c r="G88" s="1821">
        <v>942833.67</v>
      </c>
      <c r="H88" s="1821">
        <v>942833.67</v>
      </c>
      <c r="I88" s="1821">
        <v>942833.67</v>
      </c>
      <c r="J88" s="1821">
        <v>944849.08</v>
      </c>
      <c r="K88" s="1821">
        <v>944849.08</v>
      </c>
      <c r="L88" s="1821">
        <v>944849.08</v>
      </c>
      <c r="M88" s="1821">
        <v>1193193.32</v>
      </c>
      <c r="N88" s="1821">
        <v>1193193.32</v>
      </c>
      <c r="O88" s="1821">
        <v>1193193.32</v>
      </c>
      <c r="P88" s="1821">
        <v>1332915.57</v>
      </c>
      <c r="Q88" s="692">
        <f t="shared" si="11"/>
        <v>969248.07230769238</v>
      </c>
      <c r="R88" s="493"/>
      <c r="S88" s="178"/>
      <c r="T88" s="494">
        <f t="shared" si="12"/>
        <v>969248.07230769238</v>
      </c>
      <c r="U88" s="2"/>
      <c r="V88" s="2"/>
      <c r="W88" s="2"/>
      <c r="Y88" s="2"/>
      <c r="Z88" s="2"/>
      <c r="AA88" s="2"/>
      <c r="AB88" s="876"/>
      <c r="AC88" s="876"/>
      <c r="AD88" s="876"/>
      <c r="AE88" s="2"/>
      <c r="AF88" s="876"/>
      <c r="AG88" s="876"/>
      <c r="AH88" s="876"/>
      <c r="AI88" s="876"/>
      <c r="AJ88" s="876"/>
      <c r="AK88" s="876"/>
      <c r="AL88" s="876"/>
      <c r="AM88" s="2"/>
      <c r="AN88" s="876"/>
      <c r="AO88" s="2"/>
      <c r="AP88" s="521"/>
      <c r="AQ88" s="521"/>
      <c r="AR88" s="521"/>
    </row>
    <row r="89" spans="1:44">
      <c r="A89" s="520" t="s">
        <v>353</v>
      </c>
      <c r="B89" s="1876" t="s">
        <v>1326</v>
      </c>
      <c r="C89" s="178" t="s">
        <v>290</v>
      </c>
      <c r="D89" s="1821">
        <v>756699.04</v>
      </c>
      <c r="E89" s="1821">
        <v>756699.04</v>
      </c>
      <c r="F89" s="1821">
        <v>756699.04</v>
      </c>
      <c r="G89" s="1821">
        <v>1057116.56</v>
      </c>
      <c r="H89" s="1821">
        <v>1057116.56</v>
      </c>
      <c r="I89" s="1821">
        <v>1057116.56</v>
      </c>
      <c r="J89" s="1821">
        <v>1059376.26</v>
      </c>
      <c r="K89" s="1821">
        <v>1059376.26</v>
      </c>
      <c r="L89" s="1821">
        <v>1059376.26</v>
      </c>
      <c r="M89" s="1821">
        <v>1337822.82</v>
      </c>
      <c r="N89" s="1821">
        <v>1337822.82</v>
      </c>
      <c r="O89" s="1821">
        <v>1337822.82</v>
      </c>
      <c r="P89" s="1821">
        <v>1494481.1</v>
      </c>
      <c r="Q89" s="692">
        <f t="shared" si="11"/>
        <v>1086732.703076923</v>
      </c>
      <c r="R89" s="497"/>
      <c r="S89" s="178"/>
      <c r="T89" s="494">
        <f t="shared" si="12"/>
        <v>1086732.703076923</v>
      </c>
      <c r="U89" s="2"/>
      <c r="V89" s="2"/>
      <c r="W89" s="2"/>
      <c r="AB89" s="876"/>
      <c r="AC89" s="876"/>
      <c r="AD89" s="876"/>
      <c r="AF89" s="876"/>
      <c r="AG89" s="876"/>
      <c r="AH89" s="876"/>
      <c r="AI89" s="876"/>
      <c r="AJ89" s="876"/>
      <c r="AK89" s="876"/>
      <c r="AL89" s="876"/>
      <c r="AM89" s="876"/>
      <c r="AN89" s="876"/>
      <c r="AO89" s="178"/>
    </row>
    <row r="90" spans="1:44">
      <c r="A90" s="520" t="s">
        <v>353</v>
      </c>
      <c r="B90" s="1876" t="s">
        <v>1327</v>
      </c>
      <c r="C90" s="178" t="s">
        <v>253</v>
      </c>
      <c r="D90" s="1821">
        <v>750000</v>
      </c>
      <c r="E90" s="1821">
        <v>750000</v>
      </c>
      <c r="F90" s="1821">
        <v>750000</v>
      </c>
      <c r="G90" s="1821">
        <v>750000</v>
      </c>
      <c r="H90" s="1821">
        <v>750000</v>
      </c>
      <c r="I90" s="1821">
        <v>750000</v>
      </c>
      <c r="J90" s="1821">
        <v>750000</v>
      </c>
      <c r="K90" s="1821">
        <v>750000</v>
      </c>
      <c r="L90" s="1821">
        <v>750000</v>
      </c>
      <c r="M90" s="1821">
        <v>750000</v>
      </c>
      <c r="N90" s="1821">
        <v>750000</v>
      </c>
      <c r="O90" s="1821">
        <v>750000</v>
      </c>
      <c r="P90" s="1821">
        <v>750000</v>
      </c>
      <c r="Q90" s="692">
        <f t="shared" si="11"/>
        <v>750000</v>
      </c>
      <c r="R90" s="497"/>
      <c r="S90" s="178"/>
      <c r="T90" s="494">
        <f t="shared" si="12"/>
        <v>750000</v>
      </c>
      <c r="U90" s="178"/>
      <c r="V90" s="178"/>
      <c r="W90" s="178"/>
      <c r="AB90" s="876"/>
      <c r="AC90" s="876"/>
      <c r="AD90" s="876"/>
      <c r="AE90" s="876"/>
      <c r="AF90" s="876"/>
      <c r="AG90" s="876"/>
      <c r="AH90" s="876"/>
      <c r="AI90" s="876"/>
      <c r="AJ90" s="876"/>
      <c r="AK90" s="876"/>
      <c r="AL90" s="876"/>
      <c r="AM90" s="876"/>
      <c r="AN90" s="876"/>
    </row>
    <row r="91" spans="1:44">
      <c r="A91" s="520" t="s">
        <v>353</v>
      </c>
      <c r="B91" s="1876" t="s">
        <v>1328</v>
      </c>
      <c r="C91" s="178" t="s">
        <v>260</v>
      </c>
      <c r="D91" s="1821">
        <v>223512.51</v>
      </c>
      <c r="E91" s="1821">
        <v>701023.5</v>
      </c>
      <c r="F91" s="1821">
        <v>553721.43000000005</v>
      </c>
      <c r="G91" s="1821">
        <v>847545.58</v>
      </c>
      <c r="H91" s="1821">
        <v>570855.66</v>
      </c>
      <c r="I91" s="1821">
        <v>370873.36</v>
      </c>
      <c r="J91" s="1821">
        <v>301564.25</v>
      </c>
      <c r="K91" s="1821">
        <v>177958.89</v>
      </c>
      <c r="L91" s="1821">
        <v>96956.5</v>
      </c>
      <c r="M91" s="1821">
        <v>138763.79</v>
      </c>
      <c r="N91" s="1821">
        <v>303374.61</v>
      </c>
      <c r="O91" s="1821">
        <v>225268.48000000001</v>
      </c>
      <c r="P91" s="1821">
        <v>183311.69</v>
      </c>
      <c r="Q91" s="692">
        <f t="shared" si="11"/>
        <v>361133.09615384624</v>
      </c>
      <c r="R91" s="497"/>
      <c r="S91" s="178"/>
      <c r="T91" s="494">
        <f t="shared" si="12"/>
        <v>361133.09615384624</v>
      </c>
      <c r="U91" s="2"/>
      <c r="V91" s="2"/>
      <c r="W91" s="2"/>
      <c r="AB91" s="876"/>
      <c r="AC91" s="876"/>
      <c r="AD91" s="876"/>
      <c r="AE91" s="876"/>
      <c r="AF91" s="876"/>
      <c r="AG91" s="876"/>
      <c r="AH91" s="876"/>
      <c r="AI91" s="876"/>
      <c r="AJ91" s="876"/>
      <c r="AK91" s="876"/>
      <c r="AL91" s="876"/>
      <c r="AM91" s="876"/>
      <c r="AN91" s="876"/>
    </row>
    <row r="92" spans="1:44">
      <c r="A92" s="520" t="s">
        <v>353</v>
      </c>
      <c r="B92" s="1876" t="s">
        <v>1329</v>
      </c>
      <c r="C92" s="178" t="s">
        <v>261</v>
      </c>
      <c r="D92" s="1821">
        <v>260554</v>
      </c>
      <c r="E92" s="1821">
        <v>259296.5</v>
      </c>
      <c r="F92" s="1821">
        <v>258039</v>
      </c>
      <c r="G92" s="1821">
        <v>256781.5</v>
      </c>
      <c r="H92" s="1821">
        <v>255524</v>
      </c>
      <c r="I92" s="1821">
        <v>254266.5</v>
      </c>
      <c r="J92" s="1821">
        <v>253009</v>
      </c>
      <c r="K92" s="1821">
        <v>251751.5</v>
      </c>
      <c r="L92" s="1821">
        <v>250494</v>
      </c>
      <c r="M92" s="1821">
        <v>249236.5</v>
      </c>
      <c r="N92" s="1821">
        <v>247979</v>
      </c>
      <c r="O92" s="1821">
        <v>246721.5</v>
      </c>
      <c r="P92" s="1821">
        <v>245464</v>
      </c>
      <c r="Q92" s="692">
        <f t="shared" si="11"/>
        <v>253009</v>
      </c>
      <c r="R92" s="497"/>
      <c r="S92" s="178"/>
      <c r="T92" s="494">
        <f t="shared" si="12"/>
        <v>253009</v>
      </c>
      <c r="U92" s="2"/>
      <c r="V92" s="2"/>
      <c r="W92" s="2"/>
      <c r="AC92" s="876"/>
      <c r="AD92" s="876"/>
      <c r="AI92" s="876"/>
      <c r="AJ92" s="876"/>
      <c r="AM92" s="876"/>
      <c r="AN92" s="876"/>
    </row>
    <row r="93" spans="1:44" s="178" customFormat="1">
      <c r="A93" s="520" t="s">
        <v>353</v>
      </c>
      <c r="B93" s="1876" t="s">
        <v>1330</v>
      </c>
      <c r="C93" s="178" t="s">
        <v>268</v>
      </c>
      <c r="D93" s="1821">
        <v>38700</v>
      </c>
      <c r="E93" s="1821">
        <v>340890.5</v>
      </c>
      <c r="F93" s="1821">
        <v>341150</v>
      </c>
      <c r="G93" s="1821">
        <v>344752.48</v>
      </c>
      <c r="H93" s="1821">
        <v>343603</v>
      </c>
      <c r="I93" s="1821">
        <v>41056.800000000003</v>
      </c>
      <c r="J93" s="1821">
        <v>45010.31</v>
      </c>
      <c r="K93" s="1821">
        <v>42241.51</v>
      </c>
      <c r="L93" s="1821">
        <v>42241.51</v>
      </c>
      <c r="M93" s="1821">
        <v>37300</v>
      </c>
      <c r="N93" s="1821">
        <v>37978.57</v>
      </c>
      <c r="O93" s="1821">
        <v>37070</v>
      </c>
      <c r="P93" s="1821">
        <v>37070</v>
      </c>
      <c r="Q93" s="692">
        <f t="shared" si="11"/>
        <v>133004.97538461539</v>
      </c>
      <c r="R93" s="497"/>
      <c r="T93" s="494">
        <f t="shared" si="12"/>
        <v>133004.97538461539</v>
      </c>
      <c r="Y93" s="2"/>
      <c r="Z93" s="2"/>
      <c r="AA93" s="2"/>
      <c r="AB93" s="876"/>
      <c r="AC93" s="876"/>
      <c r="AD93" s="876"/>
      <c r="AE93" s="2"/>
      <c r="AF93" s="876"/>
      <c r="AG93" s="876"/>
      <c r="AH93" s="2"/>
      <c r="AI93" s="876"/>
      <c r="AJ93" s="876"/>
      <c r="AK93" s="876"/>
      <c r="AL93" s="876"/>
      <c r="AM93" s="876"/>
      <c r="AN93" s="876"/>
      <c r="AO93" s="2"/>
    </row>
    <row r="94" spans="1:44">
      <c r="A94" s="520" t="s">
        <v>353</v>
      </c>
      <c r="B94" s="1876" t="s">
        <v>1331</v>
      </c>
      <c r="C94" s="178" t="s">
        <v>287</v>
      </c>
      <c r="D94" s="1821">
        <v>113839.86</v>
      </c>
      <c r="E94" s="1821">
        <v>0</v>
      </c>
      <c r="F94" s="1821">
        <v>0</v>
      </c>
      <c r="G94" s="1821">
        <v>0</v>
      </c>
      <c r="H94" s="1821">
        <v>0</v>
      </c>
      <c r="I94" s="1821">
        <v>0</v>
      </c>
      <c r="J94" s="1821">
        <v>0</v>
      </c>
      <c r="K94" s="1821">
        <v>0</v>
      </c>
      <c r="L94" s="1821">
        <v>0</v>
      </c>
      <c r="M94" s="1821">
        <v>0</v>
      </c>
      <c r="N94" s="1821">
        <v>172763.62</v>
      </c>
      <c r="O94" s="1821">
        <v>172763.62</v>
      </c>
      <c r="P94" s="1821">
        <v>641218.46</v>
      </c>
      <c r="Q94" s="692">
        <f t="shared" si="11"/>
        <v>84660.427692307698</v>
      </c>
      <c r="R94" s="493"/>
      <c r="S94" s="178"/>
      <c r="T94" s="494">
        <f t="shared" si="12"/>
        <v>84660.427692307698</v>
      </c>
      <c r="U94" s="178"/>
      <c r="V94" s="178"/>
      <c r="W94" s="178"/>
      <c r="AB94" s="876"/>
      <c r="AC94" s="876"/>
      <c r="AD94" s="876"/>
      <c r="AF94" s="876"/>
      <c r="AG94" s="876"/>
      <c r="AH94" s="876"/>
      <c r="AI94" s="876"/>
      <c r="AJ94" s="876"/>
      <c r="AK94" s="876"/>
      <c r="AL94" s="876"/>
      <c r="AM94" s="876"/>
      <c r="AN94" s="876"/>
    </row>
    <row r="95" spans="1:44">
      <c r="A95" s="520" t="s">
        <v>353</v>
      </c>
      <c r="B95" s="1876" t="s">
        <v>1332</v>
      </c>
      <c r="C95" s="178" t="s">
        <v>255</v>
      </c>
      <c r="D95" s="1821">
        <v>14942.09</v>
      </c>
      <c r="E95" s="1821">
        <v>12807.51</v>
      </c>
      <c r="F95" s="1821">
        <v>10672.93</v>
      </c>
      <c r="G95" s="1821">
        <v>8538.35</v>
      </c>
      <c r="H95" s="1821">
        <v>6403.77</v>
      </c>
      <c r="I95" s="1821">
        <v>4269.1899999999996</v>
      </c>
      <c r="J95" s="1821">
        <v>2134.61</v>
      </c>
      <c r="K95" s="1821">
        <v>0</v>
      </c>
      <c r="L95" s="1821">
        <v>0</v>
      </c>
      <c r="M95" s="1821">
        <v>0</v>
      </c>
      <c r="N95" s="1821">
        <v>0</v>
      </c>
      <c r="O95" s="1821">
        <v>0</v>
      </c>
      <c r="P95" s="1821">
        <v>0</v>
      </c>
      <c r="Q95" s="692">
        <f t="shared" si="11"/>
        <v>4597.5730769230768</v>
      </c>
      <c r="R95" s="497"/>
      <c r="S95" s="178"/>
      <c r="T95" s="494">
        <f t="shared" si="12"/>
        <v>4597.5730769230768</v>
      </c>
      <c r="U95" s="178"/>
      <c r="V95" s="178"/>
      <c r="W95" s="178"/>
      <c r="AB95" s="876"/>
      <c r="AC95" s="876"/>
      <c r="AD95" s="876"/>
      <c r="AF95" s="876"/>
      <c r="AG95" s="876"/>
      <c r="AH95" s="876"/>
      <c r="AI95" s="876"/>
      <c r="AJ95" s="876"/>
      <c r="AM95" s="876"/>
      <c r="AN95" s="876"/>
    </row>
    <row r="96" spans="1:44" s="178" customFormat="1">
      <c r="A96" s="520" t="s">
        <v>353</v>
      </c>
      <c r="B96" s="1876" t="s">
        <v>1333</v>
      </c>
      <c r="C96" s="178" t="s">
        <v>291</v>
      </c>
      <c r="D96" s="1821">
        <v>14617.12</v>
      </c>
      <c r="E96" s="1821">
        <v>14617.12</v>
      </c>
      <c r="F96" s="1821">
        <v>14617.12</v>
      </c>
      <c r="G96" s="1821">
        <v>0</v>
      </c>
      <c r="H96" s="1821">
        <v>0</v>
      </c>
      <c r="I96" s="1821">
        <v>0</v>
      </c>
      <c r="J96" s="1821">
        <v>0</v>
      </c>
      <c r="K96" s="1821">
        <v>0</v>
      </c>
      <c r="L96" s="1821">
        <v>0</v>
      </c>
      <c r="M96" s="1821">
        <v>0</v>
      </c>
      <c r="N96" s="1821">
        <v>0</v>
      </c>
      <c r="O96" s="1821">
        <v>0</v>
      </c>
      <c r="P96" s="1821">
        <v>0</v>
      </c>
      <c r="Q96" s="692">
        <f t="shared" si="11"/>
        <v>3373.1815384615384</v>
      </c>
      <c r="R96" s="497"/>
      <c r="T96" s="494">
        <f t="shared" si="12"/>
        <v>3373.1815384615384</v>
      </c>
      <c r="U96" s="2"/>
      <c r="V96" s="2"/>
      <c r="W96" s="2"/>
      <c r="Y96" s="2"/>
      <c r="Z96" s="2"/>
      <c r="AA96" s="2"/>
      <c r="AB96" s="876"/>
      <c r="AC96" s="876"/>
      <c r="AD96" s="876"/>
      <c r="AE96" s="2"/>
      <c r="AF96" s="876"/>
      <c r="AG96" s="876"/>
      <c r="AH96" s="876"/>
      <c r="AI96" s="876"/>
      <c r="AJ96" s="876"/>
      <c r="AM96" s="2"/>
      <c r="AN96" s="876"/>
      <c r="AO96" s="521"/>
    </row>
    <row r="97" spans="1:41" s="178" customFormat="1">
      <c r="A97" s="520" t="s">
        <v>353</v>
      </c>
      <c r="B97" s="1876" t="s">
        <v>1334</v>
      </c>
      <c r="C97" s="178" t="s">
        <v>1342</v>
      </c>
      <c r="D97" s="1821">
        <v>51901.36</v>
      </c>
      <c r="E97" s="1821">
        <v>43251.13</v>
      </c>
      <c r="F97" s="1821">
        <v>34600.9</v>
      </c>
      <c r="G97" s="1821">
        <v>25950.67</v>
      </c>
      <c r="H97" s="1821">
        <v>17300.439999999999</v>
      </c>
      <c r="I97" s="1821">
        <v>8650.2099999999991</v>
      </c>
      <c r="J97" s="1821">
        <v>0</v>
      </c>
      <c r="K97" s="1821">
        <v>0</v>
      </c>
      <c r="L97" s="1821">
        <v>0</v>
      </c>
      <c r="M97" s="1821">
        <v>0</v>
      </c>
      <c r="N97" s="1821">
        <v>0</v>
      </c>
      <c r="O97" s="1821">
        <v>0</v>
      </c>
      <c r="P97" s="1821">
        <v>0</v>
      </c>
      <c r="Q97" s="692">
        <f t="shared" si="11"/>
        <v>13973.439230769231</v>
      </c>
      <c r="R97" s="497"/>
      <c r="T97" s="494">
        <f t="shared" si="12"/>
        <v>13973.439230769231</v>
      </c>
      <c r="U97" s="2"/>
      <c r="V97" s="2"/>
      <c r="W97" s="2"/>
      <c r="Y97" s="2"/>
      <c r="Z97" s="2"/>
      <c r="AA97" s="2"/>
      <c r="AB97" s="876"/>
      <c r="AC97" s="876"/>
      <c r="AD97" s="876"/>
      <c r="AE97" s="2"/>
      <c r="AF97" s="876"/>
      <c r="AG97" s="876"/>
      <c r="AH97" s="876"/>
      <c r="AI97" s="876"/>
      <c r="AJ97" s="876"/>
      <c r="AM97" s="2"/>
      <c r="AN97" s="876"/>
      <c r="AO97" s="521"/>
    </row>
    <row r="98" spans="1:41" s="178" customFormat="1">
      <c r="A98" s="520" t="s">
        <v>353</v>
      </c>
      <c r="B98" s="1876" t="s">
        <v>1335</v>
      </c>
      <c r="C98" s="178" t="s">
        <v>242</v>
      </c>
      <c r="D98" s="1821">
        <v>0</v>
      </c>
      <c r="E98" s="1821">
        <v>0</v>
      </c>
      <c r="F98" s="1821">
        <v>0</v>
      </c>
      <c r="G98" s="1821">
        <v>0</v>
      </c>
      <c r="H98" s="1821">
        <v>198528.13</v>
      </c>
      <c r="I98" s="1821">
        <v>158822.51</v>
      </c>
      <c r="J98" s="1821">
        <v>119116.89</v>
      </c>
      <c r="K98" s="1821">
        <v>79411.27</v>
      </c>
      <c r="L98" s="1821">
        <v>39705.65</v>
      </c>
      <c r="M98" s="1821">
        <v>0</v>
      </c>
      <c r="N98" s="1821">
        <v>0</v>
      </c>
      <c r="O98" s="1821">
        <v>0</v>
      </c>
      <c r="P98" s="1821">
        <v>0</v>
      </c>
      <c r="Q98" s="692">
        <f t="shared" si="11"/>
        <v>45814.18846153847</v>
      </c>
      <c r="R98" s="497"/>
      <c r="T98" s="494">
        <f t="shared" si="12"/>
        <v>45814.18846153847</v>
      </c>
      <c r="U98" s="2"/>
      <c r="V98" s="2"/>
      <c r="W98" s="2"/>
      <c r="Y98" s="2"/>
      <c r="Z98" s="2"/>
      <c r="AA98" s="2"/>
      <c r="AB98" s="876"/>
      <c r="AC98" s="876"/>
      <c r="AD98" s="876"/>
      <c r="AE98" s="2"/>
      <c r="AF98" s="876"/>
      <c r="AG98" s="876"/>
      <c r="AH98" s="876"/>
      <c r="AI98" s="876"/>
      <c r="AJ98" s="876"/>
      <c r="AM98" s="2"/>
      <c r="AN98" s="876"/>
      <c r="AO98" s="521"/>
    </row>
    <row r="99" spans="1:41" s="178" customFormat="1">
      <c r="A99" s="520" t="s">
        <v>353</v>
      </c>
      <c r="B99" s="1876" t="s">
        <v>1336</v>
      </c>
      <c r="C99" s="178" t="s">
        <v>243</v>
      </c>
      <c r="D99" s="1821">
        <v>0</v>
      </c>
      <c r="E99" s="1821">
        <v>0</v>
      </c>
      <c r="F99" s="1821">
        <v>0</v>
      </c>
      <c r="G99" s="1821">
        <v>0</v>
      </c>
      <c r="H99" s="1821">
        <v>198528.13</v>
      </c>
      <c r="I99" s="1821">
        <v>158822.51</v>
      </c>
      <c r="J99" s="1821">
        <v>119116.89</v>
      </c>
      <c r="K99" s="1821">
        <v>79411.27</v>
      </c>
      <c r="L99" s="1821">
        <v>39705.65</v>
      </c>
      <c r="M99" s="1821">
        <v>0</v>
      </c>
      <c r="N99" s="1821">
        <v>0</v>
      </c>
      <c r="O99" s="1821">
        <v>0</v>
      </c>
      <c r="P99" s="1821">
        <v>0</v>
      </c>
      <c r="Q99" s="692">
        <f t="shared" si="11"/>
        <v>45814.18846153847</v>
      </c>
      <c r="R99" s="497"/>
      <c r="T99" s="494">
        <f t="shared" si="12"/>
        <v>45814.18846153847</v>
      </c>
      <c r="U99" s="2"/>
      <c r="V99" s="2"/>
      <c r="W99" s="2"/>
      <c r="Y99" s="2"/>
      <c r="Z99" s="2"/>
      <c r="AA99" s="2"/>
      <c r="AB99" s="876"/>
      <c r="AC99" s="876"/>
      <c r="AD99" s="876"/>
      <c r="AE99" s="2"/>
      <c r="AF99" s="876"/>
      <c r="AG99" s="876"/>
      <c r="AH99" s="876"/>
      <c r="AI99" s="876"/>
      <c r="AJ99" s="876"/>
      <c r="AM99" s="2"/>
      <c r="AN99" s="876"/>
      <c r="AO99" s="521"/>
    </row>
    <row r="100" spans="1:41" s="178" customFormat="1">
      <c r="A100" s="520" t="s">
        <v>353</v>
      </c>
      <c r="B100" s="1876" t="s">
        <v>1338</v>
      </c>
      <c r="C100" s="178" t="s">
        <v>1343</v>
      </c>
      <c r="D100" s="1821">
        <v>0</v>
      </c>
      <c r="E100" s="1821">
        <v>0</v>
      </c>
      <c r="F100" s="1821">
        <v>151425</v>
      </c>
      <c r="G100" s="1821">
        <v>236725</v>
      </c>
      <c r="H100" s="1821">
        <v>319350</v>
      </c>
      <c r="I100" s="1821">
        <v>1577700</v>
      </c>
      <c r="J100" s="1821">
        <v>1585562.5</v>
      </c>
      <c r="K100" s="1821">
        <v>1666475</v>
      </c>
      <c r="L100" s="1821">
        <v>1659112.5</v>
      </c>
      <c r="M100" s="1821">
        <v>1883187.5</v>
      </c>
      <c r="N100" s="1821">
        <v>2374837.5</v>
      </c>
      <c r="O100" s="1821">
        <v>2018812.5</v>
      </c>
      <c r="P100" s="1821">
        <v>1931525</v>
      </c>
      <c r="Q100" s="692">
        <f t="shared" si="11"/>
        <v>1184977.8846153845</v>
      </c>
      <c r="R100" s="497"/>
      <c r="T100" s="494">
        <f t="shared" si="12"/>
        <v>1184977.8846153845</v>
      </c>
      <c r="U100" s="2"/>
      <c r="V100" s="2"/>
      <c r="W100" s="2"/>
      <c r="Y100" s="2"/>
      <c r="Z100" s="2"/>
      <c r="AA100" s="2"/>
      <c r="AB100" s="876"/>
      <c r="AC100" s="876"/>
      <c r="AD100" s="876"/>
      <c r="AE100" s="2"/>
      <c r="AF100" s="876"/>
      <c r="AG100" s="876"/>
      <c r="AH100" s="876"/>
      <c r="AI100" s="876"/>
      <c r="AJ100" s="876"/>
      <c r="AM100" s="2"/>
      <c r="AN100" s="876"/>
      <c r="AO100" s="521"/>
    </row>
    <row r="101" spans="1:41" s="178" customFormat="1">
      <c r="A101" s="520" t="s">
        <v>353</v>
      </c>
      <c r="B101" s="1876" t="s">
        <v>1339</v>
      </c>
      <c r="C101" s="178" t="s">
        <v>1344</v>
      </c>
      <c r="D101" s="1821">
        <v>6000</v>
      </c>
      <c r="E101" s="1821">
        <v>6000</v>
      </c>
      <c r="F101" s="1821">
        <v>6000</v>
      </c>
      <c r="G101" s="1821">
        <v>6000</v>
      </c>
      <c r="H101" s="1821">
        <v>0</v>
      </c>
      <c r="I101" s="1821">
        <v>0</v>
      </c>
      <c r="J101" s="1821">
        <v>0</v>
      </c>
      <c r="K101" s="1821">
        <v>0</v>
      </c>
      <c r="L101" s="1821">
        <v>0</v>
      </c>
      <c r="M101" s="1821">
        <v>0</v>
      </c>
      <c r="N101" s="1821">
        <v>0</v>
      </c>
      <c r="O101" s="1821">
        <v>0</v>
      </c>
      <c r="P101" s="1821">
        <v>0</v>
      </c>
      <c r="Q101" s="692">
        <f t="shared" si="11"/>
        <v>1846.1538461538462</v>
      </c>
      <c r="R101" s="497"/>
      <c r="T101" s="494">
        <f t="shared" si="12"/>
        <v>1846.1538461538462</v>
      </c>
      <c r="U101" s="2"/>
      <c r="V101" s="2"/>
      <c r="W101" s="2"/>
      <c r="Y101" s="2"/>
      <c r="Z101" s="2"/>
      <c r="AA101" s="2"/>
      <c r="AB101" s="876"/>
      <c r="AC101" s="876"/>
      <c r="AD101" s="876"/>
      <c r="AE101" s="2"/>
      <c r="AF101" s="876"/>
      <c r="AG101" s="876"/>
      <c r="AH101" s="876"/>
      <c r="AI101" s="876"/>
      <c r="AJ101" s="876"/>
      <c r="AM101" s="2"/>
      <c r="AN101" s="876"/>
      <c r="AO101" s="521"/>
    </row>
    <row r="102" spans="1:41" s="178" customFormat="1">
      <c r="A102" s="520" t="s">
        <v>353</v>
      </c>
      <c r="B102" s="1876" t="s">
        <v>1407</v>
      </c>
      <c r="C102" s="178" t="s">
        <v>1408</v>
      </c>
      <c r="D102" s="1821">
        <v>0</v>
      </c>
      <c r="E102" s="1821">
        <v>0</v>
      </c>
      <c r="F102" s="1821">
        <v>0</v>
      </c>
      <c r="G102" s="1821">
        <v>13136.17</v>
      </c>
      <c r="H102" s="1821">
        <v>13136.17</v>
      </c>
      <c r="I102" s="1821">
        <v>13136.17</v>
      </c>
      <c r="J102" s="1821">
        <v>13136.17</v>
      </c>
      <c r="K102" s="1821">
        <v>13136.17</v>
      </c>
      <c r="L102" s="1821">
        <v>13136.17</v>
      </c>
      <c r="M102" s="1821">
        <v>13136.17</v>
      </c>
      <c r="N102" s="1821">
        <v>0</v>
      </c>
      <c r="O102" s="1821">
        <v>0</v>
      </c>
      <c r="P102" s="1821">
        <v>0</v>
      </c>
      <c r="Q102" s="692">
        <f t="shared" si="11"/>
        <v>7073.3223076923077</v>
      </c>
      <c r="R102" s="497"/>
      <c r="T102" s="494">
        <f t="shared" si="12"/>
        <v>7073.3223076923077</v>
      </c>
      <c r="U102" s="2"/>
      <c r="V102" s="2"/>
      <c r="W102" s="2"/>
      <c r="Y102" s="2"/>
      <c r="Z102" s="2"/>
      <c r="AA102" s="2"/>
      <c r="AB102" s="876"/>
      <c r="AC102" s="876"/>
      <c r="AD102" s="876"/>
      <c r="AE102" s="2"/>
      <c r="AF102" s="876"/>
      <c r="AG102" s="876"/>
      <c r="AH102" s="876"/>
      <c r="AI102" s="876"/>
      <c r="AJ102" s="876"/>
      <c r="AM102" s="2"/>
      <c r="AN102" s="876"/>
      <c r="AO102" s="521"/>
    </row>
    <row r="103" spans="1:41" s="178" customFormat="1">
      <c r="A103" s="520" t="s">
        <v>353</v>
      </c>
      <c r="B103" s="1876" t="s">
        <v>1340</v>
      </c>
      <c r="C103" s="178" t="s">
        <v>1345</v>
      </c>
      <c r="D103" s="1821">
        <v>11784.91</v>
      </c>
      <c r="E103" s="1821">
        <v>0</v>
      </c>
      <c r="F103" s="1821">
        <v>0</v>
      </c>
      <c r="G103" s="1821">
        <v>0</v>
      </c>
      <c r="H103" s="1821">
        <v>0</v>
      </c>
      <c r="I103" s="1821">
        <v>0</v>
      </c>
      <c r="J103" s="1821">
        <v>0</v>
      </c>
      <c r="K103" s="1821">
        <v>0</v>
      </c>
      <c r="L103" s="1821">
        <v>0</v>
      </c>
      <c r="M103" s="1821">
        <v>0</v>
      </c>
      <c r="N103" s="1821">
        <v>0</v>
      </c>
      <c r="O103" s="1821">
        <v>0</v>
      </c>
      <c r="P103" s="1821">
        <v>0</v>
      </c>
      <c r="Q103" s="692">
        <f t="shared" si="11"/>
        <v>906.5315384615385</v>
      </c>
      <c r="R103" s="497"/>
      <c r="T103" s="494">
        <f t="shared" si="12"/>
        <v>906.5315384615385</v>
      </c>
      <c r="U103" s="2"/>
      <c r="V103" s="2"/>
      <c r="W103" s="2"/>
      <c r="Y103" s="2"/>
      <c r="Z103" s="2"/>
      <c r="AA103" s="2"/>
      <c r="AB103" s="876"/>
      <c r="AC103" s="876"/>
      <c r="AD103" s="876"/>
      <c r="AE103" s="2"/>
      <c r="AF103" s="876"/>
      <c r="AG103" s="876"/>
      <c r="AH103" s="876"/>
      <c r="AI103" s="876"/>
      <c r="AJ103" s="876"/>
      <c r="AM103" s="2"/>
      <c r="AN103" s="876"/>
      <c r="AO103" s="521"/>
    </row>
    <row r="104" spans="1:41" s="178" customFormat="1">
      <c r="A104" s="520" t="s">
        <v>353</v>
      </c>
      <c r="B104" s="1876" t="s">
        <v>1341</v>
      </c>
      <c r="C104" s="178" t="s">
        <v>1346</v>
      </c>
      <c r="D104" s="1821">
        <v>76162.679999999993</v>
      </c>
      <c r="E104" s="1821">
        <v>66642.350000000006</v>
      </c>
      <c r="F104" s="1821">
        <v>57122.02</v>
      </c>
      <c r="G104" s="1821">
        <v>47601.69</v>
      </c>
      <c r="H104" s="1821">
        <v>38081.360000000001</v>
      </c>
      <c r="I104" s="1821">
        <v>28561.03</v>
      </c>
      <c r="J104" s="1821">
        <v>19040.7</v>
      </c>
      <c r="K104" s="1821">
        <v>9520.3700000000008</v>
      </c>
      <c r="L104" s="1821">
        <v>0</v>
      </c>
      <c r="M104" s="1821">
        <v>126759.57</v>
      </c>
      <c r="N104" s="1821">
        <v>115235.96</v>
      </c>
      <c r="O104" s="1821">
        <v>103712.35</v>
      </c>
      <c r="P104" s="1821">
        <v>92188.74</v>
      </c>
      <c r="Q104" s="692">
        <f t="shared" si="11"/>
        <v>60048.370769230765</v>
      </c>
      <c r="R104" s="497"/>
      <c r="T104" s="494">
        <f t="shared" si="12"/>
        <v>60048.370769230765</v>
      </c>
      <c r="U104" s="2"/>
      <c r="V104" s="2"/>
      <c r="W104" s="2"/>
      <c r="Y104" s="2"/>
      <c r="Z104" s="2"/>
      <c r="AA104" s="2"/>
      <c r="AB104" s="876"/>
      <c r="AC104" s="876"/>
      <c r="AD104" s="876"/>
      <c r="AE104" s="2"/>
      <c r="AF104" s="876"/>
      <c r="AG104" s="876"/>
      <c r="AH104" s="876"/>
      <c r="AI104" s="876"/>
      <c r="AJ104" s="876"/>
      <c r="AM104" s="2"/>
      <c r="AN104" s="876"/>
      <c r="AO104" s="521"/>
    </row>
    <row r="105" spans="1:41">
      <c r="A105" s="520"/>
      <c r="B105" s="1776"/>
      <c r="C105" s="178"/>
      <c r="D105" s="1821"/>
      <c r="E105" s="1821"/>
      <c r="F105" s="1821"/>
      <c r="G105" s="1821"/>
      <c r="H105" s="1821"/>
      <c r="I105" s="1821"/>
      <c r="J105" s="1821"/>
      <c r="K105" s="1821"/>
      <c r="L105" s="1821"/>
      <c r="M105" s="1821"/>
      <c r="N105" s="1821"/>
      <c r="O105" s="1821"/>
      <c r="P105" s="1821"/>
      <c r="Q105" s="692"/>
      <c r="R105" s="497"/>
      <c r="S105" s="178"/>
      <c r="T105" s="494">
        <f t="shared" si="12"/>
        <v>0</v>
      </c>
      <c r="U105" s="2"/>
      <c r="V105" s="2"/>
      <c r="W105" s="2"/>
      <c r="AO105" s="178"/>
    </row>
    <row r="106" spans="1:41" s="178" customFormat="1">
      <c r="B106" s="515" t="s">
        <v>298</v>
      </c>
      <c r="C106" s="516"/>
      <c r="D106" s="382">
        <f t="shared" ref="D106:Q106" si="13">SUM(D75:D105)</f>
        <v>9436653.2199999969</v>
      </c>
      <c r="E106" s="382">
        <f t="shared" si="13"/>
        <v>10838166.68</v>
      </c>
      <c r="F106" s="382">
        <f t="shared" si="13"/>
        <v>11632786.409999996</v>
      </c>
      <c r="G106" s="382">
        <f t="shared" si="13"/>
        <v>12224883.959999999</v>
      </c>
      <c r="H106" s="382">
        <f t="shared" si="13"/>
        <v>12354137.360000001</v>
      </c>
      <c r="I106" s="382">
        <f t="shared" si="13"/>
        <v>13075483.029999999</v>
      </c>
      <c r="J106" s="382">
        <f t="shared" si="13"/>
        <v>10077174.879999999</v>
      </c>
      <c r="K106" s="382">
        <f t="shared" si="13"/>
        <v>9826097.2699999977</v>
      </c>
      <c r="L106" s="382">
        <f t="shared" si="13"/>
        <v>10011857.42</v>
      </c>
      <c r="M106" s="382">
        <f t="shared" si="13"/>
        <v>10842819.73</v>
      </c>
      <c r="N106" s="382">
        <f t="shared" si="13"/>
        <v>11686742.860000001</v>
      </c>
      <c r="O106" s="382">
        <f t="shared" si="13"/>
        <v>11568152.899999999</v>
      </c>
      <c r="P106" s="382">
        <f t="shared" si="13"/>
        <v>12114716.499999998</v>
      </c>
      <c r="Q106" s="382">
        <f t="shared" si="13"/>
        <v>11219741.182948716</v>
      </c>
      <c r="R106" s="516"/>
      <c r="S106" s="516"/>
      <c r="T106" s="939">
        <f>SUM(T75:T105)</f>
        <v>11219741.182948716</v>
      </c>
      <c r="Y106" s="2"/>
      <c r="Z106" s="2"/>
      <c r="AA106" s="2"/>
      <c r="AC106" s="2"/>
      <c r="AD106" s="2"/>
      <c r="AE106" s="2"/>
      <c r="AF106" s="2"/>
      <c r="AG106" s="2"/>
      <c r="AH106" s="2"/>
      <c r="AI106" s="2"/>
      <c r="AJ106" s="2"/>
      <c r="AK106" s="2"/>
      <c r="AL106" s="2"/>
      <c r="AM106" s="2"/>
      <c r="AN106" s="2"/>
      <c r="AO106" s="2"/>
    </row>
    <row r="107" spans="1:41" s="178" customFormat="1">
      <c r="A107"/>
      <c r="B107" s="81"/>
      <c r="C107"/>
      <c r="D107" s="438"/>
      <c r="E107" s="438"/>
      <c r="F107" s="438"/>
      <c r="G107" s="438"/>
      <c r="H107" s="438"/>
      <c r="I107" s="438"/>
      <c r="J107" s="438"/>
      <c r="K107" s="438"/>
      <c r="L107" s="438"/>
      <c r="M107" s="438"/>
      <c r="N107" s="438"/>
      <c r="O107" s="438"/>
      <c r="P107" s="438"/>
      <c r="Q107" s="501"/>
      <c r="R107" s="501"/>
      <c r="S107"/>
      <c r="T107"/>
      <c r="U107" s="2"/>
      <c r="V107" s="2"/>
      <c r="W107" s="2"/>
      <c r="Y107" s="2"/>
      <c r="Z107" s="2"/>
      <c r="AA107" s="2"/>
      <c r="AB107" s="876"/>
      <c r="AC107" s="876"/>
      <c r="AD107" s="876"/>
      <c r="AE107" s="876"/>
      <c r="AF107" s="876"/>
      <c r="AG107" s="876"/>
      <c r="AH107" s="876"/>
      <c r="AI107" s="876"/>
      <c r="AJ107" s="876"/>
      <c r="AK107" s="876"/>
      <c r="AL107" s="876"/>
      <c r="AM107" s="876"/>
      <c r="AN107" s="876"/>
    </row>
    <row r="108" spans="1:41" s="178" customFormat="1">
      <c r="A108"/>
      <c r="B108" s="81"/>
      <c r="C108" s="2"/>
      <c r="D108" s="179"/>
      <c r="E108" s="179"/>
      <c r="F108" s="179"/>
      <c r="G108" s="179"/>
      <c r="H108" s="179"/>
      <c r="I108" s="179"/>
      <c r="J108" s="179"/>
      <c r="K108" s="179"/>
      <c r="L108" s="179"/>
      <c r="M108" s="179"/>
      <c r="N108" s="179"/>
      <c r="O108" s="179"/>
      <c r="P108" s="179"/>
      <c r="Q108" s="1393"/>
      <c r="R108" s="1393"/>
      <c r="S108" s="2"/>
      <c r="T108" s="2"/>
      <c r="U108" s="2"/>
      <c r="V108" s="2"/>
      <c r="W108" s="2"/>
      <c r="Y108" s="2"/>
      <c r="Z108" s="2"/>
      <c r="AA108" s="2"/>
      <c r="AB108" s="876"/>
      <c r="AC108" s="876"/>
      <c r="AD108" s="876"/>
      <c r="AE108" s="876"/>
      <c r="AF108" s="876"/>
      <c r="AG108" s="876"/>
      <c r="AH108" s="876"/>
      <c r="AI108" s="876"/>
      <c r="AJ108" s="876"/>
      <c r="AK108" s="876"/>
      <c r="AL108" s="876"/>
      <c r="AM108" s="876"/>
      <c r="AN108" s="876"/>
      <c r="AO108" s="2"/>
    </row>
    <row r="109" spans="1:41">
      <c r="C109" s="2"/>
      <c r="D109" s="179"/>
      <c r="E109" s="179"/>
      <c r="F109" s="179"/>
      <c r="G109" s="179"/>
      <c r="H109" s="179"/>
      <c r="I109" s="179"/>
      <c r="J109" s="179"/>
      <c r="K109" s="179"/>
      <c r="L109" s="179"/>
      <c r="M109" s="179"/>
      <c r="N109" s="179"/>
      <c r="O109" s="179"/>
      <c r="P109" s="179"/>
      <c r="Q109" s="1393"/>
      <c r="R109" s="1393"/>
      <c r="S109" s="2"/>
      <c r="T109" s="2"/>
      <c r="U109" s="2"/>
      <c r="V109" s="2"/>
      <c r="W109" s="2"/>
      <c r="AB109" s="876"/>
      <c r="AC109" s="876"/>
      <c r="AD109" s="876"/>
      <c r="AE109" s="876"/>
      <c r="AF109" s="876"/>
      <c r="AG109" s="876"/>
      <c r="AH109" s="876"/>
      <c r="AI109" s="876"/>
      <c r="AJ109" s="876"/>
      <c r="AK109" s="876"/>
      <c r="AL109" s="876"/>
      <c r="AM109" s="876"/>
      <c r="AN109" s="876"/>
      <c r="AO109" s="178"/>
    </row>
    <row r="110" spans="1:41">
      <c r="A110" s="178"/>
      <c r="B110" s="178"/>
      <c r="C110" s="178"/>
      <c r="D110" s="692"/>
      <c r="E110" s="692"/>
      <c r="F110" s="692"/>
      <c r="G110" s="692"/>
      <c r="H110" s="692"/>
      <c r="I110" s="692"/>
      <c r="J110" s="692"/>
      <c r="K110" s="692"/>
      <c r="L110" s="692"/>
      <c r="M110" s="692"/>
      <c r="N110" s="692"/>
      <c r="O110" s="692"/>
      <c r="P110" s="692"/>
      <c r="Q110" s="178"/>
      <c r="R110" s="178"/>
      <c r="S110" s="178"/>
      <c r="T110" s="2"/>
      <c r="U110" s="2"/>
      <c r="V110" s="2"/>
      <c r="AB110" s="876"/>
      <c r="AC110" s="876"/>
      <c r="AD110" s="876"/>
      <c r="AE110" s="876"/>
      <c r="AF110" s="876"/>
      <c r="AG110" s="876"/>
      <c r="AH110" s="876"/>
      <c r="AI110" s="876"/>
      <c r="AJ110" s="876"/>
      <c r="AK110" s="876"/>
      <c r="AL110" s="876"/>
      <c r="AM110" s="876"/>
      <c r="AN110" s="876"/>
      <c r="AO110" s="178"/>
    </row>
    <row r="111" spans="1:41">
      <c r="C111" s="1394" t="s">
        <v>1143</v>
      </c>
      <c r="D111" s="1395">
        <f t="shared" ref="D111:P111" si="14">D106+D71+D66+D12</f>
        <v>25140188.229999997</v>
      </c>
      <c r="E111" s="1395">
        <f t="shared" si="14"/>
        <v>26471691.300000001</v>
      </c>
      <c r="F111" s="1395">
        <f t="shared" si="14"/>
        <v>26822967.719999995</v>
      </c>
      <c r="G111" s="1395">
        <f t="shared" si="14"/>
        <v>25822779.719999999</v>
      </c>
      <c r="H111" s="1395">
        <f t="shared" si="14"/>
        <v>28168671.310000002</v>
      </c>
      <c r="I111" s="1395">
        <f t="shared" si="14"/>
        <v>28598648.319999997</v>
      </c>
      <c r="J111" s="1395">
        <f t="shared" si="14"/>
        <v>23880322.969999999</v>
      </c>
      <c r="K111" s="1395">
        <f t="shared" si="14"/>
        <v>22049256.439999998</v>
      </c>
      <c r="L111" s="1395">
        <f t="shared" si="14"/>
        <v>20335882.459999997</v>
      </c>
      <c r="M111" s="1395">
        <f t="shared" si="14"/>
        <v>21030367.09</v>
      </c>
      <c r="N111" s="1395">
        <f t="shared" si="14"/>
        <v>20300042.640000001</v>
      </c>
      <c r="O111" s="1395">
        <f t="shared" si="14"/>
        <v>18298547.969999999</v>
      </c>
      <c r="P111" s="1395">
        <f t="shared" si="14"/>
        <v>25570607.120000001</v>
      </c>
      <c r="Q111" s="1396"/>
      <c r="R111" s="1396"/>
      <c r="S111" s="2"/>
      <c r="T111" s="2"/>
      <c r="U111" s="2"/>
      <c r="V111" s="2"/>
      <c r="AB111" s="876"/>
      <c r="AC111" s="876"/>
      <c r="AD111" s="876"/>
      <c r="AE111" s="876"/>
      <c r="AF111" s="876"/>
      <c r="AG111" s="876"/>
      <c r="AH111" s="876"/>
      <c r="AI111" s="876"/>
      <c r="AJ111" s="876"/>
      <c r="AL111" s="876"/>
      <c r="AM111" s="876"/>
      <c r="AN111" s="876"/>
      <c r="AO111" s="178"/>
    </row>
    <row r="112" spans="1:41" ht="15" customHeight="1">
      <c r="D112" s="500"/>
      <c r="E112" s="500"/>
      <c r="F112" s="500"/>
      <c r="G112" s="500"/>
      <c r="H112" s="500"/>
      <c r="I112" s="500"/>
      <c r="J112" s="500"/>
      <c r="K112" s="500"/>
      <c r="L112" s="500"/>
      <c r="M112" s="500"/>
      <c r="N112" s="500"/>
      <c r="O112" s="500"/>
      <c r="P112" s="500"/>
      <c r="Q112" s="500"/>
      <c r="R112" s="500"/>
      <c r="AB112" s="876"/>
      <c r="AC112" s="876"/>
      <c r="AD112" s="876"/>
      <c r="AE112" s="876"/>
      <c r="AF112" s="876"/>
      <c r="AG112" s="876"/>
      <c r="AH112" s="876"/>
      <c r="AI112" s="876"/>
      <c r="AJ112" s="876"/>
      <c r="AL112" s="876"/>
      <c r="AM112" s="876"/>
      <c r="AN112" s="876"/>
      <c r="AO112" s="178"/>
    </row>
    <row r="113" spans="1:41" s="178" customFormat="1">
      <c r="A113"/>
      <c r="B113" s="81"/>
      <c r="C113"/>
      <c r="D113" s="501"/>
      <c r="E113" s="501"/>
      <c r="F113" s="501"/>
      <c r="G113" s="501"/>
      <c r="H113" s="501"/>
      <c r="I113" s="501"/>
      <c r="J113" s="501"/>
      <c r="K113" s="501"/>
      <c r="L113" s="501"/>
      <c r="M113" s="501"/>
      <c r="N113" s="501"/>
      <c r="O113" s="501"/>
      <c r="P113" s="501"/>
      <c r="Q113" s="501"/>
      <c r="R113" s="501"/>
      <c r="S113"/>
      <c r="T113"/>
      <c r="U113"/>
      <c r="V113"/>
      <c r="W113"/>
      <c r="X113"/>
      <c r="Y113" s="2"/>
      <c r="Z113" s="2"/>
      <c r="AA113" s="2"/>
      <c r="AB113" s="2"/>
      <c r="AC113" s="876"/>
      <c r="AD113" s="876"/>
      <c r="AE113" s="876"/>
      <c r="AF113" s="876"/>
      <c r="AG113" s="876"/>
      <c r="AH113" s="876"/>
      <c r="AI113" s="2"/>
      <c r="AJ113" s="876"/>
      <c r="AK113" s="876"/>
      <c r="AL113" s="876"/>
      <c r="AM113" s="876"/>
      <c r="AN113" s="876"/>
      <c r="AO113" s="2"/>
    </row>
    <row r="114" spans="1:41">
      <c r="AB114" s="876"/>
      <c r="AC114" s="876"/>
      <c r="AD114" s="876"/>
      <c r="AE114" s="876"/>
      <c r="AF114" s="876"/>
      <c r="AG114" s="876"/>
      <c r="AH114" s="876"/>
      <c r="AI114" s="876"/>
      <c r="AJ114" s="876"/>
      <c r="AK114" s="876"/>
      <c r="AL114" s="876"/>
      <c r="AM114" s="876"/>
      <c r="AN114" s="876"/>
    </row>
    <row r="115" spans="1:41">
      <c r="AM115" s="876"/>
      <c r="AN115" s="876"/>
    </row>
    <row r="116" spans="1:41">
      <c r="AB116" s="876"/>
      <c r="AC116" s="876"/>
      <c r="AD116" s="876"/>
      <c r="AE116" s="876"/>
      <c r="AF116" s="876"/>
      <c r="AG116" s="876"/>
      <c r="AH116" s="876"/>
      <c r="AI116" s="876"/>
      <c r="AJ116" s="876"/>
      <c r="AK116" s="876"/>
      <c r="AL116" s="876"/>
      <c r="AM116" s="876"/>
      <c r="AN116" s="876"/>
    </row>
    <row r="117" spans="1:41">
      <c r="AB117" s="876"/>
      <c r="AC117" s="876"/>
      <c r="AD117" s="876"/>
      <c r="AE117" s="876"/>
      <c r="AF117" s="876"/>
      <c r="AG117" s="876"/>
      <c r="AH117" s="876"/>
      <c r="AI117" s="876"/>
      <c r="AJ117" s="876"/>
      <c r="AK117" s="876"/>
      <c r="AL117" s="876"/>
      <c r="AM117" s="876"/>
      <c r="AN117" s="876"/>
    </row>
    <row r="118" spans="1:41">
      <c r="AB118" s="876"/>
      <c r="AC118" s="876"/>
      <c r="AD118" s="876"/>
      <c r="AE118" s="876"/>
      <c r="AF118" s="876"/>
      <c r="AG118" s="876"/>
      <c r="AH118" s="876"/>
      <c r="AI118" s="876"/>
      <c r="AJ118" s="876"/>
      <c r="AK118" s="876"/>
      <c r="AL118" s="876"/>
      <c r="AM118" s="876"/>
      <c r="AN118" s="876"/>
    </row>
    <row r="120" spans="1:41">
      <c r="AC120" s="876"/>
      <c r="AD120" s="876"/>
      <c r="AE120" s="876"/>
      <c r="AF120" s="876"/>
      <c r="AG120" s="876"/>
      <c r="AH120" s="876"/>
      <c r="AI120" s="876"/>
      <c r="AJ120" s="876"/>
      <c r="AK120" s="876"/>
      <c r="AL120" s="876"/>
      <c r="AM120" s="876"/>
      <c r="AN120" s="876"/>
    </row>
    <row r="121" spans="1:41">
      <c r="AB121" s="876"/>
      <c r="AC121" s="876"/>
      <c r="AD121" s="876"/>
      <c r="AE121" s="876"/>
      <c r="AF121" s="876"/>
      <c r="AG121" s="876"/>
      <c r="AH121" s="876"/>
      <c r="AI121" s="876"/>
      <c r="AJ121" s="876"/>
      <c r="AK121" s="876"/>
      <c r="AL121" s="876"/>
      <c r="AM121" s="876"/>
      <c r="AN121" s="876"/>
    </row>
    <row r="122" spans="1:41">
      <c r="AO122" s="178"/>
    </row>
    <row r="123" spans="1:41">
      <c r="AC123" s="876"/>
      <c r="AD123" s="876"/>
      <c r="AE123" s="876"/>
      <c r="AF123" s="876"/>
      <c r="AG123" s="876"/>
      <c r="AH123" s="876"/>
      <c r="AI123" s="876"/>
      <c r="AJ123" s="876"/>
      <c r="AK123" s="876"/>
      <c r="AL123" s="876"/>
      <c r="AM123" s="876"/>
      <c r="AN123" s="876"/>
    </row>
    <row r="128" spans="1:41">
      <c r="AA128" s="178"/>
      <c r="AB128" s="178"/>
      <c r="AC128" s="178"/>
      <c r="AD128" s="178"/>
      <c r="AE128" s="178"/>
      <c r="AF128" s="178"/>
      <c r="AG128" s="178"/>
      <c r="AH128" s="178"/>
      <c r="AI128" s="178"/>
      <c r="AJ128" s="178"/>
      <c r="AK128" s="178"/>
      <c r="AL128" s="178"/>
      <c r="AM128" s="178"/>
      <c r="AN128" s="178"/>
    </row>
    <row r="132" spans="26:26">
      <c r="Z132" s="178"/>
    </row>
  </sheetData>
  <phoneticPr fontId="50" type="noConversion"/>
  <pageMargins left="0.17" right="0.17" top="0.17" bottom="0.16" header="0.3" footer="0.3"/>
  <pageSetup paperSize="5" scale="38" fitToHeight="2" orientation="landscape" r:id="rId1"/>
  <colBreaks count="1" manualBreakCount="1">
    <brk id="2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8"/>
  <sheetViews>
    <sheetView zoomScale="75" zoomScaleNormal="75" workbookViewId="0">
      <pane ySplit="2" topLeftCell="A61" activePane="bottomLeft" state="frozen"/>
      <selection activeCell="C309" sqref="C309"/>
      <selection pane="bottomLeft" activeCell="B84" sqref="B84"/>
    </sheetView>
  </sheetViews>
  <sheetFormatPr defaultRowHeight="12.75"/>
  <cols>
    <col min="1" max="1" width="9.140625" style="654"/>
    <col min="2" max="2" width="70.42578125" style="97" bestFit="1" customWidth="1"/>
    <col min="3" max="3" width="20.7109375" style="655" customWidth="1"/>
    <col min="4" max="4" width="20.7109375" style="656" customWidth="1"/>
    <col min="5" max="5" width="20.42578125" style="656" customWidth="1"/>
    <col min="6" max="16384" width="9.140625" style="97"/>
  </cols>
  <sheetData>
    <row r="1" spans="1:5" ht="26.25" customHeight="1">
      <c r="A1" s="47" t="s">
        <v>695</v>
      </c>
      <c r="B1" s="47"/>
      <c r="C1" s="670"/>
      <c r="D1" s="671"/>
      <c r="E1" s="671"/>
    </row>
    <row r="2" spans="1:5" ht="38.25">
      <c r="A2" s="502" t="s">
        <v>162</v>
      </c>
      <c r="B2" s="502" t="s">
        <v>163</v>
      </c>
      <c r="C2" s="652" t="s">
        <v>1386</v>
      </c>
      <c r="D2" s="653" t="s">
        <v>1387</v>
      </c>
      <c r="E2" s="653" t="s">
        <v>1388</v>
      </c>
    </row>
    <row r="3" spans="1:5">
      <c r="A3" s="654">
        <v>1</v>
      </c>
      <c r="B3" t="s">
        <v>22</v>
      </c>
      <c r="C3" s="1770">
        <v>268533</v>
      </c>
      <c r="D3" s="1771">
        <v>158646</v>
      </c>
      <c r="E3" s="330">
        <f>C10-D3</f>
        <v>3356648</v>
      </c>
    </row>
    <row r="4" spans="1:5">
      <c r="A4" s="654">
        <f t="shared" ref="A4:A86" si="0">+A3+1</f>
        <v>2</v>
      </c>
      <c r="B4" t="s">
        <v>23</v>
      </c>
      <c r="C4" s="1770">
        <v>254414</v>
      </c>
      <c r="D4" s="1771">
        <v>172187</v>
      </c>
      <c r="E4" s="330">
        <f>C9-D4</f>
        <v>1058944</v>
      </c>
    </row>
    <row r="5" spans="1:5">
      <c r="A5" s="654">
        <f t="shared" si="0"/>
        <v>3</v>
      </c>
      <c r="B5" t="s">
        <v>10</v>
      </c>
      <c r="C5" s="1770">
        <v>88692</v>
      </c>
      <c r="D5" s="1771">
        <v>54906</v>
      </c>
      <c r="E5" s="330">
        <f t="shared" ref="E5:E11" si="1">C5-D5</f>
        <v>33786</v>
      </c>
    </row>
    <row r="6" spans="1:5">
      <c r="A6" s="654">
        <f t="shared" si="0"/>
        <v>4</v>
      </c>
      <c r="B6" t="s">
        <v>11</v>
      </c>
      <c r="C6" s="1770">
        <v>49007</v>
      </c>
      <c r="D6" s="1771">
        <v>44992</v>
      </c>
      <c r="E6" s="330">
        <f t="shared" si="1"/>
        <v>4015</v>
      </c>
    </row>
    <row r="7" spans="1:5">
      <c r="A7" s="654">
        <f t="shared" si="0"/>
        <v>5</v>
      </c>
      <c r="B7" t="s">
        <v>8</v>
      </c>
      <c r="C7" s="1770">
        <v>88577</v>
      </c>
      <c r="D7" s="1771">
        <v>76333</v>
      </c>
      <c r="E7" s="330">
        <f>C8-D7</f>
        <v>-76066</v>
      </c>
    </row>
    <row r="8" spans="1:5">
      <c r="A8" s="654">
        <f t="shared" si="0"/>
        <v>6</v>
      </c>
      <c r="B8" t="s">
        <v>9</v>
      </c>
      <c r="C8" s="1770">
        <v>267</v>
      </c>
      <c r="D8" s="1771">
        <v>180</v>
      </c>
      <c r="E8" s="330">
        <f>C7-D8</f>
        <v>88397</v>
      </c>
    </row>
    <row r="9" spans="1:5">
      <c r="A9" s="654">
        <f t="shared" si="0"/>
        <v>7</v>
      </c>
      <c r="B9" t="s">
        <v>1213</v>
      </c>
      <c r="C9" s="1770">
        <v>1231131</v>
      </c>
      <c r="D9" s="1771">
        <v>1081292</v>
      </c>
      <c r="E9" s="330">
        <f>C3-D9</f>
        <v>-812759</v>
      </c>
    </row>
    <row r="10" spans="1:5">
      <c r="A10" s="654">
        <f>+A9+1</f>
        <v>8</v>
      </c>
      <c r="B10" t="s">
        <v>1214</v>
      </c>
      <c r="C10" s="1770">
        <v>3515294</v>
      </c>
      <c r="D10" s="1771">
        <v>2503333</v>
      </c>
      <c r="E10" s="330">
        <f>C4-D10</f>
        <v>-2248919</v>
      </c>
    </row>
    <row r="11" spans="1:5">
      <c r="A11" s="654">
        <f t="shared" si="0"/>
        <v>9</v>
      </c>
      <c r="B11" t="s">
        <v>1202</v>
      </c>
      <c r="C11" s="1770">
        <v>3624</v>
      </c>
      <c r="D11" s="1771">
        <v>2878</v>
      </c>
      <c r="E11" s="330">
        <f t="shared" si="1"/>
        <v>746</v>
      </c>
    </row>
    <row r="12" spans="1:5">
      <c r="A12" s="654">
        <f t="shared" si="0"/>
        <v>10</v>
      </c>
      <c r="B12" s="657" t="s">
        <v>164</v>
      </c>
      <c r="C12" s="658">
        <f>SUM(C3:C11)</f>
        <v>5499539</v>
      </c>
      <c r="D12" s="658">
        <f>SUM(D3:D11)</f>
        <v>4094747</v>
      </c>
      <c r="E12" s="658">
        <f>SUM(E3:E11)</f>
        <v>1404792</v>
      </c>
    </row>
    <row r="13" spans="1:5">
      <c r="A13" s="654">
        <f t="shared" si="0"/>
        <v>11</v>
      </c>
    </row>
    <row r="14" spans="1:5">
      <c r="A14" s="654">
        <f t="shared" si="0"/>
        <v>12</v>
      </c>
      <c r="B14" t="s">
        <v>1201</v>
      </c>
      <c r="C14" s="186">
        <v>1908</v>
      </c>
      <c r="D14" s="1771">
        <v>0</v>
      </c>
      <c r="E14" s="330">
        <f>C14-D14</f>
        <v>1908</v>
      </c>
    </row>
    <row r="15" spans="1:5">
      <c r="A15" s="654">
        <f t="shared" si="0"/>
        <v>13</v>
      </c>
      <c r="B15" t="s">
        <v>1203</v>
      </c>
      <c r="C15" s="186">
        <v>28500</v>
      </c>
      <c r="D15" s="1771">
        <v>6003</v>
      </c>
      <c r="E15" s="330">
        <f t="shared" ref="E15:E74" si="2">C15-D15</f>
        <v>22497</v>
      </c>
    </row>
    <row r="16" spans="1:5">
      <c r="A16" s="654">
        <f t="shared" si="0"/>
        <v>14</v>
      </c>
      <c r="B16" t="s">
        <v>1204</v>
      </c>
      <c r="C16" s="186">
        <v>132335</v>
      </c>
      <c r="D16" s="1771">
        <v>21851</v>
      </c>
      <c r="E16" s="330">
        <f t="shared" si="2"/>
        <v>110484</v>
      </c>
    </row>
    <row r="17" spans="1:5">
      <c r="A17" s="654">
        <f t="shared" si="0"/>
        <v>15</v>
      </c>
      <c r="B17" t="s">
        <v>1205</v>
      </c>
      <c r="C17" s="186">
        <v>965</v>
      </c>
      <c r="D17" s="1771">
        <v>756</v>
      </c>
      <c r="E17" s="330">
        <f t="shared" si="2"/>
        <v>209</v>
      </c>
    </row>
    <row r="18" spans="1:5">
      <c r="A18" s="654">
        <f t="shared" si="0"/>
        <v>16</v>
      </c>
      <c r="B18" t="s">
        <v>1206</v>
      </c>
      <c r="C18" s="186">
        <v>6965</v>
      </c>
      <c r="D18" s="1771">
        <v>475</v>
      </c>
      <c r="E18" s="330">
        <f t="shared" si="2"/>
        <v>6490</v>
      </c>
    </row>
    <row r="19" spans="1:5">
      <c r="A19" s="654">
        <f t="shared" si="0"/>
        <v>17</v>
      </c>
      <c r="B19" t="s">
        <v>1207</v>
      </c>
      <c r="C19" s="186">
        <v>40015</v>
      </c>
      <c r="D19" s="1771">
        <v>24618</v>
      </c>
      <c r="E19" s="330">
        <f t="shared" si="2"/>
        <v>15397</v>
      </c>
    </row>
    <row r="20" spans="1:5">
      <c r="A20" s="654">
        <f t="shared" si="0"/>
        <v>18</v>
      </c>
      <c r="B20" t="s">
        <v>1389</v>
      </c>
      <c r="C20" s="186">
        <v>514060</v>
      </c>
      <c r="D20" s="1771">
        <v>51119</v>
      </c>
      <c r="E20" s="330">
        <f t="shared" si="2"/>
        <v>462941</v>
      </c>
    </row>
    <row r="21" spans="1:5">
      <c r="A21" s="654">
        <f t="shared" si="0"/>
        <v>19</v>
      </c>
      <c r="B21" t="s">
        <v>1208</v>
      </c>
      <c r="C21" s="186">
        <v>153083</v>
      </c>
      <c r="D21" s="1771">
        <v>19400</v>
      </c>
      <c r="E21" s="330">
        <f t="shared" si="2"/>
        <v>133683</v>
      </c>
    </row>
    <row r="22" spans="1:5">
      <c r="A22" s="654">
        <f t="shared" si="0"/>
        <v>20</v>
      </c>
      <c r="B22" t="s">
        <v>1209</v>
      </c>
      <c r="C22" s="186">
        <v>79169</v>
      </c>
      <c r="D22" s="1771">
        <v>58047</v>
      </c>
      <c r="E22" s="330">
        <f t="shared" si="2"/>
        <v>21122</v>
      </c>
    </row>
    <row r="23" spans="1:5">
      <c r="A23" s="654">
        <f t="shared" si="0"/>
        <v>21</v>
      </c>
      <c r="B23" t="s">
        <v>1210</v>
      </c>
      <c r="C23" s="186">
        <v>323434</v>
      </c>
      <c r="D23" s="1771">
        <v>141800</v>
      </c>
      <c r="E23" s="330">
        <f t="shared" si="2"/>
        <v>181634</v>
      </c>
    </row>
    <row r="24" spans="1:5">
      <c r="A24" s="654">
        <f t="shared" si="0"/>
        <v>22</v>
      </c>
      <c r="B24" t="s">
        <v>1211</v>
      </c>
      <c r="C24" s="186">
        <v>144100</v>
      </c>
      <c r="D24" s="1771">
        <v>72396</v>
      </c>
      <c r="E24" s="330">
        <f t="shared" si="2"/>
        <v>71704</v>
      </c>
    </row>
    <row r="25" spans="1:5">
      <c r="A25" s="654">
        <f t="shared" si="0"/>
        <v>23</v>
      </c>
      <c r="B25" t="s">
        <v>1212</v>
      </c>
      <c r="C25" s="186">
        <v>134338</v>
      </c>
      <c r="D25" s="1771">
        <v>66904</v>
      </c>
      <c r="E25" s="330">
        <f t="shared" si="2"/>
        <v>67434</v>
      </c>
    </row>
    <row r="26" spans="1:5">
      <c r="A26" s="654">
        <f t="shared" si="0"/>
        <v>24</v>
      </c>
      <c r="B26" t="s">
        <v>1215</v>
      </c>
      <c r="C26" s="186">
        <v>282042</v>
      </c>
      <c r="D26" s="1771">
        <v>162543</v>
      </c>
      <c r="E26" s="330">
        <f t="shared" si="2"/>
        <v>119499</v>
      </c>
    </row>
    <row r="27" spans="1:5">
      <c r="A27" s="654">
        <f t="shared" si="0"/>
        <v>25</v>
      </c>
      <c r="B27" t="s">
        <v>1216</v>
      </c>
      <c r="C27" s="186">
        <v>112021</v>
      </c>
      <c r="D27" s="1771">
        <v>66478</v>
      </c>
      <c r="E27" s="330">
        <f t="shared" si="2"/>
        <v>45543</v>
      </c>
    </row>
    <row r="28" spans="1:5">
      <c r="A28" s="654">
        <f t="shared" si="0"/>
        <v>26</v>
      </c>
      <c r="B28" t="s">
        <v>1217</v>
      </c>
      <c r="C28" s="186">
        <v>5413075</v>
      </c>
      <c r="D28" s="1771">
        <v>4277003</v>
      </c>
      <c r="E28" s="330">
        <f t="shared" si="2"/>
        <v>1136072</v>
      </c>
    </row>
    <row r="29" spans="1:5">
      <c r="A29" s="654">
        <f t="shared" si="0"/>
        <v>27</v>
      </c>
      <c r="B29" t="s">
        <v>1240</v>
      </c>
      <c r="C29" s="186">
        <v>5322666</v>
      </c>
      <c r="D29" s="1771">
        <v>3440371</v>
      </c>
      <c r="E29" s="330">
        <f t="shared" si="2"/>
        <v>1882295</v>
      </c>
    </row>
    <row r="30" spans="1:5">
      <c r="A30" s="654">
        <f t="shared" si="0"/>
        <v>28</v>
      </c>
      <c r="B30" t="s">
        <v>1218</v>
      </c>
      <c r="C30" s="186">
        <v>5035075</v>
      </c>
      <c r="D30" s="1771">
        <v>1044817</v>
      </c>
      <c r="E30" s="330">
        <f t="shared" si="2"/>
        <v>3990258</v>
      </c>
    </row>
    <row r="31" spans="1:5">
      <c r="A31" s="654">
        <f t="shared" si="0"/>
        <v>29</v>
      </c>
      <c r="B31" t="s">
        <v>1219</v>
      </c>
      <c r="C31" s="186">
        <v>1073713</v>
      </c>
      <c r="D31" s="1771">
        <v>685021</v>
      </c>
      <c r="E31" s="330">
        <f t="shared" si="2"/>
        <v>388692</v>
      </c>
    </row>
    <row r="32" spans="1:5">
      <c r="A32" s="654">
        <f t="shared" si="0"/>
        <v>30</v>
      </c>
      <c r="B32" t="s">
        <v>1220</v>
      </c>
      <c r="C32" s="186">
        <v>3537270</v>
      </c>
      <c r="D32" s="1771">
        <v>1138726</v>
      </c>
      <c r="E32" s="330">
        <f t="shared" si="2"/>
        <v>2398544</v>
      </c>
    </row>
    <row r="33" spans="1:5">
      <c r="A33" s="654">
        <f t="shared" si="0"/>
        <v>31</v>
      </c>
      <c r="B33" t="s">
        <v>1221</v>
      </c>
      <c r="C33" s="186">
        <v>1753024</v>
      </c>
      <c r="D33" s="1771">
        <v>446240</v>
      </c>
      <c r="E33" s="330">
        <f t="shared" si="2"/>
        <v>1306784</v>
      </c>
    </row>
    <row r="34" spans="1:5">
      <c r="A34" s="654">
        <f t="shared" si="0"/>
        <v>32</v>
      </c>
      <c r="B34" t="s">
        <v>1222</v>
      </c>
      <c r="C34" s="186">
        <v>411060</v>
      </c>
      <c r="D34" s="1771">
        <v>57388</v>
      </c>
      <c r="E34" s="330">
        <f t="shared" si="2"/>
        <v>353672</v>
      </c>
    </row>
    <row r="35" spans="1:5">
      <c r="A35" s="654">
        <f t="shared" si="0"/>
        <v>33</v>
      </c>
      <c r="B35" t="s">
        <v>1223</v>
      </c>
      <c r="C35" s="186">
        <v>8264266</v>
      </c>
      <c r="D35" s="1771">
        <v>1279105</v>
      </c>
      <c r="E35" s="330">
        <f t="shared" si="2"/>
        <v>6985161</v>
      </c>
    </row>
    <row r="36" spans="1:5">
      <c r="A36" s="654">
        <f t="shared" si="0"/>
        <v>34</v>
      </c>
      <c r="B36" t="s">
        <v>1224</v>
      </c>
      <c r="C36" s="186">
        <v>9149506</v>
      </c>
      <c r="D36" s="1771">
        <v>1756879</v>
      </c>
      <c r="E36" s="330">
        <f t="shared" si="2"/>
        <v>7392627</v>
      </c>
    </row>
    <row r="37" spans="1:5">
      <c r="A37" s="654">
        <f t="shared" si="0"/>
        <v>35</v>
      </c>
      <c r="B37" t="s">
        <v>1241</v>
      </c>
      <c r="C37" s="186">
        <v>827019</v>
      </c>
      <c r="D37" s="1771">
        <v>10505</v>
      </c>
      <c r="E37" s="330">
        <f t="shared" si="2"/>
        <v>816514</v>
      </c>
    </row>
    <row r="38" spans="1:5">
      <c r="A38" s="654">
        <f t="shared" si="0"/>
        <v>36</v>
      </c>
      <c r="B38" t="s">
        <v>1225</v>
      </c>
      <c r="C38" s="186">
        <v>2669744</v>
      </c>
      <c r="D38" s="1771">
        <v>348796</v>
      </c>
      <c r="E38" s="330">
        <f t="shared" si="2"/>
        <v>2320948</v>
      </c>
    </row>
    <row r="39" spans="1:5">
      <c r="A39" s="654">
        <f t="shared" si="0"/>
        <v>37</v>
      </c>
      <c r="B39" t="s">
        <v>1390</v>
      </c>
      <c r="C39" s="186">
        <v>18552110</v>
      </c>
      <c r="D39" s="1771">
        <v>1942657</v>
      </c>
      <c r="E39" s="330">
        <f t="shared" si="2"/>
        <v>16609453</v>
      </c>
    </row>
    <row r="40" spans="1:5">
      <c r="A40" s="654">
        <f t="shared" si="0"/>
        <v>38</v>
      </c>
      <c r="B40" t="s">
        <v>1226</v>
      </c>
      <c r="C40" s="186">
        <v>1782985</v>
      </c>
      <c r="D40" s="1771">
        <v>217650</v>
      </c>
      <c r="E40" s="330">
        <f t="shared" si="2"/>
        <v>1565335</v>
      </c>
    </row>
    <row r="41" spans="1:5">
      <c r="A41" s="654">
        <f t="shared" si="0"/>
        <v>39</v>
      </c>
      <c r="B41" t="s">
        <v>1227</v>
      </c>
      <c r="C41" s="186">
        <v>17780</v>
      </c>
      <c r="D41" s="1771">
        <v>6361</v>
      </c>
      <c r="E41" s="330">
        <f t="shared" si="2"/>
        <v>11419</v>
      </c>
    </row>
    <row r="42" spans="1:5">
      <c r="A42" s="654">
        <f t="shared" si="0"/>
        <v>40</v>
      </c>
      <c r="B42" t="s">
        <v>1228</v>
      </c>
      <c r="C42" s="186">
        <v>179764</v>
      </c>
      <c r="D42" s="1771">
        <v>15824</v>
      </c>
      <c r="E42" s="330">
        <f t="shared" si="2"/>
        <v>163940</v>
      </c>
    </row>
    <row r="43" spans="1:5">
      <c r="A43" s="654">
        <f t="shared" si="0"/>
        <v>41</v>
      </c>
      <c r="B43" t="s">
        <v>1229</v>
      </c>
      <c r="C43" s="186">
        <v>126549</v>
      </c>
      <c r="D43" s="1771">
        <v>20859</v>
      </c>
      <c r="E43" s="330">
        <f t="shared" si="2"/>
        <v>105690</v>
      </c>
    </row>
    <row r="44" spans="1:5">
      <c r="A44" s="654">
        <f t="shared" si="0"/>
        <v>42</v>
      </c>
      <c r="B44" t="s">
        <v>1242</v>
      </c>
      <c r="C44" s="186">
        <v>4040687</v>
      </c>
      <c r="D44" s="1771">
        <v>105702</v>
      </c>
      <c r="E44" s="330">
        <f t="shared" si="2"/>
        <v>3934985</v>
      </c>
    </row>
    <row r="45" spans="1:5">
      <c r="A45" s="654">
        <f t="shared" si="0"/>
        <v>43</v>
      </c>
      <c r="B45" t="s">
        <v>1243</v>
      </c>
      <c r="C45" s="186">
        <v>4698100</v>
      </c>
      <c r="D45" s="1771">
        <v>177267</v>
      </c>
      <c r="E45" s="330">
        <f t="shared" si="2"/>
        <v>4520833</v>
      </c>
    </row>
    <row r="46" spans="1:5">
      <c r="A46" s="654">
        <f t="shared" si="0"/>
        <v>44</v>
      </c>
      <c r="B46" t="s">
        <v>1230</v>
      </c>
      <c r="C46" s="186">
        <v>208637</v>
      </c>
      <c r="D46" s="1771">
        <v>-69658</v>
      </c>
      <c r="E46" s="330">
        <f t="shared" si="2"/>
        <v>278295</v>
      </c>
    </row>
    <row r="47" spans="1:5">
      <c r="A47" s="654">
        <f t="shared" si="0"/>
        <v>45</v>
      </c>
      <c r="B47" t="s">
        <v>1231</v>
      </c>
      <c r="C47" s="186">
        <v>265522</v>
      </c>
      <c r="D47" s="1771">
        <v>141861</v>
      </c>
      <c r="E47" s="330">
        <f t="shared" si="2"/>
        <v>123661</v>
      </c>
    </row>
    <row r="48" spans="1:5">
      <c r="A48" s="654">
        <f t="shared" si="0"/>
        <v>46</v>
      </c>
      <c r="B48" t="s">
        <v>1232</v>
      </c>
      <c r="C48" s="186">
        <v>25891</v>
      </c>
      <c r="D48" s="1771">
        <v>9308</v>
      </c>
      <c r="E48" s="330">
        <f t="shared" si="2"/>
        <v>16583</v>
      </c>
    </row>
    <row r="49" spans="1:5">
      <c r="A49" s="654">
        <f t="shared" si="0"/>
        <v>47</v>
      </c>
      <c r="B49" t="s">
        <v>1391</v>
      </c>
      <c r="C49" s="186">
        <v>2008227</v>
      </c>
      <c r="D49" s="1771">
        <v>47683</v>
      </c>
      <c r="E49" s="330">
        <f t="shared" si="2"/>
        <v>1960544</v>
      </c>
    </row>
    <row r="50" spans="1:5">
      <c r="A50" s="654">
        <f t="shared" si="0"/>
        <v>48</v>
      </c>
      <c r="B50" t="s">
        <v>1233</v>
      </c>
      <c r="C50" s="186">
        <v>3525000</v>
      </c>
      <c r="D50" s="1771">
        <v>3009695</v>
      </c>
      <c r="E50" s="330">
        <f t="shared" si="2"/>
        <v>515305</v>
      </c>
    </row>
    <row r="51" spans="1:5">
      <c r="A51" s="654">
        <f t="shared" si="0"/>
        <v>49</v>
      </c>
      <c r="B51" t="s">
        <v>1234</v>
      </c>
      <c r="C51" s="186">
        <v>136831</v>
      </c>
      <c r="D51" s="1771">
        <v>57300</v>
      </c>
      <c r="E51" s="330">
        <f t="shared" si="2"/>
        <v>79531</v>
      </c>
    </row>
    <row r="52" spans="1:5">
      <c r="A52" s="654">
        <f t="shared" si="0"/>
        <v>50</v>
      </c>
      <c r="B52" t="s">
        <v>1235</v>
      </c>
      <c r="C52" s="186">
        <v>13113</v>
      </c>
      <c r="D52" s="1771">
        <v>6273</v>
      </c>
      <c r="E52" s="330">
        <f t="shared" si="2"/>
        <v>6840</v>
      </c>
    </row>
    <row r="53" spans="1:5">
      <c r="A53" s="654">
        <f t="shared" si="0"/>
        <v>51</v>
      </c>
      <c r="B53" t="s">
        <v>0</v>
      </c>
      <c r="C53" s="186">
        <v>2705503</v>
      </c>
      <c r="D53" s="1771">
        <v>361436</v>
      </c>
      <c r="E53" s="330">
        <f t="shared" si="2"/>
        <v>2344067</v>
      </c>
    </row>
    <row r="54" spans="1:5">
      <c r="A54" s="654">
        <f t="shared" si="0"/>
        <v>52</v>
      </c>
      <c r="B54" t="s">
        <v>1</v>
      </c>
      <c r="C54" s="186">
        <v>2883861</v>
      </c>
      <c r="D54" s="1771">
        <v>228647</v>
      </c>
      <c r="E54" s="330">
        <f t="shared" si="2"/>
        <v>2655214</v>
      </c>
    </row>
    <row r="55" spans="1:5">
      <c r="A55" s="654">
        <f t="shared" si="0"/>
        <v>53</v>
      </c>
      <c r="B55" t="s">
        <v>2</v>
      </c>
      <c r="C55" s="186">
        <v>2128003</v>
      </c>
      <c r="D55" s="1771">
        <v>1381010</v>
      </c>
      <c r="E55" s="330">
        <f t="shared" si="2"/>
        <v>746993</v>
      </c>
    </row>
    <row r="56" spans="1:5">
      <c r="A56" s="654">
        <f t="shared" si="0"/>
        <v>54</v>
      </c>
      <c r="B56" t="s">
        <v>3</v>
      </c>
      <c r="C56" s="186">
        <v>10814697</v>
      </c>
      <c r="D56" s="1771">
        <v>1829154</v>
      </c>
      <c r="E56" s="330">
        <f t="shared" si="2"/>
        <v>8985543</v>
      </c>
    </row>
    <row r="57" spans="1:5">
      <c r="A57" s="654">
        <f t="shared" si="0"/>
        <v>55</v>
      </c>
      <c r="B57" t="s">
        <v>4</v>
      </c>
      <c r="C57" s="186">
        <v>9687864</v>
      </c>
      <c r="D57" s="1771">
        <v>1513010</v>
      </c>
      <c r="E57" s="330">
        <f t="shared" si="2"/>
        <v>8174854</v>
      </c>
    </row>
    <row r="58" spans="1:5">
      <c r="A58" s="654">
        <f t="shared" si="0"/>
        <v>56</v>
      </c>
      <c r="B58" t="s">
        <v>5</v>
      </c>
      <c r="C58" s="186">
        <v>8292075</v>
      </c>
      <c r="D58" s="1771">
        <v>639832</v>
      </c>
      <c r="E58" s="330">
        <f t="shared" si="2"/>
        <v>7652243</v>
      </c>
    </row>
    <row r="59" spans="1:5">
      <c r="A59" s="654">
        <f t="shared" si="0"/>
        <v>57</v>
      </c>
      <c r="B59" t="s">
        <v>6</v>
      </c>
      <c r="C59" s="186">
        <v>151581</v>
      </c>
      <c r="D59" s="1771">
        <v>25131</v>
      </c>
      <c r="E59" s="330">
        <f t="shared" si="2"/>
        <v>126450</v>
      </c>
    </row>
    <row r="60" spans="1:5">
      <c r="A60" s="654">
        <f t="shared" si="0"/>
        <v>58</v>
      </c>
      <c r="B60" t="s">
        <v>7</v>
      </c>
      <c r="C60" s="186">
        <v>158947</v>
      </c>
      <c r="D60" s="1771">
        <v>24342</v>
      </c>
      <c r="E60" s="330">
        <f t="shared" si="2"/>
        <v>134605</v>
      </c>
    </row>
    <row r="61" spans="1:5">
      <c r="A61" s="654">
        <f t="shared" si="0"/>
        <v>59</v>
      </c>
      <c r="B61" t="s">
        <v>1244</v>
      </c>
      <c r="C61" s="186">
        <v>44555</v>
      </c>
      <c r="D61" s="1771">
        <v>28992</v>
      </c>
      <c r="E61" s="330">
        <f t="shared" si="2"/>
        <v>15563</v>
      </c>
    </row>
    <row r="62" spans="1:5">
      <c r="A62" s="654">
        <f t="shared" si="0"/>
        <v>60</v>
      </c>
      <c r="B62" t="s">
        <v>1392</v>
      </c>
      <c r="C62" s="186">
        <v>249347</v>
      </c>
      <c r="D62" s="1771">
        <v>29111</v>
      </c>
      <c r="E62" s="330">
        <f t="shared" si="2"/>
        <v>220236</v>
      </c>
    </row>
    <row r="63" spans="1:5">
      <c r="A63" s="654">
        <f t="shared" si="0"/>
        <v>61</v>
      </c>
      <c r="B63" t="s">
        <v>12</v>
      </c>
      <c r="C63" s="186">
        <v>29942</v>
      </c>
      <c r="D63" s="1771">
        <v>15459</v>
      </c>
      <c r="E63" s="330">
        <f t="shared" si="2"/>
        <v>14483</v>
      </c>
    </row>
    <row r="64" spans="1:5">
      <c r="A64" s="654">
        <f t="shared" si="0"/>
        <v>62</v>
      </c>
      <c r="B64" t="s">
        <v>13</v>
      </c>
      <c r="C64" s="186">
        <v>1548414</v>
      </c>
      <c r="D64" s="1771">
        <v>329751</v>
      </c>
      <c r="E64" s="330">
        <f t="shared" si="2"/>
        <v>1218663</v>
      </c>
    </row>
    <row r="65" spans="1:5">
      <c r="A65" s="654">
        <f t="shared" si="0"/>
        <v>63</v>
      </c>
      <c r="B65" t="s">
        <v>14</v>
      </c>
      <c r="C65" s="186">
        <v>11360</v>
      </c>
      <c r="D65" s="1771">
        <v>10019</v>
      </c>
      <c r="E65" s="330">
        <f t="shared" si="2"/>
        <v>1341</v>
      </c>
    </row>
    <row r="66" spans="1:5">
      <c r="A66" s="654">
        <f t="shared" si="0"/>
        <v>64</v>
      </c>
      <c r="B66" t="s">
        <v>15</v>
      </c>
      <c r="C66" s="186">
        <v>955903</v>
      </c>
      <c r="D66" s="1771">
        <v>148219</v>
      </c>
      <c r="E66" s="330">
        <f t="shared" si="2"/>
        <v>807684</v>
      </c>
    </row>
    <row r="67" spans="1:5">
      <c r="A67" s="654">
        <f t="shared" si="0"/>
        <v>65</v>
      </c>
      <c r="B67" t="s">
        <v>16</v>
      </c>
      <c r="C67" s="186">
        <v>19272</v>
      </c>
      <c r="D67" s="1771">
        <v>7294</v>
      </c>
      <c r="E67" s="330">
        <f t="shared" si="2"/>
        <v>11978</v>
      </c>
    </row>
    <row r="68" spans="1:5">
      <c r="A68" s="654">
        <f t="shared" si="0"/>
        <v>66</v>
      </c>
      <c r="B68" t="s">
        <v>17</v>
      </c>
      <c r="C68" s="186">
        <v>236</v>
      </c>
      <c r="D68" s="1771">
        <v>185</v>
      </c>
      <c r="E68" s="330">
        <f t="shared" si="2"/>
        <v>51</v>
      </c>
    </row>
    <row r="69" spans="1:5">
      <c r="A69" s="654">
        <f t="shared" si="0"/>
        <v>67</v>
      </c>
      <c r="B69" t="s">
        <v>18</v>
      </c>
      <c r="C69" s="186">
        <v>129052</v>
      </c>
      <c r="D69" s="1771">
        <v>60885</v>
      </c>
      <c r="E69" s="330">
        <f t="shared" si="2"/>
        <v>68167</v>
      </c>
    </row>
    <row r="70" spans="1:5">
      <c r="A70" s="654">
        <f t="shared" si="0"/>
        <v>68</v>
      </c>
      <c r="B70" t="s">
        <v>19</v>
      </c>
      <c r="C70" s="186">
        <v>62500</v>
      </c>
      <c r="D70" s="1771">
        <v>55523</v>
      </c>
      <c r="E70" s="330">
        <f t="shared" si="2"/>
        <v>6977</v>
      </c>
    </row>
    <row r="71" spans="1:5">
      <c r="A71" s="654">
        <f t="shared" si="0"/>
        <v>69</v>
      </c>
      <c r="B71" t="s">
        <v>20</v>
      </c>
      <c r="C71" s="186">
        <v>151700</v>
      </c>
      <c r="D71" s="1771">
        <v>111033</v>
      </c>
      <c r="E71" s="330">
        <f t="shared" si="2"/>
        <v>40667</v>
      </c>
    </row>
    <row r="72" spans="1:5">
      <c r="A72" s="654">
        <f t="shared" si="0"/>
        <v>70</v>
      </c>
      <c r="B72" t="s">
        <v>21</v>
      </c>
      <c r="C72" s="186">
        <v>1155970</v>
      </c>
      <c r="D72" s="1771">
        <v>219959</v>
      </c>
      <c r="E72" s="330">
        <f t="shared" si="2"/>
        <v>936011</v>
      </c>
    </row>
    <row r="73" spans="1:5">
      <c r="A73" s="654">
        <f t="shared" si="0"/>
        <v>71</v>
      </c>
      <c r="B73" t="s">
        <v>1393</v>
      </c>
      <c r="C73" s="186">
        <v>235117</v>
      </c>
      <c r="D73" s="1771">
        <v>26479</v>
      </c>
      <c r="E73" s="330">
        <f t="shared" si="2"/>
        <v>208638</v>
      </c>
    </row>
    <row r="74" spans="1:5">
      <c r="A74" s="654">
        <f t="shared" si="0"/>
        <v>72</v>
      </c>
      <c r="B74" t="s">
        <v>24</v>
      </c>
      <c r="C74" s="186">
        <v>36103</v>
      </c>
      <c r="D74" s="1771">
        <v>23492</v>
      </c>
      <c r="E74" s="330">
        <f t="shared" si="2"/>
        <v>12611</v>
      </c>
    </row>
    <row r="75" spans="1:5">
      <c r="A75" s="654">
        <f t="shared" si="0"/>
        <v>73</v>
      </c>
      <c r="B75" t="s">
        <v>25</v>
      </c>
      <c r="C75" s="186">
        <v>1664799</v>
      </c>
      <c r="D75" s="1771">
        <v>431446</v>
      </c>
      <c r="E75" s="330">
        <f t="shared" ref="E75:E87" si="3">C75-D75</f>
        <v>1233353</v>
      </c>
    </row>
    <row r="76" spans="1:5">
      <c r="A76" s="654">
        <f t="shared" si="0"/>
        <v>74</v>
      </c>
      <c r="B76" t="s">
        <v>26</v>
      </c>
      <c r="C76" s="186">
        <v>3337</v>
      </c>
      <c r="D76" s="1771">
        <v>4085</v>
      </c>
      <c r="E76" s="330">
        <f t="shared" si="3"/>
        <v>-748</v>
      </c>
    </row>
    <row r="77" spans="1:5">
      <c r="A77" s="654">
        <f t="shared" si="0"/>
        <v>75</v>
      </c>
      <c r="B77" t="s">
        <v>27</v>
      </c>
      <c r="C77" s="186">
        <v>251569</v>
      </c>
      <c r="D77" s="1771">
        <v>43019</v>
      </c>
      <c r="E77" s="330">
        <f t="shared" si="3"/>
        <v>208550</v>
      </c>
    </row>
    <row r="78" spans="1:5">
      <c r="A78" s="654">
        <f t="shared" si="0"/>
        <v>76</v>
      </c>
      <c r="B78" t="s">
        <v>28</v>
      </c>
      <c r="C78" s="186">
        <v>9387</v>
      </c>
      <c r="D78" s="1771">
        <v>4354</v>
      </c>
      <c r="E78" s="330">
        <f t="shared" si="3"/>
        <v>5033</v>
      </c>
    </row>
    <row r="79" spans="1:5">
      <c r="A79" s="654">
        <f t="shared" si="0"/>
        <v>77</v>
      </c>
      <c r="B79" t="s">
        <v>29</v>
      </c>
      <c r="C79" s="186">
        <v>2551</v>
      </c>
      <c r="D79" s="1771">
        <v>2820</v>
      </c>
      <c r="E79" s="330">
        <f t="shared" si="3"/>
        <v>-269</v>
      </c>
    </row>
    <row r="80" spans="1:5">
      <c r="A80" s="654">
        <f t="shared" si="0"/>
        <v>78</v>
      </c>
      <c r="B80" t="s">
        <v>30</v>
      </c>
      <c r="C80" s="186">
        <v>60011</v>
      </c>
      <c r="D80" s="1771">
        <v>52143</v>
      </c>
      <c r="E80" s="330">
        <f t="shared" si="3"/>
        <v>7868</v>
      </c>
    </row>
    <row r="81" spans="1:5">
      <c r="A81" s="654">
        <f t="shared" si="0"/>
        <v>79</v>
      </c>
      <c r="B81" t="s">
        <v>31</v>
      </c>
      <c r="C81" s="186">
        <v>62500</v>
      </c>
      <c r="D81" s="1771">
        <v>54896</v>
      </c>
      <c r="E81" s="330">
        <f t="shared" si="3"/>
        <v>7604</v>
      </c>
    </row>
    <row r="82" spans="1:5">
      <c r="A82" s="654">
        <f t="shared" si="0"/>
        <v>80</v>
      </c>
      <c r="B82" t="s">
        <v>32</v>
      </c>
      <c r="C82" s="186">
        <v>59157</v>
      </c>
      <c r="D82" s="1771">
        <v>42960</v>
      </c>
      <c r="E82" s="330">
        <f t="shared" si="3"/>
        <v>16197</v>
      </c>
    </row>
    <row r="83" spans="1:5">
      <c r="A83" s="654">
        <f t="shared" si="0"/>
        <v>81</v>
      </c>
      <c r="B83" t="s">
        <v>33</v>
      </c>
      <c r="C83" s="186">
        <v>377729</v>
      </c>
      <c r="D83" s="1771">
        <v>62862</v>
      </c>
      <c r="E83" s="330">
        <f t="shared" si="3"/>
        <v>314867</v>
      </c>
    </row>
    <row r="84" spans="1:5">
      <c r="A84" s="654">
        <f t="shared" si="0"/>
        <v>82</v>
      </c>
      <c r="B84" t="s">
        <v>1394</v>
      </c>
      <c r="C84" s="186">
        <v>4837877</v>
      </c>
      <c r="D84" s="1771">
        <v>491318</v>
      </c>
      <c r="E84" s="330">
        <f t="shared" si="3"/>
        <v>4346559</v>
      </c>
    </row>
    <row r="85" spans="1:5">
      <c r="A85" s="654">
        <f t="shared" si="0"/>
        <v>83</v>
      </c>
      <c r="B85" t="s">
        <v>34</v>
      </c>
      <c r="C85" s="186">
        <v>3475101</v>
      </c>
      <c r="D85" s="1771">
        <v>884506</v>
      </c>
      <c r="E85" s="330">
        <f t="shared" si="3"/>
        <v>2590595</v>
      </c>
    </row>
    <row r="86" spans="1:5">
      <c r="A86" s="654">
        <f t="shared" si="0"/>
        <v>84</v>
      </c>
      <c r="B86" t="s">
        <v>1395</v>
      </c>
      <c r="C86" s="186">
        <v>17631827</v>
      </c>
      <c r="D86" s="1771">
        <v>1808856</v>
      </c>
      <c r="E86" s="330">
        <f t="shared" si="3"/>
        <v>15822971</v>
      </c>
    </row>
    <row r="87" spans="1:5">
      <c r="A87" s="654">
        <f t="shared" ref="A87" si="4">+A86+1</f>
        <v>85</v>
      </c>
      <c r="B87" t="s">
        <v>35</v>
      </c>
      <c r="C87" s="186">
        <v>8021</v>
      </c>
      <c r="D87" s="1771">
        <v>2752</v>
      </c>
      <c r="E87" s="330">
        <f t="shared" si="3"/>
        <v>5269</v>
      </c>
    </row>
    <row r="88" spans="1:5">
      <c r="B88" s="1769"/>
      <c r="C88" s="1770"/>
      <c r="D88" s="1771"/>
      <c r="E88" s="330">
        <f t="shared" ref="E88" si="5">C88-D88</f>
        <v>0</v>
      </c>
    </row>
    <row r="89" spans="1:5">
      <c r="C89" s="658">
        <f>SUM(C14:C88)</f>
        <v>150886417</v>
      </c>
      <c r="D89" s="658">
        <f>SUM(D14:D88)</f>
        <v>31821003</v>
      </c>
      <c r="E89" s="658">
        <f>SUM(E14:E88)</f>
        <v>119065414</v>
      </c>
    </row>
    <row r="91" spans="1:5">
      <c r="C91" s="658">
        <f>+C89+C12</f>
        <v>156385956</v>
      </c>
      <c r="D91" s="659">
        <f>+D89+D12</f>
        <v>35915750</v>
      </c>
      <c r="E91" s="659">
        <f>+E89+E12</f>
        <v>120470206</v>
      </c>
    </row>
    <row r="95" spans="1:5">
      <c r="B95" s="186"/>
    </row>
    <row r="96" spans="1:5">
      <c r="B96" s="186"/>
      <c r="C96" s="655">
        <v>108834</v>
      </c>
      <c r="D96" s="656">
        <v>26361</v>
      </c>
      <c r="E96" s="656">
        <v>82473</v>
      </c>
    </row>
    <row r="97" spans="2:2">
      <c r="B97" s="186"/>
    </row>
    <row r="98" spans="2:2">
      <c r="B98" s="186"/>
    </row>
    <row r="99" spans="2:2">
      <c r="B99" s="186"/>
    </row>
    <row r="100" spans="2:2">
      <c r="B100" s="186"/>
    </row>
    <row r="101" spans="2:2">
      <c r="B101" s="186"/>
    </row>
    <row r="102" spans="2:2">
      <c r="B102" s="186"/>
    </row>
    <row r="103" spans="2:2">
      <c r="B103" s="186"/>
    </row>
    <row r="104" spans="2:2">
      <c r="B104" s="186"/>
    </row>
    <row r="105" spans="2:2">
      <c r="B105" s="186"/>
    </row>
    <row r="106" spans="2:2">
      <c r="B106" s="186"/>
    </row>
    <row r="107" spans="2:2">
      <c r="B107" s="186"/>
    </row>
    <row r="108" spans="2:2">
      <c r="B108" s="186"/>
    </row>
    <row r="109" spans="2:2">
      <c r="B109" s="186"/>
    </row>
    <row r="110" spans="2:2">
      <c r="B110" s="186"/>
    </row>
    <row r="111" spans="2:2">
      <c r="B111" s="186"/>
    </row>
    <row r="112" spans="2:2">
      <c r="B112" s="186"/>
    </row>
    <row r="113" spans="2:2">
      <c r="B113" s="186"/>
    </row>
    <row r="114" spans="2:2">
      <c r="B114" s="186"/>
    </row>
    <row r="115" spans="2:2">
      <c r="B115" s="186"/>
    </row>
    <row r="116" spans="2:2">
      <c r="B116" s="186"/>
    </row>
    <row r="117" spans="2:2">
      <c r="B117" s="186"/>
    </row>
    <row r="118" spans="2:2">
      <c r="B118" s="186"/>
    </row>
    <row r="119" spans="2:2">
      <c r="B119" s="186"/>
    </row>
    <row r="120" spans="2:2">
      <c r="B120" s="186"/>
    </row>
    <row r="121" spans="2:2">
      <c r="B121" s="186"/>
    </row>
    <row r="122" spans="2:2">
      <c r="B122" s="186"/>
    </row>
    <row r="123" spans="2:2">
      <c r="B123" s="186"/>
    </row>
    <row r="124" spans="2:2">
      <c r="B124" s="186"/>
    </row>
    <row r="125" spans="2:2">
      <c r="B125" s="186"/>
    </row>
    <row r="126" spans="2:2">
      <c r="B126" s="186"/>
    </row>
    <row r="127" spans="2:2">
      <c r="B127" s="186"/>
    </row>
    <row r="128" spans="2:2">
      <c r="B128" s="186"/>
    </row>
    <row r="129" spans="2:2">
      <c r="B129" s="186"/>
    </row>
    <row r="130" spans="2:2">
      <c r="B130" s="186"/>
    </row>
    <row r="131" spans="2:2">
      <c r="B131" s="186"/>
    </row>
    <row r="132" spans="2:2">
      <c r="B132" s="186"/>
    </row>
    <row r="133" spans="2:2">
      <c r="B133" s="186"/>
    </row>
    <row r="134" spans="2:2">
      <c r="B134" s="186"/>
    </row>
    <row r="135" spans="2:2">
      <c r="B135" s="186"/>
    </row>
    <row r="136" spans="2:2">
      <c r="B136" s="186"/>
    </row>
    <row r="137" spans="2:2">
      <c r="B137" s="186"/>
    </row>
    <row r="138" spans="2:2">
      <c r="B138" s="186"/>
    </row>
    <row r="139" spans="2:2">
      <c r="B139" s="186"/>
    </row>
    <row r="140" spans="2:2">
      <c r="B140" s="186"/>
    </row>
    <row r="141" spans="2:2">
      <c r="B141" s="186"/>
    </row>
    <row r="142" spans="2:2">
      <c r="B142" s="186"/>
    </row>
    <row r="143" spans="2:2">
      <c r="B143" s="186"/>
    </row>
    <row r="144" spans="2:2">
      <c r="B144" s="186"/>
    </row>
    <row r="145" spans="2:2">
      <c r="B145" s="186"/>
    </row>
    <row r="146" spans="2:2">
      <c r="B146" s="186"/>
    </row>
    <row r="147" spans="2:2">
      <c r="B147" s="186"/>
    </row>
    <row r="148" spans="2:2">
      <c r="B148" s="186"/>
    </row>
    <row r="149" spans="2:2">
      <c r="B149" s="186"/>
    </row>
    <row r="150" spans="2:2">
      <c r="B150" s="186"/>
    </row>
    <row r="151" spans="2:2">
      <c r="B151" s="186"/>
    </row>
    <row r="152" spans="2:2">
      <c r="B152" s="186"/>
    </row>
    <row r="153" spans="2:2">
      <c r="B153" s="186"/>
    </row>
    <row r="154" spans="2:2">
      <c r="B154" s="186"/>
    </row>
    <row r="155" spans="2:2">
      <c r="B155" s="186"/>
    </row>
    <row r="156" spans="2:2">
      <c r="B156" s="186"/>
    </row>
    <row r="157" spans="2:2">
      <c r="B157" s="186"/>
    </row>
    <row r="158" spans="2:2">
      <c r="B158" s="186"/>
    </row>
    <row r="159" spans="2:2">
      <c r="B159" s="186"/>
    </row>
    <row r="160" spans="2:2">
      <c r="B160" s="186"/>
    </row>
    <row r="161" spans="2:2">
      <c r="B161" s="186"/>
    </row>
    <row r="162" spans="2:2">
      <c r="B162" s="186"/>
    </row>
    <row r="163" spans="2:2">
      <c r="B163" s="186"/>
    </row>
    <row r="164" spans="2:2">
      <c r="B164" s="186"/>
    </row>
    <row r="165" spans="2:2">
      <c r="B165" s="186"/>
    </row>
    <row r="166" spans="2:2">
      <c r="B166" s="186"/>
    </row>
    <row r="167" spans="2:2">
      <c r="B167" s="186"/>
    </row>
    <row r="168" spans="2:2">
      <c r="B168" s="186"/>
    </row>
  </sheetData>
  <phoneticPr fontId="77" type="noConversion"/>
  <pageMargins left="0.75" right="0.75" top="0.17" bottom="0.16" header="0.5" footer="0.21"/>
  <pageSetup scale="6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
  <sheetViews>
    <sheetView zoomScaleNormal="100" workbookViewId="0">
      <selection activeCell="L19" sqref="L19"/>
    </sheetView>
  </sheetViews>
  <sheetFormatPr defaultRowHeight="12.75"/>
  <cols>
    <col min="1" max="1" width="7.5703125" customWidth="1"/>
    <col min="2" max="2" width="20.28515625" customWidth="1"/>
    <col min="3" max="3" width="16.85546875" customWidth="1"/>
    <col min="4" max="5" width="9.42578125" bestFit="1" customWidth="1"/>
    <col min="6" max="6" width="11.85546875" bestFit="1" customWidth="1"/>
    <col min="7" max="7" width="10.42578125" bestFit="1" customWidth="1"/>
    <col min="8" max="8" width="15.42578125" customWidth="1"/>
    <col min="9" max="9" width="10.42578125" bestFit="1" customWidth="1"/>
    <col min="10" max="10" width="15" customWidth="1"/>
    <col min="11" max="11" width="9.42578125" bestFit="1" customWidth="1"/>
    <col min="12" max="12" width="15.42578125" bestFit="1" customWidth="1"/>
    <col min="13" max="13" width="12.28515625" customWidth="1"/>
    <col min="14" max="14" width="12" customWidth="1"/>
    <col min="15" max="15" width="11.85546875" bestFit="1" customWidth="1"/>
    <col min="16" max="16" width="9.85546875" bestFit="1" customWidth="1"/>
    <col min="17" max="17" width="11.5703125" customWidth="1"/>
    <col min="18" max="18" width="10.42578125" bestFit="1" customWidth="1"/>
    <col min="19" max="19" width="12.140625" customWidth="1"/>
    <col min="21" max="21" width="18.28515625" customWidth="1"/>
    <col min="22" max="22" width="14.85546875" customWidth="1"/>
  </cols>
  <sheetData>
    <row r="1" spans="1:26" ht="15.75">
      <c r="A1" s="1" t="s">
        <v>696</v>
      </c>
    </row>
    <row r="4" spans="1:26">
      <c r="A4" s="805" t="s">
        <v>114</v>
      </c>
      <c r="U4" s="829"/>
      <c r="V4" s="97"/>
      <c r="W4" s="97"/>
      <c r="X4" s="97"/>
      <c r="Y4" s="97"/>
      <c r="Z4" s="97"/>
    </row>
    <row r="5" spans="1:26">
      <c r="A5" s="805" t="s">
        <v>1187</v>
      </c>
      <c r="E5" s="2"/>
      <c r="F5" s="2"/>
      <c r="G5" s="2"/>
      <c r="H5" s="806"/>
      <c r="I5" s="2"/>
      <c r="N5" s="2"/>
      <c r="O5" s="2"/>
      <c r="P5" s="2"/>
      <c r="Q5" s="806"/>
      <c r="R5" s="2"/>
      <c r="U5" s="97"/>
      <c r="V5" s="97"/>
      <c r="W5" s="97"/>
      <c r="X5" s="97"/>
      <c r="Y5" s="97"/>
      <c r="Z5" s="97"/>
    </row>
    <row r="6" spans="1:26">
      <c r="A6" s="805" t="s">
        <v>77</v>
      </c>
      <c r="E6" s="2"/>
      <c r="F6" s="2"/>
      <c r="G6" s="2"/>
      <c r="H6" s="2"/>
      <c r="I6" s="2"/>
      <c r="N6" s="2"/>
      <c r="O6" s="2"/>
      <c r="P6" s="2"/>
      <c r="Q6" s="2"/>
      <c r="R6" s="2"/>
      <c r="U6" s="97"/>
      <c r="V6" s="97"/>
      <c r="W6" s="97"/>
      <c r="X6" s="97"/>
      <c r="Y6" s="97"/>
      <c r="Z6" s="97"/>
    </row>
    <row r="7" spans="1:26" ht="63.75">
      <c r="A7" s="807" t="s">
        <v>162</v>
      </c>
      <c r="B7" s="130" t="s">
        <v>1191</v>
      </c>
      <c r="C7" s="808" t="s">
        <v>1190</v>
      </c>
      <c r="D7" s="808" t="s">
        <v>1192</v>
      </c>
      <c r="E7" s="808" t="s">
        <v>1193</v>
      </c>
      <c r="F7" s="808" t="s">
        <v>1194</v>
      </c>
      <c r="G7" s="808" t="s">
        <v>1195</v>
      </c>
      <c r="H7" s="808" t="s">
        <v>1196</v>
      </c>
      <c r="I7" s="809" t="s">
        <v>1197</v>
      </c>
      <c r="J7" s="809" t="s">
        <v>1198</v>
      </c>
      <c r="K7" s="809" t="s">
        <v>67</v>
      </c>
      <c r="L7" s="826"/>
      <c r="M7" s="826"/>
      <c r="N7" s="826"/>
      <c r="O7" s="826"/>
    </row>
    <row r="8" spans="1:26">
      <c r="A8" s="130"/>
      <c r="B8" s="130"/>
      <c r="C8" s="130"/>
      <c r="D8" s="130"/>
      <c r="E8" s="130"/>
      <c r="F8" s="130"/>
      <c r="G8" s="130"/>
      <c r="H8" s="130"/>
      <c r="I8" s="810"/>
      <c r="J8" s="822"/>
      <c r="K8" s="822"/>
      <c r="L8" s="97"/>
      <c r="M8" s="97"/>
      <c r="N8" s="97"/>
      <c r="O8" s="97"/>
    </row>
    <row r="9" spans="1:26">
      <c r="A9" s="130">
        <v>1</v>
      </c>
      <c r="B9" s="130" t="s">
        <v>570</v>
      </c>
      <c r="C9" s="811">
        <f>SUM(F9:I9)</f>
        <v>5119</v>
      </c>
      <c r="D9" s="1778">
        <v>6</v>
      </c>
      <c r="E9" s="1779">
        <v>800</v>
      </c>
      <c r="F9" s="1777">
        <v>3787</v>
      </c>
      <c r="G9" s="1777">
        <v>346</v>
      </c>
      <c r="H9" s="1777">
        <v>967</v>
      </c>
      <c r="I9" s="1777">
        <v>19</v>
      </c>
      <c r="J9" s="1777">
        <v>519</v>
      </c>
      <c r="K9" s="1777">
        <v>0</v>
      </c>
      <c r="L9" s="97"/>
      <c r="M9" s="97"/>
      <c r="N9" s="97"/>
      <c r="O9" s="97"/>
    </row>
    <row r="10" spans="1:26">
      <c r="A10" s="130">
        <v>2</v>
      </c>
      <c r="B10" s="130" t="s">
        <v>571</v>
      </c>
      <c r="C10" s="811">
        <f>SUM(F10:I10)</f>
        <v>5752</v>
      </c>
      <c r="D10" s="1778">
        <v>6</v>
      </c>
      <c r="E10" s="1779">
        <v>800</v>
      </c>
      <c r="F10" s="1777">
        <v>4382</v>
      </c>
      <c r="G10" s="1777">
        <v>385</v>
      </c>
      <c r="H10" s="1777">
        <v>967</v>
      </c>
      <c r="I10" s="1777">
        <v>18</v>
      </c>
      <c r="J10" s="1777">
        <v>3983</v>
      </c>
      <c r="K10" s="1777">
        <v>0</v>
      </c>
      <c r="L10" s="97"/>
      <c r="M10" s="97"/>
      <c r="N10" s="97"/>
      <c r="O10" s="97"/>
    </row>
    <row r="11" spans="1:26">
      <c r="A11" s="130">
        <v>3</v>
      </c>
      <c r="B11" s="130" t="s">
        <v>572</v>
      </c>
      <c r="C11" s="811">
        <f>SUM(F11:I11)</f>
        <v>4651</v>
      </c>
      <c r="D11" s="1778">
        <v>20</v>
      </c>
      <c r="E11" s="1779">
        <v>800</v>
      </c>
      <c r="F11" s="1777">
        <v>3342</v>
      </c>
      <c r="G11" s="1777">
        <v>325</v>
      </c>
      <c r="H11" s="1777">
        <v>967</v>
      </c>
      <c r="I11" s="1777">
        <v>17</v>
      </c>
      <c r="J11" s="1777">
        <v>214</v>
      </c>
      <c r="K11" s="1777">
        <v>0</v>
      </c>
      <c r="L11" s="97"/>
      <c r="M11" s="97"/>
      <c r="N11" s="97"/>
      <c r="O11" s="97"/>
    </row>
    <row r="12" spans="1:26">
      <c r="A12" s="812">
        <v>4</v>
      </c>
      <c r="B12" s="685" t="s">
        <v>74</v>
      </c>
      <c r="C12" s="820">
        <f>SUM(C9:C11)</f>
        <v>15522</v>
      </c>
      <c r="D12" s="814"/>
      <c r="E12" s="814"/>
      <c r="F12" s="820">
        <f>SUM(F9:F11)</f>
        <v>11511</v>
      </c>
      <c r="G12" s="820">
        <f>SUM(G9:G11)</f>
        <v>1056</v>
      </c>
      <c r="H12" s="820">
        <f>SUM(H9:H11)</f>
        <v>2901</v>
      </c>
      <c r="I12" s="820">
        <f>SUM(I9:I11)</f>
        <v>54</v>
      </c>
      <c r="J12" s="820">
        <f>SUM(J9:J11)</f>
        <v>4716</v>
      </c>
      <c r="K12" s="813">
        <v>0</v>
      </c>
      <c r="L12" s="1168"/>
      <c r="M12" s="1168"/>
      <c r="N12" s="1168"/>
      <c r="O12" s="1168"/>
    </row>
    <row r="13" spans="1:26">
      <c r="A13" s="130">
        <v>5</v>
      </c>
      <c r="B13" s="685" t="s">
        <v>785</v>
      </c>
      <c r="C13" s="811">
        <f>SUM(F13:I13)</f>
        <v>4211</v>
      </c>
      <c r="D13" s="1780">
        <v>1</v>
      </c>
      <c r="E13" s="1781">
        <v>800</v>
      </c>
      <c r="F13" s="1782">
        <v>2904</v>
      </c>
      <c r="G13" s="1782">
        <v>313</v>
      </c>
      <c r="H13" s="1780">
        <v>967</v>
      </c>
      <c r="I13" s="1780">
        <v>27</v>
      </c>
      <c r="J13" s="1782">
        <v>527</v>
      </c>
      <c r="K13" s="1782">
        <v>0</v>
      </c>
      <c r="L13" s="97"/>
      <c r="M13" s="97"/>
      <c r="N13" s="97"/>
      <c r="O13" s="97"/>
    </row>
    <row r="14" spans="1:26">
      <c r="A14" s="130">
        <v>6</v>
      </c>
      <c r="B14" s="685" t="s">
        <v>786</v>
      </c>
      <c r="C14" s="811">
        <f>SUM(F14:I14)</f>
        <v>3885</v>
      </c>
      <c r="D14" s="1780">
        <v>8</v>
      </c>
      <c r="E14" s="1781">
        <v>2100</v>
      </c>
      <c r="F14" s="1782">
        <v>2584</v>
      </c>
      <c r="G14" s="1782">
        <v>306</v>
      </c>
      <c r="H14" s="1780">
        <v>967</v>
      </c>
      <c r="I14" s="1780">
        <v>28</v>
      </c>
      <c r="J14" s="1782">
        <v>503</v>
      </c>
      <c r="K14" s="1782">
        <v>0</v>
      </c>
      <c r="L14" s="97"/>
      <c r="M14" s="97"/>
      <c r="N14" s="97"/>
      <c r="O14" s="97"/>
    </row>
    <row r="15" spans="1:26">
      <c r="A15" s="130">
        <v>7</v>
      </c>
      <c r="B15" s="685" t="s">
        <v>787</v>
      </c>
      <c r="C15" s="811">
        <f>SUM(F15:I15)</f>
        <v>4144</v>
      </c>
      <c r="D15" s="1780">
        <v>25</v>
      </c>
      <c r="E15" s="1781">
        <v>1800</v>
      </c>
      <c r="F15" s="1782">
        <v>2527</v>
      </c>
      <c r="G15" s="1782">
        <v>325</v>
      </c>
      <c r="H15" s="1780">
        <v>967</v>
      </c>
      <c r="I15" s="1780">
        <v>325</v>
      </c>
      <c r="J15" s="1782">
        <v>503</v>
      </c>
      <c r="K15" s="1782">
        <v>0</v>
      </c>
      <c r="L15" s="97"/>
      <c r="M15" s="97"/>
      <c r="N15" s="97"/>
      <c r="O15" s="97"/>
    </row>
    <row r="16" spans="1:26">
      <c r="A16" s="812">
        <v>8</v>
      </c>
      <c r="B16" s="685" t="s">
        <v>74</v>
      </c>
      <c r="C16" s="820">
        <f>SUM(C13:C15)</f>
        <v>12240</v>
      </c>
      <c r="D16" s="814"/>
      <c r="E16" s="814"/>
      <c r="F16" s="820">
        <f t="shared" ref="F16:K16" si="0">SUM(F13:F15)</f>
        <v>8015</v>
      </c>
      <c r="G16" s="820">
        <f t="shared" si="0"/>
        <v>944</v>
      </c>
      <c r="H16" s="820">
        <f t="shared" si="0"/>
        <v>2901</v>
      </c>
      <c r="I16" s="820">
        <f t="shared" si="0"/>
        <v>380</v>
      </c>
      <c r="J16" s="820">
        <f t="shared" si="0"/>
        <v>1533</v>
      </c>
      <c r="K16" s="813">
        <f t="shared" si="0"/>
        <v>0</v>
      </c>
      <c r="L16" s="1168"/>
      <c r="M16" s="1168"/>
      <c r="N16" s="1168"/>
      <c r="O16" s="1168"/>
    </row>
    <row r="17" spans="1:15">
      <c r="A17" s="130">
        <v>9</v>
      </c>
      <c r="B17" s="685" t="s">
        <v>573</v>
      </c>
      <c r="C17" s="811">
        <f>SUM(F17:I17)</f>
        <v>4574</v>
      </c>
      <c r="D17" s="1783">
        <v>16</v>
      </c>
      <c r="E17" s="1784">
        <v>1800</v>
      </c>
      <c r="F17" s="1785">
        <v>2950</v>
      </c>
      <c r="G17" s="1785">
        <v>330</v>
      </c>
      <c r="H17" s="1783">
        <v>967</v>
      </c>
      <c r="I17" s="1783">
        <v>327</v>
      </c>
      <c r="J17" s="1785">
        <v>815</v>
      </c>
      <c r="K17" s="1785">
        <v>0</v>
      </c>
      <c r="L17" s="97"/>
      <c r="M17" s="97"/>
      <c r="N17" s="97"/>
      <c r="O17" s="97"/>
    </row>
    <row r="18" spans="1:15">
      <c r="A18" s="130">
        <v>10</v>
      </c>
      <c r="B18" s="685" t="s">
        <v>574</v>
      </c>
      <c r="C18" s="811">
        <f>SUM(F18:I18)</f>
        <v>4719</v>
      </c>
      <c r="D18" s="1783">
        <v>11</v>
      </c>
      <c r="E18" s="1784">
        <v>1700</v>
      </c>
      <c r="F18" s="1785">
        <v>3080</v>
      </c>
      <c r="G18" s="1785">
        <v>345</v>
      </c>
      <c r="H18" s="1783">
        <v>967</v>
      </c>
      <c r="I18" s="1783">
        <v>327</v>
      </c>
      <c r="J18" s="1785">
        <v>753</v>
      </c>
      <c r="K18" s="1785">
        <v>0</v>
      </c>
      <c r="L18" s="97"/>
      <c r="M18" s="97"/>
      <c r="N18" s="97"/>
      <c r="O18" s="97"/>
    </row>
    <row r="19" spans="1:15">
      <c r="A19" s="130">
        <v>11</v>
      </c>
      <c r="B19" s="685" t="s">
        <v>575</v>
      </c>
      <c r="C19" s="811">
        <f>SUM(F19:I19)</f>
        <v>4454</v>
      </c>
      <c r="D19" s="1783">
        <v>16</v>
      </c>
      <c r="E19" s="1784">
        <v>2100</v>
      </c>
      <c r="F19" s="1785">
        <v>2843</v>
      </c>
      <c r="G19" s="1785">
        <v>316</v>
      </c>
      <c r="H19" s="1783">
        <v>967</v>
      </c>
      <c r="I19" s="1783">
        <v>328</v>
      </c>
      <c r="J19" s="1785">
        <v>359</v>
      </c>
      <c r="K19" s="1785">
        <v>0</v>
      </c>
      <c r="L19" s="97"/>
      <c r="M19" s="97"/>
      <c r="N19" s="97"/>
      <c r="O19" s="97"/>
    </row>
    <row r="20" spans="1:15">
      <c r="A20" s="812">
        <v>12</v>
      </c>
      <c r="B20" s="685" t="s">
        <v>74</v>
      </c>
      <c r="C20" s="820">
        <f>SUM(C17:C19)</f>
        <v>13747</v>
      </c>
      <c r="D20" s="814"/>
      <c r="E20" s="814"/>
      <c r="F20" s="820">
        <f t="shared" ref="F20:K20" si="1">SUM(F17:F19)</f>
        <v>8873</v>
      </c>
      <c r="G20" s="820">
        <f t="shared" si="1"/>
        <v>991</v>
      </c>
      <c r="H20" s="820">
        <f t="shared" si="1"/>
        <v>2901</v>
      </c>
      <c r="I20" s="820">
        <f t="shared" si="1"/>
        <v>982</v>
      </c>
      <c r="J20" s="820">
        <f t="shared" si="1"/>
        <v>1927</v>
      </c>
      <c r="K20" s="813">
        <f t="shared" si="1"/>
        <v>0</v>
      </c>
      <c r="L20" s="1168"/>
      <c r="M20" s="1168"/>
      <c r="N20" s="1168"/>
      <c r="O20" s="1168"/>
    </row>
    <row r="21" spans="1:15">
      <c r="A21" s="130">
        <v>13</v>
      </c>
      <c r="B21" s="685" t="s">
        <v>576</v>
      </c>
      <c r="C21" s="811">
        <f>SUM(F21:I21)</f>
        <v>4162</v>
      </c>
      <c r="D21" s="1787">
        <v>27</v>
      </c>
      <c r="E21" s="1788">
        <v>1900</v>
      </c>
      <c r="F21" s="1789">
        <v>2848</v>
      </c>
      <c r="G21" s="1789">
        <v>317</v>
      </c>
      <c r="H21" s="1787">
        <v>967</v>
      </c>
      <c r="I21" s="1787">
        <v>30</v>
      </c>
      <c r="J21" s="1789">
        <v>689</v>
      </c>
      <c r="K21" s="1789">
        <v>0</v>
      </c>
      <c r="L21" s="97"/>
      <c r="M21" s="97"/>
      <c r="N21" s="97"/>
      <c r="O21" s="97"/>
    </row>
    <row r="22" spans="1:15">
      <c r="A22" s="130">
        <v>14</v>
      </c>
      <c r="B22" s="685" t="s">
        <v>577</v>
      </c>
      <c r="C22" s="811">
        <f>SUM(F22:I22)</f>
        <v>5178</v>
      </c>
      <c r="D22" s="1786">
        <v>30</v>
      </c>
      <c r="E22" s="1790">
        <v>1900</v>
      </c>
      <c r="F22" s="1791">
        <v>3846</v>
      </c>
      <c r="G22" s="1791">
        <v>330</v>
      </c>
      <c r="H22" s="1786">
        <v>967</v>
      </c>
      <c r="I22" s="1786">
        <v>35</v>
      </c>
      <c r="J22" s="1789">
        <v>410</v>
      </c>
      <c r="K22" s="1791">
        <v>0</v>
      </c>
      <c r="L22" s="97"/>
      <c r="M22" s="97"/>
      <c r="N22" s="97"/>
      <c r="O22" s="97"/>
    </row>
    <row r="23" spans="1:15">
      <c r="A23" s="130">
        <v>15</v>
      </c>
      <c r="B23" s="685" t="s">
        <v>206</v>
      </c>
      <c r="C23" s="811">
        <f>SUM(F23:I23)</f>
        <v>5603</v>
      </c>
      <c r="D23" s="1786">
        <v>1</v>
      </c>
      <c r="E23" s="1790">
        <v>800</v>
      </c>
      <c r="F23" s="1791">
        <v>4064</v>
      </c>
      <c r="G23" s="1791">
        <v>360</v>
      </c>
      <c r="H23" s="1786">
        <v>1147</v>
      </c>
      <c r="I23" s="1786">
        <v>32</v>
      </c>
      <c r="J23" s="1789">
        <v>3793</v>
      </c>
      <c r="K23" s="1791">
        <v>0</v>
      </c>
      <c r="L23" s="97"/>
      <c r="M23" s="97"/>
      <c r="N23" s="97"/>
      <c r="O23" s="97"/>
    </row>
    <row r="24" spans="1:15">
      <c r="A24" s="812">
        <v>16</v>
      </c>
      <c r="B24" s="685" t="s">
        <v>74</v>
      </c>
      <c r="C24" s="820">
        <f>SUM(C21:C23)</f>
        <v>14943</v>
      </c>
      <c r="D24" s="815"/>
      <c r="E24" s="814"/>
      <c r="F24" s="820">
        <f t="shared" ref="F24:K24" si="2">SUM(F21:F23)</f>
        <v>10758</v>
      </c>
      <c r="G24" s="820">
        <f t="shared" si="2"/>
        <v>1007</v>
      </c>
      <c r="H24" s="820">
        <f t="shared" si="2"/>
        <v>3081</v>
      </c>
      <c r="I24" s="820">
        <f t="shared" si="2"/>
        <v>97</v>
      </c>
      <c r="J24" s="820">
        <f t="shared" si="2"/>
        <v>4892</v>
      </c>
      <c r="K24" s="1404">
        <f t="shared" si="2"/>
        <v>0</v>
      </c>
      <c r="L24" s="1168"/>
      <c r="M24" s="1168"/>
      <c r="N24" s="1168"/>
      <c r="O24" s="1168"/>
    </row>
    <row r="25" spans="1:15" ht="15">
      <c r="A25" s="816">
        <v>17</v>
      </c>
      <c r="B25" s="816" t="s">
        <v>75</v>
      </c>
      <c r="C25" s="817">
        <f>C24+C20+C16+C12</f>
        <v>56452</v>
      </c>
      <c r="D25" s="818"/>
      <c r="E25" s="819"/>
      <c r="F25" s="817">
        <f t="shared" ref="F25:K25" si="3">F24+F20+F16+F12</f>
        <v>39157</v>
      </c>
      <c r="G25" s="817">
        <f t="shared" si="3"/>
        <v>3998</v>
      </c>
      <c r="H25" s="817">
        <f t="shared" si="3"/>
        <v>11784</v>
      </c>
      <c r="I25" s="817">
        <f t="shared" si="3"/>
        <v>1513</v>
      </c>
      <c r="J25" s="817">
        <f t="shared" si="3"/>
        <v>13068</v>
      </c>
      <c r="K25" s="817">
        <f t="shared" si="3"/>
        <v>0</v>
      </c>
      <c r="L25" s="1169"/>
      <c r="M25" s="1169"/>
      <c r="N25" s="1169"/>
      <c r="O25" s="1169"/>
    </row>
    <row r="26" spans="1:15">
      <c r="A26" s="130"/>
      <c r="B26" s="130" t="s">
        <v>526</v>
      </c>
      <c r="C26" s="820">
        <f>(C25*1000)/12</f>
        <v>4704333.333333333</v>
      </c>
      <c r="D26" s="130"/>
      <c r="E26" s="130"/>
      <c r="F26" s="130"/>
      <c r="G26" s="130"/>
      <c r="H26" s="130"/>
      <c r="I26" s="821"/>
      <c r="J26" s="823"/>
      <c r="K26" s="823"/>
      <c r="L26" s="97"/>
      <c r="M26" s="97"/>
      <c r="N26" s="97"/>
      <c r="O26" s="97"/>
    </row>
    <row r="27" spans="1:15">
      <c r="J27" s="2"/>
      <c r="L27" s="97"/>
      <c r="M27" s="97"/>
      <c r="N27" s="97"/>
      <c r="O27" s="97"/>
    </row>
    <row r="28" spans="1:15">
      <c r="A28" s="892" t="s">
        <v>1095</v>
      </c>
      <c r="C28" s="1170">
        <f>C25</f>
        <v>56452</v>
      </c>
      <c r="J28" s="2"/>
      <c r="L28" s="97"/>
      <c r="M28" s="97"/>
      <c r="N28" s="97"/>
      <c r="O28" s="97"/>
    </row>
    <row r="29" spans="1:15" ht="24" customHeight="1">
      <c r="A29" s="892" t="s">
        <v>1094</v>
      </c>
      <c r="C29" s="1170">
        <f>G25+H25+I25</f>
        <v>17295</v>
      </c>
      <c r="D29" s="1946" t="s">
        <v>116</v>
      </c>
      <c r="E29" s="1946"/>
      <c r="F29" s="1946"/>
      <c r="G29" s="1946"/>
      <c r="H29" s="1946"/>
      <c r="I29" s="1946"/>
      <c r="J29" s="1946"/>
      <c r="K29" s="1946"/>
      <c r="L29" s="97"/>
      <c r="M29" s="97"/>
      <c r="N29" s="97"/>
      <c r="O29" s="97"/>
    </row>
    <row r="30" spans="1:15">
      <c r="A30" s="805"/>
      <c r="J30" s="2"/>
      <c r="L30" s="97"/>
      <c r="M30" s="97"/>
      <c r="N30" s="97"/>
      <c r="O30" s="97"/>
    </row>
    <row r="31" spans="1:15">
      <c r="A31" s="805" t="s">
        <v>76</v>
      </c>
      <c r="F31" s="92"/>
      <c r="J31" s="2"/>
      <c r="L31" s="97"/>
      <c r="M31" s="97"/>
      <c r="N31" s="97"/>
      <c r="O31" s="97"/>
    </row>
    <row r="32" spans="1:15" ht="51">
      <c r="A32" s="807" t="s">
        <v>162</v>
      </c>
      <c r="B32" s="130" t="s">
        <v>781</v>
      </c>
      <c r="C32" s="808" t="s">
        <v>68</v>
      </c>
      <c r="D32" s="808" t="s">
        <v>69</v>
      </c>
      <c r="E32" s="808" t="s">
        <v>70</v>
      </c>
      <c r="F32" s="808" t="s">
        <v>342</v>
      </c>
      <c r="G32" s="808" t="s">
        <v>71</v>
      </c>
      <c r="H32" s="808" t="s">
        <v>72</v>
      </c>
      <c r="I32" s="809" t="s">
        <v>1188</v>
      </c>
      <c r="J32" s="809" t="s">
        <v>73</v>
      </c>
      <c r="K32" s="809" t="s">
        <v>1189</v>
      </c>
      <c r="L32" s="97"/>
      <c r="M32" s="97"/>
      <c r="N32" s="97"/>
      <c r="O32" s="97"/>
    </row>
    <row r="33" spans="1:15">
      <c r="A33" s="130"/>
      <c r="B33" s="130"/>
      <c r="C33" s="130"/>
      <c r="D33" s="130"/>
      <c r="E33" s="130"/>
      <c r="F33" s="130"/>
      <c r="G33" s="130"/>
      <c r="H33" s="130"/>
      <c r="I33" s="810"/>
      <c r="J33" s="822"/>
      <c r="K33" s="810"/>
      <c r="L33" s="97"/>
      <c r="M33" s="97"/>
      <c r="N33" s="97"/>
      <c r="O33" s="97"/>
    </row>
    <row r="34" spans="1:15">
      <c r="A34" s="130">
        <v>1</v>
      </c>
      <c r="B34" s="130" t="s">
        <v>570</v>
      </c>
      <c r="C34" s="811">
        <f>F34+G34+H34+I34</f>
        <v>600</v>
      </c>
      <c r="D34" s="1794"/>
      <c r="E34" s="1795"/>
      <c r="F34" s="1792">
        <v>0</v>
      </c>
      <c r="G34" s="1792">
        <v>0</v>
      </c>
      <c r="H34" s="1794">
        <v>300</v>
      </c>
      <c r="I34" s="1794">
        <v>300</v>
      </c>
      <c r="J34" s="1793">
        <v>50</v>
      </c>
      <c r="K34" s="1794">
        <v>0</v>
      </c>
      <c r="L34" s="97"/>
      <c r="M34" s="97"/>
      <c r="N34" s="97"/>
      <c r="O34" s="97"/>
    </row>
    <row r="35" spans="1:15">
      <c r="A35" s="130">
        <v>2</v>
      </c>
      <c r="B35" s="130" t="s">
        <v>571</v>
      </c>
      <c r="C35" s="811">
        <f t="shared" ref="C35:C48" si="4">F35+G35+H35+I35</f>
        <v>600</v>
      </c>
      <c r="D35" s="1794"/>
      <c r="E35" s="1795"/>
      <c r="F35" s="1792">
        <v>0</v>
      </c>
      <c r="G35" s="1792">
        <v>0</v>
      </c>
      <c r="H35" s="1794">
        <v>300</v>
      </c>
      <c r="I35" s="1794">
        <v>300</v>
      </c>
      <c r="J35" s="1793">
        <v>298</v>
      </c>
      <c r="K35" s="1794">
        <v>0</v>
      </c>
      <c r="L35" s="97"/>
      <c r="M35" s="97"/>
      <c r="N35" s="97"/>
      <c r="O35" s="97"/>
    </row>
    <row r="36" spans="1:15">
      <c r="A36" s="130">
        <v>3</v>
      </c>
      <c r="B36" s="130" t="s">
        <v>572</v>
      </c>
      <c r="C36" s="811">
        <f t="shared" si="4"/>
        <v>300</v>
      </c>
      <c r="D36" s="1794"/>
      <c r="E36" s="1795"/>
      <c r="F36" s="1792">
        <v>0</v>
      </c>
      <c r="G36" s="1792">
        <v>0</v>
      </c>
      <c r="H36" s="1794">
        <v>300</v>
      </c>
      <c r="I36" s="1794">
        <v>0</v>
      </c>
      <c r="J36" s="1793">
        <v>100</v>
      </c>
      <c r="K36" s="1794">
        <v>0</v>
      </c>
      <c r="L36" s="97"/>
      <c r="M36" s="97"/>
      <c r="N36" s="97"/>
      <c r="O36" s="97"/>
    </row>
    <row r="37" spans="1:15">
      <c r="A37" s="812">
        <v>4</v>
      </c>
      <c r="B37" s="812" t="s">
        <v>74</v>
      </c>
      <c r="C37" s="820">
        <f>SUM(C34:C36)</f>
        <v>1500</v>
      </c>
      <c r="D37" s="814"/>
      <c r="E37" s="814"/>
      <c r="F37" s="820">
        <f t="shared" ref="F37:K37" si="5">SUM(F34:F36)</f>
        <v>0</v>
      </c>
      <c r="G37" s="820">
        <f t="shared" si="5"/>
        <v>0</v>
      </c>
      <c r="H37" s="820">
        <f t="shared" si="5"/>
        <v>900</v>
      </c>
      <c r="I37" s="820">
        <f t="shared" si="5"/>
        <v>600</v>
      </c>
      <c r="J37" s="820">
        <f t="shared" si="5"/>
        <v>448</v>
      </c>
      <c r="K37" s="820">
        <f t="shared" si="5"/>
        <v>0</v>
      </c>
      <c r="L37" s="1168"/>
      <c r="M37" s="1168"/>
      <c r="N37" s="1168"/>
      <c r="O37" s="1168"/>
    </row>
    <row r="38" spans="1:15">
      <c r="A38" s="130">
        <v>5</v>
      </c>
      <c r="B38" s="130" t="s">
        <v>785</v>
      </c>
      <c r="C38" s="811">
        <f t="shared" si="4"/>
        <v>400</v>
      </c>
      <c r="D38" s="1798"/>
      <c r="E38" s="1797"/>
      <c r="F38" s="1796">
        <v>0</v>
      </c>
      <c r="G38" s="1796">
        <v>0</v>
      </c>
      <c r="H38" s="1796">
        <v>400</v>
      </c>
      <c r="I38" s="1796">
        <v>0</v>
      </c>
      <c r="J38" s="1796">
        <v>0</v>
      </c>
      <c r="K38" s="1796">
        <v>0</v>
      </c>
      <c r="L38" s="97"/>
      <c r="M38" s="97"/>
      <c r="N38" s="97"/>
      <c r="O38" s="97"/>
    </row>
    <row r="39" spans="1:15">
      <c r="A39" s="130">
        <v>6</v>
      </c>
      <c r="B39" s="130" t="s">
        <v>786</v>
      </c>
      <c r="C39" s="811">
        <f t="shared" si="4"/>
        <v>400</v>
      </c>
      <c r="D39" s="1798"/>
      <c r="E39" s="1797"/>
      <c r="F39" s="1796">
        <v>0</v>
      </c>
      <c r="G39" s="1796">
        <v>0</v>
      </c>
      <c r="H39" s="1796">
        <v>400</v>
      </c>
      <c r="I39" s="1796">
        <v>0</v>
      </c>
      <c r="J39" s="1796">
        <v>0</v>
      </c>
      <c r="K39" s="1796">
        <v>0</v>
      </c>
      <c r="L39" s="97"/>
      <c r="M39" s="97"/>
      <c r="N39" s="97"/>
      <c r="O39" s="97"/>
    </row>
    <row r="40" spans="1:15">
      <c r="A40" s="130">
        <v>7</v>
      </c>
      <c r="B40" s="130" t="s">
        <v>787</v>
      </c>
      <c r="C40" s="811">
        <f t="shared" si="4"/>
        <v>700</v>
      </c>
      <c r="D40" s="1798"/>
      <c r="E40" s="1797"/>
      <c r="F40" s="1796">
        <v>0</v>
      </c>
      <c r="G40" s="1796">
        <v>0</v>
      </c>
      <c r="H40" s="1796">
        <v>400</v>
      </c>
      <c r="I40" s="1796">
        <v>300</v>
      </c>
      <c r="J40" s="1796">
        <v>0</v>
      </c>
      <c r="K40" s="1796">
        <v>0</v>
      </c>
      <c r="L40" s="97"/>
      <c r="M40" s="97"/>
      <c r="N40" s="97"/>
      <c r="O40" s="97"/>
    </row>
    <row r="41" spans="1:15">
      <c r="A41" s="812">
        <v>8</v>
      </c>
      <c r="B41" s="812" t="s">
        <v>74</v>
      </c>
      <c r="C41" s="820">
        <f>SUM(C38:C40)</f>
        <v>1500</v>
      </c>
      <c r="D41" s="814"/>
      <c r="E41" s="814"/>
      <c r="F41" s="820">
        <f t="shared" ref="F41:K41" si="6">SUM(F38:F40)</f>
        <v>0</v>
      </c>
      <c r="G41" s="820">
        <f t="shared" si="6"/>
        <v>0</v>
      </c>
      <c r="H41" s="820">
        <f t="shared" si="6"/>
        <v>1200</v>
      </c>
      <c r="I41" s="820">
        <f t="shared" si="6"/>
        <v>300</v>
      </c>
      <c r="J41" s="820">
        <f t="shared" si="6"/>
        <v>0</v>
      </c>
      <c r="K41" s="820">
        <f t="shared" si="6"/>
        <v>0</v>
      </c>
      <c r="L41" s="1168"/>
      <c r="M41" s="1168"/>
      <c r="N41" s="1168"/>
      <c r="O41" s="1168"/>
    </row>
    <row r="42" spans="1:15">
      <c r="A42" s="130">
        <v>9</v>
      </c>
      <c r="B42" s="130" t="s">
        <v>573</v>
      </c>
      <c r="C42" s="811">
        <f t="shared" si="4"/>
        <v>700</v>
      </c>
      <c r="D42" s="1801"/>
      <c r="E42" s="1800"/>
      <c r="F42" s="1799">
        <v>0</v>
      </c>
      <c r="G42" s="1799">
        <v>0</v>
      </c>
      <c r="H42" s="1799">
        <v>400</v>
      </c>
      <c r="I42" s="1799">
        <v>300</v>
      </c>
      <c r="J42" s="1799">
        <v>0</v>
      </c>
      <c r="K42" s="1799">
        <v>0</v>
      </c>
      <c r="L42" s="97"/>
      <c r="M42" s="97"/>
      <c r="N42" s="97"/>
      <c r="O42" s="97"/>
    </row>
    <row r="43" spans="1:15">
      <c r="A43" s="130">
        <v>10</v>
      </c>
      <c r="B43" s="130" t="s">
        <v>574</v>
      </c>
      <c r="C43" s="811">
        <f t="shared" si="4"/>
        <v>700</v>
      </c>
      <c r="D43" s="1801"/>
      <c r="E43" s="1800"/>
      <c r="F43" s="1799">
        <v>0</v>
      </c>
      <c r="G43" s="1799">
        <v>0</v>
      </c>
      <c r="H43" s="1799">
        <v>400</v>
      </c>
      <c r="I43" s="1799">
        <v>300</v>
      </c>
      <c r="J43" s="1799">
        <v>0</v>
      </c>
      <c r="K43" s="1799">
        <v>0</v>
      </c>
      <c r="L43" s="97"/>
      <c r="M43" s="97"/>
      <c r="N43" s="97"/>
      <c r="O43" s="97"/>
    </row>
    <row r="44" spans="1:15">
      <c r="A44" s="130">
        <v>11</v>
      </c>
      <c r="B44" s="130" t="s">
        <v>575</v>
      </c>
      <c r="C44" s="811">
        <f t="shared" si="4"/>
        <v>700</v>
      </c>
      <c r="D44" s="1801"/>
      <c r="E44" s="1800"/>
      <c r="F44" s="1799">
        <v>0</v>
      </c>
      <c r="G44" s="1799">
        <v>0</v>
      </c>
      <c r="H44" s="1799">
        <v>400</v>
      </c>
      <c r="I44" s="1799">
        <v>300</v>
      </c>
      <c r="J44" s="1799">
        <v>0</v>
      </c>
      <c r="K44" s="1799">
        <v>0</v>
      </c>
      <c r="L44" s="97"/>
      <c r="M44" s="97"/>
      <c r="N44" s="97"/>
      <c r="O44" s="97"/>
    </row>
    <row r="45" spans="1:15">
      <c r="A45" s="812">
        <v>12</v>
      </c>
      <c r="B45" s="812" t="s">
        <v>74</v>
      </c>
      <c r="C45" s="820">
        <f>SUM(C42:C44)</f>
        <v>2100</v>
      </c>
      <c r="D45" s="814"/>
      <c r="E45" s="814"/>
      <c r="F45" s="820">
        <f t="shared" ref="F45:K45" si="7">SUM(F42:F44)</f>
        <v>0</v>
      </c>
      <c r="G45" s="820">
        <f t="shared" si="7"/>
        <v>0</v>
      </c>
      <c r="H45" s="820">
        <f t="shared" si="7"/>
        <v>1200</v>
      </c>
      <c r="I45" s="820">
        <f t="shared" si="7"/>
        <v>900</v>
      </c>
      <c r="J45" s="820">
        <f t="shared" si="7"/>
        <v>0</v>
      </c>
      <c r="K45" s="820">
        <f t="shared" si="7"/>
        <v>0</v>
      </c>
      <c r="L45" s="1168"/>
      <c r="M45" s="1168"/>
      <c r="N45" s="1168"/>
      <c r="O45" s="1168"/>
    </row>
    <row r="46" spans="1:15">
      <c r="A46" s="130">
        <v>13</v>
      </c>
      <c r="B46" s="130" t="s">
        <v>576</v>
      </c>
      <c r="C46" s="811">
        <f t="shared" si="4"/>
        <v>400</v>
      </c>
      <c r="D46" s="1804"/>
      <c r="E46" s="1803"/>
      <c r="F46" s="1802">
        <v>0</v>
      </c>
      <c r="G46" s="1802">
        <v>0</v>
      </c>
      <c r="H46" s="1802">
        <v>400</v>
      </c>
      <c r="I46" s="1802">
        <v>0</v>
      </c>
      <c r="J46" s="1802">
        <v>0</v>
      </c>
      <c r="K46" s="1802">
        <v>0</v>
      </c>
      <c r="L46" s="97"/>
      <c r="M46" s="97"/>
      <c r="N46" s="97"/>
      <c r="O46" s="97"/>
    </row>
    <row r="47" spans="1:15">
      <c r="A47" s="130">
        <v>14</v>
      </c>
      <c r="B47" s="130" t="s">
        <v>577</v>
      </c>
      <c r="C47" s="811">
        <f t="shared" si="4"/>
        <v>700</v>
      </c>
      <c r="D47" s="1804"/>
      <c r="E47" s="1803"/>
      <c r="F47" s="1802">
        <v>0</v>
      </c>
      <c r="G47" s="1802">
        <v>0</v>
      </c>
      <c r="H47" s="1802">
        <v>400</v>
      </c>
      <c r="I47" s="1802">
        <v>300</v>
      </c>
      <c r="J47" s="1802">
        <v>0</v>
      </c>
      <c r="K47" s="1802">
        <v>0</v>
      </c>
      <c r="L47" s="97"/>
      <c r="M47" s="97"/>
      <c r="N47" s="97"/>
      <c r="O47" s="97"/>
    </row>
    <row r="48" spans="1:15">
      <c r="A48" s="130">
        <v>15</v>
      </c>
      <c r="B48" s="130" t="s">
        <v>206</v>
      </c>
      <c r="C48" s="811">
        <f t="shared" si="4"/>
        <v>700</v>
      </c>
      <c r="D48" s="1804"/>
      <c r="E48" s="1803"/>
      <c r="F48" s="1802">
        <v>0</v>
      </c>
      <c r="G48" s="1802">
        <v>0</v>
      </c>
      <c r="H48" s="1802">
        <v>400</v>
      </c>
      <c r="I48" s="1802">
        <v>300</v>
      </c>
      <c r="J48" s="1802">
        <v>0</v>
      </c>
      <c r="K48" s="1802">
        <v>0</v>
      </c>
      <c r="L48" s="97"/>
      <c r="M48" s="97"/>
      <c r="N48" s="97"/>
      <c r="O48" s="97"/>
    </row>
    <row r="49" spans="1:15">
      <c r="A49" s="812">
        <v>16</v>
      </c>
      <c r="B49" s="812" t="s">
        <v>74</v>
      </c>
      <c r="C49" s="820">
        <f>SUM(C46:C48)</f>
        <v>1800</v>
      </c>
      <c r="D49" s="815"/>
      <c r="E49" s="814"/>
      <c r="F49" s="820">
        <f t="shared" ref="F49:K49" si="8">SUM(F46:F48)</f>
        <v>0</v>
      </c>
      <c r="G49" s="820">
        <f t="shared" si="8"/>
        <v>0</v>
      </c>
      <c r="H49" s="820">
        <f t="shared" si="8"/>
        <v>1200</v>
      </c>
      <c r="I49" s="820">
        <f t="shared" si="8"/>
        <v>600</v>
      </c>
      <c r="J49" s="820">
        <f t="shared" si="8"/>
        <v>0</v>
      </c>
      <c r="K49" s="820">
        <f t="shared" si="8"/>
        <v>0</v>
      </c>
      <c r="L49" s="1168"/>
      <c r="M49" s="1168"/>
      <c r="N49" s="1168"/>
      <c r="O49" s="1168"/>
    </row>
    <row r="50" spans="1:15" ht="15">
      <c r="A50" s="816">
        <v>17</v>
      </c>
      <c r="B50" s="816" t="s">
        <v>75</v>
      </c>
      <c r="C50" s="817">
        <f>C49+C45+C41+C37</f>
        <v>6900</v>
      </c>
      <c r="D50" s="818"/>
      <c r="E50" s="819"/>
      <c r="F50" s="817">
        <f t="shared" ref="F50:K50" si="9">F49+F45+F41+F37</f>
        <v>0</v>
      </c>
      <c r="G50" s="817">
        <f t="shared" si="9"/>
        <v>0</v>
      </c>
      <c r="H50" s="817">
        <f t="shared" si="9"/>
        <v>4500</v>
      </c>
      <c r="I50" s="817">
        <f t="shared" si="9"/>
        <v>2400</v>
      </c>
      <c r="J50" s="817">
        <f t="shared" si="9"/>
        <v>448</v>
      </c>
      <c r="K50" s="817">
        <f t="shared" si="9"/>
        <v>0</v>
      </c>
      <c r="L50" s="1169"/>
      <c r="M50" s="1169"/>
      <c r="N50" s="1169"/>
      <c r="O50" s="1169"/>
    </row>
    <row r="51" spans="1:15">
      <c r="A51" s="130"/>
      <c r="B51" s="130" t="s">
        <v>526</v>
      </c>
      <c r="C51" s="820">
        <f>(C50*1000)/12</f>
        <v>575000</v>
      </c>
      <c r="D51" s="130"/>
      <c r="E51" s="130"/>
      <c r="F51" s="130"/>
      <c r="G51" s="130"/>
      <c r="H51" s="130"/>
      <c r="I51" s="821"/>
      <c r="J51" s="823"/>
      <c r="K51" s="821"/>
      <c r="L51" s="97"/>
      <c r="M51" s="97"/>
      <c r="N51" s="97"/>
      <c r="O51" s="97"/>
    </row>
    <row r="52" spans="1:15">
      <c r="B52" s="824"/>
      <c r="C52" s="456"/>
      <c r="J52" s="2"/>
      <c r="L52" s="97"/>
      <c r="M52" s="97"/>
      <c r="N52" s="97"/>
      <c r="O52" s="97"/>
    </row>
    <row r="53" spans="1:15">
      <c r="A53" s="805"/>
      <c r="J53" s="2"/>
      <c r="L53" s="97"/>
      <c r="M53" s="97"/>
      <c r="N53" s="97"/>
      <c r="O53" s="97"/>
    </row>
    <row r="54" spans="1:15">
      <c r="A54" s="805" t="s">
        <v>115</v>
      </c>
      <c r="E54" s="825"/>
      <c r="L54" s="97"/>
      <c r="M54" s="97"/>
      <c r="N54" s="97"/>
      <c r="O54" s="97"/>
    </row>
    <row r="55" spans="1:15" ht="51">
      <c r="A55" s="807" t="s">
        <v>162</v>
      </c>
      <c r="B55" s="130" t="s">
        <v>781</v>
      </c>
      <c r="C55" s="808" t="s">
        <v>68</v>
      </c>
      <c r="D55" s="808" t="s">
        <v>69</v>
      </c>
      <c r="E55" s="808" t="s">
        <v>70</v>
      </c>
      <c r="F55" s="808" t="s">
        <v>342</v>
      </c>
      <c r="G55" s="808" t="s">
        <v>71</v>
      </c>
      <c r="H55" s="808" t="s">
        <v>72</v>
      </c>
      <c r="I55" s="809" t="s">
        <v>1188</v>
      </c>
      <c r="J55" s="809" t="s">
        <v>73</v>
      </c>
      <c r="K55" s="809" t="s">
        <v>1189</v>
      </c>
      <c r="L55" s="97"/>
      <c r="M55" s="97"/>
      <c r="N55" s="97"/>
      <c r="O55" s="97"/>
    </row>
    <row r="56" spans="1:15">
      <c r="A56" s="130"/>
      <c r="B56" s="130"/>
      <c r="C56" s="130"/>
      <c r="D56" s="130"/>
      <c r="E56" s="130"/>
      <c r="F56" s="130"/>
      <c r="G56" s="130"/>
      <c r="H56" s="130"/>
      <c r="I56" s="810"/>
      <c r="J56" s="810"/>
      <c r="K56" s="810"/>
      <c r="L56" s="97"/>
      <c r="M56" s="97"/>
      <c r="N56" s="97"/>
      <c r="O56" s="97"/>
    </row>
    <row r="57" spans="1:15">
      <c r="A57" s="130">
        <v>1</v>
      </c>
      <c r="B57" s="130" t="s">
        <v>570</v>
      </c>
      <c r="C57" s="811">
        <v>663</v>
      </c>
      <c r="D57" s="1807"/>
      <c r="E57" s="1806"/>
      <c r="F57" s="1805">
        <v>0</v>
      </c>
      <c r="G57" s="1805">
        <v>0</v>
      </c>
      <c r="H57" s="1805">
        <v>663</v>
      </c>
      <c r="I57" s="1805">
        <v>0</v>
      </c>
      <c r="J57" s="1805">
        <v>0</v>
      </c>
      <c r="K57" s="1805">
        <v>0</v>
      </c>
      <c r="L57" s="97"/>
      <c r="M57" s="97"/>
      <c r="N57" s="97"/>
      <c r="O57" s="97"/>
    </row>
    <row r="58" spans="1:15">
      <c r="A58" s="130">
        <v>2</v>
      </c>
      <c r="B58" s="130" t="s">
        <v>571</v>
      </c>
      <c r="C58" s="811">
        <v>663</v>
      </c>
      <c r="D58" s="1807"/>
      <c r="E58" s="1806"/>
      <c r="F58" s="1805">
        <v>0</v>
      </c>
      <c r="G58" s="1805">
        <v>0</v>
      </c>
      <c r="H58" s="1805">
        <v>663</v>
      </c>
      <c r="I58" s="1805">
        <v>0</v>
      </c>
      <c r="J58" s="1805">
        <v>0</v>
      </c>
      <c r="K58" s="1805">
        <v>0</v>
      </c>
      <c r="L58" s="97"/>
      <c r="M58" s="97"/>
      <c r="N58" s="97"/>
      <c r="O58" s="97"/>
    </row>
    <row r="59" spans="1:15">
      <c r="A59" s="130">
        <v>3</v>
      </c>
      <c r="B59" s="130" t="s">
        <v>572</v>
      </c>
      <c r="C59" s="811">
        <v>663</v>
      </c>
      <c r="D59" s="1807"/>
      <c r="E59" s="1806"/>
      <c r="F59" s="1805">
        <v>0</v>
      </c>
      <c r="G59" s="1805">
        <v>0</v>
      </c>
      <c r="H59" s="1805">
        <v>663</v>
      </c>
      <c r="I59" s="1805">
        <v>0</v>
      </c>
      <c r="J59" s="1805">
        <v>0</v>
      </c>
      <c r="K59" s="1805">
        <v>0</v>
      </c>
      <c r="L59" s="97"/>
      <c r="M59" s="97"/>
      <c r="N59" s="97"/>
      <c r="O59" s="97"/>
    </row>
    <row r="60" spans="1:15">
      <c r="A60" s="812">
        <v>4</v>
      </c>
      <c r="B60" s="812" t="s">
        <v>74</v>
      </c>
      <c r="C60" s="820">
        <v>1989</v>
      </c>
      <c r="D60" s="814"/>
      <c r="E60" s="814"/>
      <c r="F60" s="820">
        <v>0</v>
      </c>
      <c r="G60" s="820">
        <v>0</v>
      </c>
      <c r="H60" s="820">
        <v>1989</v>
      </c>
      <c r="I60" s="820">
        <v>0</v>
      </c>
      <c r="J60" s="820">
        <v>0</v>
      </c>
      <c r="K60" s="820">
        <v>0</v>
      </c>
      <c r="L60" s="1168"/>
      <c r="M60" s="1168"/>
      <c r="N60" s="1168"/>
      <c r="O60" s="1168"/>
    </row>
    <row r="61" spans="1:15">
      <c r="A61" s="130">
        <v>5</v>
      </c>
      <c r="B61" s="130" t="s">
        <v>785</v>
      </c>
      <c r="C61" s="811">
        <v>663</v>
      </c>
      <c r="D61" s="1810"/>
      <c r="E61" s="1809"/>
      <c r="F61" s="1808">
        <v>0</v>
      </c>
      <c r="G61" s="1808">
        <v>0</v>
      </c>
      <c r="H61" s="1808">
        <v>663</v>
      </c>
      <c r="I61" s="1808">
        <v>0</v>
      </c>
      <c r="J61" s="1808">
        <v>0</v>
      </c>
      <c r="K61" s="1808">
        <v>0</v>
      </c>
      <c r="L61" s="97"/>
      <c r="M61" s="97"/>
      <c r="N61" s="97"/>
      <c r="O61" s="97"/>
    </row>
    <row r="62" spans="1:15">
      <c r="A62" s="130">
        <v>6</v>
      </c>
      <c r="B62" s="130" t="s">
        <v>786</v>
      </c>
      <c r="C62" s="811">
        <v>663</v>
      </c>
      <c r="D62" s="1810"/>
      <c r="E62" s="1809"/>
      <c r="F62" s="1808">
        <v>0</v>
      </c>
      <c r="G62" s="1808">
        <v>0</v>
      </c>
      <c r="H62" s="1808">
        <v>663</v>
      </c>
      <c r="I62" s="1808">
        <v>0</v>
      </c>
      <c r="J62" s="1808">
        <v>0</v>
      </c>
      <c r="K62" s="1808">
        <v>0</v>
      </c>
      <c r="L62" s="97"/>
      <c r="M62" s="97"/>
      <c r="N62" s="97"/>
      <c r="O62" s="97"/>
    </row>
    <row r="63" spans="1:15">
      <c r="A63" s="130">
        <v>7</v>
      </c>
      <c r="B63" s="130" t="s">
        <v>787</v>
      </c>
      <c r="C63" s="811">
        <v>663</v>
      </c>
      <c r="D63" s="1810"/>
      <c r="E63" s="1809"/>
      <c r="F63" s="1808">
        <v>0</v>
      </c>
      <c r="G63" s="1808">
        <v>0</v>
      </c>
      <c r="H63" s="1808">
        <v>663</v>
      </c>
      <c r="I63" s="1808">
        <v>0</v>
      </c>
      <c r="J63" s="1808">
        <v>0</v>
      </c>
      <c r="K63" s="1808">
        <v>0</v>
      </c>
      <c r="L63" s="97"/>
      <c r="M63" s="97"/>
      <c r="N63" s="97"/>
      <c r="O63" s="97"/>
    </row>
    <row r="64" spans="1:15">
      <c r="A64" s="812">
        <v>8</v>
      </c>
      <c r="B64" s="812" t="s">
        <v>74</v>
      </c>
      <c r="C64" s="820">
        <v>1989</v>
      </c>
      <c r="D64" s="814"/>
      <c r="E64" s="814"/>
      <c r="F64" s="820">
        <v>0</v>
      </c>
      <c r="G64" s="820">
        <v>0</v>
      </c>
      <c r="H64" s="820">
        <v>1989</v>
      </c>
      <c r="I64" s="820">
        <v>0</v>
      </c>
      <c r="J64" s="820">
        <v>0</v>
      </c>
      <c r="K64" s="820">
        <v>0</v>
      </c>
      <c r="L64" s="1168"/>
      <c r="M64" s="1168"/>
      <c r="N64" s="1168"/>
      <c r="O64" s="1168"/>
    </row>
    <row r="65" spans="1:15">
      <c r="A65" s="130">
        <v>9</v>
      </c>
      <c r="B65" s="130" t="s">
        <v>573</v>
      </c>
      <c r="C65" s="811">
        <v>663</v>
      </c>
      <c r="D65" s="1813"/>
      <c r="E65" s="1812"/>
      <c r="F65" s="1811">
        <v>0</v>
      </c>
      <c r="G65" s="1811">
        <v>0</v>
      </c>
      <c r="H65" s="1811">
        <v>663</v>
      </c>
      <c r="I65" s="1811">
        <v>0</v>
      </c>
      <c r="J65" s="1811">
        <v>0</v>
      </c>
      <c r="K65" s="1811">
        <v>0</v>
      </c>
      <c r="L65" s="97"/>
      <c r="M65" s="97"/>
      <c r="N65" s="97"/>
      <c r="O65" s="97"/>
    </row>
    <row r="66" spans="1:15">
      <c r="A66" s="130">
        <v>10</v>
      </c>
      <c r="B66" s="130" t="s">
        <v>574</v>
      </c>
      <c r="C66" s="811">
        <v>663</v>
      </c>
      <c r="D66" s="1813"/>
      <c r="E66" s="1812"/>
      <c r="F66" s="1811">
        <v>0</v>
      </c>
      <c r="G66" s="1811">
        <v>0</v>
      </c>
      <c r="H66" s="1811">
        <v>663</v>
      </c>
      <c r="I66" s="1811">
        <v>0</v>
      </c>
      <c r="J66" s="1811">
        <v>0</v>
      </c>
      <c r="K66" s="1811">
        <v>0</v>
      </c>
      <c r="L66" s="97"/>
      <c r="M66" s="97"/>
      <c r="N66" s="97"/>
      <c r="O66" s="97"/>
    </row>
    <row r="67" spans="1:15">
      <c r="A67" s="130">
        <v>11</v>
      </c>
      <c r="B67" s="130" t="s">
        <v>575</v>
      </c>
      <c r="C67" s="811">
        <v>663</v>
      </c>
      <c r="D67" s="1813"/>
      <c r="E67" s="1812"/>
      <c r="F67" s="1811">
        <v>0</v>
      </c>
      <c r="G67" s="1811">
        <v>0</v>
      </c>
      <c r="H67" s="1811">
        <v>663</v>
      </c>
      <c r="I67" s="1811">
        <v>0</v>
      </c>
      <c r="J67" s="1811">
        <v>0</v>
      </c>
      <c r="K67" s="1811">
        <v>0</v>
      </c>
      <c r="L67" s="97"/>
      <c r="M67" s="97"/>
      <c r="N67" s="97"/>
      <c r="O67" s="97"/>
    </row>
    <row r="68" spans="1:15">
      <c r="A68" s="812">
        <v>12</v>
      </c>
      <c r="B68" s="812" t="s">
        <v>74</v>
      </c>
      <c r="C68" s="820">
        <v>1989</v>
      </c>
      <c r="D68" s="814"/>
      <c r="E68" s="814"/>
      <c r="F68" s="820">
        <v>0</v>
      </c>
      <c r="G68" s="820">
        <v>0</v>
      </c>
      <c r="H68" s="820">
        <v>1989</v>
      </c>
      <c r="I68" s="820">
        <v>0</v>
      </c>
      <c r="J68" s="820">
        <v>0</v>
      </c>
      <c r="K68" s="820">
        <v>0</v>
      </c>
      <c r="L68" s="1168"/>
      <c r="M68" s="1168"/>
      <c r="N68" s="1168"/>
      <c r="O68" s="1168"/>
    </row>
    <row r="69" spans="1:15">
      <c r="A69" s="130">
        <v>13</v>
      </c>
      <c r="B69" s="130" t="s">
        <v>576</v>
      </c>
      <c r="C69" s="811">
        <v>663</v>
      </c>
      <c r="D69" s="1816"/>
      <c r="E69" s="1815"/>
      <c r="F69" s="1814">
        <v>0</v>
      </c>
      <c r="G69" s="1814">
        <v>0</v>
      </c>
      <c r="H69" s="1814">
        <v>663</v>
      </c>
      <c r="I69" s="1814">
        <v>0</v>
      </c>
      <c r="J69" s="1814">
        <v>0</v>
      </c>
      <c r="K69" s="1814">
        <v>0</v>
      </c>
      <c r="L69" s="97"/>
      <c r="M69" s="97"/>
      <c r="N69" s="97"/>
      <c r="O69" s="97"/>
    </row>
    <row r="70" spans="1:15">
      <c r="A70" s="130">
        <v>14</v>
      </c>
      <c r="B70" s="130" t="s">
        <v>577</v>
      </c>
      <c r="C70" s="811">
        <v>663</v>
      </c>
      <c r="D70" s="1816"/>
      <c r="E70" s="1815"/>
      <c r="F70" s="1814">
        <v>0</v>
      </c>
      <c r="G70" s="1814">
        <v>0</v>
      </c>
      <c r="H70" s="1814">
        <v>663</v>
      </c>
      <c r="I70" s="1814">
        <v>0</v>
      </c>
      <c r="J70" s="1814">
        <v>0</v>
      </c>
      <c r="K70" s="1814">
        <v>0</v>
      </c>
      <c r="L70" s="97"/>
      <c r="M70" s="97"/>
      <c r="N70" s="97"/>
      <c r="O70" s="97"/>
    </row>
    <row r="71" spans="1:15">
      <c r="A71" s="130">
        <v>15</v>
      </c>
      <c r="B71" s="130" t="s">
        <v>206</v>
      </c>
      <c r="C71" s="811">
        <v>663</v>
      </c>
      <c r="D71" s="1816"/>
      <c r="E71" s="1815"/>
      <c r="F71" s="1814">
        <v>0</v>
      </c>
      <c r="G71" s="1814">
        <v>0</v>
      </c>
      <c r="H71" s="1814">
        <v>663</v>
      </c>
      <c r="I71" s="1814">
        <v>0</v>
      </c>
      <c r="J71" s="1814">
        <v>0</v>
      </c>
      <c r="K71" s="1814">
        <v>0</v>
      </c>
      <c r="L71" s="97"/>
      <c r="M71" s="97"/>
      <c r="N71" s="97"/>
      <c r="O71" s="97"/>
    </row>
    <row r="72" spans="1:15">
      <c r="A72" s="812">
        <v>16</v>
      </c>
      <c r="B72" s="812" t="s">
        <v>74</v>
      </c>
      <c r="C72" s="820">
        <v>1989</v>
      </c>
      <c r="D72" s="815"/>
      <c r="E72" s="814"/>
      <c r="F72" s="820">
        <v>0</v>
      </c>
      <c r="G72" s="820">
        <v>0</v>
      </c>
      <c r="H72" s="820">
        <v>1989</v>
      </c>
      <c r="I72" s="820">
        <v>0</v>
      </c>
      <c r="J72" s="820">
        <v>0</v>
      </c>
      <c r="K72" s="820">
        <v>0</v>
      </c>
      <c r="L72" s="1168"/>
      <c r="M72" s="1168"/>
      <c r="N72" s="1168"/>
      <c r="O72" s="1168"/>
    </row>
    <row r="73" spans="1:15" ht="15">
      <c r="A73" s="816">
        <v>17</v>
      </c>
      <c r="B73" s="816" t="s">
        <v>75</v>
      </c>
      <c r="C73" s="817">
        <v>7956</v>
      </c>
      <c r="D73" s="818"/>
      <c r="E73" s="819"/>
      <c r="F73" s="817">
        <v>0</v>
      </c>
      <c r="G73" s="817">
        <v>0</v>
      </c>
      <c r="H73" s="817">
        <f>H60+H64+H68+H72</f>
        <v>7956</v>
      </c>
      <c r="I73" s="817">
        <f>I60+I64+I68+I72</f>
        <v>0</v>
      </c>
      <c r="J73" s="817">
        <f>J60+J64+J68+J72</f>
        <v>0</v>
      </c>
      <c r="K73" s="817">
        <v>0</v>
      </c>
      <c r="L73" s="1169"/>
      <c r="M73" s="1169"/>
      <c r="N73" s="1169"/>
      <c r="O73" s="1169"/>
    </row>
    <row r="74" spans="1:15">
      <c r="A74" s="130"/>
      <c r="B74" s="130" t="s">
        <v>526</v>
      </c>
      <c r="C74" s="820">
        <v>663000</v>
      </c>
      <c r="D74" s="130"/>
      <c r="E74" s="130"/>
      <c r="F74" s="130"/>
      <c r="G74" s="130"/>
      <c r="H74" s="130"/>
      <c r="I74" s="821"/>
      <c r="J74" s="821"/>
      <c r="K74" s="821"/>
      <c r="L74" s="97"/>
      <c r="M74" s="97"/>
      <c r="N74" s="97"/>
      <c r="O74" s="97"/>
    </row>
    <row r="75" spans="1:15">
      <c r="C75" s="92"/>
    </row>
    <row r="76" spans="1:15">
      <c r="B76" s="105"/>
      <c r="C76" s="827"/>
      <c r="D76" s="97"/>
      <c r="L76" s="456"/>
    </row>
    <row r="77" spans="1:15" ht="14.25">
      <c r="B77" s="828"/>
      <c r="C77" s="828"/>
      <c r="D77" s="97"/>
    </row>
    <row r="78" spans="1:15" ht="14.25">
      <c r="B78" s="828"/>
      <c r="C78" s="828"/>
      <c r="D78" s="97"/>
    </row>
    <row r="79" spans="1:15">
      <c r="B79" s="97"/>
      <c r="C79" s="97"/>
      <c r="D79" s="97"/>
    </row>
    <row r="80" spans="1:15" ht="14.25">
      <c r="B80" s="828"/>
      <c r="C80" s="828"/>
      <c r="D80" s="97"/>
    </row>
    <row r="81" spans="2:4">
      <c r="B81" s="97"/>
      <c r="C81" s="97"/>
      <c r="D81" s="97"/>
    </row>
    <row r="82" spans="2:4">
      <c r="B82" s="97"/>
      <c r="C82" s="97"/>
      <c r="D82" s="97"/>
    </row>
    <row r="83" spans="2:4">
      <c r="B83" s="97"/>
      <c r="C83" s="97"/>
      <c r="D83" s="97"/>
    </row>
  </sheetData>
  <mergeCells count="1">
    <mergeCell ref="D29:K29"/>
  </mergeCells>
  <phoneticPr fontId="77" type="noConversion"/>
  <pageMargins left="0.17" right="0.17" top="0.17" bottom="0.17" header="0.17" footer="0.17"/>
  <pageSetup scale="7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0"/>
  <sheetViews>
    <sheetView zoomScale="75" zoomScaleNormal="75" zoomScaleSheetLayoutView="75" workbookViewId="0">
      <pane ySplit="5" topLeftCell="A93" activePane="bottomLeft" state="frozen"/>
      <selection pane="bottomLeft" activeCell="M131" sqref="M131"/>
    </sheetView>
  </sheetViews>
  <sheetFormatPr defaultRowHeight="12.75"/>
  <cols>
    <col min="1" max="1" width="39.28515625" customWidth="1"/>
    <col min="2" max="14" width="14.28515625" bestFit="1" customWidth="1"/>
    <col min="15" max="15" width="19.140625" bestFit="1" customWidth="1"/>
    <col min="16" max="17" width="1.5703125" customWidth="1"/>
    <col min="18" max="18" width="69.5703125" customWidth="1"/>
  </cols>
  <sheetData>
    <row r="1" spans="1:16" ht="15.75">
      <c r="A1" s="1" t="s">
        <v>697</v>
      </c>
    </row>
    <row r="3" spans="1:16">
      <c r="B3" s="848"/>
      <c r="C3" s="848"/>
      <c r="D3" s="848"/>
      <c r="E3" s="848"/>
      <c r="F3" s="848"/>
      <c r="G3" s="848"/>
      <c r="H3" s="848"/>
      <c r="I3" s="848"/>
      <c r="J3" s="848"/>
      <c r="K3" s="848"/>
      <c r="L3" s="848"/>
      <c r="M3" s="848"/>
      <c r="N3" s="848"/>
    </row>
    <row r="4" spans="1:16">
      <c r="A4" s="849" t="s">
        <v>686</v>
      </c>
    </row>
    <row r="5" spans="1:16" ht="15">
      <c r="A5" s="805" t="s">
        <v>521</v>
      </c>
      <c r="B5" s="1498">
        <v>41609</v>
      </c>
      <c r="C5" s="1498">
        <v>41640</v>
      </c>
      <c r="D5" s="1498">
        <v>41671</v>
      </c>
      <c r="E5" s="1498">
        <v>41699</v>
      </c>
      <c r="F5" s="1498">
        <v>41730</v>
      </c>
      <c r="G5" s="1498">
        <v>41760</v>
      </c>
      <c r="H5" s="1498">
        <v>41791</v>
      </c>
      <c r="I5" s="1498">
        <v>41821</v>
      </c>
      <c r="J5" s="1498">
        <v>41852</v>
      </c>
      <c r="K5" s="1498">
        <v>41883</v>
      </c>
      <c r="L5" s="1498">
        <v>41913</v>
      </c>
      <c r="M5" s="1498">
        <v>41944</v>
      </c>
      <c r="N5" s="1498">
        <v>41974</v>
      </c>
      <c r="O5" s="1499" t="s">
        <v>91</v>
      </c>
    </row>
    <row r="6" spans="1:16">
      <c r="A6" s="216" t="s">
        <v>1236</v>
      </c>
      <c r="B6" s="1869">
        <v>1574</v>
      </c>
      <c r="C6" s="1870">
        <v>2036</v>
      </c>
      <c r="D6" s="1870">
        <v>1598</v>
      </c>
      <c r="E6" s="1870">
        <v>1598</v>
      </c>
      <c r="F6" s="1870">
        <v>1598</v>
      </c>
      <c r="G6" s="1870">
        <v>1597</v>
      </c>
      <c r="H6" s="1870">
        <v>1597</v>
      </c>
      <c r="I6" s="1870">
        <v>1597</v>
      </c>
      <c r="J6" s="1870">
        <v>1597</v>
      </c>
      <c r="K6" s="1870">
        <v>1597</v>
      </c>
      <c r="L6" s="1870">
        <v>1597</v>
      </c>
      <c r="M6" s="1870">
        <v>1597</v>
      </c>
      <c r="N6" s="1870">
        <v>1597</v>
      </c>
      <c r="O6" s="1870">
        <v>1632459</v>
      </c>
      <c r="P6" s="97"/>
    </row>
    <row r="7" spans="1:16">
      <c r="A7" s="216" t="s">
        <v>581</v>
      </c>
      <c r="B7" s="1869">
        <v>1400</v>
      </c>
      <c r="C7" s="1870">
        <v>1400</v>
      </c>
      <c r="D7" s="1870">
        <v>1838</v>
      </c>
      <c r="E7" s="1870">
        <v>1838</v>
      </c>
      <c r="F7" s="1870">
        <v>1838</v>
      </c>
      <c r="G7" s="1870">
        <v>1838</v>
      </c>
      <c r="H7" s="1870">
        <v>1838</v>
      </c>
      <c r="I7" s="1870">
        <v>1838</v>
      </c>
      <c r="J7" s="1870">
        <v>1838</v>
      </c>
      <c r="K7" s="1870">
        <v>1838</v>
      </c>
      <c r="L7" s="1870">
        <v>1838</v>
      </c>
      <c r="M7" s="1870">
        <v>1838</v>
      </c>
      <c r="N7" s="1870">
        <v>1838</v>
      </c>
      <c r="O7" s="1870">
        <v>1782950</v>
      </c>
      <c r="P7" s="660"/>
    </row>
    <row r="8" spans="1:16">
      <c r="A8" s="216" t="s">
        <v>584</v>
      </c>
      <c r="B8" s="1869">
        <v>31</v>
      </c>
      <c r="C8" s="1870">
        <v>31</v>
      </c>
      <c r="D8" s="1870">
        <v>31</v>
      </c>
      <c r="E8" s="1870">
        <v>31</v>
      </c>
      <c r="F8" s="1870">
        <v>31</v>
      </c>
      <c r="G8" s="1870">
        <v>31</v>
      </c>
      <c r="H8" s="1870">
        <v>31</v>
      </c>
      <c r="I8" s="1870">
        <v>31</v>
      </c>
      <c r="J8" s="1870">
        <v>31</v>
      </c>
      <c r="K8" s="1870">
        <v>31</v>
      </c>
      <c r="L8" s="1870">
        <v>31</v>
      </c>
      <c r="M8" s="1870">
        <v>31</v>
      </c>
      <c r="N8" s="1870">
        <v>31</v>
      </c>
      <c r="O8" s="1870">
        <v>30604</v>
      </c>
      <c r="P8" s="97"/>
    </row>
    <row r="9" spans="1:16">
      <c r="A9" s="216" t="s">
        <v>585</v>
      </c>
      <c r="B9" s="1869">
        <v>52</v>
      </c>
      <c r="C9" s="1870">
        <v>52</v>
      </c>
      <c r="D9" s="1870">
        <v>52</v>
      </c>
      <c r="E9" s="1870">
        <v>52</v>
      </c>
      <c r="F9" s="1870">
        <v>52</v>
      </c>
      <c r="G9" s="1870">
        <v>52</v>
      </c>
      <c r="H9" s="1870">
        <v>52</v>
      </c>
      <c r="I9" s="1870">
        <v>52</v>
      </c>
      <c r="J9" s="1870">
        <v>52</v>
      </c>
      <c r="K9" s="1870">
        <v>52</v>
      </c>
      <c r="L9" s="1870">
        <v>52</v>
      </c>
      <c r="M9" s="1870">
        <v>52</v>
      </c>
      <c r="N9" s="1870">
        <v>52</v>
      </c>
      <c r="O9" s="1870">
        <v>52087</v>
      </c>
      <c r="P9" s="97"/>
    </row>
    <row r="10" spans="1:16">
      <c r="A10" s="216" t="s">
        <v>1237</v>
      </c>
      <c r="B10" s="1869">
        <v>279</v>
      </c>
      <c r="C10" s="1870">
        <v>1365</v>
      </c>
      <c r="D10" s="1870">
        <v>1391</v>
      </c>
      <c r="E10" s="1870">
        <v>1368</v>
      </c>
      <c r="F10" s="1870">
        <v>279</v>
      </c>
      <c r="G10" s="1870">
        <v>279</v>
      </c>
      <c r="H10" s="1870">
        <v>279</v>
      </c>
      <c r="I10" s="1870">
        <v>279</v>
      </c>
      <c r="J10" s="1870">
        <v>279</v>
      </c>
      <c r="K10" s="1870">
        <v>279</v>
      </c>
      <c r="L10" s="1870">
        <v>279</v>
      </c>
      <c r="M10" s="1870">
        <v>279</v>
      </c>
      <c r="N10" s="1870">
        <v>279</v>
      </c>
      <c r="O10" s="1870">
        <v>552776</v>
      </c>
      <c r="P10" s="97"/>
    </row>
    <row r="11" spans="1:16">
      <c r="A11" s="216" t="s">
        <v>586</v>
      </c>
      <c r="B11" s="1869">
        <v>3877</v>
      </c>
      <c r="C11" s="1870">
        <v>3877</v>
      </c>
      <c r="D11" s="1870">
        <v>3877</v>
      </c>
      <c r="E11" s="1870">
        <v>3877</v>
      </c>
      <c r="F11" s="1870">
        <v>4967</v>
      </c>
      <c r="G11" s="1870">
        <v>4967</v>
      </c>
      <c r="H11" s="1870">
        <v>4967</v>
      </c>
      <c r="I11" s="1870">
        <v>4967</v>
      </c>
      <c r="J11" s="1870">
        <v>4967</v>
      </c>
      <c r="K11" s="1870">
        <v>4967</v>
      </c>
      <c r="L11" s="1870">
        <v>5616</v>
      </c>
      <c r="M11" s="1870">
        <v>5616</v>
      </c>
      <c r="N11" s="1870">
        <v>8319</v>
      </c>
      <c r="O11" s="1870">
        <v>4896941</v>
      </c>
      <c r="P11" s="97"/>
    </row>
    <row r="12" spans="1:16">
      <c r="A12" s="216" t="s">
        <v>515</v>
      </c>
      <c r="B12" s="1869">
        <v>2207</v>
      </c>
      <c r="C12" s="1870">
        <v>2207</v>
      </c>
      <c r="D12" s="1870">
        <v>2232</v>
      </c>
      <c r="E12" s="1870">
        <v>2451</v>
      </c>
      <c r="F12" s="1870">
        <v>2454</v>
      </c>
      <c r="G12" s="1870">
        <v>2455</v>
      </c>
      <c r="H12" s="1870">
        <v>2455</v>
      </c>
      <c r="I12" s="1870">
        <v>2420</v>
      </c>
      <c r="J12" s="1870">
        <v>2420</v>
      </c>
      <c r="K12" s="1870">
        <v>2420</v>
      </c>
      <c r="L12" s="1870">
        <v>2420</v>
      </c>
      <c r="M12" s="1870">
        <v>2420</v>
      </c>
      <c r="N12" s="1870">
        <v>2420</v>
      </c>
      <c r="O12" s="1870">
        <v>2389027</v>
      </c>
      <c r="P12" s="97"/>
    </row>
    <row r="13" spans="1:16">
      <c r="A13" s="216" t="s">
        <v>1238</v>
      </c>
      <c r="B13" s="1869">
        <v>157</v>
      </c>
      <c r="C13" s="1870">
        <v>157</v>
      </c>
      <c r="D13" s="1870">
        <v>157</v>
      </c>
      <c r="E13" s="1870">
        <v>157</v>
      </c>
      <c r="F13" s="1870">
        <v>157</v>
      </c>
      <c r="G13" s="1870">
        <v>157</v>
      </c>
      <c r="H13" s="1870">
        <v>157</v>
      </c>
      <c r="I13" s="1870">
        <v>157</v>
      </c>
      <c r="J13" s="1870">
        <v>157</v>
      </c>
      <c r="K13" s="1870">
        <v>157</v>
      </c>
      <c r="L13" s="1870">
        <v>157</v>
      </c>
      <c r="M13" s="1870">
        <v>157</v>
      </c>
      <c r="N13" s="1870">
        <v>157</v>
      </c>
      <c r="O13" s="1870">
        <v>156576</v>
      </c>
      <c r="P13" s="97"/>
    </row>
    <row r="14" spans="1:16">
      <c r="A14" s="216" t="s">
        <v>589</v>
      </c>
      <c r="B14" s="1869">
        <v>20312</v>
      </c>
      <c r="C14" s="1870">
        <v>20312</v>
      </c>
      <c r="D14" s="1870">
        <v>20312</v>
      </c>
      <c r="E14" s="1870">
        <v>20312</v>
      </c>
      <c r="F14" s="1870">
        <v>20312</v>
      </c>
      <c r="G14" s="1870">
        <v>20312</v>
      </c>
      <c r="H14" s="1870">
        <v>20312</v>
      </c>
      <c r="I14" s="1870">
        <v>20312</v>
      </c>
      <c r="J14" s="1870">
        <v>20312</v>
      </c>
      <c r="K14" s="1870">
        <v>20312</v>
      </c>
      <c r="L14" s="1870">
        <v>20312</v>
      </c>
      <c r="M14" s="1870">
        <v>20312</v>
      </c>
      <c r="N14" s="1870">
        <v>20312</v>
      </c>
      <c r="O14" s="1870">
        <v>20311643</v>
      </c>
      <c r="P14" s="97"/>
    </row>
    <row r="15" spans="1:16">
      <c r="A15" s="422" t="s">
        <v>1368</v>
      </c>
      <c r="B15" s="1869">
        <v>70</v>
      </c>
      <c r="C15" s="1870">
        <v>70</v>
      </c>
      <c r="D15" s="1870">
        <v>70</v>
      </c>
      <c r="E15" s="1870">
        <v>70</v>
      </c>
      <c r="F15" s="1870">
        <v>70</v>
      </c>
      <c r="G15" s="1870">
        <v>70</v>
      </c>
      <c r="H15" s="1870">
        <v>70</v>
      </c>
      <c r="I15" s="1870">
        <v>70</v>
      </c>
      <c r="J15" s="1870">
        <v>70</v>
      </c>
      <c r="K15" s="1870">
        <v>70</v>
      </c>
      <c r="L15" s="1870">
        <v>70</v>
      </c>
      <c r="M15" s="1870">
        <v>70</v>
      </c>
      <c r="N15" s="1870">
        <v>70</v>
      </c>
      <c r="O15" s="1870">
        <v>69900</v>
      </c>
      <c r="P15" s="97"/>
    </row>
    <row r="16" spans="1:16">
      <c r="A16" s="422" t="s">
        <v>1368</v>
      </c>
      <c r="B16" s="1869">
        <v>57</v>
      </c>
      <c r="C16" s="1870">
        <v>57</v>
      </c>
      <c r="D16" s="1870">
        <v>57</v>
      </c>
      <c r="E16" s="1870">
        <v>57</v>
      </c>
      <c r="F16" s="1870">
        <v>57</v>
      </c>
      <c r="G16" s="1870">
        <v>57</v>
      </c>
      <c r="H16" s="1870">
        <v>57</v>
      </c>
      <c r="I16" s="1870">
        <v>57</v>
      </c>
      <c r="J16" s="1870">
        <v>57</v>
      </c>
      <c r="K16" s="1870">
        <v>57</v>
      </c>
      <c r="L16" s="1870">
        <v>57</v>
      </c>
      <c r="M16" s="1870">
        <v>57</v>
      </c>
      <c r="N16" s="1870">
        <v>57</v>
      </c>
      <c r="O16" s="1870">
        <v>56577</v>
      </c>
      <c r="P16" s="97"/>
    </row>
    <row r="17" spans="1:16">
      <c r="A17" s="216" t="s">
        <v>516</v>
      </c>
      <c r="B17" s="1869">
        <v>4482</v>
      </c>
      <c r="C17" s="1870">
        <v>4485</v>
      </c>
      <c r="D17" s="1870">
        <v>8243</v>
      </c>
      <c r="E17" s="1870">
        <v>8243</v>
      </c>
      <c r="F17" s="1870">
        <v>8246</v>
      </c>
      <c r="G17" s="1870">
        <v>8246</v>
      </c>
      <c r="H17" s="1870">
        <v>8248</v>
      </c>
      <c r="I17" s="1870">
        <v>8251</v>
      </c>
      <c r="J17" s="1870">
        <v>8252</v>
      </c>
      <c r="K17" s="1870">
        <v>8252</v>
      </c>
      <c r="L17" s="1870">
        <v>8253</v>
      </c>
      <c r="M17" s="1870">
        <v>8254</v>
      </c>
      <c r="N17" s="1870">
        <v>8303</v>
      </c>
      <c r="O17" s="1870">
        <v>7780458</v>
      </c>
      <c r="P17" s="97"/>
    </row>
    <row r="18" spans="1:16">
      <c r="A18" s="216" t="s">
        <v>1239</v>
      </c>
      <c r="B18" s="1869">
        <v>1786</v>
      </c>
      <c r="C18" s="1870">
        <v>1786</v>
      </c>
      <c r="D18" s="1870">
        <v>1786</v>
      </c>
      <c r="E18" s="1870">
        <v>1786</v>
      </c>
      <c r="F18" s="1870">
        <v>1786</v>
      </c>
      <c r="G18" s="1870">
        <v>1786</v>
      </c>
      <c r="H18" s="1870">
        <v>1786</v>
      </c>
      <c r="I18" s="1870">
        <v>1786</v>
      </c>
      <c r="J18" s="1870">
        <v>1786</v>
      </c>
      <c r="K18" s="1870">
        <v>1786</v>
      </c>
      <c r="L18" s="1870">
        <v>1786</v>
      </c>
      <c r="M18" s="1870">
        <v>1786</v>
      </c>
      <c r="N18" s="1870">
        <v>1786</v>
      </c>
      <c r="O18" s="1870">
        <v>1785975</v>
      </c>
      <c r="P18" s="97"/>
    </row>
    <row r="19" spans="1:16">
      <c r="A19" s="216" t="s">
        <v>590</v>
      </c>
      <c r="B19" s="1869">
        <v>18687</v>
      </c>
      <c r="C19" s="1870">
        <v>18687</v>
      </c>
      <c r="D19" s="1870">
        <v>18687</v>
      </c>
      <c r="E19" s="1870">
        <v>18687</v>
      </c>
      <c r="F19" s="1870">
        <v>18687</v>
      </c>
      <c r="G19" s="1870">
        <v>18687</v>
      </c>
      <c r="H19" s="1870">
        <v>18687</v>
      </c>
      <c r="I19" s="1870">
        <v>18687</v>
      </c>
      <c r="J19" s="1870">
        <v>18687</v>
      </c>
      <c r="K19" s="1870">
        <v>18687</v>
      </c>
      <c r="L19" s="1870">
        <v>18684</v>
      </c>
      <c r="M19" s="1870">
        <v>18684</v>
      </c>
      <c r="N19" s="1870">
        <v>11056</v>
      </c>
      <c r="O19" s="1870">
        <v>18368328</v>
      </c>
      <c r="P19" s="97"/>
    </row>
    <row r="20" spans="1:16">
      <c r="A20" s="216" t="s">
        <v>593</v>
      </c>
      <c r="B20" s="1869">
        <v>753</v>
      </c>
      <c r="C20" s="1870">
        <v>753</v>
      </c>
      <c r="D20" s="1870">
        <v>753</v>
      </c>
      <c r="E20" s="1870">
        <v>753</v>
      </c>
      <c r="F20" s="1870">
        <v>753</v>
      </c>
      <c r="G20" s="1870">
        <v>798</v>
      </c>
      <c r="H20" s="1870">
        <v>798</v>
      </c>
      <c r="I20" s="1870">
        <v>1550</v>
      </c>
      <c r="J20" s="1870">
        <v>2049</v>
      </c>
      <c r="K20" s="1870">
        <v>2049</v>
      </c>
      <c r="L20" s="1870">
        <v>2050</v>
      </c>
      <c r="M20" s="1870">
        <v>2050</v>
      </c>
      <c r="N20" s="1870">
        <v>2054</v>
      </c>
      <c r="O20" s="1870">
        <v>1313414</v>
      </c>
      <c r="P20" s="97"/>
    </row>
    <row r="21" spans="1:16">
      <c r="A21" s="216" t="s">
        <v>517</v>
      </c>
      <c r="B21" s="1869">
        <v>6224</v>
      </c>
      <c r="C21" s="1870">
        <v>6228</v>
      </c>
      <c r="D21" s="1870">
        <v>2471</v>
      </c>
      <c r="E21" s="1870">
        <v>2471</v>
      </c>
      <c r="F21" s="1870">
        <v>2472</v>
      </c>
      <c r="G21" s="1870">
        <v>2472</v>
      </c>
      <c r="H21" s="1870">
        <v>2472</v>
      </c>
      <c r="I21" s="1870">
        <v>2473</v>
      </c>
      <c r="J21" s="1870">
        <v>2473</v>
      </c>
      <c r="K21" s="1870">
        <v>2473</v>
      </c>
      <c r="L21" s="1870">
        <v>2473</v>
      </c>
      <c r="M21" s="1870">
        <v>2473</v>
      </c>
      <c r="N21" s="1870">
        <v>2473</v>
      </c>
      <c r="O21" s="1870">
        <v>2941623</v>
      </c>
      <c r="P21" s="97"/>
    </row>
    <row r="22" spans="1:16">
      <c r="A22" s="216" t="s">
        <v>594</v>
      </c>
      <c r="B22" s="1869">
        <v>2339</v>
      </c>
      <c r="C22" s="1870">
        <v>2339</v>
      </c>
      <c r="D22" s="1870">
        <v>2339</v>
      </c>
      <c r="E22" s="1870">
        <v>2339</v>
      </c>
      <c r="F22" s="1870">
        <v>2339</v>
      </c>
      <c r="G22" s="1870">
        <v>2339</v>
      </c>
      <c r="H22" s="1870">
        <v>2339</v>
      </c>
      <c r="I22" s="1870">
        <v>2339</v>
      </c>
      <c r="J22" s="1870">
        <v>2339</v>
      </c>
      <c r="K22" s="1870">
        <v>2339</v>
      </c>
      <c r="L22" s="1870">
        <v>2339</v>
      </c>
      <c r="M22" s="1870">
        <v>2339</v>
      </c>
      <c r="N22" s="1870">
        <v>2339</v>
      </c>
      <c r="O22" s="1870">
        <v>2339417</v>
      </c>
      <c r="P22" s="97"/>
    </row>
    <row r="23" spans="1:16">
      <c r="A23" s="422" t="s">
        <v>1369</v>
      </c>
      <c r="B23" s="1869">
        <v>3451</v>
      </c>
      <c r="C23" s="1870">
        <v>3451</v>
      </c>
      <c r="D23" s="1870">
        <v>3449</v>
      </c>
      <c r="E23" s="1870">
        <v>3449</v>
      </c>
      <c r="F23" s="1870">
        <v>3449</v>
      </c>
      <c r="G23" s="1870">
        <v>3449</v>
      </c>
      <c r="H23" s="1870">
        <v>3449</v>
      </c>
      <c r="I23" s="1870">
        <v>3461</v>
      </c>
      <c r="J23" s="1870">
        <v>3427</v>
      </c>
      <c r="K23" s="1870">
        <v>3427</v>
      </c>
      <c r="L23" s="1870">
        <v>3427</v>
      </c>
      <c r="M23" s="1870">
        <v>3427</v>
      </c>
      <c r="N23" s="1870">
        <v>3427</v>
      </c>
      <c r="O23" s="1870">
        <v>3441968</v>
      </c>
      <c r="P23" s="97"/>
    </row>
    <row r="24" spans="1:16">
      <c r="A24" s="216" t="s">
        <v>596</v>
      </c>
      <c r="B24" s="1869">
        <v>4293</v>
      </c>
      <c r="C24" s="1870">
        <v>4293</v>
      </c>
      <c r="D24" s="1870">
        <v>4293</v>
      </c>
      <c r="E24" s="1870">
        <v>4293</v>
      </c>
      <c r="F24" s="1870">
        <v>4293</v>
      </c>
      <c r="G24" s="1870">
        <v>4293</v>
      </c>
      <c r="H24" s="1870">
        <v>4293</v>
      </c>
      <c r="I24" s="1870">
        <v>4293</v>
      </c>
      <c r="J24" s="1870">
        <v>4293</v>
      </c>
      <c r="K24" s="1870">
        <v>4293</v>
      </c>
      <c r="L24" s="1870">
        <v>4293</v>
      </c>
      <c r="M24" s="1870">
        <v>4293</v>
      </c>
      <c r="N24" s="1870">
        <v>4293</v>
      </c>
      <c r="O24" s="1870">
        <v>4292698</v>
      </c>
      <c r="P24" s="97"/>
    </row>
    <row r="25" spans="1:16">
      <c r="A25" s="216" t="s">
        <v>597</v>
      </c>
      <c r="B25" s="1869">
        <v>141949</v>
      </c>
      <c r="C25" s="1870">
        <v>136827</v>
      </c>
      <c r="D25" s="1870">
        <v>134400</v>
      </c>
      <c r="E25" s="1870">
        <v>135600</v>
      </c>
      <c r="F25" s="1870">
        <v>137704</v>
      </c>
      <c r="G25" s="1870">
        <v>138158</v>
      </c>
      <c r="H25" s="1870">
        <v>139361</v>
      </c>
      <c r="I25" s="1870">
        <v>159381</v>
      </c>
      <c r="J25" s="1870">
        <v>159355</v>
      </c>
      <c r="K25" s="1870">
        <v>160667</v>
      </c>
      <c r="L25" s="1870">
        <v>161008</v>
      </c>
      <c r="M25" s="1870">
        <v>161361</v>
      </c>
      <c r="N25" s="1870">
        <v>172477</v>
      </c>
      <c r="O25" s="1870">
        <v>148419646</v>
      </c>
      <c r="P25" s="97"/>
    </row>
    <row r="26" spans="1:16">
      <c r="A26" s="216" t="s">
        <v>1356</v>
      </c>
      <c r="B26" s="1869">
        <v>0</v>
      </c>
      <c r="C26" s="1870">
        <v>0</v>
      </c>
      <c r="D26" s="1870">
        <v>0</v>
      </c>
      <c r="E26" s="1870">
        <v>0</v>
      </c>
      <c r="F26" s="1870">
        <v>0</v>
      </c>
      <c r="G26" s="1870">
        <v>0</v>
      </c>
      <c r="H26" s="1870">
        <v>0</v>
      </c>
      <c r="I26" s="1870">
        <v>548</v>
      </c>
      <c r="J26" s="1870">
        <v>548</v>
      </c>
      <c r="K26" s="1870">
        <v>548</v>
      </c>
      <c r="L26" s="1870">
        <v>553</v>
      </c>
      <c r="M26" s="1870">
        <v>554</v>
      </c>
      <c r="N26" s="1870">
        <v>554</v>
      </c>
      <c r="O26" s="1870">
        <v>252430</v>
      </c>
      <c r="P26" s="97"/>
    </row>
    <row r="27" spans="1:16">
      <c r="A27" s="216" t="s">
        <v>598</v>
      </c>
      <c r="B27" s="1869">
        <v>4275</v>
      </c>
      <c r="C27" s="1870">
        <v>4275</v>
      </c>
      <c r="D27" s="1870">
        <v>4275</v>
      </c>
      <c r="E27" s="1870">
        <v>4275</v>
      </c>
      <c r="F27" s="1870">
        <v>4275</v>
      </c>
      <c r="G27" s="1870">
        <v>4275</v>
      </c>
      <c r="H27" s="1870">
        <v>4275</v>
      </c>
      <c r="I27" s="1870">
        <v>4275</v>
      </c>
      <c r="J27" s="1870">
        <v>4275</v>
      </c>
      <c r="K27" s="1870">
        <v>4275</v>
      </c>
      <c r="L27" s="1870">
        <v>4275</v>
      </c>
      <c r="M27" s="1870">
        <v>4275</v>
      </c>
      <c r="N27" s="1870">
        <v>4275</v>
      </c>
      <c r="O27" s="1870">
        <v>4275337</v>
      </c>
      <c r="P27" s="97"/>
    </row>
    <row r="28" spans="1:16">
      <c r="A28" s="216" t="s">
        <v>599</v>
      </c>
      <c r="B28" s="1869">
        <v>795</v>
      </c>
      <c r="C28" s="1870">
        <v>795</v>
      </c>
      <c r="D28" s="1870">
        <v>795</v>
      </c>
      <c r="E28" s="1870">
        <v>795</v>
      </c>
      <c r="F28" s="1870">
        <v>795</v>
      </c>
      <c r="G28" s="1870">
        <v>795</v>
      </c>
      <c r="H28" s="1870">
        <v>795</v>
      </c>
      <c r="I28" s="1870">
        <v>795</v>
      </c>
      <c r="J28" s="1870">
        <v>795</v>
      </c>
      <c r="K28" s="1870">
        <v>795</v>
      </c>
      <c r="L28" s="1870">
        <v>795</v>
      </c>
      <c r="M28" s="1870">
        <v>795</v>
      </c>
      <c r="N28" s="1870">
        <v>795</v>
      </c>
      <c r="O28" s="1870">
        <v>795330</v>
      </c>
      <c r="P28" s="97"/>
    </row>
    <row r="29" spans="1:16">
      <c r="A29" s="216" t="s">
        <v>600</v>
      </c>
      <c r="B29" s="1869">
        <v>1</v>
      </c>
      <c r="C29" s="1870">
        <v>1</v>
      </c>
      <c r="D29" s="1870">
        <v>1</v>
      </c>
      <c r="E29" s="1870">
        <v>1</v>
      </c>
      <c r="F29" s="1870">
        <v>1</v>
      </c>
      <c r="G29" s="1870">
        <v>1</v>
      </c>
      <c r="H29" s="1870">
        <v>1</v>
      </c>
      <c r="I29" s="1870">
        <v>1</v>
      </c>
      <c r="J29" s="1870">
        <v>1</v>
      </c>
      <c r="K29" s="1870">
        <v>0</v>
      </c>
      <c r="L29" s="1870">
        <v>0</v>
      </c>
      <c r="M29" s="1870">
        <v>0</v>
      </c>
      <c r="N29" s="1870">
        <v>0</v>
      </c>
      <c r="O29" s="1870">
        <v>617</v>
      </c>
      <c r="P29" s="97"/>
    </row>
    <row r="30" spans="1:16">
      <c r="A30" s="216" t="s">
        <v>601</v>
      </c>
      <c r="B30" s="1869">
        <v>202435</v>
      </c>
      <c r="C30" s="1870">
        <v>201951</v>
      </c>
      <c r="D30" s="1870">
        <v>201706</v>
      </c>
      <c r="E30" s="1870">
        <v>200304</v>
      </c>
      <c r="F30" s="1870">
        <v>200293</v>
      </c>
      <c r="G30" s="1870">
        <v>200257</v>
      </c>
      <c r="H30" s="1870">
        <v>200258</v>
      </c>
      <c r="I30" s="1870">
        <v>200259</v>
      </c>
      <c r="J30" s="1870">
        <v>199246</v>
      </c>
      <c r="K30" s="1870">
        <v>198784</v>
      </c>
      <c r="L30" s="1870">
        <v>198743</v>
      </c>
      <c r="M30" s="1870">
        <v>198674</v>
      </c>
      <c r="N30" s="1870">
        <v>198431</v>
      </c>
      <c r="O30" s="1870">
        <v>200075597</v>
      </c>
      <c r="P30" s="97"/>
    </row>
    <row r="31" spans="1:16">
      <c r="A31" s="216" t="s">
        <v>602</v>
      </c>
      <c r="B31" s="1869">
        <v>26963</v>
      </c>
      <c r="C31" s="1870">
        <v>26963</v>
      </c>
      <c r="D31" s="1870">
        <v>26963</v>
      </c>
      <c r="E31" s="1870">
        <v>26963</v>
      </c>
      <c r="F31" s="1870">
        <v>26963</v>
      </c>
      <c r="G31" s="1870">
        <v>26963</v>
      </c>
      <c r="H31" s="1870">
        <v>26963</v>
      </c>
      <c r="I31" s="1870">
        <v>26963</v>
      </c>
      <c r="J31" s="1870">
        <v>26963</v>
      </c>
      <c r="K31" s="1870">
        <v>26963</v>
      </c>
      <c r="L31" s="1870">
        <v>26963</v>
      </c>
      <c r="M31" s="1870">
        <v>26963</v>
      </c>
      <c r="N31" s="1870">
        <v>26963</v>
      </c>
      <c r="O31" s="1870">
        <v>26962905</v>
      </c>
      <c r="P31" s="97"/>
    </row>
    <row r="32" spans="1:16">
      <c r="A32" s="216" t="s">
        <v>606</v>
      </c>
      <c r="B32" s="1869">
        <v>5744</v>
      </c>
      <c r="C32" s="1870">
        <v>5744</v>
      </c>
      <c r="D32" s="1870">
        <v>5744</v>
      </c>
      <c r="E32" s="1870">
        <v>5744</v>
      </c>
      <c r="F32" s="1870">
        <v>5744</v>
      </c>
      <c r="G32" s="1870">
        <v>5744</v>
      </c>
      <c r="H32" s="1870">
        <v>5744</v>
      </c>
      <c r="I32" s="1870">
        <v>5744</v>
      </c>
      <c r="J32" s="1870">
        <v>5744</v>
      </c>
      <c r="K32" s="1870">
        <v>5744</v>
      </c>
      <c r="L32" s="1870">
        <v>5744</v>
      </c>
      <c r="M32" s="1870">
        <v>5744</v>
      </c>
      <c r="N32" s="1870">
        <v>5744</v>
      </c>
      <c r="O32" s="1870">
        <v>5744097</v>
      </c>
      <c r="P32" s="97"/>
    </row>
    <row r="33" spans="1:16">
      <c r="A33" s="216" t="s">
        <v>607</v>
      </c>
      <c r="B33" s="1869">
        <v>1510</v>
      </c>
      <c r="C33" s="1870">
        <v>1510</v>
      </c>
      <c r="D33" s="1870">
        <v>1510</v>
      </c>
      <c r="E33" s="1870">
        <v>1510</v>
      </c>
      <c r="F33" s="1870">
        <v>1510</v>
      </c>
      <c r="G33" s="1870">
        <v>1510</v>
      </c>
      <c r="H33" s="1870">
        <v>1510</v>
      </c>
      <c r="I33" s="1870">
        <v>1511</v>
      </c>
      <c r="J33" s="1870">
        <v>1511</v>
      </c>
      <c r="K33" s="1870">
        <v>1511</v>
      </c>
      <c r="L33" s="1870">
        <v>1511</v>
      </c>
      <c r="M33" s="1870">
        <v>1511</v>
      </c>
      <c r="N33" s="1870">
        <v>1511</v>
      </c>
      <c r="O33" s="1870">
        <v>1510784</v>
      </c>
      <c r="P33" s="97"/>
    </row>
    <row r="34" spans="1:16">
      <c r="A34" s="216" t="s">
        <v>608</v>
      </c>
      <c r="B34" s="1869">
        <v>59331</v>
      </c>
      <c r="C34" s="1870">
        <v>58462</v>
      </c>
      <c r="D34" s="1870">
        <v>58462</v>
      </c>
      <c r="E34" s="1870">
        <v>58454</v>
      </c>
      <c r="F34" s="1870">
        <v>58455</v>
      </c>
      <c r="G34" s="1870">
        <v>58905</v>
      </c>
      <c r="H34" s="1870">
        <v>58565</v>
      </c>
      <c r="I34" s="1870">
        <v>77155</v>
      </c>
      <c r="J34" s="1870">
        <v>77870</v>
      </c>
      <c r="K34" s="1870">
        <v>74355</v>
      </c>
      <c r="L34" s="1870">
        <v>74432</v>
      </c>
      <c r="M34" s="1870">
        <v>74587</v>
      </c>
      <c r="N34" s="1870">
        <v>79974</v>
      </c>
      <c r="O34" s="1870">
        <v>66612686</v>
      </c>
      <c r="P34" s="97"/>
    </row>
    <row r="35" spans="1:16">
      <c r="A35" s="216" t="s">
        <v>610</v>
      </c>
      <c r="B35" s="1869">
        <v>3517</v>
      </c>
      <c r="C35" s="1870">
        <v>3517</v>
      </c>
      <c r="D35" s="1870">
        <v>3517</v>
      </c>
      <c r="E35" s="1870">
        <v>3517</v>
      </c>
      <c r="F35" s="1870">
        <v>3517</v>
      </c>
      <c r="G35" s="1870">
        <v>3517</v>
      </c>
      <c r="H35" s="1870">
        <v>3517</v>
      </c>
      <c r="I35" s="1870">
        <v>3517</v>
      </c>
      <c r="J35" s="1870">
        <v>3517</v>
      </c>
      <c r="K35" s="1870">
        <v>3517</v>
      </c>
      <c r="L35" s="1870">
        <v>3517</v>
      </c>
      <c r="M35" s="1870">
        <v>3517</v>
      </c>
      <c r="N35" s="1870">
        <v>3517</v>
      </c>
      <c r="O35" s="1870">
        <v>3516565</v>
      </c>
      <c r="P35" s="97"/>
    </row>
    <row r="36" spans="1:16">
      <c r="A36" s="422" t="s">
        <v>1370</v>
      </c>
      <c r="B36" s="1869">
        <v>861</v>
      </c>
      <c r="C36" s="1870">
        <v>861</v>
      </c>
      <c r="D36" s="1870">
        <v>861</v>
      </c>
      <c r="E36" s="1870">
        <v>861</v>
      </c>
      <c r="F36" s="1870">
        <v>861</v>
      </c>
      <c r="G36" s="1870">
        <v>861</v>
      </c>
      <c r="H36" s="1870">
        <v>861</v>
      </c>
      <c r="I36" s="1870">
        <v>881</v>
      </c>
      <c r="J36" s="1870">
        <v>821</v>
      </c>
      <c r="K36" s="1870">
        <v>821</v>
      </c>
      <c r="L36" s="1870">
        <v>821</v>
      </c>
      <c r="M36" s="1870">
        <v>821</v>
      </c>
      <c r="N36" s="1870">
        <v>821</v>
      </c>
      <c r="O36" s="1870">
        <v>847615</v>
      </c>
      <c r="P36" s="97"/>
    </row>
    <row r="37" spans="1:16">
      <c r="A37" s="216" t="s">
        <v>611</v>
      </c>
      <c r="B37" s="1869">
        <v>5072</v>
      </c>
      <c r="C37" s="1870">
        <v>5072</v>
      </c>
      <c r="D37" s="1870">
        <v>5072</v>
      </c>
      <c r="E37" s="1870">
        <v>5072</v>
      </c>
      <c r="F37" s="1870">
        <v>5072</v>
      </c>
      <c r="G37" s="1870">
        <v>5072</v>
      </c>
      <c r="H37" s="1870">
        <v>5065</v>
      </c>
      <c r="I37" s="1870">
        <v>5065</v>
      </c>
      <c r="J37" s="1870">
        <v>5065</v>
      </c>
      <c r="K37" s="1870">
        <v>5065</v>
      </c>
      <c r="L37" s="1870">
        <v>5065</v>
      </c>
      <c r="M37" s="1870">
        <v>5508</v>
      </c>
      <c r="N37" s="1870">
        <v>5508</v>
      </c>
      <c r="O37" s="1870">
        <v>5123600</v>
      </c>
      <c r="P37" s="97"/>
    </row>
    <row r="38" spans="1:16">
      <c r="A38" s="216" t="s">
        <v>519</v>
      </c>
      <c r="B38" s="1869">
        <v>20992</v>
      </c>
      <c r="C38" s="1870">
        <v>21629</v>
      </c>
      <c r="D38" s="1870">
        <v>21637</v>
      </c>
      <c r="E38" s="1870">
        <v>23855</v>
      </c>
      <c r="F38" s="1870">
        <v>38578</v>
      </c>
      <c r="G38" s="1870">
        <v>38837</v>
      </c>
      <c r="H38" s="1870">
        <v>41962</v>
      </c>
      <c r="I38" s="1870">
        <v>43896</v>
      </c>
      <c r="J38" s="1870">
        <v>45475</v>
      </c>
      <c r="K38" s="1870">
        <v>45629</v>
      </c>
      <c r="L38" s="1870">
        <v>50297</v>
      </c>
      <c r="M38" s="1870">
        <v>51857</v>
      </c>
      <c r="N38" s="1870">
        <v>56931</v>
      </c>
      <c r="O38" s="1870">
        <v>38551105</v>
      </c>
      <c r="P38" s="97"/>
    </row>
    <row r="39" spans="1:16">
      <c r="A39" s="216" t="s">
        <v>1357</v>
      </c>
      <c r="B39" s="1869">
        <v>0</v>
      </c>
      <c r="C39" s="1870">
        <v>1314</v>
      </c>
      <c r="D39" s="1870">
        <v>1314</v>
      </c>
      <c r="E39" s="1870">
        <v>1314</v>
      </c>
      <c r="F39" s="1870">
        <v>1314</v>
      </c>
      <c r="G39" s="1870">
        <v>1314</v>
      </c>
      <c r="H39" s="1870">
        <v>1314</v>
      </c>
      <c r="I39" s="1870">
        <v>1314</v>
      </c>
      <c r="J39" s="1870">
        <v>1314</v>
      </c>
      <c r="K39" s="1870">
        <v>1314</v>
      </c>
      <c r="L39" s="1870">
        <v>1314</v>
      </c>
      <c r="M39" s="1870">
        <v>1314</v>
      </c>
      <c r="N39" s="1870">
        <v>1314</v>
      </c>
      <c r="O39" s="1870">
        <v>1259288</v>
      </c>
      <c r="P39" s="97"/>
    </row>
    <row r="40" spans="1:16">
      <c r="A40" s="216" t="s">
        <v>612</v>
      </c>
      <c r="B40" s="1869">
        <v>168684</v>
      </c>
      <c r="C40" s="1870">
        <v>167379</v>
      </c>
      <c r="D40" s="1870">
        <v>167670</v>
      </c>
      <c r="E40" s="1870">
        <v>167388</v>
      </c>
      <c r="F40" s="1870">
        <v>167393</v>
      </c>
      <c r="G40" s="1870">
        <v>166475</v>
      </c>
      <c r="H40" s="1870">
        <v>166057</v>
      </c>
      <c r="I40" s="1870">
        <v>165805</v>
      </c>
      <c r="J40" s="1870">
        <v>165580</v>
      </c>
      <c r="K40" s="1870">
        <v>165432</v>
      </c>
      <c r="L40" s="1870">
        <v>165241</v>
      </c>
      <c r="M40" s="1870">
        <v>165224</v>
      </c>
      <c r="N40" s="1870">
        <v>165069</v>
      </c>
      <c r="O40" s="1870">
        <v>166376667</v>
      </c>
      <c r="P40" s="97"/>
    </row>
    <row r="41" spans="1:16">
      <c r="A41" s="422" t="s">
        <v>1367</v>
      </c>
      <c r="B41" s="1869">
        <v>7383</v>
      </c>
      <c r="C41" s="1870">
        <v>7383</v>
      </c>
      <c r="D41" s="1870">
        <v>7383</v>
      </c>
      <c r="E41" s="1870">
        <v>7383</v>
      </c>
      <c r="F41" s="1870">
        <v>7383</v>
      </c>
      <c r="G41" s="1870">
        <v>7383</v>
      </c>
      <c r="H41" s="1870">
        <v>7383</v>
      </c>
      <c r="I41" s="1870">
        <v>7383</v>
      </c>
      <c r="J41" s="1870">
        <v>7383</v>
      </c>
      <c r="K41" s="1870">
        <v>7383</v>
      </c>
      <c r="L41" s="1870">
        <v>7383</v>
      </c>
      <c r="M41" s="1870">
        <v>7383</v>
      </c>
      <c r="N41" s="1870">
        <v>7383</v>
      </c>
      <c r="O41" s="1870">
        <v>7383337</v>
      </c>
      <c r="P41" s="97"/>
    </row>
    <row r="42" spans="1:16">
      <c r="A42" s="422" t="s">
        <v>1371</v>
      </c>
      <c r="B42" s="1869">
        <v>214</v>
      </c>
      <c r="C42" s="1870">
        <v>214</v>
      </c>
      <c r="D42" s="1870">
        <v>214</v>
      </c>
      <c r="E42" s="1870">
        <v>214</v>
      </c>
      <c r="F42" s="1870">
        <v>214</v>
      </c>
      <c r="G42" s="1870">
        <v>214</v>
      </c>
      <c r="H42" s="1870">
        <v>214</v>
      </c>
      <c r="I42" s="1870">
        <v>214</v>
      </c>
      <c r="J42" s="1870">
        <v>214</v>
      </c>
      <c r="K42" s="1870">
        <v>214</v>
      </c>
      <c r="L42" s="1870">
        <v>214</v>
      </c>
      <c r="M42" s="1870">
        <v>214</v>
      </c>
      <c r="N42" s="1870">
        <v>214</v>
      </c>
      <c r="O42" s="1870">
        <v>214027</v>
      </c>
      <c r="P42" s="97"/>
    </row>
    <row r="43" spans="1:16">
      <c r="A43" s="216" t="s">
        <v>616</v>
      </c>
      <c r="B43" s="1869">
        <v>12701</v>
      </c>
      <c r="C43" s="1870">
        <v>12701</v>
      </c>
      <c r="D43" s="1870">
        <v>12701</v>
      </c>
      <c r="E43" s="1870">
        <v>12701</v>
      </c>
      <c r="F43" s="1870">
        <v>12701</v>
      </c>
      <c r="G43" s="1870">
        <v>12701</v>
      </c>
      <c r="H43" s="1870">
        <v>12701</v>
      </c>
      <c r="I43" s="1870">
        <v>12701</v>
      </c>
      <c r="J43" s="1870">
        <v>12701</v>
      </c>
      <c r="K43" s="1870">
        <v>12701</v>
      </c>
      <c r="L43" s="1870">
        <v>12701</v>
      </c>
      <c r="M43" s="1870">
        <v>12701</v>
      </c>
      <c r="N43" s="1870">
        <v>12701</v>
      </c>
      <c r="O43" s="1870">
        <v>12700860</v>
      </c>
      <c r="P43" s="97"/>
    </row>
    <row r="44" spans="1:16">
      <c r="A44" s="422" t="s">
        <v>1372</v>
      </c>
      <c r="B44" s="1869">
        <v>286</v>
      </c>
      <c r="C44" s="1870">
        <v>286</v>
      </c>
      <c r="D44" s="1870">
        <v>286</v>
      </c>
      <c r="E44" s="1870">
        <v>286</v>
      </c>
      <c r="F44" s="1870">
        <v>286</v>
      </c>
      <c r="G44" s="1870">
        <v>286</v>
      </c>
      <c r="H44" s="1870">
        <v>286</v>
      </c>
      <c r="I44" s="1870">
        <v>286</v>
      </c>
      <c r="J44" s="1870">
        <v>286</v>
      </c>
      <c r="K44" s="1870">
        <v>286</v>
      </c>
      <c r="L44" s="1870">
        <v>286</v>
      </c>
      <c r="M44" s="1870">
        <v>286</v>
      </c>
      <c r="N44" s="1870">
        <v>286</v>
      </c>
      <c r="O44" s="1870">
        <v>285560</v>
      </c>
      <c r="P44" s="97"/>
    </row>
    <row r="45" spans="1:16">
      <c r="A45" s="216" t="s">
        <v>617</v>
      </c>
      <c r="B45" s="1869">
        <v>5400</v>
      </c>
      <c r="C45" s="1870">
        <v>5400</v>
      </c>
      <c r="D45" s="1870">
        <v>5400</v>
      </c>
      <c r="E45" s="1870">
        <v>5400</v>
      </c>
      <c r="F45" s="1870">
        <v>5400</v>
      </c>
      <c r="G45" s="1870">
        <v>5400</v>
      </c>
      <c r="H45" s="1870">
        <v>5400</v>
      </c>
      <c r="I45" s="1870">
        <v>5400</v>
      </c>
      <c r="J45" s="1870">
        <v>5400</v>
      </c>
      <c r="K45" s="1870">
        <v>5400</v>
      </c>
      <c r="L45" s="1870">
        <v>5400</v>
      </c>
      <c r="M45" s="1870">
        <v>5400</v>
      </c>
      <c r="N45" s="1870">
        <v>5400</v>
      </c>
      <c r="O45" s="1870">
        <v>5400292</v>
      </c>
      <c r="P45" s="97"/>
    </row>
    <row r="46" spans="1:16">
      <c r="A46" s="216" t="s">
        <v>618</v>
      </c>
      <c r="B46" s="1869">
        <v>48638</v>
      </c>
      <c r="C46" s="1870">
        <v>48638</v>
      </c>
      <c r="D46" s="1870">
        <v>48638</v>
      </c>
      <c r="E46" s="1870">
        <v>48637</v>
      </c>
      <c r="F46" s="1870">
        <v>48637</v>
      </c>
      <c r="G46" s="1870">
        <v>48670</v>
      </c>
      <c r="H46" s="1870">
        <v>48670</v>
      </c>
      <c r="I46" s="1870">
        <v>48670</v>
      </c>
      <c r="J46" s="1870">
        <v>48695</v>
      </c>
      <c r="K46" s="1870">
        <v>52711</v>
      </c>
      <c r="L46" s="1870">
        <v>52745</v>
      </c>
      <c r="M46" s="1870">
        <v>52756</v>
      </c>
      <c r="N46" s="1870">
        <v>54963</v>
      </c>
      <c r="O46" s="1870">
        <v>49938790</v>
      </c>
      <c r="P46" s="97"/>
    </row>
    <row r="47" spans="1:16">
      <c r="A47" s="216" t="s">
        <v>520</v>
      </c>
      <c r="B47" s="1869">
        <v>8615</v>
      </c>
      <c r="C47" s="1870">
        <v>8988</v>
      </c>
      <c r="D47" s="1870">
        <v>8990</v>
      </c>
      <c r="E47" s="1870">
        <v>9935</v>
      </c>
      <c r="F47" s="1870">
        <v>12896</v>
      </c>
      <c r="G47" s="1870">
        <v>12781</v>
      </c>
      <c r="H47" s="1870">
        <v>13160</v>
      </c>
      <c r="I47" s="1870">
        <v>13279</v>
      </c>
      <c r="J47" s="1870">
        <v>13439</v>
      </c>
      <c r="K47" s="1870">
        <v>13776</v>
      </c>
      <c r="L47" s="1870">
        <v>16322</v>
      </c>
      <c r="M47" s="1870">
        <v>17309</v>
      </c>
      <c r="N47" s="1870">
        <v>17329</v>
      </c>
      <c r="O47" s="1870">
        <v>12820566</v>
      </c>
      <c r="P47" s="97"/>
    </row>
    <row r="48" spans="1:16">
      <c r="A48" s="216" t="s">
        <v>1358</v>
      </c>
      <c r="B48" s="1869">
        <v>0</v>
      </c>
      <c r="C48" s="1870">
        <v>557</v>
      </c>
      <c r="D48" s="1870">
        <v>557</v>
      </c>
      <c r="E48" s="1870">
        <v>557</v>
      </c>
      <c r="F48" s="1870">
        <v>557</v>
      </c>
      <c r="G48" s="1870">
        <v>557</v>
      </c>
      <c r="H48" s="1870">
        <v>557</v>
      </c>
      <c r="I48" s="1870">
        <v>557</v>
      </c>
      <c r="J48" s="1870">
        <v>557</v>
      </c>
      <c r="K48" s="1870">
        <v>557</v>
      </c>
      <c r="L48" s="1870">
        <v>557</v>
      </c>
      <c r="M48" s="1870">
        <v>557</v>
      </c>
      <c r="N48" s="1870">
        <v>557</v>
      </c>
      <c r="O48" s="1870">
        <v>533407</v>
      </c>
      <c r="P48" s="97"/>
    </row>
    <row r="49" spans="1:16">
      <c r="A49" s="422" t="s">
        <v>1373</v>
      </c>
      <c r="B49" s="1869">
        <v>6098</v>
      </c>
      <c r="C49" s="1870">
        <v>6098</v>
      </c>
      <c r="D49" s="1870">
        <v>6098</v>
      </c>
      <c r="E49" s="1870">
        <v>6098</v>
      </c>
      <c r="F49" s="1870">
        <v>6098</v>
      </c>
      <c r="G49" s="1870">
        <v>6098</v>
      </c>
      <c r="H49" s="1870">
        <v>6098</v>
      </c>
      <c r="I49" s="1870">
        <v>6098</v>
      </c>
      <c r="J49" s="1870">
        <v>6098</v>
      </c>
      <c r="K49" s="1870">
        <v>6098</v>
      </c>
      <c r="L49" s="1870">
        <v>6098</v>
      </c>
      <c r="M49" s="1870">
        <v>6098</v>
      </c>
      <c r="N49" s="1870">
        <v>6098</v>
      </c>
      <c r="O49" s="1870">
        <v>6097570</v>
      </c>
      <c r="P49" s="97"/>
    </row>
    <row r="50" spans="1:16">
      <c r="A50" s="422" t="s">
        <v>1365</v>
      </c>
      <c r="B50" s="1869">
        <v>683</v>
      </c>
      <c r="C50" s="1870">
        <v>683</v>
      </c>
      <c r="D50" s="1870">
        <v>683</v>
      </c>
      <c r="E50" s="1870">
        <v>683</v>
      </c>
      <c r="F50" s="1870">
        <v>683</v>
      </c>
      <c r="G50" s="1870">
        <v>683</v>
      </c>
      <c r="H50" s="1870">
        <v>683</v>
      </c>
      <c r="I50" s="1870">
        <v>683</v>
      </c>
      <c r="J50" s="1870">
        <v>683</v>
      </c>
      <c r="K50" s="1870">
        <v>683</v>
      </c>
      <c r="L50" s="1870">
        <v>683</v>
      </c>
      <c r="M50" s="1870">
        <v>683</v>
      </c>
      <c r="N50" s="1870">
        <v>683</v>
      </c>
      <c r="O50" s="1870">
        <v>683462</v>
      </c>
      <c r="P50" s="97"/>
    </row>
    <row r="51" spans="1:16">
      <c r="A51" s="216" t="s">
        <v>619</v>
      </c>
      <c r="B51" s="1869">
        <v>126840</v>
      </c>
      <c r="C51" s="1870">
        <v>126288</v>
      </c>
      <c r="D51" s="1870">
        <v>126291</v>
      </c>
      <c r="E51" s="1870">
        <v>126295</v>
      </c>
      <c r="F51" s="1870">
        <v>126299</v>
      </c>
      <c r="G51" s="1870">
        <v>126293</v>
      </c>
      <c r="H51" s="1870">
        <v>126194</v>
      </c>
      <c r="I51" s="1870">
        <v>126164</v>
      </c>
      <c r="J51" s="1870">
        <v>126086</v>
      </c>
      <c r="K51" s="1870">
        <v>126078</v>
      </c>
      <c r="L51" s="1870">
        <v>126047</v>
      </c>
      <c r="M51" s="1870">
        <v>126034</v>
      </c>
      <c r="N51" s="1870">
        <v>126034</v>
      </c>
      <c r="O51" s="1870">
        <v>126208843</v>
      </c>
      <c r="P51" s="97"/>
    </row>
    <row r="52" spans="1:16">
      <c r="A52" s="216" t="s">
        <v>678</v>
      </c>
      <c r="B52" s="1869">
        <v>380</v>
      </c>
      <c r="C52" s="1870">
        <v>380</v>
      </c>
      <c r="D52" s="1870">
        <v>380</v>
      </c>
      <c r="E52" s="1870">
        <v>380</v>
      </c>
      <c r="F52" s="1870">
        <v>380</v>
      </c>
      <c r="G52" s="1870">
        <v>380</v>
      </c>
      <c r="H52" s="1870">
        <v>380</v>
      </c>
      <c r="I52" s="1870">
        <v>380</v>
      </c>
      <c r="J52" s="1870">
        <v>463</v>
      </c>
      <c r="K52" s="1870">
        <v>793</v>
      </c>
      <c r="L52" s="1870">
        <v>794</v>
      </c>
      <c r="M52" s="1870">
        <v>793</v>
      </c>
      <c r="N52" s="1870">
        <v>798</v>
      </c>
      <c r="O52" s="1870">
        <v>507566</v>
      </c>
      <c r="P52" s="97"/>
    </row>
    <row r="53" spans="1:16">
      <c r="A53" s="216" t="s">
        <v>682</v>
      </c>
      <c r="B53" s="1869">
        <v>568</v>
      </c>
      <c r="C53" s="1870">
        <v>568</v>
      </c>
      <c r="D53" s="1870">
        <v>568</v>
      </c>
      <c r="E53" s="1870">
        <v>568</v>
      </c>
      <c r="F53" s="1870">
        <v>568</v>
      </c>
      <c r="G53" s="1870">
        <v>568</v>
      </c>
      <c r="H53" s="1870">
        <v>568</v>
      </c>
      <c r="I53" s="1870">
        <v>568</v>
      </c>
      <c r="J53" s="1870">
        <v>568</v>
      </c>
      <c r="K53" s="1870">
        <v>568</v>
      </c>
      <c r="L53" s="1870">
        <v>568</v>
      </c>
      <c r="M53" s="1870">
        <v>568</v>
      </c>
      <c r="N53" s="1870">
        <v>568</v>
      </c>
      <c r="O53" s="1870">
        <v>568185</v>
      </c>
      <c r="P53" s="97"/>
    </row>
    <row r="54" spans="1:16">
      <c r="A54" s="216" t="s">
        <v>683</v>
      </c>
      <c r="B54" s="1869">
        <v>2769</v>
      </c>
      <c r="C54" s="1870">
        <v>2769</v>
      </c>
      <c r="D54" s="1870">
        <v>2769</v>
      </c>
      <c r="E54" s="1870">
        <v>2769</v>
      </c>
      <c r="F54" s="1870">
        <v>2769</v>
      </c>
      <c r="G54" s="1870">
        <v>2769</v>
      </c>
      <c r="H54" s="1870">
        <v>2769</v>
      </c>
      <c r="I54" s="1870">
        <v>2769</v>
      </c>
      <c r="J54" s="1870">
        <v>2769</v>
      </c>
      <c r="K54" s="1870">
        <v>2769</v>
      </c>
      <c r="L54" s="1870">
        <v>2769</v>
      </c>
      <c r="M54" s="1870">
        <v>2769</v>
      </c>
      <c r="N54" s="1870">
        <v>3312</v>
      </c>
      <c r="O54" s="1870">
        <v>2792061</v>
      </c>
      <c r="P54" s="97"/>
    </row>
    <row r="55" spans="1:16">
      <c r="A55" s="216" t="s">
        <v>676</v>
      </c>
      <c r="B55" s="1869">
        <v>701</v>
      </c>
      <c r="C55" s="1870">
        <v>701</v>
      </c>
      <c r="D55" s="1870">
        <v>701</v>
      </c>
      <c r="E55" s="1870">
        <v>701</v>
      </c>
      <c r="F55" s="1870">
        <v>701</v>
      </c>
      <c r="G55" s="1870">
        <v>701</v>
      </c>
      <c r="H55" s="1870">
        <v>701</v>
      </c>
      <c r="I55" s="1870">
        <v>701</v>
      </c>
      <c r="J55" s="1870">
        <v>701</v>
      </c>
      <c r="K55" s="1870">
        <v>701</v>
      </c>
      <c r="L55" s="1870">
        <v>701</v>
      </c>
      <c r="M55" s="1870">
        <v>701</v>
      </c>
      <c r="N55" s="1870">
        <v>701</v>
      </c>
      <c r="O55" s="1870">
        <v>700575</v>
      </c>
      <c r="P55" s="97"/>
    </row>
    <row r="56" spans="1:16">
      <c r="A56" s="216" t="s">
        <v>1359</v>
      </c>
      <c r="B56" s="1869">
        <v>0</v>
      </c>
      <c r="C56" s="1870">
        <v>0</v>
      </c>
      <c r="D56" s="1870">
        <v>0</v>
      </c>
      <c r="E56" s="1870">
        <v>0</v>
      </c>
      <c r="F56" s="1870">
        <v>0</v>
      </c>
      <c r="G56" s="1870">
        <v>0</v>
      </c>
      <c r="H56" s="1870">
        <v>0</v>
      </c>
      <c r="I56" s="1870">
        <v>0</v>
      </c>
      <c r="J56" s="1870">
        <v>0</v>
      </c>
      <c r="K56" s="1870">
        <v>0</v>
      </c>
      <c r="L56" s="1870">
        <v>0</v>
      </c>
      <c r="M56" s="1870">
        <v>26</v>
      </c>
      <c r="N56" s="1870">
        <v>26</v>
      </c>
      <c r="O56" s="1870">
        <v>3296</v>
      </c>
      <c r="P56" s="97"/>
    </row>
    <row r="57" spans="1:16">
      <c r="A57" s="216" t="s">
        <v>677</v>
      </c>
      <c r="B57" s="1869">
        <v>2933</v>
      </c>
      <c r="C57" s="1870">
        <v>2933</v>
      </c>
      <c r="D57" s="1870">
        <v>2933</v>
      </c>
      <c r="E57" s="1870">
        <v>2933</v>
      </c>
      <c r="F57" s="1870">
        <v>2933</v>
      </c>
      <c r="G57" s="1870">
        <v>2933</v>
      </c>
      <c r="H57" s="1870">
        <v>2933</v>
      </c>
      <c r="I57" s="1870">
        <v>2933</v>
      </c>
      <c r="J57" s="1870">
        <v>2933</v>
      </c>
      <c r="K57" s="1870">
        <v>2933</v>
      </c>
      <c r="L57" s="1870">
        <v>2933</v>
      </c>
      <c r="M57" s="1870">
        <v>2933</v>
      </c>
      <c r="N57" s="1870">
        <v>2933</v>
      </c>
      <c r="O57" s="1870">
        <v>2932873</v>
      </c>
      <c r="P57" s="97"/>
    </row>
    <row r="58" spans="1:16" ht="14.25">
      <c r="B58" s="1500"/>
      <c r="C58" s="1500"/>
      <c r="D58" s="1500"/>
      <c r="E58" s="1500"/>
      <c r="F58" s="1500"/>
      <c r="G58" s="1500"/>
      <c r="H58" s="1500"/>
      <c r="I58" s="1500"/>
      <c r="J58" s="1500"/>
      <c r="K58" s="1500"/>
      <c r="L58" s="1500"/>
      <c r="M58" s="1500"/>
      <c r="N58" s="1500"/>
      <c r="O58" s="1502"/>
      <c r="P58" s="97"/>
    </row>
    <row r="59" spans="1:16" ht="15">
      <c r="A59" s="851" t="s">
        <v>522</v>
      </c>
      <c r="B59" s="1497">
        <f t="shared" ref="B59:O59" si="0">SUM(B6:B58)</f>
        <v>938369</v>
      </c>
      <c r="C59" s="1497">
        <f t="shared" si="0"/>
        <v>934473</v>
      </c>
      <c r="D59" s="1497">
        <f t="shared" si="0"/>
        <v>932155</v>
      </c>
      <c r="E59" s="1497">
        <f t="shared" si="0"/>
        <v>935025</v>
      </c>
      <c r="F59" s="1497">
        <f t="shared" si="0"/>
        <v>954820</v>
      </c>
      <c r="G59" s="1497">
        <f t="shared" si="0"/>
        <v>954986</v>
      </c>
      <c r="H59" s="1497">
        <f t="shared" si="0"/>
        <v>958832</v>
      </c>
      <c r="I59" s="1497">
        <f t="shared" si="0"/>
        <v>1000516</v>
      </c>
      <c r="J59" s="1497">
        <f t="shared" si="0"/>
        <v>1002142</v>
      </c>
      <c r="K59" s="1497">
        <f t="shared" si="0"/>
        <v>1004157</v>
      </c>
      <c r="L59" s="1497">
        <f t="shared" si="0"/>
        <v>1012214</v>
      </c>
      <c r="M59" s="1497">
        <f t="shared" si="0"/>
        <v>1015651</v>
      </c>
      <c r="N59" s="1497">
        <f t="shared" si="0"/>
        <v>1034733</v>
      </c>
      <c r="O59" s="1497">
        <f t="shared" si="0"/>
        <v>974290960</v>
      </c>
      <c r="P59" s="97"/>
    </row>
    <row r="60" spans="1:16" ht="14.25">
      <c r="A60" s="855"/>
      <c r="B60" s="1772"/>
      <c r="C60" s="828"/>
      <c r="D60" s="828"/>
      <c r="E60" s="828"/>
      <c r="F60" s="828"/>
      <c r="G60" s="828"/>
      <c r="H60" s="828"/>
      <c r="I60" s="828"/>
      <c r="J60" s="828"/>
      <c r="K60" s="828"/>
      <c r="L60" s="828"/>
      <c r="M60" s="828"/>
      <c r="N60" s="828"/>
      <c r="O60" s="1503"/>
      <c r="P60" s="97"/>
    </row>
    <row r="61" spans="1:16" ht="14.25">
      <c r="A61" s="855"/>
      <c r="B61" s="828"/>
      <c r="C61" s="828"/>
      <c r="D61" s="828"/>
      <c r="E61" s="828"/>
      <c r="F61" s="828"/>
      <c r="G61" s="828"/>
      <c r="H61" s="828"/>
      <c r="I61" s="828"/>
      <c r="J61" s="828"/>
      <c r="K61" s="828"/>
      <c r="L61" s="828"/>
      <c r="M61" s="828"/>
      <c r="N61" s="828"/>
      <c r="O61" s="1503"/>
      <c r="P61" s="97"/>
    </row>
    <row r="62" spans="1:16" ht="14.25">
      <c r="A62" s="849" t="s">
        <v>530</v>
      </c>
      <c r="B62" s="1500"/>
      <c r="C62" s="1500"/>
      <c r="D62" s="1500"/>
      <c r="E62" s="1500"/>
      <c r="F62" s="1500"/>
      <c r="G62" s="1500"/>
      <c r="H62" s="1500"/>
      <c r="I62" s="1500"/>
      <c r="J62" s="1500"/>
      <c r="K62" s="1500"/>
      <c r="L62" s="1500"/>
      <c r="M62" s="1500"/>
      <c r="N62" s="1500"/>
      <c r="O62" s="1502"/>
      <c r="P62" s="97"/>
    </row>
    <row r="63" spans="1:16" ht="15">
      <c r="A63" s="851" t="s">
        <v>685</v>
      </c>
      <c r="B63" s="1504">
        <f t="shared" ref="B63:N63" si="1">B5</f>
        <v>41609</v>
      </c>
      <c r="C63" s="1504">
        <f t="shared" si="1"/>
        <v>41640</v>
      </c>
      <c r="D63" s="1504">
        <f t="shared" si="1"/>
        <v>41671</v>
      </c>
      <c r="E63" s="1504">
        <f t="shared" si="1"/>
        <v>41699</v>
      </c>
      <c r="F63" s="1504">
        <f t="shared" si="1"/>
        <v>41730</v>
      </c>
      <c r="G63" s="1504">
        <f t="shared" si="1"/>
        <v>41760</v>
      </c>
      <c r="H63" s="1504">
        <f t="shared" si="1"/>
        <v>41791</v>
      </c>
      <c r="I63" s="1504">
        <f t="shared" si="1"/>
        <v>41821</v>
      </c>
      <c r="J63" s="1504">
        <f t="shared" si="1"/>
        <v>41852</v>
      </c>
      <c r="K63" s="1504">
        <f t="shared" si="1"/>
        <v>41883</v>
      </c>
      <c r="L63" s="1504">
        <f t="shared" si="1"/>
        <v>41913</v>
      </c>
      <c r="M63" s="1504">
        <f t="shared" si="1"/>
        <v>41944</v>
      </c>
      <c r="N63" s="1504">
        <f t="shared" si="1"/>
        <v>41974</v>
      </c>
      <c r="O63" s="1505" t="s">
        <v>91</v>
      </c>
      <c r="P63" s="97"/>
    </row>
    <row r="64" spans="1:16" ht="14.25">
      <c r="B64" s="1500"/>
      <c r="C64" s="1500"/>
      <c r="D64" s="1500"/>
      <c r="E64" s="1500"/>
      <c r="F64" s="1500"/>
      <c r="G64" s="1500"/>
      <c r="H64" s="1500"/>
      <c r="I64" s="1500"/>
      <c r="J64" s="1500"/>
      <c r="K64" s="1500"/>
      <c r="L64" s="1500"/>
      <c r="M64" s="1500"/>
      <c r="N64" s="1500"/>
      <c r="O64" s="1502"/>
      <c r="P64" s="97"/>
    </row>
    <row r="65" spans="1:16">
      <c r="A65" s="1769" t="s">
        <v>592</v>
      </c>
      <c r="B65" s="1869">
        <v>10</v>
      </c>
      <c r="C65" s="1870">
        <v>10</v>
      </c>
      <c r="D65" s="1870">
        <v>10</v>
      </c>
      <c r="E65" s="1870">
        <v>10</v>
      </c>
      <c r="F65" s="1870">
        <v>10</v>
      </c>
      <c r="G65" s="1870">
        <v>10</v>
      </c>
      <c r="H65" s="1870">
        <v>10</v>
      </c>
      <c r="I65" s="1870">
        <v>10</v>
      </c>
      <c r="J65" s="1870">
        <v>10</v>
      </c>
      <c r="K65" s="1870">
        <v>10</v>
      </c>
      <c r="L65" s="1870">
        <v>10</v>
      </c>
      <c r="M65" s="1870">
        <v>10</v>
      </c>
      <c r="N65" s="1870">
        <v>10</v>
      </c>
      <c r="O65" s="1870">
        <v>10247</v>
      </c>
      <c r="P65" s="97"/>
    </row>
    <row r="66" spans="1:16">
      <c r="A66" s="1769" t="s">
        <v>587</v>
      </c>
      <c r="B66" s="1869">
        <v>489</v>
      </c>
      <c r="C66" s="1870">
        <v>489</v>
      </c>
      <c r="D66" s="1870">
        <v>489</v>
      </c>
      <c r="E66" s="1870">
        <v>489</v>
      </c>
      <c r="F66" s="1870">
        <v>489</v>
      </c>
      <c r="G66" s="1870">
        <v>489</v>
      </c>
      <c r="H66" s="1870">
        <v>489</v>
      </c>
      <c r="I66" s="1870">
        <v>489</v>
      </c>
      <c r="J66" s="1870">
        <v>489</v>
      </c>
      <c r="K66" s="1870">
        <v>489</v>
      </c>
      <c r="L66" s="1870">
        <v>489</v>
      </c>
      <c r="M66" s="1870">
        <v>489</v>
      </c>
      <c r="N66" s="1870">
        <v>489</v>
      </c>
      <c r="O66" s="1870">
        <v>488761</v>
      </c>
      <c r="P66" s="97"/>
    </row>
    <row r="67" spans="1:16">
      <c r="A67" s="1769" t="s">
        <v>588</v>
      </c>
      <c r="B67" s="1869">
        <v>682</v>
      </c>
      <c r="C67" s="1870">
        <v>682</v>
      </c>
      <c r="D67" s="1870">
        <v>682</v>
      </c>
      <c r="E67" s="1870">
        <v>682</v>
      </c>
      <c r="F67" s="1870">
        <v>682</v>
      </c>
      <c r="G67" s="1870">
        <v>682</v>
      </c>
      <c r="H67" s="1870">
        <v>682</v>
      </c>
      <c r="I67" s="1870">
        <v>682</v>
      </c>
      <c r="J67" s="1870">
        <v>682</v>
      </c>
      <c r="K67" s="1870">
        <v>682</v>
      </c>
      <c r="L67" s="1870">
        <v>682</v>
      </c>
      <c r="M67" s="1870">
        <v>682</v>
      </c>
      <c r="N67" s="1870">
        <v>682</v>
      </c>
      <c r="O67" s="1870">
        <v>682303</v>
      </c>
      <c r="P67" s="97"/>
    </row>
    <row r="68" spans="1:16">
      <c r="A68" s="1769" t="s">
        <v>518</v>
      </c>
      <c r="B68" s="1869">
        <v>1071</v>
      </c>
      <c r="C68" s="1870">
        <v>1071</v>
      </c>
      <c r="D68" s="1870">
        <v>1071</v>
      </c>
      <c r="E68" s="1870">
        <v>1071</v>
      </c>
      <c r="F68" s="1870">
        <v>1071</v>
      </c>
      <c r="G68" s="1870">
        <v>1071</v>
      </c>
      <c r="H68" s="1870">
        <v>1071</v>
      </c>
      <c r="I68" s="1870">
        <v>1071</v>
      </c>
      <c r="J68" s="1870">
        <v>1071</v>
      </c>
      <c r="K68" s="1870">
        <v>1071</v>
      </c>
      <c r="L68" s="1870">
        <v>1071</v>
      </c>
      <c r="M68" s="1870">
        <v>1071</v>
      </c>
      <c r="N68" s="1870">
        <v>1071</v>
      </c>
      <c r="O68" s="1870">
        <v>1071124</v>
      </c>
      <c r="P68" s="97"/>
    </row>
    <row r="69" spans="1:16">
      <c r="A69" s="1769" t="s">
        <v>604</v>
      </c>
      <c r="B69" s="1869">
        <v>17594</v>
      </c>
      <c r="C69" s="1870">
        <v>17597</v>
      </c>
      <c r="D69" s="1870">
        <v>17603</v>
      </c>
      <c r="E69" s="1870">
        <v>17611</v>
      </c>
      <c r="F69" s="1870">
        <v>17617</v>
      </c>
      <c r="G69" s="1870">
        <v>17637</v>
      </c>
      <c r="H69" s="1870">
        <v>17650</v>
      </c>
      <c r="I69" s="1870">
        <v>17894</v>
      </c>
      <c r="J69" s="1870">
        <v>18051</v>
      </c>
      <c r="K69" s="1870">
        <v>18097</v>
      </c>
      <c r="L69" s="1870">
        <v>18126</v>
      </c>
      <c r="M69" s="1870">
        <v>18217</v>
      </c>
      <c r="N69" s="1870">
        <v>18188</v>
      </c>
      <c r="O69" s="1870">
        <v>17832595</v>
      </c>
      <c r="P69" s="97"/>
    </row>
    <row r="70" spans="1:16">
      <c r="A70" s="1769" t="s">
        <v>605</v>
      </c>
      <c r="B70" s="1869">
        <v>14486</v>
      </c>
      <c r="C70" s="1870">
        <v>14486</v>
      </c>
      <c r="D70" s="1870">
        <v>14486</v>
      </c>
      <c r="E70" s="1870">
        <v>14486</v>
      </c>
      <c r="F70" s="1870">
        <v>14486</v>
      </c>
      <c r="G70" s="1870">
        <v>14486</v>
      </c>
      <c r="H70" s="1870">
        <v>14486</v>
      </c>
      <c r="I70" s="1870">
        <v>14486</v>
      </c>
      <c r="J70" s="1870">
        <v>14486</v>
      </c>
      <c r="K70" s="1870">
        <v>14486</v>
      </c>
      <c r="L70" s="1870">
        <v>14486</v>
      </c>
      <c r="M70" s="1870">
        <v>14486</v>
      </c>
      <c r="N70" s="1870">
        <v>14486</v>
      </c>
      <c r="O70" s="1870">
        <v>14485598</v>
      </c>
      <c r="P70" s="97"/>
    </row>
    <row r="71" spans="1:16">
      <c r="A71" s="1769" t="s">
        <v>614</v>
      </c>
      <c r="B71" s="1869">
        <v>20589</v>
      </c>
      <c r="C71" s="1870">
        <v>20589</v>
      </c>
      <c r="D71" s="1870">
        <v>20589</v>
      </c>
      <c r="E71" s="1870">
        <v>20589</v>
      </c>
      <c r="F71" s="1870">
        <v>20589</v>
      </c>
      <c r="G71" s="1870">
        <v>20589</v>
      </c>
      <c r="H71" s="1870">
        <v>20589</v>
      </c>
      <c r="I71" s="1870">
        <v>20589</v>
      </c>
      <c r="J71" s="1870">
        <v>20589</v>
      </c>
      <c r="K71" s="1870">
        <v>20589</v>
      </c>
      <c r="L71" s="1870">
        <v>20589</v>
      </c>
      <c r="M71" s="1870">
        <v>20589</v>
      </c>
      <c r="N71" s="1870">
        <v>20589</v>
      </c>
      <c r="O71" s="1870">
        <v>20589184</v>
      </c>
      <c r="P71" s="97"/>
    </row>
    <row r="72" spans="1:16">
      <c r="A72" s="1769" t="s">
        <v>615</v>
      </c>
      <c r="B72" s="1869">
        <v>12904</v>
      </c>
      <c r="C72" s="1870">
        <v>12904</v>
      </c>
      <c r="D72" s="1870">
        <v>12904</v>
      </c>
      <c r="E72" s="1870">
        <v>12904</v>
      </c>
      <c r="F72" s="1870">
        <v>12904</v>
      </c>
      <c r="G72" s="1870">
        <v>12904</v>
      </c>
      <c r="H72" s="1870">
        <v>12904</v>
      </c>
      <c r="I72" s="1870">
        <v>12904</v>
      </c>
      <c r="J72" s="1870">
        <v>12904</v>
      </c>
      <c r="K72" s="1870">
        <v>12904</v>
      </c>
      <c r="L72" s="1870">
        <v>12904</v>
      </c>
      <c r="M72" s="1870">
        <v>12904</v>
      </c>
      <c r="N72" s="1870">
        <v>12904</v>
      </c>
      <c r="O72" s="1870">
        <v>12903739</v>
      </c>
      <c r="P72" s="97"/>
    </row>
    <row r="73" spans="1:16">
      <c r="A73" s="1769" t="s">
        <v>583</v>
      </c>
      <c r="B73" s="1869">
        <v>19732</v>
      </c>
      <c r="C73" s="1870">
        <v>19732</v>
      </c>
      <c r="D73" s="1870">
        <v>19732</v>
      </c>
      <c r="E73" s="1870">
        <v>19732</v>
      </c>
      <c r="F73" s="1870">
        <v>19732</v>
      </c>
      <c r="G73" s="1870">
        <v>19732</v>
      </c>
      <c r="H73" s="1870">
        <v>19732</v>
      </c>
      <c r="I73" s="1870">
        <v>19732</v>
      </c>
      <c r="J73" s="1870">
        <v>19732</v>
      </c>
      <c r="K73" s="1870">
        <v>19732</v>
      </c>
      <c r="L73" s="1870">
        <v>19732</v>
      </c>
      <c r="M73" s="1870">
        <v>19732</v>
      </c>
      <c r="N73" s="1870">
        <v>19732</v>
      </c>
      <c r="O73" s="1870">
        <v>19732280</v>
      </c>
      <c r="P73" s="97"/>
    </row>
    <row r="74" spans="1:16">
      <c r="A74" s="1769" t="s">
        <v>680</v>
      </c>
      <c r="B74" s="1869">
        <v>114</v>
      </c>
      <c r="C74" s="1870">
        <v>114</v>
      </c>
      <c r="D74" s="1870">
        <v>114</v>
      </c>
      <c r="E74" s="1870">
        <v>114</v>
      </c>
      <c r="F74" s="1870">
        <v>114</v>
      </c>
      <c r="G74" s="1870">
        <v>114</v>
      </c>
      <c r="H74" s="1870">
        <v>114</v>
      </c>
      <c r="I74" s="1870">
        <v>114</v>
      </c>
      <c r="J74" s="1870">
        <v>114</v>
      </c>
      <c r="K74" s="1870">
        <v>114</v>
      </c>
      <c r="L74" s="1870">
        <v>114</v>
      </c>
      <c r="M74" s="1870">
        <v>114</v>
      </c>
      <c r="N74" s="1870">
        <v>114</v>
      </c>
      <c r="O74" s="1870">
        <v>113968</v>
      </c>
      <c r="P74" s="97"/>
    </row>
    <row r="75" spans="1:16">
      <c r="A75" s="1769" t="s">
        <v>681</v>
      </c>
      <c r="B75" s="1869">
        <v>331</v>
      </c>
      <c r="C75" s="1870">
        <v>331</v>
      </c>
      <c r="D75" s="1870">
        <v>331</v>
      </c>
      <c r="E75" s="1870">
        <v>331</v>
      </c>
      <c r="F75" s="1870">
        <v>331</v>
      </c>
      <c r="G75" s="1870">
        <v>331</v>
      </c>
      <c r="H75" s="1870">
        <v>331</v>
      </c>
      <c r="I75" s="1870">
        <v>331</v>
      </c>
      <c r="J75" s="1870">
        <v>331</v>
      </c>
      <c r="K75" s="1870">
        <v>331</v>
      </c>
      <c r="L75" s="1870">
        <v>331</v>
      </c>
      <c r="M75" s="1870">
        <v>331</v>
      </c>
      <c r="N75" s="1870">
        <v>331</v>
      </c>
      <c r="O75" s="1870">
        <v>331427</v>
      </c>
      <c r="P75" s="97"/>
    </row>
    <row r="76" spans="1:16" ht="15">
      <c r="B76" s="1497">
        <f t="shared" ref="B76:O76" si="2">SUM(B65:B75)</f>
        <v>88002</v>
      </c>
      <c r="C76" s="1497">
        <f t="shared" si="2"/>
        <v>88005</v>
      </c>
      <c r="D76" s="1497">
        <f t="shared" si="2"/>
        <v>88011</v>
      </c>
      <c r="E76" s="1497">
        <f t="shared" si="2"/>
        <v>88019</v>
      </c>
      <c r="F76" s="1497">
        <f t="shared" si="2"/>
        <v>88025</v>
      </c>
      <c r="G76" s="1497">
        <f t="shared" si="2"/>
        <v>88045</v>
      </c>
      <c r="H76" s="1497">
        <f t="shared" si="2"/>
        <v>88058</v>
      </c>
      <c r="I76" s="1497">
        <f t="shared" si="2"/>
        <v>88302</v>
      </c>
      <c r="J76" s="1497">
        <f t="shared" si="2"/>
        <v>88459</v>
      </c>
      <c r="K76" s="1497">
        <f t="shared" si="2"/>
        <v>88505</v>
      </c>
      <c r="L76" s="1497">
        <f t="shared" si="2"/>
        <v>88534</v>
      </c>
      <c r="M76" s="1497">
        <f t="shared" si="2"/>
        <v>88625</v>
      </c>
      <c r="N76" s="1497">
        <f t="shared" si="2"/>
        <v>88596</v>
      </c>
      <c r="O76" s="1497">
        <f t="shared" si="2"/>
        <v>88241226</v>
      </c>
      <c r="P76" s="97"/>
    </row>
    <row r="77" spans="1:16" ht="14.25">
      <c r="B77" s="1500"/>
      <c r="C77" s="1500"/>
      <c r="D77" s="1500"/>
      <c r="E77" s="1500"/>
      <c r="F77" s="1500"/>
      <c r="G77" s="1500"/>
      <c r="H77" s="1500"/>
      <c r="I77" s="1500"/>
      <c r="J77" s="1500"/>
      <c r="K77" s="1500"/>
      <c r="L77" s="1500"/>
      <c r="M77" s="1500"/>
      <c r="N77" s="1500"/>
      <c r="O77" s="1502"/>
      <c r="P77" s="97"/>
    </row>
    <row r="78" spans="1:16" ht="14.25">
      <c r="A78" s="854" t="s">
        <v>531</v>
      </c>
      <c r="B78" s="1500"/>
      <c r="C78" s="1500"/>
      <c r="D78" s="1500"/>
      <c r="E78" s="1500"/>
      <c r="F78" s="1500"/>
      <c r="G78" s="1500"/>
      <c r="H78" s="1500"/>
      <c r="I78" s="1500"/>
      <c r="J78" s="1500"/>
      <c r="K78" s="1500"/>
      <c r="L78" s="1500"/>
      <c r="M78" s="1500"/>
      <c r="N78" s="1500"/>
      <c r="O78" s="1502"/>
      <c r="P78" s="97"/>
    </row>
    <row r="79" spans="1:16" ht="14.25">
      <c r="A79" s="851" t="s">
        <v>685</v>
      </c>
      <c r="B79" s="1502"/>
      <c r="C79" s="1500"/>
      <c r="D79" s="1500"/>
      <c r="E79" s="1500"/>
      <c r="F79" s="1500"/>
      <c r="G79" s="1500"/>
      <c r="H79" s="1500"/>
      <c r="I79" s="1500"/>
      <c r="J79" s="1500"/>
      <c r="K79" s="1500"/>
      <c r="L79" s="1500"/>
      <c r="M79" s="1500"/>
      <c r="N79" s="1500"/>
      <c r="O79" s="1502"/>
      <c r="P79" s="97"/>
    </row>
    <row r="80" spans="1:16">
      <c r="A80" s="1769" t="s">
        <v>591</v>
      </c>
      <c r="B80" s="1869">
        <v>1769</v>
      </c>
      <c r="C80" s="1870">
        <v>1769</v>
      </c>
      <c r="D80" s="1870">
        <v>1769</v>
      </c>
      <c r="E80" s="1870">
        <v>1769</v>
      </c>
      <c r="F80" s="1870">
        <v>1769</v>
      </c>
      <c r="G80" s="1870">
        <v>1769</v>
      </c>
      <c r="H80" s="1870">
        <v>1769</v>
      </c>
      <c r="I80" s="1870">
        <v>1769</v>
      </c>
      <c r="J80" s="1870">
        <v>1769</v>
      </c>
      <c r="K80" s="1870">
        <v>1769</v>
      </c>
      <c r="L80" s="1870">
        <v>1769</v>
      </c>
      <c r="M80" s="1870">
        <v>1769</v>
      </c>
      <c r="N80" s="1870">
        <v>1769</v>
      </c>
      <c r="O80" s="1870">
        <v>1769178</v>
      </c>
      <c r="P80" s="97"/>
    </row>
    <row r="81" spans="1:16">
      <c r="A81" s="1769" t="s">
        <v>595</v>
      </c>
      <c r="B81" s="1869">
        <v>1276</v>
      </c>
      <c r="C81" s="1870">
        <v>1276</v>
      </c>
      <c r="D81" s="1870">
        <v>1276</v>
      </c>
      <c r="E81" s="1870">
        <v>1276</v>
      </c>
      <c r="F81" s="1870">
        <v>1276</v>
      </c>
      <c r="G81" s="1870">
        <v>1276</v>
      </c>
      <c r="H81" s="1870">
        <v>1276</v>
      </c>
      <c r="I81" s="1870">
        <v>1276</v>
      </c>
      <c r="J81" s="1870">
        <v>1276</v>
      </c>
      <c r="K81" s="1870">
        <v>1276</v>
      </c>
      <c r="L81" s="1870">
        <v>1276</v>
      </c>
      <c r="M81" s="1870">
        <v>1276</v>
      </c>
      <c r="N81" s="1870">
        <v>1276</v>
      </c>
      <c r="O81" s="1870">
        <v>1276264</v>
      </c>
      <c r="P81" s="97"/>
    </row>
    <row r="82" spans="1:16">
      <c r="A82" s="1769" t="s">
        <v>609</v>
      </c>
      <c r="B82" s="1869">
        <v>37968</v>
      </c>
      <c r="C82" s="1870">
        <v>37968</v>
      </c>
      <c r="D82" s="1870">
        <v>37968</v>
      </c>
      <c r="E82" s="1870">
        <v>37968</v>
      </c>
      <c r="F82" s="1870">
        <v>37968</v>
      </c>
      <c r="G82" s="1870">
        <v>37968</v>
      </c>
      <c r="H82" s="1870">
        <v>37968</v>
      </c>
      <c r="I82" s="1870">
        <v>37968</v>
      </c>
      <c r="J82" s="1870">
        <v>37968</v>
      </c>
      <c r="K82" s="1870">
        <v>37968</v>
      </c>
      <c r="L82" s="1870">
        <v>37968</v>
      </c>
      <c r="M82" s="1870">
        <v>37968</v>
      </c>
      <c r="N82" s="1870">
        <v>37968</v>
      </c>
      <c r="O82" s="1870">
        <v>37968043</v>
      </c>
      <c r="P82" s="97"/>
    </row>
    <row r="83" spans="1:16">
      <c r="A83" s="1769" t="s">
        <v>603</v>
      </c>
      <c r="B83" s="1869">
        <v>204</v>
      </c>
      <c r="C83" s="1870">
        <v>204</v>
      </c>
      <c r="D83" s="1870">
        <v>204</v>
      </c>
      <c r="E83" s="1870">
        <v>204</v>
      </c>
      <c r="F83" s="1870">
        <v>204</v>
      </c>
      <c r="G83" s="1870">
        <v>204</v>
      </c>
      <c r="H83" s="1870">
        <v>204</v>
      </c>
      <c r="I83" s="1870">
        <v>204</v>
      </c>
      <c r="J83" s="1870">
        <v>204</v>
      </c>
      <c r="K83" s="1870">
        <v>204</v>
      </c>
      <c r="L83" s="1870">
        <v>204</v>
      </c>
      <c r="M83" s="1870">
        <v>204</v>
      </c>
      <c r="N83" s="1870">
        <v>204</v>
      </c>
      <c r="O83" s="1870">
        <v>204200</v>
      </c>
      <c r="P83" s="97"/>
    </row>
    <row r="84" spans="1:16">
      <c r="A84" s="1769" t="s">
        <v>613</v>
      </c>
      <c r="B84" s="1869">
        <v>22781</v>
      </c>
      <c r="C84" s="1870">
        <v>22781</v>
      </c>
      <c r="D84" s="1870">
        <v>22781</v>
      </c>
      <c r="E84" s="1870">
        <v>22781</v>
      </c>
      <c r="F84" s="1870">
        <v>22781</v>
      </c>
      <c r="G84" s="1870">
        <v>22781</v>
      </c>
      <c r="H84" s="1870">
        <v>22781</v>
      </c>
      <c r="I84" s="1870">
        <v>22781</v>
      </c>
      <c r="J84" s="1870">
        <v>22781</v>
      </c>
      <c r="K84" s="1870">
        <v>22781</v>
      </c>
      <c r="L84" s="1870">
        <v>22781</v>
      </c>
      <c r="M84" s="1870">
        <v>22781</v>
      </c>
      <c r="N84" s="1870">
        <v>22781</v>
      </c>
      <c r="O84" s="1870">
        <v>22781417</v>
      </c>
      <c r="P84" s="97"/>
    </row>
    <row r="85" spans="1:16">
      <c r="A85" s="1769" t="s">
        <v>679</v>
      </c>
      <c r="B85" s="1869">
        <v>59</v>
      </c>
      <c r="C85" s="1870">
        <v>59</v>
      </c>
      <c r="D85" s="1870">
        <v>59</v>
      </c>
      <c r="E85" s="1870">
        <v>59</v>
      </c>
      <c r="F85" s="1870">
        <v>59</v>
      </c>
      <c r="G85" s="1870">
        <v>59</v>
      </c>
      <c r="H85" s="1870">
        <v>59</v>
      </c>
      <c r="I85" s="1870">
        <v>59</v>
      </c>
      <c r="J85" s="1870">
        <v>59</v>
      </c>
      <c r="K85" s="1870">
        <v>59</v>
      </c>
      <c r="L85" s="1870">
        <v>59</v>
      </c>
      <c r="M85" s="1870">
        <v>59</v>
      </c>
      <c r="N85" s="1870">
        <v>59</v>
      </c>
      <c r="O85" s="1870">
        <v>59215</v>
      </c>
      <c r="P85" s="97"/>
    </row>
    <row r="86" spans="1:16">
      <c r="A86" s="1769" t="s">
        <v>582</v>
      </c>
      <c r="B86" s="1869">
        <v>23482</v>
      </c>
      <c r="C86" s="1870">
        <v>23482</v>
      </c>
      <c r="D86" s="1870">
        <v>23482</v>
      </c>
      <c r="E86" s="1870">
        <v>23482</v>
      </c>
      <c r="F86" s="1870">
        <v>23482</v>
      </c>
      <c r="G86" s="1870">
        <v>23482</v>
      </c>
      <c r="H86" s="1870">
        <v>23482</v>
      </c>
      <c r="I86" s="1870">
        <v>23482</v>
      </c>
      <c r="J86" s="1870">
        <v>23482</v>
      </c>
      <c r="K86" s="1870">
        <v>23482</v>
      </c>
      <c r="L86" s="1870">
        <v>23482</v>
      </c>
      <c r="M86" s="1870">
        <v>23482</v>
      </c>
      <c r="N86" s="1870">
        <v>23482</v>
      </c>
      <c r="O86" s="1870">
        <v>23481605</v>
      </c>
      <c r="P86" s="97"/>
    </row>
    <row r="87" spans="1:16" ht="15">
      <c r="A87" s="850"/>
      <c r="B87" s="1497">
        <f>SUM(B80:B86)</f>
        <v>87539</v>
      </c>
      <c r="C87" s="1497">
        <f t="shared" ref="C87:O87" si="3">SUM(C80:C86)</f>
        <v>87539</v>
      </c>
      <c r="D87" s="1497">
        <f t="shared" si="3"/>
        <v>87539</v>
      </c>
      <c r="E87" s="1497">
        <f t="shared" si="3"/>
        <v>87539</v>
      </c>
      <c r="F87" s="1497">
        <f t="shared" si="3"/>
        <v>87539</v>
      </c>
      <c r="G87" s="1497">
        <f t="shared" si="3"/>
        <v>87539</v>
      </c>
      <c r="H87" s="1497">
        <f t="shared" si="3"/>
        <v>87539</v>
      </c>
      <c r="I87" s="1497">
        <f t="shared" si="3"/>
        <v>87539</v>
      </c>
      <c r="J87" s="1497">
        <f t="shared" si="3"/>
        <v>87539</v>
      </c>
      <c r="K87" s="1497">
        <f t="shared" si="3"/>
        <v>87539</v>
      </c>
      <c r="L87" s="1497">
        <f t="shared" si="3"/>
        <v>87539</v>
      </c>
      <c r="M87" s="1497">
        <f t="shared" si="3"/>
        <v>87539</v>
      </c>
      <c r="N87" s="1497">
        <f t="shared" si="3"/>
        <v>87539</v>
      </c>
      <c r="O87" s="1497">
        <f t="shared" si="3"/>
        <v>87539922</v>
      </c>
      <c r="P87" s="97"/>
    </row>
    <row r="88" spans="1:16">
      <c r="A88" s="855"/>
      <c r="B88" s="855"/>
      <c r="C88" s="855"/>
      <c r="D88" s="855"/>
      <c r="E88" s="855"/>
      <c r="F88" s="855"/>
      <c r="G88" s="855"/>
      <c r="H88" s="855"/>
      <c r="I88" s="855"/>
      <c r="J88" s="855"/>
      <c r="K88" s="855"/>
      <c r="L88" s="855"/>
      <c r="M88" s="855"/>
      <c r="N88" s="1619">
        <f>N87+N76+N59</f>
        <v>1210868</v>
      </c>
      <c r="O88" s="1398"/>
      <c r="P88" s="97"/>
    </row>
    <row r="89" spans="1:16">
      <c r="A89" s="855"/>
      <c r="B89" s="855"/>
      <c r="C89" s="855"/>
      <c r="D89" s="855"/>
      <c r="E89" s="855"/>
      <c r="F89" s="855"/>
      <c r="G89" s="855"/>
      <c r="H89" s="855"/>
      <c r="I89" s="855"/>
      <c r="J89" s="855"/>
      <c r="K89" s="855"/>
      <c r="L89" s="855"/>
      <c r="M89" s="855"/>
      <c r="N89" s="855"/>
      <c r="O89" s="1398"/>
      <c r="P89" s="97"/>
    </row>
    <row r="90" spans="1:16">
      <c r="A90" s="849" t="s">
        <v>687</v>
      </c>
      <c r="O90" s="856"/>
      <c r="P90" s="97"/>
    </row>
    <row r="91" spans="1:16" ht="15">
      <c r="A91" s="805" t="s">
        <v>684</v>
      </c>
      <c r="B91" s="1504">
        <f t="shared" ref="B91:N91" si="4">B63</f>
        <v>41609</v>
      </c>
      <c r="C91" s="1504">
        <f t="shared" si="4"/>
        <v>41640</v>
      </c>
      <c r="D91" s="1504">
        <f t="shared" si="4"/>
        <v>41671</v>
      </c>
      <c r="E91" s="1504">
        <f t="shared" si="4"/>
        <v>41699</v>
      </c>
      <c r="F91" s="1504">
        <f t="shared" si="4"/>
        <v>41730</v>
      </c>
      <c r="G91" s="1504">
        <f t="shared" si="4"/>
        <v>41760</v>
      </c>
      <c r="H91" s="1504">
        <f t="shared" si="4"/>
        <v>41791</v>
      </c>
      <c r="I91" s="1504">
        <f t="shared" si="4"/>
        <v>41821</v>
      </c>
      <c r="J91" s="1504">
        <f t="shared" si="4"/>
        <v>41852</v>
      </c>
      <c r="K91" s="1504">
        <f t="shared" si="4"/>
        <v>41883</v>
      </c>
      <c r="L91" s="1504">
        <f t="shared" si="4"/>
        <v>41913</v>
      </c>
      <c r="M91" s="1504">
        <f t="shared" si="4"/>
        <v>41944</v>
      </c>
      <c r="N91" s="1504">
        <f t="shared" si="4"/>
        <v>41974</v>
      </c>
      <c r="O91" s="853" t="s">
        <v>91</v>
      </c>
      <c r="P91" s="97"/>
    </row>
    <row r="92" spans="1:16">
      <c r="A92" t="s">
        <v>1237</v>
      </c>
      <c r="B92" s="179">
        <v>85</v>
      </c>
      <c r="C92" s="438">
        <v>85</v>
      </c>
      <c r="D92" s="438">
        <v>85</v>
      </c>
      <c r="E92" s="438">
        <v>85</v>
      </c>
      <c r="F92" s="438">
        <v>83</v>
      </c>
      <c r="G92" s="438">
        <v>83</v>
      </c>
      <c r="H92" s="438">
        <v>83</v>
      </c>
      <c r="I92" s="438">
        <v>83</v>
      </c>
      <c r="J92" s="438">
        <v>83</v>
      </c>
      <c r="K92" s="438">
        <v>83</v>
      </c>
      <c r="L92" s="438">
        <v>83</v>
      </c>
      <c r="M92" s="438">
        <v>83</v>
      </c>
      <c r="N92" s="438">
        <v>83</v>
      </c>
      <c r="O92" s="438">
        <v>83309</v>
      </c>
      <c r="P92" s="97"/>
    </row>
    <row r="93" spans="1:16">
      <c r="A93" t="s">
        <v>586</v>
      </c>
      <c r="B93" s="179">
        <v>2321</v>
      </c>
      <c r="C93" s="438">
        <v>2327</v>
      </c>
      <c r="D93" s="438">
        <v>2333</v>
      </c>
      <c r="E93" s="438">
        <v>2339</v>
      </c>
      <c r="F93" s="438">
        <v>2349</v>
      </c>
      <c r="G93" s="438">
        <v>2356</v>
      </c>
      <c r="H93" s="438">
        <v>2364</v>
      </c>
      <c r="I93" s="438">
        <v>2372</v>
      </c>
      <c r="J93" s="438">
        <v>2380</v>
      </c>
      <c r="K93" s="438">
        <v>2388</v>
      </c>
      <c r="L93" s="438">
        <v>2350</v>
      </c>
      <c r="M93" s="438">
        <v>2359</v>
      </c>
      <c r="N93" s="438">
        <v>2370</v>
      </c>
      <c r="O93" s="438">
        <v>2355155</v>
      </c>
      <c r="P93" s="97"/>
    </row>
    <row r="94" spans="1:16">
      <c r="A94" t="s">
        <v>515</v>
      </c>
      <c r="B94" s="179">
        <v>21</v>
      </c>
      <c r="C94" s="438">
        <v>24</v>
      </c>
      <c r="D94" s="438">
        <v>28</v>
      </c>
      <c r="E94" s="438">
        <v>31</v>
      </c>
      <c r="F94" s="438">
        <v>35</v>
      </c>
      <c r="G94" s="438">
        <v>39</v>
      </c>
      <c r="H94" s="438">
        <v>43</v>
      </c>
      <c r="I94" s="438">
        <v>47</v>
      </c>
      <c r="J94" s="438">
        <v>51</v>
      </c>
      <c r="K94" s="438">
        <v>55</v>
      </c>
      <c r="L94" s="438">
        <v>58</v>
      </c>
      <c r="M94" s="438">
        <v>62</v>
      </c>
      <c r="N94" s="438">
        <v>66</v>
      </c>
      <c r="O94" s="438">
        <v>43077</v>
      </c>
      <c r="P94" s="97"/>
    </row>
    <row r="95" spans="1:16">
      <c r="A95" t="s">
        <v>1238</v>
      </c>
      <c r="B95" s="179">
        <v>56</v>
      </c>
      <c r="C95" s="438">
        <v>56</v>
      </c>
      <c r="D95" s="438">
        <v>56</v>
      </c>
      <c r="E95" s="438">
        <v>56</v>
      </c>
      <c r="F95" s="438">
        <v>56</v>
      </c>
      <c r="G95" s="438">
        <v>56</v>
      </c>
      <c r="H95" s="438">
        <v>56</v>
      </c>
      <c r="I95" s="438">
        <v>56</v>
      </c>
      <c r="J95" s="438">
        <v>56</v>
      </c>
      <c r="K95" s="438">
        <v>56</v>
      </c>
      <c r="L95" s="438">
        <v>56</v>
      </c>
      <c r="M95" s="438">
        <v>56</v>
      </c>
      <c r="N95" s="438">
        <v>56</v>
      </c>
      <c r="O95" s="438">
        <v>55914</v>
      </c>
      <c r="P95" s="97"/>
    </row>
    <row r="96" spans="1:16">
      <c r="A96" t="s">
        <v>589</v>
      </c>
      <c r="B96" s="179">
        <v>7942</v>
      </c>
      <c r="C96" s="438">
        <v>7980</v>
      </c>
      <c r="D96" s="438">
        <v>8018</v>
      </c>
      <c r="E96" s="438">
        <v>8056</v>
      </c>
      <c r="F96" s="438">
        <v>8094</v>
      </c>
      <c r="G96" s="438">
        <v>8132</v>
      </c>
      <c r="H96" s="438">
        <v>8170</v>
      </c>
      <c r="I96" s="438">
        <v>8208</v>
      </c>
      <c r="J96" s="438">
        <v>8245</v>
      </c>
      <c r="K96" s="438">
        <v>8283</v>
      </c>
      <c r="L96" s="438">
        <v>8321</v>
      </c>
      <c r="M96" s="438">
        <v>8359</v>
      </c>
      <c r="N96" s="438">
        <v>8397</v>
      </c>
      <c r="O96" s="438">
        <v>8169638</v>
      </c>
      <c r="P96" s="97"/>
    </row>
    <row r="97" spans="1:16">
      <c r="A97" t="s">
        <v>589</v>
      </c>
      <c r="B97" s="179">
        <v>59</v>
      </c>
      <c r="C97" s="438">
        <v>59</v>
      </c>
      <c r="D97" s="438">
        <v>59</v>
      </c>
      <c r="E97" s="438">
        <v>59</v>
      </c>
      <c r="F97" s="438">
        <v>60</v>
      </c>
      <c r="G97" s="438">
        <v>60</v>
      </c>
      <c r="H97" s="438">
        <v>60</v>
      </c>
      <c r="I97" s="438">
        <v>60</v>
      </c>
      <c r="J97" s="438">
        <v>60</v>
      </c>
      <c r="K97" s="438">
        <v>60</v>
      </c>
      <c r="L97" s="438">
        <v>60</v>
      </c>
      <c r="M97" s="438">
        <v>61</v>
      </c>
      <c r="N97" s="438">
        <v>61</v>
      </c>
      <c r="O97" s="438">
        <v>59851</v>
      </c>
      <c r="P97" s="97"/>
    </row>
    <row r="98" spans="1:16">
      <c r="A98" t="s">
        <v>589</v>
      </c>
      <c r="B98" s="179">
        <v>42</v>
      </c>
      <c r="C98" s="438">
        <v>42</v>
      </c>
      <c r="D98" s="438">
        <v>42</v>
      </c>
      <c r="E98" s="438">
        <v>42</v>
      </c>
      <c r="F98" s="438">
        <v>43</v>
      </c>
      <c r="G98" s="438">
        <v>43</v>
      </c>
      <c r="H98" s="438">
        <v>43</v>
      </c>
      <c r="I98" s="438">
        <v>43</v>
      </c>
      <c r="J98" s="438">
        <v>43</v>
      </c>
      <c r="K98" s="438">
        <v>43</v>
      </c>
      <c r="L98" s="438">
        <v>43</v>
      </c>
      <c r="M98" s="438">
        <v>43</v>
      </c>
      <c r="N98" s="438">
        <v>43</v>
      </c>
      <c r="O98" s="438">
        <v>42787</v>
      </c>
      <c r="P98" s="97"/>
    </row>
    <row r="99" spans="1:16">
      <c r="A99" t="s">
        <v>516</v>
      </c>
      <c r="B99" s="179">
        <v>0</v>
      </c>
      <c r="C99" s="438">
        <v>0</v>
      </c>
      <c r="D99" s="438">
        <v>40</v>
      </c>
      <c r="E99" s="438">
        <v>40</v>
      </c>
      <c r="F99" s="438">
        <v>40</v>
      </c>
      <c r="G99" s="438">
        <v>40</v>
      </c>
      <c r="H99" s="438">
        <v>40</v>
      </c>
      <c r="I99" s="438">
        <v>40</v>
      </c>
      <c r="J99" s="438">
        <v>40</v>
      </c>
      <c r="K99" s="438">
        <v>40</v>
      </c>
      <c r="L99" s="438">
        <v>40</v>
      </c>
      <c r="M99" s="438">
        <v>0</v>
      </c>
      <c r="N99" s="438">
        <v>0</v>
      </c>
      <c r="O99" s="438">
        <v>30237</v>
      </c>
      <c r="P99" s="97"/>
    </row>
    <row r="100" spans="1:16">
      <c r="A100" t="s">
        <v>590</v>
      </c>
      <c r="B100" s="179">
        <v>-46</v>
      </c>
      <c r="C100" s="438">
        <v>-46</v>
      </c>
      <c r="D100" s="438">
        <v>-46</v>
      </c>
      <c r="E100" s="438">
        <v>-46</v>
      </c>
      <c r="F100" s="438">
        <v>-46</v>
      </c>
      <c r="G100" s="438">
        <v>-46</v>
      </c>
      <c r="H100" s="438">
        <v>-46</v>
      </c>
      <c r="I100" s="438">
        <v>-46</v>
      </c>
      <c r="J100" s="438">
        <v>-46</v>
      </c>
      <c r="K100" s="438">
        <v>-46</v>
      </c>
      <c r="L100" s="438">
        <v>0</v>
      </c>
      <c r="M100" s="438">
        <v>0</v>
      </c>
      <c r="N100" s="438">
        <v>0</v>
      </c>
      <c r="O100" s="438">
        <v>-36768</v>
      </c>
      <c r="P100" s="97"/>
    </row>
    <row r="101" spans="1:16">
      <c r="A101" t="s">
        <v>1369</v>
      </c>
      <c r="B101" s="179">
        <v>535</v>
      </c>
      <c r="C101" s="438">
        <v>541</v>
      </c>
      <c r="D101" s="438">
        <v>540</v>
      </c>
      <c r="E101" s="438">
        <v>546</v>
      </c>
      <c r="F101" s="438">
        <v>552</v>
      </c>
      <c r="G101" s="438">
        <v>558</v>
      </c>
      <c r="H101" s="438">
        <v>564</v>
      </c>
      <c r="I101" s="438">
        <v>570</v>
      </c>
      <c r="J101" s="438">
        <v>554</v>
      </c>
      <c r="K101" s="438">
        <v>560</v>
      </c>
      <c r="L101" s="438">
        <v>566</v>
      </c>
      <c r="M101" s="438">
        <v>573</v>
      </c>
      <c r="N101" s="438">
        <v>579</v>
      </c>
      <c r="O101" s="438">
        <v>556854</v>
      </c>
      <c r="P101" s="97"/>
    </row>
    <row r="102" spans="1:16">
      <c r="A102" t="s">
        <v>596</v>
      </c>
      <c r="B102" s="179">
        <v>610</v>
      </c>
      <c r="C102" s="438">
        <v>618</v>
      </c>
      <c r="D102" s="438">
        <v>625</v>
      </c>
      <c r="E102" s="438">
        <v>633</v>
      </c>
      <c r="F102" s="438">
        <v>640</v>
      </c>
      <c r="G102" s="438">
        <v>648</v>
      </c>
      <c r="H102" s="438">
        <v>655</v>
      </c>
      <c r="I102" s="438">
        <v>663</v>
      </c>
      <c r="J102" s="438">
        <v>670</v>
      </c>
      <c r="K102" s="438">
        <v>678</v>
      </c>
      <c r="L102" s="438">
        <v>686</v>
      </c>
      <c r="M102" s="438">
        <v>693</v>
      </c>
      <c r="N102" s="438">
        <v>701</v>
      </c>
      <c r="O102" s="438">
        <v>655386</v>
      </c>
      <c r="P102" s="97"/>
    </row>
    <row r="103" spans="1:16">
      <c r="A103" t="s">
        <v>597</v>
      </c>
      <c r="B103" s="179">
        <v>17214</v>
      </c>
      <c r="C103" s="438">
        <v>17459</v>
      </c>
      <c r="D103" s="438">
        <v>17454</v>
      </c>
      <c r="E103" s="438">
        <v>17119</v>
      </c>
      <c r="F103" s="438">
        <v>17359</v>
      </c>
      <c r="G103" s="438">
        <v>17586</v>
      </c>
      <c r="H103" s="438">
        <v>17830</v>
      </c>
      <c r="I103" s="438">
        <v>18093</v>
      </c>
      <c r="J103" s="438">
        <v>18216</v>
      </c>
      <c r="K103" s="438">
        <v>18597</v>
      </c>
      <c r="L103" s="438">
        <v>18880</v>
      </c>
      <c r="M103" s="438">
        <v>19223</v>
      </c>
      <c r="N103" s="438">
        <v>15861</v>
      </c>
      <c r="O103" s="438">
        <v>17862834</v>
      </c>
      <c r="P103" s="97"/>
    </row>
    <row r="104" spans="1:16">
      <c r="A104" t="s">
        <v>1374</v>
      </c>
      <c r="B104" s="179">
        <v>0</v>
      </c>
      <c r="C104" s="438">
        <v>0</v>
      </c>
      <c r="D104" s="438">
        <v>0</v>
      </c>
      <c r="E104" s="438">
        <v>0</v>
      </c>
      <c r="F104" s="438">
        <v>0</v>
      </c>
      <c r="G104" s="438">
        <v>0</v>
      </c>
      <c r="H104" s="438">
        <v>0</v>
      </c>
      <c r="I104" s="438">
        <v>0</v>
      </c>
      <c r="J104" s="438">
        <v>1</v>
      </c>
      <c r="K104" s="438">
        <v>2</v>
      </c>
      <c r="L104" s="438">
        <v>3</v>
      </c>
      <c r="M104" s="438">
        <v>4</v>
      </c>
      <c r="N104" s="438">
        <v>4</v>
      </c>
      <c r="O104" s="438">
        <v>1012</v>
      </c>
      <c r="P104" s="97"/>
    </row>
    <row r="105" spans="1:16">
      <c r="A105" t="s">
        <v>598</v>
      </c>
      <c r="B105" s="179">
        <v>1712</v>
      </c>
      <c r="C105" s="438">
        <v>1719</v>
      </c>
      <c r="D105" s="438">
        <v>1726</v>
      </c>
      <c r="E105" s="438">
        <v>1733</v>
      </c>
      <c r="F105" s="438">
        <v>1740</v>
      </c>
      <c r="G105" s="438">
        <v>1747</v>
      </c>
      <c r="H105" s="438">
        <v>1756</v>
      </c>
      <c r="I105" s="438">
        <v>1764</v>
      </c>
      <c r="J105" s="438">
        <v>1772</v>
      </c>
      <c r="K105" s="438">
        <v>1780</v>
      </c>
      <c r="L105" s="438">
        <v>1788</v>
      </c>
      <c r="M105" s="438">
        <v>1797</v>
      </c>
      <c r="N105" s="438">
        <v>1805</v>
      </c>
      <c r="O105" s="438">
        <v>1756775</v>
      </c>
      <c r="P105" s="97"/>
    </row>
    <row r="106" spans="1:16">
      <c r="A106" t="s">
        <v>599</v>
      </c>
      <c r="B106" s="179">
        <v>91</v>
      </c>
      <c r="C106" s="438">
        <v>92</v>
      </c>
      <c r="D106" s="438">
        <v>94</v>
      </c>
      <c r="E106" s="438">
        <v>95</v>
      </c>
      <c r="F106" s="438">
        <v>96</v>
      </c>
      <c r="G106" s="438">
        <v>97</v>
      </c>
      <c r="H106" s="438">
        <v>99</v>
      </c>
      <c r="I106" s="438">
        <v>100</v>
      </c>
      <c r="J106" s="438">
        <v>101</v>
      </c>
      <c r="K106" s="438">
        <v>103</v>
      </c>
      <c r="L106" s="438">
        <v>104</v>
      </c>
      <c r="M106" s="438">
        <v>105</v>
      </c>
      <c r="N106" s="438">
        <v>107</v>
      </c>
      <c r="O106" s="438">
        <v>98766</v>
      </c>
      <c r="P106" s="97"/>
    </row>
    <row r="107" spans="1:16">
      <c r="A107" t="s">
        <v>600</v>
      </c>
      <c r="B107" s="179">
        <v>3</v>
      </c>
      <c r="C107" s="438">
        <v>3</v>
      </c>
      <c r="D107" s="438">
        <v>3</v>
      </c>
      <c r="E107" s="438">
        <v>3</v>
      </c>
      <c r="F107" s="438">
        <v>3</v>
      </c>
      <c r="G107" s="438">
        <v>3</v>
      </c>
      <c r="H107" s="438">
        <v>3</v>
      </c>
      <c r="I107" s="438">
        <v>3</v>
      </c>
      <c r="J107" s="438">
        <v>-4</v>
      </c>
      <c r="K107" s="438">
        <v>-20</v>
      </c>
      <c r="L107" s="438">
        <v>-20</v>
      </c>
      <c r="M107" s="438">
        <v>-20</v>
      </c>
      <c r="N107" s="438">
        <v>-20</v>
      </c>
      <c r="O107" s="438">
        <v>-4347</v>
      </c>
      <c r="P107" s="97"/>
    </row>
    <row r="108" spans="1:16">
      <c r="A108" t="s">
        <v>601</v>
      </c>
      <c r="B108" s="179">
        <v>62815</v>
      </c>
      <c r="C108" s="438">
        <v>63141</v>
      </c>
      <c r="D108" s="438">
        <v>63296</v>
      </c>
      <c r="E108" s="438">
        <v>62139</v>
      </c>
      <c r="F108" s="438">
        <v>62450</v>
      </c>
      <c r="G108" s="438">
        <v>62731</v>
      </c>
      <c r="H108" s="438">
        <v>63060</v>
      </c>
      <c r="I108" s="438">
        <v>63377</v>
      </c>
      <c r="J108" s="438">
        <v>62643</v>
      </c>
      <c r="K108" s="438">
        <v>62548</v>
      </c>
      <c r="L108" s="438">
        <v>62859</v>
      </c>
      <c r="M108" s="438">
        <v>63085</v>
      </c>
      <c r="N108" s="438">
        <v>62967</v>
      </c>
      <c r="O108" s="438">
        <v>62851733</v>
      </c>
      <c r="P108" s="97"/>
    </row>
    <row r="109" spans="1:16">
      <c r="A109" t="s">
        <v>593</v>
      </c>
      <c r="B109" s="179">
        <v>306</v>
      </c>
      <c r="C109" s="438">
        <v>307</v>
      </c>
      <c r="D109" s="438">
        <v>308</v>
      </c>
      <c r="E109" s="438">
        <v>309</v>
      </c>
      <c r="F109" s="438">
        <v>310</v>
      </c>
      <c r="G109" s="438">
        <v>311</v>
      </c>
      <c r="H109" s="438">
        <v>313</v>
      </c>
      <c r="I109" s="438">
        <v>314</v>
      </c>
      <c r="J109" s="438">
        <v>317</v>
      </c>
      <c r="K109" s="438">
        <v>320</v>
      </c>
      <c r="L109" s="438">
        <v>323</v>
      </c>
      <c r="M109" s="438">
        <v>325</v>
      </c>
      <c r="N109" s="438">
        <v>328</v>
      </c>
      <c r="O109" s="438">
        <v>314571</v>
      </c>
      <c r="P109" s="97"/>
    </row>
    <row r="110" spans="1:16">
      <c r="A110" t="s">
        <v>517</v>
      </c>
      <c r="B110" s="179">
        <v>68</v>
      </c>
      <c r="C110" s="438">
        <v>77</v>
      </c>
      <c r="D110" s="438">
        <v>41</v>
      </c>
      <c r="E110" s="438">
        <v>44</v>
      </c>
      <c r="F110" s="438">
        <v>48</v>
      </c>
      <c r="G110" s="438">
        <v>52</v>
      </c>
      <c r="H110" s="438">
        <v>56</v>
      </c>
      <c r="I110" s="438">
        <v>59</v>
      </c>
      <c r="J110" s="438">
        <v>63</v>
      </c>
      <c r="K110" s="438">
        <v>67</v>
      </c>
      <c r="L110" s="438">
        <v>70</v>
      </c>
      <c r="M110" s="438">
        <v>114</v>
      </c>
      <c r="N110" s="438">
        <v>118</v>
      </c>
      <c r="O110" s="438">
        <v>65355</v>
      </c>
      <c r="P110" s="97"/>
    </row>
    <row r="111" spans="1:16">
      <c r="A111" t="s">
        <v>594</v>
      </c>
      <c r="B111" s="179">
        <v>1180</v>
      </c>
      <c r="C111" s="438">
        <v>1183</v>
      </c>
      <c r="D111" s="438">
        <v>1187</v>
      </c>
      <c r="E111" s="438">
        <v>1190</v>
      </c>
      <c r="F111" s="438">
        <v>1194</v>
      </c>
      <c r="G111" s="438">
        <v>1197</v>
      </c>
      <c r="H111" s="438">
        <v>1201</v>
      </c>
      <c r="I111" s="438">
        <v>1204</v>
      </c>
      <c r="J111" s="438">
        <v>1208</v>
      </c>
      <c r="K111" s="438">
        <v>1211</v>
      </c>
      <c r="L111" s="438">
        <v>1215</v>
      </c>
      <c r="M111" s="438">
        <v>1218</v>
      </c>
      <c r="N111" s="438">
        <v>1222</v>
      </c>
      <c r="O111" s="438">
        <v>1200802</v>
      </c>
      <c r="P111" s="97"/>
    </row>
    <row r="112" spans="1:16">
      <c r="A112" t="s">
        <v>1360</v>
      </c>
      <c r="B112" s="179">
        <v>0</v>
      </c>
      <c r="C112" s="438">
        <v>0</v>
      </c>
      <c r="D112" s="438">
        <v>0</v>
      </c>
      <c r="E112" s="438">
        <v>0</v>
      </c>
      <c r="F112" s="438">
        <v>0</v>
      </c>
      <c r="G112" s="438">
        <v>0</v>
      </c>
      <c r="H112" s="438">
        <v>0</v>
      </c>
      <c r="I112" s="438">
        <v>0</v>
      </c>
      <c r="J112" s="438">
        <v>0</v>
      </c>
      <c r="K112" s="438">
        <v>0</v>
      </c>
      <c r="L112" s="438">
        <v>0</v>
      </c>
      <c r="M112" s="438">
        <v>0</v>
      </c>
      <c r="N112" s="438">
        <v>0</v>
      </c>
      <c r="O112" s="438">
        <v>0</v>
      </c>
      <c r="P112" s="97"/>
    </row>
    <row r="113" spans="1:16">
      <c r="A113" t="s">
        <v>1361</v>
      </c>
      <c r="B113" s="179">
        <v>0</v>
      </c>
      <c r="C113" s="438">
        <v>0</v>
      </c>
      <c r="D113" s="438">
        <v>0</v>
      </c>
      <c r="E113" s="438">
        <v>0</v>
      </c>
      <c r="F113" s="438">
        <v>0</v>
      </c>
      <c r="G113" s="438">
        <v>0</v>
      </c>
      <c r="H113" s="438">
        <v>0</v>
      </c>
      <c r="I113" s="438">
        <v>0</v>
      </c>
      <c r="J113" s="438">
        <v>0</v>
      </c>
      <c r="K113" s="438">
        <v>0</v>
      </c>
      <c r="L113" s="438">
        <v>0</v>
      </c>
      <c r="M113" s="438">
        <v>0</v>
      </c>
      <c r="N113" s="438">
        <v>0</v>
      </c>
      <c r="O113" s="438">
        <v>0</v>
      </c>
      <c r="P113" s="97"/>
    </row>
    <row r="114" spans="1:16">
      <c r="A114" t="s">
        <v>602</v>
      </c>
      <c r="B114" s="179">
        <v>5610</v>
      </c>
      <c r="C114" s="438">
        <v>5647</v>
      </c>
      <c r="D114" s="438">
        <v>5685</v>
      </c>
      <c r="E114" s="438">
        <v>5722</v>
      </c>
      <c r="F114" s="438">
        <v>5760</v>
      </c>
      <c r="G114" s="438">
        <v>5797</v>
      </c>
      <c r="H114" s="438">
        <v>5835</v>
      </c>
      <c r="I114" s="438">
        <v>5873</v>
      </c>
      <c r="J114" s="438">
        <v>5910</v>
      </c>
      <c r="K114" s="438">
        <v>5948</v>
      </c>
      <c r="L114" s="438">
        <v>5985</v>
      </c>
      <c r="M114" s="438">
        <v>6023</v>
      </c>
      <c r="N114" s="438">
        <v>6060</v>
      </c>
      <c r="O114" s="438">
        <v>5835006</v>
      </c>
      <c r="P114" s="97"/>
    </row>
    <row r="115" spans="1:16">
      <c r="A115" t="s">
        <v>606</v>
      </c>
      <c r="B115" s="179">
        <v>1661</v>
      </c>
      <c r="C115" s="438">
        <v>1669</v>
      </c>
      <c r="D115" s="438">
        <v>1677</v>
      </c>
      <c r="E115" s="438">
        <v>1685</v>
      </c>
      <c r="F115" s="438">
        <v>1693</v>
      </c>
      <c r="G115" s="438">
        <v>1701</v>
      </c>
      <c r="H115" s="438">
        <v>1709</v>
      </c>
      <c r="I115" s="438">
        <v>1717</v>
      </c>
      <c r="J115" s="438">
        <v>1725</v>
      </c>
      <c r="K115" s="438">
        <v>1733</v>
      </c>
      <c r="L115" s="438">
        <v>1741</v>
      </c>
      <c r="M115" s="438">
        <v>1749</v>
      </c>
      <c r="N115" s="438">
        <v>1757</v>
      </c>
      <c r="O115" s="438">
        <v>1708903</v>
      </c>
      <c r="P115" s="97"/>
    </row>
    <row r="116" spans="1:16">
      <c r="A116" t="s">
        <v>607</v>
      </c>
      <c r="B116" s="179">
        <v>772</v>
      </c>
      <c r="C116" s="438">
        <v>775</v>
      </c>
      <c r="D116" s="438">
        <v>779</v>
      </c>
      <c r="E116" s="438">
        <v>783</v>
      </c>
      <c r="F116" s="438">
        <v>787</v>
      </c>
      <c r="G116" s="438">
        <v>791</v>
      </c>
      <c r="H116" s="438">
        <v>795</v>
      </c>
      <c r="I116" s="438">
        <v>799</v>
      </c>
      <c r="J116" s="438">
        <v>803</v>
      </c>
      <c r="K116" s="438">
        <v>807</v>
      </c>
      <c r="L116" s="438">
        <v>811</v>
      </c>
      <c r="M116" s="438">
        <v>815</v>
      </c>
      <c r="N116" s="438">
        <v>819</v>
      </c>
      <c r="O116" s="438">
        <v>795008</v>
      </c>
      <c r="P116" s="97"/>
    </row>
    <row r="117" spans="1:16">
      <c r="A117" t="s">
        <v>608</v>
      </c>
      <c r="B117" s="179">
        <v>13873</v>
      </c>
      <c r="C117" s="438">
        <v>13999</v>
      </c>
      <c r="D117" s="438">
        <v>14110</v>
      </c>
      <c r="E117" s="438">
        <v>14228</v>
      </c>
      <c r="F117" s="438">
        <v>14338</v>
      </c>
      <c r="G117" s="438">
        <v>14422</v>
      </c>
      <c r="H117" s="438">
        <v>14512</v>
      </c>
      <c r="I117" s="438">
        <v>14580</v>
      </c>
      <c r="J117" s="438">
        <v>14723</v>
      </c>
      <c r="K117" s="438">
        <v>14850</v>
      </c>
      <c r="L117" s="438">
        <v>14869</v>
      </c>
      <c r="M117" s="438">
        <v>15011</v>
      </c>
      <c r="N117" s="438">
        <v>12542</v>
      </c>
      <c r="O117" s="438">
        <v>14403985</v>
      </c>
      <c r="P117" s="97"/>
    </row>
    <row r="118" spans="1:16">
      <c r="A118" t="s">
        <v>1362</v>
      </c>
      <c r="B118" s="179">
        <v>323</v>
      </c>
      <c r="C118" s="438">
        <v>323</v>
      </c>
      <c r="D118" s="438">
        <v>323</v>
      </c>
      <c r="E118" s="438">
        <v>323</v>
      </c>
      <c r="F118" s="438">
        <v>323</v>
      </c>
      <c r="G118" s="438">
        <v>323</v>
      </c>
      <c r="H118" s="438">
        <v>323</v>
      </c>
      <c r="I118" s="438">
        <v>323</v>
      </c>
      <c r="J118" s="438">
        <v>323</v>
      </c>
      <c r="K118" s="438">
        <v>323</v>
      </c>
      <c r="L118" s="438">
        <v>323</v>
      </c>
      <c r="M118" s="438">
        <v>323</v>
      </c>
      <c r="N118" s="438">
        <v>323</v>
      </c>
      <c r="O118" s="438">
        <v>322988</v>
      </c>
      <c r="P118" s="97"/>
    </row>
    <row r="119" spans="1:16">
      <c r="A119" t="s">
        <v>610</v>
      </c>
      <c r="B119" s="179">
        <v>1627</v>
      </c>
      <c r="C119" s="438">
        <v>1636</v>
      </c>
      <c r="D119" s="438">
        <v>1645</v>
      </c>
      <c r="E119" s="438">
        <v>1654</v>
      </c>
      <c r="F119" s="438">
        <v>1663</v>
      </c>
      <c r="G119" s="438">
        <v>1671</v>
      </c>
      <c r="H119" s="438">
        <v>1680</v>
      </c>
      <c r="I119" s="438">
        <v>1689</v>
      </c>
      <c r="J119" s="438">
        <v>1698</v>
      </c>
      <c r="K119" s="438">
        <v>1707</v>
      </c>
      <c r="L119" s="438">
        <v>1716</v>
      </c>
      <c r="M119" s="438">
        <v>1725</v>
      </c>
      <c r="N119" s="438">
        <v>1733</v>
      </c>
      <c r="O119" s="438">
        <v>1680347</v>
      </c>
      <c r="P119" s="97"/>
    </row>
    <row r="120" spans="1:16">
      <c r="A120" t="s">
        <v>1366</v>
      </c>
      <c r="B120" s="179">
        <v>166</v>
      </c>
      <c r="C120" s="438">
        <v>168</v>
      </c>
      <c r="D120" s="438">
        <v>170</v>
      </c>
      <c r="E120" s="438">
        <v>172</v>
      </c>
      <c r="F120" s="438">
        <v>175</v>
      </c>
      <c r="G120" s="438">
        <v>177</v>
      </c>
      <c r="H120" s="438">
        <v>179</v>
      </c>
      <c r="I120" s="438">
        <v>181</v>
      </c>
      <c r="J120" s="438">
        <v>44</v>
      </c>
      <c r="K120" s="438">
        <v>32</v>
      </c>
      <c r="L120" s="438">
        <v>34</v>
      </c>
      <c r="M120" s="438">
        <v>36</v>
      </c>
      <c r="N120" s="438">
        <v>38</v>
      </c>
      <c r="O120" s="438">
        <v>122483</v>
      </c>
      <c r="P120" s="97"/>
    </row>
    <row r="121" spans="1:16">
      <c r="A121" t="s">
        <v>1366</v>
      </c>
      <c r="B121" s="179">
        <v>1291</v>
      </c>
      <c r="C121" s="438">
        <v>1304</v>
      </c>
      <c r="D121" s="438">
        <v>1316</v>
      </c>
      <c r="E121" s="438">
        <v>1329</v>
      </c>
      <c r="F121" s="438">
        <v>1342</v>
      </c>
      <c r="G121" s="438">
        <v>1355</v>
      </c>
      <c r="H121" s="438">
        <v>1356</v>
      </c>
      <c r="I121" s="438">
        <v>1368</v>
      </c>
      <c r="J121" s="438">
        <v>1381</v>
      </c>
      <c r="K121" s="438">
        <v>1394</v>
      </c>
      <c r="L121" s="438">
        <v>1407</v>
      </c>
      <c r="M121" s="438">
        <v>1383</v>
      </c>
      <c r="N121" s="438">
        <v>1397</v>
      </c>
      <c r="O121" s="438">
        <v>1356604</v>
      </c>
      <c r="P121" s="97"/>
    </row>
    <row r="122" spans="1:16">
      <c r="A122" t="s">
        <v>519</v>
      </c>
      <c r="B122" s="179">
        <v>397</v>
      </c>
      <c r="C122" s="438">
        <v>452</v>
      </c>
      <c r="D122" s="438">
        <v>508</v>
      </c>
      <c r="E122" s="438">
        <v>567</v>
      </c>
      <c r="F122" s="438">
        <v>648</v>
      </c>
      <c r="G122" s="438">
        <v>748</v>
      </c>
      <c r="H122" s="438">
        <v>853</v>
      </c>
      <c r="I122" s="438">
        <v>964</v>
      </c>
      <c r="J122" s="438">
        <v>1078</v>
      </c>
      <c r="K122" s="438">
        <v>1186</v>
      </c>
      <c r="L122" s="438">
        <v>1310</v>
      </c>
      <c r="M122" s="438">
        <v>1419</v>
      </c>
      <c r="N122" s="438">
        <v>1551</v>
      </c>
      <c r="O122" s="438">
        <v>892179</v>
      </c>
      <c r="P122" s="97"/>
    </row>
    <row r="123" spans="1:16">
      <c r="A123" t="s">
        <v>1357</v>
      </c>
      <c r="B123" s="179">
        <v>0</v>
      </c>
      <c r="C123" s="438">
        <v>110</v>
      </c>
      <c r="D123" s="438">
        <v>110</v>
      </c>
      <c r="E123" s="438">
        <v>110</v>
      </c>
      <c r="F123" s="438">
        <v>110</v>
      </c>
      <c r="G123" s="438">
        <v>110</v>
      </c>
      <c r="H123" s="438">
        <v>110</v>
      </c>
      <c r="I123" s="438">
        <v>110</v>
      </c>
      <c r="J123" s="438">
        <v>110</v>
      </c>
      <c r="K123" s="438">
        <v>110</v>
      </c>
      <c r="L123" s="438">
        <v>110</v>
      </c>
      <c r="M123" s="438">
        <v>110</v>
      </c>
      <c r="N123" s="438">
        <v>110</v>
      </c>
      <c r="O123" s="438">
        <v>105704</v>
      </c>
      <c r="P123" s="97"/>
    </row>
    <row r="124" spans="1:16">
      <c r="A124" t="s">
        <v>612</v>
      </c>
      <c r="B124" s="179">
        <v>37705</v>
      </c>
      <c r="C124" s="438">
        <v>38027</v>
      </c>
      <c r="D124" s="438">
        <v>38446</v>
      </c>
      <c r="E124" s="438">
        <v>38868</v>
      </c>
      <c r="F124" s="438">
        <v>39299</v>
      </c>
      <c r="G124" s="438">
        <v>38595</v>
      </c>
      <c r="H124" s="438">
        <v>38480</v>
      </c>
      <c r="I124" s="438">
        <v>38580</v>
      </c>
      <c r="J124" s="438">
        <v>38668</v>
      </c>
      <c r="K124" s="438">
        <v>38897</v>
      </c>
      <c r="L124" s="438">
        <v>39064</v>
      </c>
      <c r="M124" s="438">
        <v>39445</v>
      </c>
      <c r="N124" s="438">
        <v>39678</v>
      </c>
      <c r="O124" s="438">
        <v>38754987</v>
      </c>
      <c r="P124" s="97"/>
    </row>
    <row r="125" spans="1:16">
      <c r="A125" t="s">
        <v>1363</v>
      </c>
      <c r="B125" s="179">
        <v>958</v>
      </c>
      <c r="C125" s="438">
        <v>977</v>
      </c>
      <c r="D125" s="438">
        <v>996</v>
      </c>
      <c r="E125" s="438">
        <v>1015</v>
      </c>
      <c r="F125" s="438">
        <v>1035</v>
      </c>
      <c r="G125" s="438">
        <v>1054</v>
      </c>
      <c r="H125" s="438">
        <v>1073</v>
      </c>
      <c r="I125" s="438">
        <v>1092</v>
      </c>
      <c r="J125" s="438">
        <v>1111</v>
      </c>
      <c r="K125" s="438">
        <v>1130</v>
      </c>
      <c r="L125" s="438">
        <v>1149</v>
      </c>
      <c r="M125" s="438">
        <v>1168</v>
      </c>
      <c r="N125" s="438">
        <v>1188</v>
      </c>
      <c r="O125" s="438">
        <v>1072798</v>
      </c>
      <c r="P125" s="97"/>
    </row>
    <row r="126" spans="1:16">
      <c r="A126" t="s">
        <v>1367</v>
      </c>
      <c r="B126" s="179">
        <v>171</v>
      </c>
      <c r="C126" s="438">
        <v>171</v>
      </c>
      <c r="D126" s="438">
        <v>172</v>
      </c>
      <c r="E126" s="438">
        <v>173</v>
      </c>
      <c r="F126" s="438">
        <v>173</v>
      </c>
      <c r="G126" s="438">
        <v>174</v>
      </c>
      <c r="H126" s="438">
        <v>174</v>
      </c>
      <c r="I126" s="438">
        <v>175</v>
      </c>
      <c r="J126" s="438">
        <v>175</v>
      </c>
      <c r="K126" s="438">
        <v>176</v>
      </c>
      <c r="L126" s="438">
        <v>176</v>
      </c>
      <c r="M126" s="438">
        <v>177</v>
      </c>
      <c r="N126" s="438">
        <v>178</v>
      </c>
      <c r="O126" s="438">
        <v>174248</v>
      </c>
      <c r="P126" s="97"/>
    </row>
    <row r="127" spans="1:16">
      <c r="A127" t="s">
        <v>616</v>
      </c>
      <c r="B127" s="179">
        <v>5238</v>
      </c>
      <c r="C127" s="438">
        <v>5260</v>
      </c>
      <c r="D127" s="438">
        <v>5283</v>
      </c>
      <c r="E127" s="438">
        <v>5305</v>
      </c>
      <c r="F127" s="438">
        <v>5327</v>
      </c>
      <c r="G127" s="438">
        <v>5350</v>
      </c>
      <c r="H127" s="438">
        <v>5372</v>
      </c>
      <c r="I127" s="438">
        <v>5394</v>
      </c>
      <c r="J127" s="438">
        <v>5417</v>
      </c>
      <c r="K127" s="438">
        <v>5439</v>
      </c>
      <c r="L127" s="438">
        <v>5461</v>
      </c>
      <c r="M127" s="438">
        <v>5484</v>
      </c>
      <c r="N127" s="438">
        <v>5506</v>
      </c>
      <c r="O127" s="438">
        <v>5372085</v>
      </c>
      <c r="P127" s="97"/>
    </row>
    <row r="128" spans="1:16">
      <c r="A128" t="s">
        <v>1375</v>
      </c>
      <c r="B128" s="179">
        <v>48</v>
      </c>
      <c r="C128" s="438">
        <v>48</v>
      </c>
      <c r="D128" s="438">
        <v>49</v>
      </c>
      <c r="E128" s="438">
        <v>49</v>
      </c>
      <c r="F128" s="438">
        <v>50</v>
      </c>
      <c r="G128" s="438">
        <v>50</v>
      </c>
      <c r="H128" s="438">
        <v>51</v>
      </c>
      <c r="I128" s="438">
        <v>51</v>
      </c>
      <c r="J128" s="438">
        <v>52</v>
      </c>
      <c r="K128" s="438">
        <v>52</v>
      </c>
      <c r="L128" s="438">
        <v>53</v>
      </c>
      <c r="M128" s="438">
        <v>53</v>
      </c>
      <c r="N128" s="438">
        <v>54</v>
      </c>
      <c r="O128" s="438">
        <v>50517</v>
      </c>
      <c r="P128" s="97"/>
    </row>
    <row r="129" spans="1:16">
      <c r="A129" t="s">
        <v>617</v>
      </c>
      <c r="B129" s="179">
        <v>1612</v>
      </c>
      <c r="C129" s="438">
        <v>1621</v>
      </c>
      <c r="D129" s="438">
        <v>1631</v>
      </c>
      <c r="E129" s="438">
        <v>1640</v>
      </c>
      <c r="F129" s="438">
        <v>1650</v>
      </c>
      <c r="G129" s="438">
        <v>1659</v>
      </c>
      <c r="H129" s="438">
        <v>1669</v>
      </c>
      <c r="I129" s="438">
        <v>1678</v>
      </c>
      <c r="J129" s="438">
        <v>1688</v>
      </c>
      <c r="K129" s="438">
        <v>1697</v>
      </c>
      <c r="L129" s="438">
        <v>1707</v>
      </c>
      <c r="M129" s="438">
        <v>1716</v>
      </c>
      <c r="N129" s="438">
        <v>1726</v>
      </c>
      <c r="O129" s="438">
        <v>1668916</v>
      </c>
      <c r="P129" s="97"/>
    </row>
    <row r="130" spans="1:16">
      <c r="A130" t="s">
        <v>618</v>
      </c>
      <c r="B130" s="179">
        <v>19768</v>
      </c>
      <c r="C130" s="438">
        <v>19854</v>
      </c>
      <c r="D130" s="438">
        <v>19939</v>
      </c>
      <c r="E130" s="438">
        <v>20025</v>
      </c>
      <c r="F130" s="438">
        <v>20110</v>
      </c>
      <c r="G130" s="438">
        <v>20139</v>
      </c>
      <c r="H130" s="438">
        <v>20225</v>
      </c>
      <c r="I130" s="438">
        <v>20310</v>
      </c>
      <c r="J130" s="438">
        <v>20396</v>
      </c>
      <c r="K130" s="438">
        <v>20485</v>
      </c>
      <c r="L130" s="438">
        <v>20578</v>
      </c>
      <c r="M130" s="438">
        <v>20672</v>
      </c>
      <c r="N130" s="438">
        <v>19691</v>
      </c>
      <c r="O130" s="438">
        <v>20205279</v>
      </c>
      <c r="P130" s="97"/>
    </row>
    <row r="131" spans="1:16">
      <c r="A131" t="s">
        <v>520</v>
      </c>
      <c r="B131" s="179">
        <v>121</v>
      </c>
      <c r="C131" s="438">
        <v>142</v>
      </c>
      <c r="D131" s="438">
        <v>163</v>
      </c>
      <c r="E131" s="438">
        <v>185</v>
      </c>
      <c r="F131" s="438">
        <v>212</v>
      </c>
      <c r="G131" s="438">
        <v>243</v>
      </c>
      <c r="H131" s="438">
        <v>273</v>
      </c>
      <c r="I131" s="438">
        <v>305</v>
      </c>
      <c r="J131" s="438">
        <v>337</v>
      </c>
      <c r="K131" s="438">
        <v>369</v>
      </c>
      <c r="L131" s="438">
        <v>404</v>
      </c>
      <c r="M131" s="438">
        <v>439</v>
      </c>
      <c r="N131" s="438">
        <v>480</v>
      </c>
      <c r="O131" s="438">
        <v>281061</v>
      </c>
      <c r="P131" s="97"/>
    </row>
    <row r="132" spans="1:16">
      <c r="A132" t="s">
        <v>1358</v>
      </c>
      <c r="B132" s="179">
        <v>0</v>
      </c>
      <c r="C132" s="438">
        <v>52</v>
      </c>
      <c r="D132" s="438">
        <v>52</v>
      </c>
      <c r="E132" s="438">
        <v>52</v>
      </c>
      <c r="F132" s="438">
        <v>52</v>
      </c>
      <c r="G132" s="438">
        <v>52</v>
      </c>
      <c r="H132" s="438">
        <v>52</v>
      </c>
      <c r="I132" s="438">
        <v>52</v>
      </c>
      <c r="J132" s="438">
        <v>52</v>
      </c>
      <c r="K132" s="438">
        <v>52</v>
      </c>
      <c r="L132" s="438">
        <v>52</v>
      </c>
      <c r="M132" s="438">
        <v>52</v>
      </c>
      <c r="N132" s="438">
        <v>52</v>
      </c>
      <c r="O132" s="438">
        <v>49954</v>
      </c>
      <c r="P132" s="97"/>
    </row>
    <row r="133" spans="1:16">
      <c r="A133" t="s">
        <v>1364</v>
      </c>
      <c r="B133" s="179">
        <v>472</v>
      </c>
      <c r="C133" s="438">
        <v>487</v>
      </c>
      <c r="D133" s="438">
        <v>501</v>
      </c>
      <c r="E133" s="438">
        <v>516</v>
      </c>
      <c r="F133" s="438">
        <v>530</v>
      </c>
      <c r="G133" s="438">
        <v>544</v>
      </c>
      <c r="H133" s="438">
        <v>559</v>
      </c>
      <c r="I133" s="438">
        <v>535</v>
      </c>
      <c r="J133" s="438">
        <v>549</v>
      </c>
      <c r="K133" s="438">
        <v>563</v>
      </c>
      <c r="L133" s="438">
        <v>578</v>
      </c>
      <c r="M133" s="438">
        <v>592</v>
      </c>
      <c r="N133" s="438">
        <v>607</v>
      </c>
      <c r="O133" s="438">
        <v>541147</v>
      </c>
      <c r="P133" s="97"/>
    </row>
    <row r="134" spans="1:16">
      <c r="A134" t="s">
        <v>1365</v>
      </c>
      <c r="B134" s="179">
        <v>602</v>
      </c>
      <c r="C134" s="438">
        <v>603</v>
      </c>
      <c r="D134" s="438">
        <v>605</v>
      </c>
      <c r="E134" s="438">
        <v>606</v>
      </c>
      <c r="F134" s="438">
        <v>608</v>
      </c>
      <c r="G134" s="438">
        <v>610</v>
      </c>
      <c r="H134" s="438">
        <v>611</v>
      </c>
      <c r="I134" s="438">
        <v>613</v>
      </c>
      <c r="J134" s="438">
        <v>614</v>
      </c>
      <c r="K134" s="438">
        <v>616</v>
      </c>
      <c r="L134" s="438">
        <v>618</v>
      </c>
      <c r="M134" s="438">
        <v>619</v>
      </c>
      <c r="N134" s="438">
        <v>621</v>
      </c>
      <c r="O134" s="438">
        <v>611274</v>
      </c>
      <c r="P134" s="97"/>
    </row>
    <row r="135" spans="1:16">
      <c r="A135" t="s">
        <v>619</v>
      </c>
      <c r="B135" s="179">
        <v>59797</v>
      </c>
      <c r="C135" s="438">
        <v>60042</v>
      </c>
      <c r="D135" s="438">
        <v>60340</v>
      </c>
      <c r="E135" s="438">
        <v>60637</v>
      </c>
      <c r="F135" s="438">
        <v>60935</v>
      </c>
      <c r="G135" s="438">
        <v>61223</v>
      </c>
      <c r="H135" s="438">
        <v>61238</v>
      </c>
      <c r="I135" s="438">
        <v>61527</v>
      </c>
      <c r="J135" s="438">
        <v>61678</v>
      </c>
      <c r="K135" s="438">
        <v>61939</v>
      </c>
      <c r="L135" s="438">
        <v>62147</v>
      </c>
      <c r="M135" s="438">
        <v>62426</v>
      </c>
      <c r="N135" s="438">
        <v>62677</v>
      </c>
      <c r="O135" s="438">
        <v>61280885</v>
      </c>
      <c r="P135" s="97"/>
    </row>
    <row r="136" spans="1:16">
      <c r="A136" t="s">
        <v>676</v>
      </c>
      <c r="B136" s="179">
        <v>332</v>
      </c>
      <c r="C136" s="438">
        <v>333</v>
      </c>
      <c r="D136" s="438">
        <v>335</v>
      </c>
      <c r="E136" s="438">
        <v>336</v>
      </c>
      <c r="F136" s="438">
        <v>337</v>
      </c>
      <c r="G136" s="438">
        <v>339</v>
      </c>
      <c r="H136" s="438">
        <v>340</v>
      </c>
      <c r="I136" s="438">
        <v>341</v>
      </c>
      <c r="J136" s="438">
        <v>342</v>
      </c>
      <c r="K136" s="438">
        <v>344</v>
      </c>
      <c r="L136" s="438">
        <v>345</v>
      </c>
      <c r="M136" s="438">
        <v>346</v>
      </c>
      <c r="N136" s="438">
        <v>348</v>
      </c>
      <c r="O136" s="438">
        <v>339842</v>
      </c>
      <c r="P136" s="97"/>
    </row>
    <row r="137" spans="1:16">
      <c r="A137" t="s">
        <v>1359</v>
      </c>
      <c r="B137" s="179">
        <v>0</v>
      </c>
      <c r="C137" s="438">
        <v>0</v>
      </c>
      <c r="D137" s="438">
        <v>0</v>
      </c>
      <c r="E137" s="438">
        <v>0</v>
      </c>
      <c r="F137" s="438">
        <v>0</v>
      </c>
      <c r="G137" s="438">
        <v>0</v>
      </c>
      <c r="H137" s="438">
        <v>0</v>
      </c>
      <c r="I137" s="438">
        <v>0</v>
      </c>
      <c r="J137" s="438">
        <v>0</v>
      </c>
      <c r="K137" s="438">
        <v>0</v>
      </c>
      <c r="L137" s="438">
        <v>0</v>
      </c>
      <c r="M137" s="438">
        <v>0</v>
      </c>
      <c r="N137" s="438">
        <v>0</v>
      </c>
      <c r="O137" s="438">
        <v>4</v>
      </c>
      <c r="P137" s="97"/>
    </row>
    <row r="138" spans="1:16">
      <c r="A138" t="s">
        <v>677</v>
      </c>
      <c r="B138" s="179">
        <v>2231</v>
      </c>
      <c r="C138" s="438">
        <v>2240</v>
      </c>
      <c r="D138" s="438">
        <v>2248</v>
      </c>
      <c r="E138" s="438">
        <v>2257</v>
      </c>
      <c r="F138" s="438">
        <v>2266</v>
      </c>
      <c r="G138" s="438">
        <v>2274</v>
      </c>
      <c r="H138" s="438">
        <v>2283</v>
      </c>
      <c r="I138" s="438">
        <v>2292</v>
      </c>
      <c r="J138" s="438">
        <v>2300</v>
      </c>
      <c r="K138" s="438">
        <v>2309</v>
      </c>
      <c r="L138" s="438">
        <v>2317</v>
      </c>
      <c r="M138" s="438">
        <v>2326</v>
      </c>
      <c r="N138" s="438">
        <v>2335</v>
      </c>
      <c r="O138" s="438">
        <v>2282914</v>
      </c>
      <c r="P138" s="97"/>
    </row>
    <row r="139" spans="1:16">
      <c r="A139" t="s">
        <v>678</v>
      </c>
      <c r="B139" s="179">
        <v>51</v>
      </c>
      <c r="C139" s="438">
        <v>51</v>
      </c>
      <c r="D139" s="438">
        <v>51</v>
      </c>
      <c r="E139" s="438">
        <v>52</v>
      </c>
      <c r="F139" s="438">
        <v>52</v>
      </c>
      <c r="G139" s="438">
        <v>53</v>
      </c>
      <c r="H139" s="438">
        <v>53</v>
      </c>
      <c r="I139" s="438">
        <v>54</v>
      </c>
      <c r="J139" s="438">
        <v>54</v>
      </c>
      <c r="K139" s="438">
        <v>55</v>
      </c>
      <c r="L139" s="438">
        <v>56</v>
      </c>
      <c r="M139" s="438">
        <v>57</v>
      </c>
      <c r="N139" s="438">
        <v>58</v>
      </c>
      <c r="O139" s="438">
        <v>53538</v>
      </c>
      <c r="P139" s="97"/>
    </row>
    <row r="140" spans="1:16">
      <c r="A140" t="s">
        <v>682</v>
      </c>
      <c r="B140" s="179">
        <v>231</v>
      </c>
      <c r="C140" s="438">
        <v>232</v>
      </c>
      <c r="D140" s="438">
        <v>234</v>
      </c>
      <c r="E140" s="438">
        <v>235</v>
      </c>
      <c r="F140" s="438">
        <v>237</v>
      </c>
      <c r="G140" s="438">
        <v>238</v>
      </c>
      <c r="H140" s="438">
        <v>240</v>
      </c>
      <c r="I140" s="438">
        <v>241</v>
      </c>
      <c r="J140" s="438">
        <v>243</v>
      </c>
      <c r="K140" s="438">
        <v>244</v>
      </c>
      <c r="L140" s="438">
        <v>246</v>
      </c>
      <c r="M140" s="438">
        <v>247</v>
      </c>
      <c r="N140" s="438">
        <v>249</v>
      </c>
      <c r="O140" s="438">
        <v>239770</v>
      </c>
      <c r="P140" s="97"/>
    </row>
    <row r="141" spans="1:16">
      <c r="A141" t="s">
        <v>683</v>
      </c>
      <c r="B141" s="179">
        <v>1108</v>
      </c>
      <c r="C141" s="438">
        <v>1111</v>
      </c>
      <c r="D141" s="438">
        <v>1115</v>
      </c>
      <c r="E141" s="438">
        <v>1119</v>
      </c>
      <c r="F141" s="438">
        <v>1122</v>
      </c>
      <c r="G141" s="438">
        <v>1126</v>
      </c>
      <c r="H141" s="438">
        <v>1129</v>
      </c>
      <c r="I141" s="438">
        <v>1133</v>
      </c>
      <c r="J141" s="438">
        <v>1137</v>
      </c>
      <c r="K141" s="438">
        <v>1140</v>
      </c>
      <c r="L141" s="438">
        <v>1144</v>
      </c>
      <c r="M141" s="438">
        <v>1148</v>
      </c>
      <c r="N141" s="438">
        <v>1152</v>
      </c>
      <c r="O141" s="438">
        <v>1129482</v>
      </c>
      <c r="P141" s="97"/>
    </row>
    <row r="142" spans="1:16" ht="14.25">
      <c r="B142" s="1496"/>
      <c r="C142" s="1496"/>
      <c r="D142" s="1496"/>
      <c r="E142" s="1496"/>
      <c r="F142" s="1496"/>
      <c r="G142" s="1496"/>
      <c r="H142" s="1496"/>
      <c r="I142" s="1496"/>
      <c r="J142" s="1496"/>
      <c r="K142" s="1496"/>
      <c r="L142" s="1496"/>
      <c r="M142" s="1496"/>
      <c r="N142" s="1496"/>
      <c r="O142" s="1501"/>
      <c r="P142" s="97"/>
    </row>
    <row r="143" spans="1:16" ht="15">
      <c r="A143" s="857"/>
      <c r="B143" s="1497">
        <f t="shared" ref="B143:O143" si="5">SUM(B92:B142)</f>
        <v>251179</v>
      </c>
      <c r="C143" s="1497">
        <f t="shared" si="5"/>
        <v>253001</v>
      </c>
      <c r="D143" s="1497">
        <f t="shared" si="5"/>
        <v>254372</v>
      </c>
      <c r="E143" s="1497">
        <f t="shared" si="5"/>
        <v>254116</v>
      </c>
      <c r="F143" s="1497">
        <f t="shared" si="5"/>
        <v>255940</v>
      </c>
      <c r="G143" s="1497">
        <f t="shared" si="5"/>
        <v>256511</v>
      </c>
      <c r="H143" s="1497">
        <f t="shared" si="5"/>
        <v>257524</v>
      </c>
      <c r="I143" s="1497">
        <f t="shared" si="5"/>
        <v>258987</v>
      </c>
      <c r="J143" s="1497">
        <f t="shared" si="5"/>
        <v>259061</v>
      </c>
      <c r="K143" s="1497">
        <f t="shared" si="5"/>
        <v>260405</v>
      </c>
      <c r="L143" s="1497">
        <f t="shared" si="5"/>
        <v>261886</v>
      </c>
      <c r="M143" s="1497">
        <f t="shared" si="5"/>
        <v>263701</v>
      </c>
      <c r="N143" s="1497">
        <f t="shared" si="5"/>
        <v>257678</v>
      </c>
      <c r="O143" s="1497">
        <f t="shared" si="5"/>
        <v>257494849</v>
      </c>
      <c r="P143" s="97"/>
    </row>
    <row r="144" spans="1:16">
      <c r="A144" s="97"/>
      <c r="B144" s="97"/>
      <c r="C144" s="97"/>
      <c r="D144" s="97"/>
      <c r="E144" s="97"/>
      <c r="F144" s="97"/>
      <c r="G144" s="97"/>
      <c r="H144" s="97"/>
      <c r="I144" s="97"/>
      <c r="J144" s="97"/>
      <c r="K144" s="97"/>
      <c r="L144" s="97"/>
      <c r="M144" s="97"/>
      <c r="N144" s="97"/>
      <c r="O144" s="662"/>
      <c r="P144" s="97"/>
    </row>
    <row r="145" spans="1:16">
      <c r="A145" s="97"/>
      <c r="B145" s="97"/>
      <c r="C145" s="97"/>
      <c r="D145" s="97"/>
      <c r="E145" s="97"/>
      <c r="F145" s="97"/>
      <c r="G145" s="97"/>
      <c r="H145" s="97"/>
      <c r="I145" s="97"/>
      <c r="J145" s="97"/>
      <c r="K145" s="97"/>
      <c r="L145" s="97"/>
      <c r="M145" s="97"/>
      <c r="N145" s="97"/>
      <c r="O145" s="662"/>
      <c r="P145" s="97"/>
    </row>
    <row r="146" spans="1:16">
      <c r="A146" s="97"/>
      <c r="B146" s="97"/>
      <c r="C146" s="97"/>
      <c r="D146" s="97"/>
      <c r="E146" s="97"/>
      <c r="F146" s="97"/>
      <c r="G146" s="97"/>
      <c r="H146" s="97"/>
      <c r="I146" s="97"/>
      <c r="J146" s="97"/>
      <c r="K146" s="97"/>
      <c r="L146" s="97"/>
      <c r="M146" s="97"/>
      <c r="N146" s="97"/>
      <c r="O146" s="662"/>
      <c r="P146" s="97"/>
    </row>
    <row r="147" spans="1:16">
      <c r="A147" s="849" t="s">
        <v>530</v>
      </c>
      <c r="O147" s="2"/>
      <c r="P147" s="97"/>
    </row>
    <row r="148" spans="1:16">
      <c r="A148" s="805" t="s">
        <v>685</v>
      </c>
      <c r="B148" s="852">
        <f t="shared" ref="B148:N148" si="6">B91</f>
        <v>41609</v>
      </c>
      <c r="C148" s="852">
        <f t="shared" si="6"/>
        <v>41640</v>
      </c>
      <c r="D148" s="852">
        <f t="shared" si="6"/>
        <v>41671</v>
      </c>
      <c r="E148" s="852">
        <f t="shared" si="6"/>
        <v>41699</v>
      </c>
      <c r="F148" s="852">
        <f t="shared" si="6"/>
        <v>41730</v>
      </c>
      <c r="G148" s="852">
        <f t="shared" si="6"/>
        <v>41760</v>
      </c>
      <c r="H148" s="852">
        <f t="shared" si="6"/>
        <v>41791</v>
      </c>
      <c r="I148" s="852">
        <f t="shared" si="6"/>
        <v>41821</v>
      </c>
      <c r="J148" s="852">
        <f t="shared" si="6"/>
        <v>41852</v>
      </c>
      <c r="K148" s="852">
        <f t="shared" si="6"/>
        <v>41883</v>
      </c>
      <c r="L148" s="852">
        <f t="shared" si="6"/>
        <v>41913</v>
      </c>
      <c r="M148" s="852">
        <f t="shared" si="6"/>
        <v>41944</v>
      </c>
      <c r="N148" s="852">
        <f t="shared" si="6"/>
        <v>41974</v>
      </c>
      <c r="O148" s="1397" t="s">
        <v>91</v>
      </c>
      <c r="P148" s="97"/>
    </row>
    <row r="149" spans="1:16">
      <c r="O149" s="2"/>
      <c r="P149" s="97"/>
    </row>
    <row r="150" spans="1:16">
      <c r="A150" t="s">
        <v>680</v>
      </c>
      <c r="B150" s="179">
        <v>73</v>
      </c>
      <c r="C150" s="438">
        <v>73</v>
      </c>
      <c r="D150" s="438">
        <v>74</v>
      </c>
      <c r="E150" s="438">
        <v>74</v>
      </c>
      <c r="F150" s="438">
        <v>74</v>
      </c>
      <c r="G150" s="438">
        <v>74</v>
      </c>
      <c r="H150" s="438">
        <v>74</v>
      </c>
      <c r="I150" s="438">
        <v>74</v>
      </c>
      <c r="J150" s="438">
        <v>74</v>
      </c>
      <c r="K150" s="438">
        <v>75</v>
      </c>
      <c r="L150" s="438">
        <v>75</v>
      </c>
      <c r="M150" s="438">
        <v>75</v>
      </c>
      <c r="N150" s="438">
        <v>75</v>
      </c>
      <c r="O150" s="438">
        <v>74107</v>
      </c>
      <c r="P150" s="97"/>
    </row>
    <row r="151" spans="1:16">
      <c r="A151" t="s">
        <v>681</v>
      </c>
      <c r="B151" s="179">
        <v>211</v>
      </c>
      <c r="C151" s="438">
        <v>211</v>
      </c>
      <c r="D151" s="438">
        <v>212</v>
      </c>
      <c r="E151" s="438">
        <v>212</v>
      </c>
      <c r="F151" s="438">
        <v>212</v>
      </c>
      <c r="G151" s="438">
        <v>213</v>
      </c>
      <c r="H151" s="438">
        <v>213</v>
      </c>
      <c r="I151" s="438">
        <v>213</v>
      </c>
      <c r="J151" s="438">
        <v>214</v>
      </c>
      <c r="K151" s="438">
        <v>214</v>
      </c>
      <c r="L151" s="438">
        <v>215</v>
      </c>
      <c r="M151" s="438">
        <v>215</v>
      </c>
      <c r="N151" s="438">
        <v>215</v>
      </c>
      <c r="O151" s="438">
        <v>213101</v>
      </c>
      <c r="P151" s="97"/>
    </row>
    <row r="152" spans="1:16">
      <c r="A152" t="s">
        <v>614</v>
      </c>
      <c r="B152" s="179">
        <v>9747</v>
      </c>
      <c r="C152" s="438">
        <v>9770</v>
      </c>
      <c r="D152" s="438">
        <v>9792</v>
      </c>
      <c r="E152" s="438">
        <v>9815</v>
      </c>
      <c r="F152" s="438">
        <v>9838</v>
      </c>
      <c r="G152" s="438">
        <v>9860</v>
      </c>
      <c r="H152" s="438">
        <v>9883</v>
      </c>
      <c r="I152" s="438">
        <v>9906</v>
      </c>
      <c r="J152" s="438">
        <v>9928</v>
      </c>
      <c r="K152" s="438">
        <v>9951</v>
      </c>
      <c r="L152" s="438">
        <v>9974</v>
      </c>
      <c r="M152" s="438">
        <v>9997</v>
      </c>
      <c r="N152" s="438">
        <v>10019</v>
      </c>
      <c r="O152" s="438">
        <v>9883062</v>
      </c>
      <c r="P152" s="97"/>
    </row>
    <row r="153" spans="1:16">
      <c r="A153" t="s">
        <v>615</v>
      </c>
      <c r="B153" s="179">
        <v>14629</v>
      </c>
      <c r="C153" s="438">
        <v>14663</v>
      </c>
      <c r="D153" s="438">
        <v>14698</v>
      </c>
      <c r="E153" s="438">
        <v>14733</v>
      </c>
      <c r="F153" s="438">
        <v>14767</v>
      </c>
      <c r="G153" s="438">
        <v>14802</v>
      </c>
      <c r="H153" s="438">
        <v>14837</v>
      </c>
      <c r="I153" s="438">
        <v>14871</v>
      </c>
      <c r="J153" s="438">
        <v>14906</v>
      </c>
      <c r="K153" s="438">
        <v>14941</v>
      </c>
      <c r="L153" s="438">
        <v>14975</v>
      </c>
      <c r="M153" s="438">
        <v>15010</v>
      </c>
      <c r="N153" s="438">
        <v>15045</v>
      </c>
      <c r="O153" s="438">
        <v>14836714</v>
      </c>
      <c r="P153" s="97"/>
    </row>
    <row r="154" spans="1:16">
      <c r="A154" t="s">
        <v>604</v>
      </c>
      <c r="B154" s="179">
        <v>9856</v>
      </c>
      <c r="C154" s="438">
        <v>9876</v>
      </c>
      <c r="D154" s="438">
        <v>9896</v>
      </c>
      <c r="E154" s="438">
        <v>9916</v>
      </c>
      <c r="F154" s="438">
        <v>9937</v>
      </c>
      <c r="G154" s="438">
        <v>9957</v>
      </c>
      <c r="H154" s="438">
        <v>9977</v>
      </c>
      <c r="I154" s="438">
        <v>9997</v>
      </c>
      <c r="J154" s="438">
        <v>10017</v>
      </c>
      <c r="K154" s="438">
        <v>10037</v>
      </c>
      <c r="L154" s="438">
        <v>10057</v>
      </c>
      <c r="M154" s="438">
        <v>10078</v>
      </c>
      <c r="N154" s="438">
        <v>10098</v>
      </c>
      <c r="O154" s="438">
        <v>9976839</v>
      </c>
      <c r="P154" s="97"/>
    </row>
    <row r="155" spans="1:16">
      <c r="A155" t="s">
        <v>605</v>
      </c>
      <c r="B155" s="179">
        <v>13762</v>
      </c>
      <c r="C155" s="438">
        <v>13791</v>
      </c>
      <c r="D155" s="438">
        <v>13819</v>
      </c>
      <c r="E155" s="438">
        <v>13848</v>
      </c>
      <c r="F155" s="438">
        <v>13877</v>
      </c>
      <c r="G155" s="438">
        <v>13905</v>
      </c>
      <c r="H155" s="438">
        <v>13934</v>
      </c>
      <c r="I155" s="438">
        <v>13963</v>
      </c>
      <c r="J155" s="438">
        <v>13991</v>
      </c>
      <c r="K155" s="438">
        <v>14020</v>
      </c>
      <c r="L155" s="438">
        <v>14049</v>
      </c>
      <c r="M155" s="438">
        <v>14077</v>
      </c>
      <c r="N155" s="438">
        <v>14106</v>
      </c>
      <c r="O155" s="438">
        <v>13933901</v>
      </c>
      <c r="P155" s="97"/>
    </row>
    <row r="156" spans="1:16">
      <c r="A156" t="s">
        <v>587</v>
      </c>
      <c r="B156" s="179">
        <v>454</v>
      </c>
      <c r="C156" s="438">
        <v>455</v>
      </c>
      <c r="D156" s="438">
        <v>456</v>
      </c>
      <c r="E156" s="438">
        <v>457</v>
      </c>
      <c r="F156" s="438">
        <v>458</v>
      </c>
      <c r="G156" s="438">
        <v>459</v>
      </c>
      <c r="H156" s="438">
        <v>460</v>
      </c>
      <c r="I156" s="438">
        <v>461</v>
      </c>
      <c r="J156" s="438">
        <v>462</v>
      </c>
      <c r="K156" s="438">
        <v>463</v>
      </c>
      <c r="L156" s="438">
        <v>464</v>
      </c>
      <c r="M156" s="438">
        <v>466</v>
      </c>
      <c r="N156" s="438">
        <v>467</v>
      </c>
      <c r="O156" s="438">
        <v>460103</v>
      </c>
      <c r="P156" s="97"/>
    </row>
    <row r="157" spans="1:16">
      <c r="A157" t="s">
        <v>588</v>
      </c>
      <c r="B157" s="179">
        <v>701</v>
      </c>
      <c r="C157" s="438">
        <v>703</v>
      </c>
      <c r="D157" s="438">
        <v>705</v>
      </c>
      <c r="E157" s="438">
        <v>706</v>
      </c>
      <c r="F157" s="438">
        <v>708</v>
      </c>
      <c r="G157" s="438">
        <v>710</v>
      </c>
      <c r="H157" s="438">
        <v>711</v>
      </c>
      <c r="I157" s="438">
        <v>713</v>
      </c>
      <c r="J157" s="438">
        <v>715</v>
      </c>
      <c r="K157" s="438">
        <v>716</v>
      </c>
      <c r="L157" s="438">
        <v>718</v>
      </c>
      <c r="M157" s="438">
        <v>720</v>
      </c>
      <c r="N157" s="438">
        <v>721</v>
      </c>
      <c r="O157" s="438">
        <v>711299</v>
      </c>
      <c r="P157" s="97"/>
    </row>
    <row r="158" spans="1:16">
      <c r="A158" t="s">
        <v>592</v>
      </c>
      <c r="B158" s="179">
        <v>319</v>
      </c>
      <c r="C158" s="438">
        <v>320</v>
      </c>
      <c r="D158" s="438">
        <v>320</v>
      </c>
      <c r="E158" s="438">
        <v>321</v>
      </c>
      <c r="F158" s="438">
        <v>322</v>
      </c>
      <c r="G158" s="438">
        <v>322</v>
      </c>
      <c r="H158" s="438">
        <v>323</v>
      </c>
      <c r="I158" s="438">
        <v>324</v>
      </c>
      <c r="J158" s="438">
        <v>324</v>
      </c>
      <c r="K158" s="438">
        <v>325</v>
      </c>
      <c r="L158" s="438">
        <v>326</v>
      </c>
      <c r="M158" s="438">
        <v>326</v>
      </c>
      <c r="N158" s="438">
        <v>327</v>
      </c>
      <c r="O158" s="438">
        <v>323028</v>
      </c>
      <c r="P158" s="97"/>
    </row>
    <row r="159" spans="1:16">
      <c r="A159" t="s">
        <v>518</v>
      </c>
      <c r="B159" s="179">
        <v>10072</v>
      </c>
      <c r="C159" s="438">
        <v>10097</v>
      </c>
      <c r="D159" s="438">
        <v>10128</v>
      </c>
      <c r="E159" s="438">
        <v>10159</v>
      </c>
      <c r="F159" s="438">
        <v>10194</v>
      </c>
      <c r="G159" s="438">
        <v>10225</v>
      </c>
      <c r="H159" s="438">
        <v>10254</v>
      </c>
      <c r="I159" s="438">
        <v>10285</v>
      </c>
      <c r="J159" s="438">
        <v>10317</v>
      </c>
      <c r="K159" s="438">
        <v>10349</v>
      </c>
      <c r="L159" s="438">
        <v>10381</v>
      </c>
      <c r="M159" s="438">
        <v>10413</v>
      </c>
      <c r="N159" s="438">
        <v>10444</v>
      </c>
      <c r="O159" s="438">
        <v>10254933</v>
      </c>
      <c r="P159" s="97"/>
    </row>
    <row r="160" spans="1:16" ht="15">
      <c r="B160" s="1497">
        <f t="shared" ref="B160:P160" si="7">SUM(B150:B159)</f>
        <v>59824</v>
      </c>
      <c r="C160" s="1497">
        <f t="shared" si="7"/>
        <v>59959</v>
      </c>
      <c r="D160" s="1497">
        <f t="shared" si="7"/>
        <v>60100</v>
      </c>
      <c r="E160" s="1497">
        <f t="shared" si="7"/>
        <v>60241</v>
      </c>
      <c r="F160" s="1497">
        <f t="shared" si="7"/>
        <v>60387</v>
      </c>
      <c r="G160" s="1497">
        <f t="shared" si="7"/>
        <v>60527</v>
      </c>
      <c r="H160" s="1497">
        <f t="shared" si="7"/>
        <v>60666</v>
      </c>
      <c r="I160" s="1497">
        <f t="shared" si="7"/>
        <v>60807</v>
      </c>
      <c r="J160" s="1497">
        <f t="shared" si="7"/>
        <v>60948</v>
      </c>
      <c r="K160" s="1497">
        <f t="shared" si="7"/>
        <v>61091</v>
      </c>
      <c r="L160" s="1497">
        <f t="shared" si="7"/>
        <v>61234</v>
      </c>
      <c r="M160" s="1497">
        <f t="shared" si="7"/>
        <v>61377</v>
      </c>
      <c r="N160" s="1497">
        <f t="shared" si="7"/>
        <v>61517</v>
      </c>
      <c r="O160" s="1497">
        <f t="shared" si="7"/>
        <v>60667087</v>
      </c>
      <c r="P160" s="1497">
        <f t="shared" si="7"/>
        <v>0</v>
      </c>
    </row>
    <row r="161" spans="1:16">
      <c r="O161" s="2"/>
      <c r="P161" s="97"/>
    </row>
    <row r="162" spans="1:16">
      <c r="O162" s="2"/>
      <c r="P162" s="97"/>
    </row>
    <row r="163" spans="1:16">
      <c r="O163" s="2"/>
      <c r="P163" s="97"/>
    </row>
    <row r="164" spans="1:16">
      <c r="O164" s="2"/>
      <c r="P164" s="97"/>
    </row>
    <row r="165" spans="1:16">
      <c r="O165" s="2"/>
      <c r="P165" s="97"/>
    </row>
    <row r="166" spans="1:16">
      <c r="A166" s="849" t="s">
        <v>531</v>
      </c>
      <c r="O166" s="2"/>
      <c r="P166" s="97"/>
    </row>
    <row r="167" spans="1:16">
      <c r="A167" s="805" t="s">
        <v>685</v>
      </c>
      <c r="O167" s="2"/>
      <c r="P167" s="97"/>
    </row>
    <row r="168" spans="1:16">
      <c r="A168" t="s">
        <v>591</v>
      </c>
      <c r="B168" s="179">
        <v>468</v>
      </c>
      <c r="C168" s="438">
        <v>470</v>
      </c>
      <c r="D168" s="438">
        <v>472</v>
      </c>
      <c r="E168" s="438">
        <v>474</v>
      </c>
      <c r="F168" s="438">
        <v>475</v>
      </c>
      <c r="G168" s="438">
        <v>477</v>
      </c>
      <c r="H168" s="438">
        <v>479</v>
      </c>
      <c r="I168" s="438">
        <v>481</v>
      </c>
      <c r="J168" s="438">
        <v>483</v>
      </c>
      <c r="K168" s="438">
        <v>484</v>
      </c>
      <c r="L168" s="438">
        <v>486</v>
      </c>
      <c r="M168" s="438">
        <v>488</v>
      </c>
      <c r="N168" s="438">
        <v>490</v>
      </c>
      <c r="O168" s="438">
        <v>479065</v>
      </c>
      <c r="P168" s="97"/>
    </row>
    <row r="169" spans="1:16">
      <c r="A169" t="s">
        <v>595</v>
      </c>
      <c r="B169" s="179">
        <v>14649</v>
      </c>
      <c r="C169" s="438">
        <v>14715</v>
      </c>
      <c r="D169" s="438">
        <v>14782</v>
      </c>
      <c r="E169" s="438">
        <v>14849</v>
      </c>
      <c r="F169" s="438">
        <v>14916</v>
      </c>
      <c r="G169" s="438">
        <v>14982</v>
      </c>
      <c r="H169" s="438">
        <v>15049</v>
      </c>
      <c r="I169" s="438">
        <v>15116</v>
      </c>
      <c r="J169" s="438">
        <v>15183</v>
      </c>
      <c r="K169" s="438">
        <v>15249</v>
      </c>
      <c r="L169" s="438">
        <v>15316</v>
      </c>
      <c r="M169" s="438">
        <v>15383</v>
      </c>
      <c r="N169" s="438">
        <v>15450</v>
      </c>
      <c r="O169" s="438">
        <v>15049105</v>
      </c>
      <c r="P169" s="97"/>
    </row>
    <row r="170" spans="1:16">
      <c r="A170" t="s">
        <v>603</v>
      </c>
      <c r="B170" s="179">
        <v>8467</v>
      </c>
      <c r="C170" s="438">
        <v>8498</v>
      </c>
      <c r="D170" s="438">
        <v>8530</v>
      </c>
      <c r="E170" s="438">
        <v>8562</v>
      </c>
      <c r="F170" s="438">
        <v>8594</v>
      </c>
      <c r="G170" s="438">
        <v>8625</v>
      </c>
      <c r="H170" s="438">
        <v>8657</v>
      </c>
      <c r="I170" s="438">
        <v>8689</v>
      </c>
      <c r="J170" s="438">
        <v>8720</v>
      </c>
      <c r="K170" s="438">
        <v>8752</v>
      </c>
      <c r="L170" s="438">
        <v>8784</v>
      </c>
      <c r="M170" s="438">
        <v>8815</v>
      </c>
      <c r="N170" s="438">
        <v>8847</v>
      </c>
      <c r="O170" s="438">
        <v>8656913</v>
      </c>
      <c r="P170" s="97"/>
    </row>
    <row r="171" spans="1:16">
      <c r="A171" t="s">
        <v>609</v>
      </c>
      <c r="B171" s="179">
        <v>92</v>
      </c>
      <c r="C171" s="438">
        <v>92</v>
      </c>
      <c r="D171" s="438">
        <v>93</v>
      </c>
      <c r="E171" s="438">
        <v>93</v>
      </c>
      <c r="F171" s="438">
        <v>94</v>
      </c>
      <c r="G171" s="438">
        <v>94</v>
      </c>
      <c r="H171" s="438">
        <v>95</v>
      </c>
      <c r="I171" s="438">
        <v>95</v>
      </c>
      <c r="J171" s="438">
        <v>96</v>
      </c>
      <c r="K171" s="438">
        <v>96</v>
      </c>
      <c r="L171" s="438">
        <v>97</v>
      </c>
      <c r="M171" s="438">
        <v>97</v>
      </c>
      <c r="N171" s="438">
        <v>98</v>
      </c>
      <c r="O171" s="438">
        <v>94705</v>
      </c>
      <c r="P171" s="97"/>
    </row>
    <row r="172" spans="1:16">
      <c r="A172" t="s">
        <v>613</v>
      </c>
      <c r="B172" s="179">
        <v>11646</v>
      </c>
      <c r="C172" s="438">
        <v>11687</v>
      </c>
      <c r="D172" s="438">
        <v>11728</v>
      </c>
      <c r="E172" s="438">
        <v>11770</v>
      </c>
      <c r="F172" s="438">
        <v>11811</v>
      </c>
      <c r="G172" s="438">
        <v>11852</v>
      </c>
      <c r="H172" s="438">
        <v>11893</v>
      </c>
      <c r="I172" s="438">
        <v>11935</v>
      </c>
      <c r="J172" s="438">
        <v>11976</v>
      </c>
      <c r="K172" s="438">
        <v>12017</v>
      </c>
      <c r="L172" s="438">
        <v>12059</v>
      </c>
      <c r="M172" s="438">
        <v>12100</v>
      </c>
      <c r="N172" s="438">
        <v>12141</v>
      </c>
      <c r="O172" s="438">
        <v>11893399</v>
      </c>
      <c r="P172" s="97"/>
    </row>
    <row r="173" spans="1:16">
      <c r="A173" t="s">
        <v>679</v>
      </c>
      <c r="B173" s="179">
        <v>13</v>
      </c>
      <c r="C173" s="438">
        <v>13</v>
      </c>
      <c r="D173" s="438">
        <v>13</v>
      </c>
      <c r="E173" s="438">
        <v>13</v>
      </c>
      <c r="F173" s="438">
        <v>13</v>
      </c>
      <c r="G173" s="438">
        <v>13</v>
      </c>
      <c r="H173" s="438">
        <v>14</v>
      </c>
      <c r="I173" s="438">
        <v>14</v>
      </c>
      <c r="J173" s="438">
        <v>14</v>
      </c>
      <c r="K173" s="438">
        <v>14</v>
      </c>
      <c r="L173" s="438">
        <v>14</v>
      </c>
      <c r="M173" s="438">
        <v>14</v>
      </c>
      <c r="N173" s="438">
        <v>14</v>
      </c>
      <c r="O173" s="438">
        <v>13542</v>
      </c>
      <c r="P173" s="97"/>
    </row>
    <row r="174" spans="1:16" ht="15">
      <c r="A174" s="857"/>
      <c r="B174" s="1497">
        <f t="shared" ref="B174:O174" si="8">SUM(B168:B173)</f>
        <v>35335</v>
      </c>
      <c r="C174" s="1497">
        <f t="shared" si="8"/>
        <v>35475</v>
      </c>
      <c r="D174" s="1497">
        <f t="shared" si="8"/>
        <v>35618</v>
      </c>
      <c r="E174" s="1497">
        <f t="shared" si="8"/>
        <v>35761</v>
      </c>
      <c r="F174" s="1497">
        <f t="shared" si="8"/>
        <v>35903</v>
      </c>
      <c r="G174" s="1497">
        <f t="shared" si="8"/>
        <v>36043</v>
      </c>
      <c r="H174" s="1497">
        <f t="shared" si="8"/>
        <v>36187</v>
      </c>
      <c r="I174" s="1497">
        <f t="shared" si="8"/>
        <v>36330</v>
      </c>
      <c r="J174" s="1497">
        <f t="shared" si="8"/>
        <v>36472</v>
      </c>
      <c r="K174" s="1497">
        <f t="shared" si="8"/>
        <v>36612</v>
      </c>
      <c r="L174" s="1497">
        <f t="shared" si="8"/>
        <v>36756</v>
      </c>
      <c r="M174" s="1497">
        <f t="shared" si="8"/>
        <v>36897</v>
      </c>
      <c r="N174" s="1497">
        <f t="shared" si="8"/>
        <v>37040</v>
      </c>
      <c r="O174" s="1497">
        <f t="shared" si="8"/>
        <v>36186729</v>
      </c>
      <c r="P174" s="97"/>
    </row>
    <row r="175" spans="1:16">
      <c r="A175" s="97"/>
      <c r="B175" s="97"/>
      <c r="C175" s="97"/>
      <c r="D175" s="97"/>
      <c r="E175" s="97"/>
      <c r="F175" s="97"/>
      <c r="G175" s="97"/>
      <c r="H175" s="97"/>
      <c r="I175" s="97"/>
      <c r="J175" s="97"/>
      <c r="K175" s="97"/>
      <c r="L175" s="97"/>
      <c r="M175" s="97"/>
      <c r="N175" s="97"/>
      <c r="O175" s="660"/>
      <c r="P175" s="97"/>
    </row>
    <row r="176" spans="1:16">
      <c r="A176" s="97"/>
      <c r="B176" s="97"/>
      <c r="C176" s="97"/>
      <c r="D176" s="97"/>
      <c r="E176" s="97"/>
      <c r="F176" s="97"/>
      <c r="G176" s="97"/>
      <c r="H176" s="97"/>
      <c r="I176" s="97"/>
      <c r="J176" s="97"/>
      <c r="K176" s="97"/>
      <c r="L176" s="97"/>
      <c r="M176" s="97"/>
      <c r="N176" s="97"/>
      <c r="O176" s="660"/>
      <c r="P176" s="97"/>
    </row>
    <row r="177" spans="1:16">
      <c r="A177" s="97"/>
      <c r="B177" s="97"/>
      <c r="C177" s="97"/>
      <c r="D177" s="97"/>
      <c r="E177" s="97"/>
      <c r="F177" s="97"/>
      <c r="G177" s="97"/>
      <c r="H177" s="97"/>
      <c r="I177" s="97"/>
      <c r="J177" s="97"/>
      <c r="K177" s="97"/>
      <c r="L177" s="97"/>
      <c r="M177" s="97"/>
      <c r="N177" s="97"/>
      <c r="O177" s="660"/>
      <c r="P177" s="97"/>
    </row>
    <row r="178" spans="1:16">
      <c r="A178" s="97"/>
      <c r="B178" s="97"/>
      <c r="C178" s="97"/>
      <c r="D178" s="97"/>
      <c r="E178" s="97"/>
      <c r="F178" s="97"/>
      <c r="G178" s="97"/>
      <c r="H178" s="97"/>
      <c r="I178" s="97"/>
      <c r="J178" s="97"/>
      <c r="K178" s="97"/>
      <c r="L178" s="97"/>
      <c r="M178" s="97"/>
      <c r="N178" s="97"/>
      <c r="O178" s="660"/>
      <c r="P178" s="97"/>
    </row>
    <row r="179" spans="1:16">
      <c r="A179" s="97"/>
      <c r="B179" s="97"/>
      <c r="C179" s="97"/>
      <c r="D179" s="97"/>
      <c r="E179" s="97"/>
      <c r="F179" s="97"/>
      <c r="G179" s="97"/>
      <c r="H179" s="97"/>
      <c r="I179" s="97"/>
      <c r="J179" s="97"/>
      <c r="K179" s="97"/>
      <c r="L179" s="97"/>
      <c r="M179" s="97"/>
      <c r="N179" s="97"/>
      <c r="O179" s="660"/>
      <c r="P179" s="97"/>
    </row>
    <row r="180" spans="1:16">
      <c r="A180" s="97"/>
      <c r="B180" s="97"/>
      <c r="C180" s="97"/>
      <c r="D180" s="97"/>
      <c r="E180" s="97"/>
      <c r="F180" s="97"/>
      <c r="G180" s="97"/>
      <c r="H180" s="97"/>
      <c r="I180" s="97"/>
      <c r="J180" s="97"/>
      <c r="K180" s="97"/>
      <c r="L180" s="97"/>
      <c r="M180" s="97"/>
      <c r="N180" s="97"/>
      <c r="O180" s="660"/>
      <c r="P180" s="97"/>
    </row>
    <row r="181" spans="1:16">
      <c r="A181" s="97"/>
      <c r="B181" s="97"/>
      <c r="C181" s="97"/>
      <c r="D181" s="97"/>
      <c r="E181" s="97"/>
      <c r="F181" s="97"/>
      <c r="G181" s="97"/>
      <c r="H181" s="97"/>
      <c r="I181" s="97"/>
      <c r="J181" s="97"/>
      <c r="K181" s="97"/>
      <c r="L181" s="97"/>
      <c r="M181" s="97"/>
      <c r="N181" s="97"/>
      <c r="O181" s="660"/>
      <c r="P181" s="97"/>
    </row>
    <row r="182" spans="1:16">
      <c r="A182" s="97"/>
      <c r="B182" s="97"/>
      <c r="C182" s="97"/>
      <c r="D182" s="97"/>
      <c r="E182" s="97"/>
      <c r="F182" s="97"/>
      <c r="G182" s="97"/>
      <c r="H182" s="97"/>
      <c r="I182" s="97"/>
      <c r="J182" s="97"/>
      <c r="K182" s="97"/>
      <c r="L182" s="97"/>
      <c r="M182" s="97"/>
      <c r="N182" s="97"/>
      <c r="O182" s="97"/>
      <c r="P182" s="97"/>
    </row>
    <row r="183" spans="1:16">
      <c r="A183" s="383"/>
      <c r="B183" s="383"/>
      <c r="C183" s="383"/>
      <c r="D183" s="383"/>
      <c r="E183" s="383"/>
      <c r="F183" s="383"/>
      <c r="G183" s="383"/>
      <c r="H183" s="383"/>
      <c r="I183" s="383"/>
      <c r="J183" s="383"/>
      <c r="K183" s="383"/>
      <c r="L183" s="383"/>
      <c r="M183" s="383"/>
      <c r="N183" s="383"/>
      <c r="O183" s="383"/>
      <c r="P183" s="97"/>
    </row>
    <row r="184" spans="1:16">
      <c r="A184" s="97"/>
      <c r="B184" s="97"/>
      <c r="C184" s="97"/>
      <c r="D184" s="97"/>
      <c r="E184" s="97"/>
      <c r="F184" s="97"/>
      <c r="G184" s="97"/>
      <c r="H184" s="97"/>
      <c r="I184" s="97"/>
      <c r="J184" s="97"/>
      <c r="K184" s="97"/>
      <c r="L184" s="97"/>
      <c r="M184" s="97"/>
      <c r="N184" s="97"/>
      <c r="O184" s="97"/>
      <c r="P184" s="97"/>
    </row>
    <row r="185" spans="1:16">
      <c r="A185" s="97"/>
      <c r="B185" s="97"/>
      <c r="C185" s="97"/>
      <c r="D185" s="97"/>
      <c r="E185" s="97"/>
      <c r="F185" s="97"/>
      <c r="G185" s="97"/>
      <c r="H185" s="97"/>
      <c r="I185" s="97"/>
      <c r="J185" s="97"/>
      <c r="K185" s="97"/>
      <c r="L185" s="97"/>
      <c r="M185" s="97"/>
      <c r="N185" s="97"/>
      <c r="O185" s="97"/>
      <c r="P185" s="97"/>
    </row>
    <row r="186" spans="1:16">
      <c r="A186" s="829"/>
      <c r="B186" s="383"/>
      <c r="C186" s="383"/>
      <c r="D186" s="383"/>
      <c r="E186" s="383"/>
      <c r="F186" s="383"/>
      <c r="G186" s="383"/>
      <c r="H186" s="383"/>
      <c r="I186" s="383"/>
      <c r="J186" s="383"/>
      <c r="K186" s="383"/>
      <c r="L186" s="383"/>
      <c r="M186" s="383"/>
      <c r="N186" s="383"/>
      <c r="O186" s="383"/>
      <c r="P186" s="97"/>
    </row>
    <row r="187" spans="1:16">
      <c r="A187" s="97"/>
      <c r="B187" s="97"/>
      <c r="C187" s="97"/>
      <c r="D187" s="97"/>
      <c r="E187" s="97"/>
      <c r="F187" s="97"/>
      <c r="G187" s="97"/>
      <c r="H187" s="97"/>
      <c r="I187" s="97"/>
      <c r="J187" s="97"/>
      <c r="K187" s="97"/>
      <c r="L187" s="97"/>
      <c r="M187" s="97"/>
      <c r="N187" s="97"/>
      <c r="O187" s="97"/>
      <c r="P187" s="97"/>
    </row>
    <row r="188" spans="1:16">
      <c r="A188" s="97"/>
      <c r="B188" s="97"/>
      <c r="C188" s="97"/>
      <c r="D188" s="97"/>
      <c r="E188" s="97"/>
      <c r="F188" s="97"/>
      <c r="G188" s="97"/>
      <c r="H188" s="97"/>
      <c r="I188" s="97"/>
      <c r="J188" s="97"/>
      <c r="K188" s="97"/>
      <c r="L188" s="97"/>
      <c r="M188" s="97"/>
      <c r="N188" s="97"/>
      <c r="O188" s="97"/>
      <c r="P188" s="97"/>
    </row>
    <row r="189" spans="1:16">
      <c r="A189" s="97"/>
      <c r="B189" s="97"/>
      <c r="C189" s="97"/>
      <c r="D189" s="97"/>
      <c r="E189" s="97"/>
      <c r="F189" s="97"/>
      <c r="G189" s="97"/>
      <c r="H189" s="97"/>
      <c r="I189" s="97"/>
      <c r="J189" s="97"/>
      <c r="K189" s="97"/>
      <c r="L189" s="97"/>
      <c r="M189" s="97"/>
      <c r="N189" s="97"/>
      <c r="O189" s="97"/>
      <c r="P189" s="97"/>
    </row>
    <row r="190" spans="1:16">
      <c r="A190" s="97"/>
      <c r="B190" s="97"/>
      <c r="C190" s="97"/>
      <c r="D190" s="97"/>
      <c r="E190" s="97"/>
      <c r="F190" s="97"/>
      <c r="G190" s="97"/>
      <c r="H190" s="97"/>
      <c r="I190" s="97"/>
      <c r="J190" s="97"/>
      <c r="K190" s="97"/>
      <c r="L190" s="97"/>
      <c r="M190" s="97"/>
      <c r="N190" s="97"/>
      <c r="O190" s="97"/>
      <c r="P190" s="97"/>
    </row>
    <row r="191" spans="1:16">
      <c r="A191" s="97"/>
      <c r="B191" s="97"/>
      <c r="C191" s="97"/>
      <c r="D191" s="97"/>
      <c r="E191" s="97"/>
      <c r="F191" s="97"/>
      <c r="G191" s="97"/>
      <c r="H191" s="97"/>
      <c r="I191" s="97"/>
      <c r="J191" s="97"/>
      <c r="K191" s="97"/>
      <c r="L191" s="97"/>
      <c r="M191" s="97"/>
      <c r="N191" s="97"/>
      <c r="O191" s="97"/>
      <c r="P191" s="97"/>
    </row>
    <row r="192" spans="1:16">
      <c r="A192" s="97"/>
      <c r="B192" s="97"/>
      <c r="C192" s="97"/>
      <c r="D192" s="97"/>
      <c r="E192" s="97"/>
      <c r="F192" s="97"/>
      <c r="G192" s="97"/>
      <c r="H192" s="97"/>
      <c r="I192" s="97"/>
      <c r="J192" s="97"/>
      <c r="K192" s="97"/>
      <c r="L192" s="97"/>
      <c r="M192" s="97"/>
      <c r="N192" s="97"/>
      <c r="O192" s="97"/>
      <c r="P192" s="97"/>
    </row>
    <row r="193" spans="1:16">
      <c r="A193" s="97"/>
      <c r="B193" s="97"/>
      <c r="C193" s="97"/>
      <c r="D193" s="97"/>
      <c r="E193" s="97"/>
      <c r="F193" s="97"/>
      <c r="G193" s="97"/>
      <c r="H193" s="97"/>
      <c r="I193" s="97"/>
      <c r="J193" s="97"/>
      <c r="K193" s="97"/>
      <c r="L193" s="97"/>
      <c r="M193" s="97"/>
      <c r="N193" s="97"/>
      <c r="O193" s="97"/>
      <c r="P193" s="97"/>
    </row>
    <row r="194" spans="1:16">
      <c r="A194" s="97"/>
      <c r="B194" s="97"/>
      <c r="C194" s="97"/>
      <c r="D194" s="97"/>
      <c r="E194" s="97"/>
      <c r="F194" s="97"/>
      <c r="G194" s="97"/>
      <c r="H194" s="97"/>
      <c r="I194" s="97"/>
      <c r="J194" s="97"/>
      <c r="K194" s="97"/>
      <c r="L194" s="97"/>
      <c r="M194" s="97"/>
      <c r="N194" s="97"/>
      <c r="O194" s="97"/>
      <c r="P194" s="97"/>
    </row>
    <row r="195" spans="1:16">
      <c r="A195" s="97"/>
      <c r="B195" s="97"/>
      <c r="C195" s="97"/>
      <c r="D195" s="97"/>
      <c r="E195" s="97"/>
      <c r="F195" s="97"/>
      <c r="G195" s="97"/>
      <c r="H195" s="97"/>
      <c r="I195" s="97"/>
      <c r="J195" s="97"/>
      <c r="K195" s="97"/>
      <c r="L195" s="97"/>
      <c r="M195" s="97"/>
      <c r="N195" s="97"/>
      <c r="O195" s="97"/>
      <c r="P195" s="97"/>
    </row>
    <row r="196" spans="1:16">
      <c r="A196" s="97"/>
      <c r="B196" s="97"/>
      <c r="C196" s="97"/>
      <c r="D196" s="97"/>
      <c r="E196" s="97"/>
      <c r="F196" s="97"/>
      <c r="G196" s="97"/>
      <c r="H196" s="97"/>
      <c r="I196" s="97"/>
      <c r="J196" s="97"/>
      <c r="K196" s="97"/>
      <c r="L196" s="97"/>
      <c r="M196" s="97"/>
      <c r="N196" s="97"/>
      <c r="O196" s="97"/>
      <c r="P196" s="97"/>
    </row>
    <row r="197" spans="1:16">
      <c r="A197" s="97"/>
      <c r="B197" s="97"/>
      <c r="C197" s="97"/>
      <c r="D197" s="97"/>
      <c r="E197" s="97"/>
      <c r="F197" s="97"/>
      <c r="G197" s="97"/>
      <c r="H197" s="97"/>
      <c r="I197" s="97"/>
      <c r="J197" s="97"/>
      <c r="K197" s="97"/>
      <c r="L197" s="97"/>
      <c r="M197" s="97"/>
      <c r="N197" s="97"/>
      <c r="O197" s="97"/>
      <c r="P197" s="97"/>
    </row>
    <row r="198" spans="1:16">
      <c r="A198" s="97"/>
      <c r="B198" s="97"/>
      <c r="C198" s="97"/>
      <c r="D198" s="97"/>
      <c r="E198" s="97"/>
      <c r="F198" s="97"/>
      <c r="G198" s="97"/>
      <c r="H198" s="97"/>
      <c r="I198" s="97"/>
      <c r="J198" s="97"/>
      <c r="K198" s="97"/>
      <c r="L198" s="97"/>
      <c r="M198" s="97"/>
      <c r="N198" s="97"/>
      <c r="O198" s="97"/>
      <c r="P198" s="97"/>
    </row>
    <row r="199" spans="1:16">
      <c r="A199" s="97"/>
      <c r="B199" s="97"/>
      <c r="C199" s="97"/>
      <c r="D199" s="97"/>
      <c r="E199" s="97"/>
      <c r="F199" s="97"/>
      <c r="G199" s="97"/>
      <c r="H199" s="97"/>
      <c r="I199" s="97"/>
      <c r="J199" s="97"/>
      <c r="K199" s="97"/>
      <c r="L199" s="97"/>
      <c r="M199" s="97"/>
      <c r="N199" s="97"/>
      <c r="O199" s="97"/>
      <c r="P199" s="97"/>
    </row>
    <row r="200" spans="1:16">
      <c r="A200" s="97"/>
      <c r="B200" s="97"/>
      <c r="C200" s="97"/>
      <c r="D200" s="97"/>
      <c r="E200" s="97"/>
      <c r="F200" s="97"/>
      <c r="G200" s="97"/>
      <c r="H200" s="97"/>
      <c r="I200" s="97"/>
      <c r="J200" s="97"/>
      <c r="K200" s="97"/>
      <c r="L200" s="97"/>
      <c r="M200" s="97"/>
      <c r="N200" s="97"/>
      <c r="O200" s="97"/>
      <c r="P200" s="97"/>
    </row>
    <row r="201" spans="1:16">
      <c r="A201" s="97"/>
      <c r="B201" s="97"/>
      <c r="C201" s="97"/>
      <c r="D201" s="97"/>
      <c r="E201" s="97"/>
      <c r="F201" s="97"/>
      <c r="G201" s="97"/>
      <c r="H201" s="97"/>
      <c r="I201" s="97"/>
      <c r="J201" s="97"/>
      <c r="K201" s="97"/>
      <c r="L201" s="97"/>
      <c r="M201" s="97"/>
      <c r="N201" s="97"/>
      <c r="O201" s="97"/>
      <c r="P201" s="97"/>
    </row>
    <row r="202" spans="1:16">
      <c r="A202" s="97"/>
      <c r="B202" s="97"/>
      <c r="C202" s="97"/>
      <c r="D202" s="97"/>
      <c r="E202" s="97"/>
      <c r="F202" s="97"/>
      <c r="G202" s="97"/>
      <c r="H202" s="97"/>
      <c r="I202" s="97"/>
      <c r="J202" s="97"/>
      <c r="K202" s="97"/>
      <c r="L202" s="97"/>
      <c r="M202" s="97"/>
      <c r="N202" s="97"/>
      <c r="O202" s="97"/>
      <c r="P202" s="97"/>
    </row>
    <row r="203" spans="1:16">
      <c r="A203" s="97"/>
      <c r="B203" s="97"/>
      <c r="C203" s="97"/>
      <c r="D203" s="97"/>
      <c r="E203" s="97"/>
      <c r="F203" s="97"/>
      <c r="G203" s="97"/>
      <c r="H203" s="97"/>
      <c r="I203" s="97"/>
      <c r="J203" s="97"/>
      <c r="K203" s="97"/>
      <c r="L203" s="97"/>
      <c r="M203" s="97"/>
      <c r="N203" s="97"/>
      <c r="O203" s="97"/>
      <c r="P203" s="97"/>
    </row>
    <row r="204" spans="1:16">
      <c r="A204" s="97"/>
      <c r="B204" s="97"/>
      <c r="C204" s="97"/>
      <c r="D204" s="97"/>
      <c r="E204" s="97"/>
      <c r="F204" s="97"/>
      <c r="G204" s="97"/>
      <c r="H204" s="97"/>
      <c r="I204" s="97"/>
      <c r="J204" s="97"/>
      <c r="K204" s="97"/>
      <c r="L204" s="97"/>
      <c r="M204" s="97"/>
      <c r="N204" s="97"/>
      <c r="O204" s="97"/>
      <c r="P204" s="97"/>
    </row>
    <row r="205" spans="1:16">
      <c r="A205" s="97"/>
      <c r="B205" s="97"/>
      <c r="C205" s="97"/>
      <c r="D205" s="97"/>
      <c r="E205" s="97"/>
      <c r="F205" s="97"/>
      <c r="G205" s="97"/>
      <c r="H205" s="97"/>
      <c r="I205" s="97"/>
      <c r="J205" s="97"/>
      <c r="K205" s="97"/>
      <c r="L205" s="97"/>
      <c r="M205" s="97"/>
      <c r="N205" s="97"/>
      <c r="O205" s="97"/>
      <c r="P205" s="97"/>
    </row>
    <row r="206" spans="1:16">
      <c r="A206" s="97"/>
      <c r="B206" s="97"/>
      <c r="C206" s="97"/>
      <c r="D206" s="97"/>
      <c r="E206" s="97"/>
      <c r="F206" s="97"/>
      <c r="G206" s="97"/>
      <c r="H206" s="97"/>
      <c r="I206" s="97"/>
      <c r="J206" s="97"/>
      <c r="K206" s="97"/>
      <c r="L206" s="97"/>
      <c r="M206" s="97"/>
      <c r="N206" s="97"/>
      <c r="O206" s="97"/>
      <c r="P206" s="97"/>
    </row>
    <row r="207" spans="1:16">
      <c r="A207" s="97"/>
      <c r="B207" s="97"/>
      <c r="C207" s="97"/>
      <c r="D207" s="97"/>
      <c r="E207" s="97"/>
      <c r="F207" s="97"/>
      <c r="G207" s="97"/>
      <c r="H207" s="97"/>
      <c r="I207" s="97"/>
      <c r="J207" s="97"/>
      <c r="K207" s="97"/>
      <c r="L207" s="97"/>
      <c r="M207" s="97"/>
      <c r="N207" s="97"/>
      <c r="O207" s="97"/>
      <c r="P207" s="97"/>
    </row>
    <row r="208" spans="1:16">
      <c r="A208" s="97"/>
      <c r="B208" s="97"/>
      <c r="C208" s="97"/>
      <c r="D208" s="97"/>
      <c r="E208" s="97"/>
      <c r="F208" s="97"/>
      <c r="G208" s="97"/>
      <c r="H208" s="97"/>
      <c r="I208" s="97"/>
      <c r="J208" s="97"/>
      <c r="K208" s="97"/>
      <c r="L208" s="97"/>
      <c r="M208" s="97"/>
      <c r="N208" s="97"/>
      <c r="O208" s="97"/>
      <c r="P208" s="97"/>
    </row>
    <row r="209" spans="1:16">
      <c r="A209" s="97"/>
      <c r="B209" s="97"/>
      <c r="C209" s="97"/>
      <c r="D209" s="97"/>
      <c r="E209" s="97"/>
      <c r="F209" s="97"/>
      <c r="G209" s="97"/>
      <c r="H209" s="97"/>
      <c r="I209" s="97"/>
      <c r="J209" s="97"/>
      <c r="K209" s="97"/>
      <c r="L209" s="97"/>
      <c r="M209" s="97"/>
      <c r="N209" s="97"/>
      <c r="O209" s="97"/>
      <c r="P209" s="97"/>
    </row>
    <row r="210" spans="1:16">
      <c r="A210" s="97"/>
      <c r="B210" s="97"/>
      <c r="C210" s="97"/>
      <c r="D210" s="97"/>
      <c r="E210" s="97"/>
      <c r="F210" s="97"/>
      <c r="G210" s="97"/>
      <c r="H210" s="97"/>
      <c r="I210" s="97"/>
      <c r="J210" s="97"/>
      <c r="K210" s="97"/>
      <c r="L210" s="97"/>
      <c r="M210" s="97"/>
      <c r="N210" s="97"/>
      <c r="O210" s="97"/>
      <c r="P210" s="97"/>
    </row>
    <row r="211" spans="1:16">
      <c r="A211" s="97"/>
      <c r="B211" s="97"/>
      <c r="C211" s="97"/>
      <c r="D211" s="97"/>
      <c r="E211" s="97"/>
      <c r="F211" s="97"/>
      <c r="G211" s="97"/>
      <c r="H211" s="97"/>
      <c r="I211" s="97"/>
      <c r="J211" s="97"/>
      <c r="K211" s="97"/>
      <c r="L211" s="97"/>
      <c r="M211" s="97"/>
      <c r="N211" s="97"/>
      <c r="O211" s="97"/>
      <c r="P211" s="97"/>
    </row>
    <row r="212" spans="1:16">
      <c r="A212" s="97"/>
      <c r="B212" s="97"/>
      <c r="C212" s="97"/>
      <c r="D212" s="97"/>
      <c r="E212" s="97"/>
      <c r="F212" s="97"/>
      <c r="G212" s="97"/>
      <c r="H212" s="97"/>
      <c r="I212" s="97"/>
      <c r="J212" s="97"/>
      <c r="K212" s="97"/>
      <c r="L212" s="97"/>
      <c r="M212" s="97"/>
      <c r="N212" s="97"/>
      <c r="O212" s="97"/>
      <c r="P212" s="97"/>
    </row>
    <row r="213" spans="1:16">
      <c r="A213" s="97"/>
      <c r="B213" s="97"/>
      <c r="C213" s="97"/>
      <c r="D213" s="97"/>
      <c r="E213" s="97"/>
      <c r="F213" s="97"/>
      <c r="G213" s="97"/>
      <c r="H213" s="97"/>
      <c r="I213" s="97"/>
      <c r="J213" s="97"/>
      <c r="K213" s="97"/>
      <c r="L213" s="97"/>
      <c r="M213" s="97"/>
      <c r="N213" s="97"/>
      <c r="O213" s="97"/>
      <c r="P213" s="97"/>
    </row>
    <row r="214" spans="1:16">
      <c r="A214" s="97"/>
      <c r="B214" s="97"/>
      <c r="C214" s="97"/>
      <c r="D214" s="97"/>
      <c r="E214" s="97"/>
      <c r="F214" s="97"/>
      <c r="G214" s="97"/>
      <c r="H214" s="97"/>
      <c r="I214" s="97"/>
      <c r="J214" s="97"/>
      <c r="K214" s="97"/>
      <c r="L214" s="97"/>
      <c r="M214" s="97"/>
      <c r="N214" s="97"/>
      <c r="O214" s="97"/>
      <c r="P214" s="97"/>
    </row>
    <row r="215" spans="1:16">
      <c r="A215" s="97"/>
      <c r="B215" s="97"/>
      <c r="C215" s="97"/>
      <c r="D215" s="97"/>
      <c r="E215" s="97"/>
      <c r="F215" s="97"/>
      <c r="G215" s="97"/>
      <c r="H215" s="97"/>
      <c r="I215" s="97"/>
      <c r="J215" s="97"/>
      <c r="K215" s="97"/>
      <c r="L215" s="97"/>
      <c r="M215" s="97"/>
      <c r="N215" s="97"/>
      <c r="O215" s="97"/>
      <c r="P215" s="97"/>
    </row>
    <row r="216" spans="1:16">
      <c r="A216" s="97"/>
      <c r="B216" s="97"/>
      <c r="C216" s="97"/>
      <c r="D216" s="97"/>
      <c r="E216" s="97"/>
      <c r="F216" s="97"/>
      <c r="G216" s="97"/>
      <c r="H216" s="97"/>
      <c r="I216" s="97"/>
      <c r="J216" s="97"/>
      <c r="K216" s="97"/>
      <c r="L216" s="97"/>
      <c r="M216" s="97"/>
      <c r="N216" s="97"/>
      <c r="O216" s="97"/>
      <c r="P216" s="97"/>
    </row>
    <row r="217" spans="1:16">
      <c r="A217" s="97"/>
      <c r="B217" s="97"/>
      <c r="C217" s="97"/>
      <c r="D217" s="97"/>
      <c r="E217" s="97"/>
      <c r="F217" s="97"/>
      <c r="G217" s="97"/>
      <c r="H217" s="97"/>
      <c r="I217" s="97"/>
      <c r="J217" s="97"/>
      <c r="K217" s="97"/>
      <c r="L217" s="97"/>
      <c r="M217" s="97"/>
      <c r="N217" s="97"/>
      <c r="O217" s="97"/>
      <c r="P217" s="97"/>
    </row>
    <row r="218" spans="1:16">
      <c r="A218" s="97"/>
      <c r="B218" s="97"/>
      <c r="C218" s="97"/>
      <c r="D218" s="97"/>
      <c r="E218" s="97"/>
      <c r="F218" s="97"/>
      <c r="G218" s="97"/>
      <c r="H218" s="97"/>
      <c r="I218" s="97"/>
      <c r="J218" s="97"/>
      <c r="K218" s="97"/>
      <c r="L218" s="97"/>
      <c r="M218" s="97"/>
      <c r="N218" s="97"/>
      <c r="O218" s="97"/>
      <c r="P218" s="97"/>
    </row>
    <row r="219" spans="1:16">
      <c r="A219" s="97"/>
      <c r="B219" s="97"/>
      <c r="C219" s="97"/>
      <c r="D219" s="97"/>
      <c r="E219" s="97"/>
      <c r="F219" s="97"/>
      <c r="G219" s="97"/>
      <c r="H219" s="97"/>
      <c r="I219" s="97"/>
      <c r="J219" s="97"/>
      <c r="K219" s="97"/>
      <c r="L219" s="97"/>
      <c r="M219" s="97"/>
      <c r="N219" s="97"/>
      <c r="O219" s="97"/>
      <c r="P219" s="97"/>
    </row>
    <row r="220" spans="1:16">
      <c r="A220" s="97"/>
      <c r="B220" s="97"/>
      <c r="C220" s="97"/>
      <c r="D220" s="97"/>
      <c r="E220" s="97"/>
      <c r="F220" s="97"/>
      <c r="G220" s="97"/>
      <c r="H220" s="97"/>
      <c r="I220" s="97"/>
      <c r="J220" s="97"/>
      <c r="K220" s="97"/>
      <c r="L220" s="97"/>
      <c r="M220" s="97"/>
      <c r="N220" s="97"/>
      <c r="O220" s="97"/>
      <c r="P220" s="97"/>
    </row>
  </sheetData>
  <phoneticPr fontId="77" type="noConversion"/>
  <pageMargins left="0.43" right="0.75" top="0.17" bottom="0.23" header="0.17" footer="0.16"/>
  <pageSetup scale="52" fitToHeight="0" orientation="landscape" r:id="rId1"/>
  <headerFooter alignWithMargins="0"/>
  <rowBreaks count="3" manualBreakCount="3">
    <brk id="60" max="16383" man="1"/>
    <brk id="89" max="16383" man="1"/>
    <brk id="14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4"/>
  <sheetViews>
    <sheetView zoomScale="75" zoomScaleNormal="75" zoomScaleSheetLayoutView="75" workbookViewId="0">
      <pane xSplit="1" ySplit="3" topLeftCell="B4" activePane="bottomRight" state="frozen"/>
      <selection activeCell="C309" sqref="C309"/>
      <selection pane="topRight" activeCell="C309" sqref="C309"/>
      <selection pane="bottomLeft" activeCell="C309" sqref="C309"/>
      <selection pane="bottomRight" activeCell="L38" sqref="L38"/>
    </sheetView>
  </sheetViews>
  <sheetFormatPr defaultRowHeight="12.75"/>
  <cols>
    <col min="1" max="1" width="40.5703125" customWidth="1"/>
    <col min="2" max="2" width="22.5703125" customWidth="1"/>
    <col min="3" max="3" width="16.5703125" bestFit="1" customWidth="1"/>
    <col min="4" max="4" width="15.140625" bestFit="1" customWidth="1"/>
    <col min="5" max="5" width="15.42578125" bestFit="1" customWidth="1"/>
    <col min="6" max="8" width="15.5703125" bestFit="1" customWidth="1"/>
    <col min="9" max="11" width="15.42578125" bestFit="1" customWidth="1"/>
    <col min="12" max="12" width="17" bestFit="1" customWidth="1"/>
    <col min="13" max="13" width="15.5703125" bestFit="1" customWidth="1"/>
    <col min="14" max="14" width="16.42578125" customWidth="1"/>
    <col min="15" max="16" width="15.5703125" bestFit="1" customWidth="1"/>
    <col min="17" max="17" width="14" bestFit="1" customWidth="1"/>
  </cols>
  <sheetData>
    <row r="1" spans="1:17">
      <c r="A1" s="805" t="s">
        <v>698</v>
      </c>
    </row>
    <row r="2" spans="1:17">
      <c r="P2" s="158" t="s">
        <v>1144</v>
      </c>
    </row>
    <row r="3" spans="1:17">
      <c r="A3" s="146" t="s">
        <v>1009</v>
      </c>
      <c r="B3" t="s">
        <v>38</v>
      </c>
      <c r="C3" s="940">
        <v>41639</v>
      </c>
      <c r="D3" s="940">
        <v>41670</v>
      </c>
      <c r="E3" s="940">
        <v>41698</v>
      </c>
      <c r="F3" s="940">
        <v>41725</v>
      </c>
      <c r="G3" s="940">
        <v>41753</v>
      </c>
      <c r="H3" s="940">
        <v>41781</v>
      </c>
      <c r="I3" s="940">
        <v>41809</v>
      </c>
      <c r="J3" s="940">
        <v>41837</v>
      </c>
      <c r="K3" s="940">
        <v>41865</v>
      </c>
      <c r="L3" s="940">
        <v>41893</v>
      </c>
      <c r="M3" s="940">
        <v>41921</v>
      </c>
      <c r="N3" s="940">
        <v>41949</v>
      </c>
      <c r="O3" s="940">
        <v>41977</v>
      </c>
      <c r="P3" s="938" t="s">
        <v>91</v>
      </c>
    </row>
    <row r="4" spans="1:17">
      <c r="A4" s="859" t="s">
        <v>912</v>
      </c>
    </row>
    <row r="5" spans="1:17">
      <c r="A5" t="s">
        <v>837</v>
      </c>
      <c r="B5" t="s">
        <v>43</v>
      </c>
      <c r="C5" s="1877">
        <v>3760860000</v>
      </c>
      <c r="D5" s="1877">
        <v>3760860000</v>
      </c>
      <c r="E5" s="1877">
        <v>3760860000</v>
      </c>
      <c r="F5" s="1877">
        <v>3760860000</v>
      </c>
      <c r="G5" s="1877">
        <v>3760860000</v>
      </c>
      <c r="H5" s="1877">
        <v>3760860000</v>
      </c>
      <c r="I5" s="1877">
        <v>3760860000</v>
      </c>
      <c r="J5" s="1877">
        <v>3760860000</v>
      </c>
      <c r="K5" s="1877">
        <v>3760860000</v>
      </c>
      <c r="L5" s="1877">
        <v>3760860000</v>
      </c>
      <c r="M5" s="1877">
        <v>3760860000</v>
      </c>
      <c r="N5" s="1877">
        <v>3760860000</v>
      </c>
      <c r="O5" s="1877">
        <v>3760860000</v>
      </c>
      <c r="P5" s="860">
        <f>AVERAGE(C5:O5)</f>
        <v>3760860000</v>
      </c>
      <c r="Q5" s="108"/>
    </row>
    <row r="6" spans="1:17">
      <c r="A6" t="s">
        <v>839</v>
      </c>
      <c r="B6" t="s">
        <v>44</v>
      </c>
      <c r="C6" s="1877">
        <v>0</v>
      </c>
      <c r="D6" s="1877">
        <v>0</v>
      </c>
      <c r="E6" s="1877">
        <v>0</v>
      </c>
      <c r="F6" s="1877">
        <v>0</v>
      </c>
      <c r="G6" s="1877">
        <v>0</v>
      </c>
      <c r="H6" s="1877">
        <v>0</v>
      </c>
      <c r="I6" s="1877">
        <v>0</v>
      </c>
      <c r="J6" s="1877">
        <v>0</v>
      </c>
      <c r="K6" s="1877">
        <v>0</v>
      </c>
      <c r="L6" s="1877">
        <v>0</v>
      </c>
      <c r="M6" s="1877">
        <v>0</v>
      </c>
      <c r="N6" s="1877">
        <v>0</v>
      </c>
      <c r="O6" s="1877">
        <v>0</v>
      </c>
      <c r="P6" s="860">
        <f>AVERAGE(C6:O6)</f>
        <v>0</v>
      </c>
      <c r="Q6" s="860"/>
    </row>
    <row r="7" spans="1:17">
      <c r="C7" s="860"/>
      <c r="D7" s="860"/>
      <c r="E7" s="860"/>
      <c r="F7" s="860"/>
      <c r="G7" s="860"/>
      <c r="H7" s="860"/>
      <c r="I7" s="860"/>
      <c r="J7" s="860"/>
      <c r="K7" s="860"/>
      <c r="L7" s="860"/>
      <c r="M7" s="860"/>
      <c r="N7" s="860"/>
      <c r="O7" s="860"/>
      <c r="P7" s="860"/>
    </row>
    <row r="8" spans="1:17">
      <c r="A8" t="s">
        <v>838</v>
      </c>
      <c r="B8" t="s">
        <v>39</v>
      </c>
      <c r="C8" s="1877">
        <v>0</v>
      </c>
      <c r="D8" s="1877">
        <v>0</v>
      </c>
      <c r="E8" s="1877">
        <v>0</v>
      </c>
      <c r="F8" s="1877">
        <v>0</v>
      </c>
      <c r="G8" s="1877">
        <v>0</v>
      </c>
      <c r="H8" s="1877">
        <v>0</v>
      </c>
      <c r="I8" s="1877">
        <v>0</v>
      </c>
      <c r="J8" s="1877">
        <v>0</v>
      </c>
      <c r="K8" s="1877">
        <v>0</v>
      </c>
      <c r="L8" s="1877">
        <v>0</v>
      </c>
      <c r="M8" s="1877">
        <v>0</v>
      </c>
      <c r="N8" s="1877">
        <v>0</v>
      </c>
      <c r="O8" s="1877">
        <v>0</v>
      </c>
      <c r="P8" s="860">
        <f>AVERAGE(C8:O8)</f>
        <v>0</v>
      </c>
    </row>
    <row r="9" spans="1:17">
      <c r="A9" t="s">
        <v>840</v>
      </c>
      <c r="B9" t="s">
        <v>45</v>
      </c>
      <c r="C9" s="1878">
        <v>0</v>
      </c>
      <c r="D9" s="1878">
        <v>0</v>
      </c>
      <c r="E9" s="1878">
        <v>0</v>
      </c>
      <c r="F9" s="1878">
        <v>0</v>
      </c>
      <c r="G9" s="1878">
        <v>0</v>
      </c>
      <c r="H9" s="1878">
        <v>0</v>
      </c>
      <c r="I9" s="1878">
        <v>0</v>
      </c>
      <c r="J9" s="1878">
        <v>0</v>
      </c>
      <c r="K9" s="1878">
        <v>0</v>
      </c>
      <c r="L9" s="1878">
        <v>0</v>
      </c>
      <c r="M9" s="1878">
        <v>0</v>
      </c>
      <c r="N9" s="1878">
        <v>0</v>
      </c>
      <c r="O9" s="1878">
        <v>0</v>
      </c>
      <c r="P9" s="860">
        <f>AVERAGE(C9:O9)</f>
        <v>0</v>
      </c>
    </row>
    <row r="10" spans="1:17">
      <c r="A10" s="145" t="s">
        <v>832</v>
      </c>
      <c r="C10" s="108"/>
      <c r="D10" s="1825"/>
      <c r="E10" s="1825"/>
      <c r="F10" s="1825"/>
      <c r="G10" s="1825"/>
      <c r="H10" s="1825"/>
      <c r="I10" s="1825"/>
      <c r="J10" s="1825"/>
      <c r="K10" s="1825"/>
      <c r="L10" s="1825"/>
      <c r="M10" s="1825"/>
      <c r="N10" s="1825"/>
      <c r="O10" s="1825"/>
      <c r="P10" s="861">
        <f>SUM(P5:P9)</f>
        <v>3760860000</v>
      </c>
    </row>
    <row r="11" spans="1:17">
      <c r="C11" s="108"/>
      <c r="D11" s="1825"/>
      <c r="E11" s="1825"/>
      <c r="F11" s="1825"/>
      <c r="G11" s="1825"/>
      <c r="H11" s="1825"/>
      <c r="I11" s="1825"/>
      <c r="J11" s="1825"/>
      <c r="K11" s="1825"/>
      <c r="L11" s="1825"/>
      <c r="M11" s="1825"/>
      <c r="N11" s="1825"/>
      <c r="O11" s="1825"/>
      <c r="P11" s="860"/>
    </row>
    <row r="12" spans="1:17">
      <c r="A12" t="s">
        <v>841</v>
      </c>
      <c r="B12" t="s">
        <v>46</v>
      </c>
      <c r="C12" s="1877">
        <v>-13641.72</v>
      </c>
      <c r="D12" s="1877">
        <v>-13599.87</v>
      </c>
      <c r="E12" s="1877">
        <v>-13558.02</v>
      </c>
      <c r="F12" s="1877">
        <v>-13516.17</v>
      </c>
      <c r="G12" s="1877">
        <v>-13474.32</v>
      </c>
      <c r="H12" s="1877">
        <v>-13432.47</v>
      </c>
      <c r="I12" s="1877">
        <v>-13390.62</v>
      </c>
      <c r="J12" s="1877">
        <v>-13348.77</v>
      </c>
      <c r="K12" s="1877">
        <v>-13306.92</v>
      </c>
      <c r="L12" s="1877">
        <v>-13265.07</v>
      </c>
      <c r="M12" s="1877">
        <v>-13223.22</v>
      </c>
      <c r="N12" s="1877">
        <v>-13181.37</v>
      </c>
      <c r="O12" s="1877">
        <v>-13139.52</v>
      </c>
      <c r="P12" s="860">
        <f>AVERAGE(C12:O12)</f>
        <v>-13390.619999999999</v>
      </c>
    </row>
    <row r="13" spans="1:17">
      <c r="A13" t="s">
        <v>842</v>
      </c>
      <c r="B13" t="s">
        <v>47</v>
      </c>
      <c r="C13" s="1877">
        <v>-31195824.719999999</v>
      </c>
      <c r="D13" s="1877">
        <v>-30929369.920000002</v>
      </c>
      <c r="E13" s="1877">
        <v>-30662688.84</v>
      </c>
      <c r="F13" s="1877">
        <v>-30339192.510000002</v>
      </c>
      <c r="G13" s="1877">
        <v>-29926866.399999999</v>
      </c>
      <c r="H13" s="1877">
        <v>-30518295</v>
      </c>
      <c r="I13" s="1877">
        <v>-30252792.379999999</v>
      </c>
      <c r="J13" s="1877">
        <v>-29996904</v>
      </c>
      <c r="K13" s="1877">
        <v>-29735122.829999998</v>
      </c>
      <c r="L13" s="1877">
        <v>-29473341.66</v>
      </c>
      <c r="M13" s="1877">
        <v>-29211560.489999998</v>
      </c>
      <c r="N13" s="1877">
        <v>-28949779.32</v>
      </c>
      <c r="O13" s="1877">
        <v>-28687998.149999999</v>
      </c>
      <c r="P13" s="860">
        <f>AVERAGE(C13:O13)</f>
        <v>-29990748.940000001</v>
      </c>
    </row>
    <row r="14" spans="1:17">
      <c r="A14" t="s">
        <v>843</v>
      </c>
      <c r="B14" t="s">
        <v>48</v>
      </c>
      <c r="C14" s="1877">
        <v>-37832364.719999999</v>
      </c>
      <c r="D14" s="1877">
        <v>-37636633.450000003</v>
      </c>
      <c r="E14" s="1877">
        <v>-37440902.18</v>
      </c>
      <c r="F14" s="1879">
        <v>-37245170.909999996</v>
      </c>
      <c r="G14" s="1879">
        <v>-37261666.299999997</v>
      </c>
      <c r="H14" s="1879">
        <v>-37065935.030000001</v>
      </c>
      <c r="I14" s="1879">
        <v>-36780203.759999998</v>
      </c>
      <c r="J14" s="1879">
        <v>-36663744.549999997</v>
      </c>
      <c r="K14" s="1879">
        <v>-36464478.210000001</v>
      </c>
      <c r="L14" s="1879">
        <v>-36265211.869999997</v>
      </c>
      <c r="M14" s="1879">
        <v>-36065945.530000001</v>
      </c>
      <c r="N14" s="1879">
        <v>-35866679.189999998</v>
      </c>
      <c r="O14" s="1879">
        <v>-35667412.850000001</v>
      </c>
      <c r="P14" s="860">
        <f>AVERAGE(C14:O14)</f>
        <v>-36788949.888461538</v>
      </c>
    </row>
    <row r="15" spans="1:17">
      <c r="A15" t="s">
        <v>844</v>
      </c>
      <c r="B15" t="s">
        <v>40</v>
      </c>
      <c r="C15" s="1877">
        <v>0</v>
      </c>
      <c r="D15" s="1877">
        <v>0</v>
      </c>
      <c r="E15" s="1877">
        <v>0</v>
      </c>
      <c r="F15" s="1879">
        <v>0</v>
      </c>
      <c r="G15" s="1879">
        <v>0</v>
      </c>
      <c r="H15" s="1879">
        <v>0</v>
      </c>
      <c r="I15" s="1879">
        <v>0</v>
      </c>
      <c r="J15" s="1879">
        <v>0</v>
      </c>
      <c r="K15" s="1879">
        <v>0</v>
      </c>
      <c r="L15" s="1879">
        <v>0</v>
      </c>
      <c r="M15" s="1879">
        <v>0</v>
      </c>
      <c r="N15" s="1879">
        <v>0</v>
      </c>
      <c r="O15" s="1879">
        <v>0</v>
      </c>
      <c r="P15" s="860">
        <f>AVERAGE(C15:O15)</f>
        <v>0</v>
      </c>
    </row>
    <row r="16" spans="1:17">
      <c r="A16" t="s">
        <v>845</v>
      </c>
      <c r="B16" t="s">
        <v>41</v>
      </c>
      <c r="C16" s="1878">
        <v>0</v>
      </c>
      <c r="D16" s="1878">
        <v>0</v>
      </c>
      <c r="E16" s="1878">
        <v>0</v>
      </c>
      <c r="F16" s="1878">
        <v>0</v>
      </c>
      <c r="G16" s="1878">
        <v>0</v>
      </c>
      <c r="H16" s="1878">
        <v>0</v>
      </c>
      <c r="I16" s="1878">
        <v>0</v>
      </c>
      <c r="J16" s="1878">
        <v>0</v>
      </c>
      <c r="K16" s="1878">
        <v>0</v>
      </c>
      <c r="L16" s="1878">
        <v>0</v>
      </c>
      <c r="M16" s="1878">
        <v>0</v>
      </c>
      <c r="N16" s="1878">
        <v>0</v>
      </c>
      <c r="O16" s="1878">
        <v>0</v>
      </c>
      <c r="P16" s="860">
        <f>AVERAGE(C16:O16)</f>
        <v>0</v>
      </c>
    </row>
    <row r="17" spans="1:18">
      <c r="A17" s="145" t="s">
        <v>833</v>
      </c>
      <c r="C17" s="108"/>
      <c r="D17" s="108"/>
      <c r="E17" s="108"/>
      <c r="F17" s="108"/>
      <c r="G17" s="108"/>
      <c r="H17" s="108"/>
      <c r="I17" s="108"/>
      <c r="J17" s="108"/>
      <c r="K17" s="108"/>
      <c r="L17" s="108"/>
      <c r="M17" s="108"/>
      <c r="N17" s="108"/>
      <c r="O17" s="108"/>
      <c r="P17" s="861">
        <f>SUM(P10:P16)</f>
        <v>3694066910.5515385</v>
      </c>
    </row>
    <row r="18" spans="1:18">
      <c r="C18" s="108"/>
      <c r="D18" s="108"/>
      <c r="E18" s="108"/>
      <c r="F18" s="108"/>
      <c r="G18" s="108"/>
      <c r="H18" s="108"/>
      <c r="I18" s="108"/>
      <c r="J18" s="108"/>
      <c r="K18" s="108"/>
      <c r="L18" s="108"/>
      <c r="M18" s="108"/>
      <c r="N18" s="108"/>
      <c r="O18" s="108"/>
      <c r="P18" s="860"/>
    </row>
    <row r="19" spans="1:18">
      <c r="A19" s="859" t="s">
        <v>846</v>
      </c>
      <c r="C19" s="108"/>
      <c r="D19" s="108"/>
      <c r="E19" s="108"/>
      <c r="F19" s="108"/>
      <c r="G19" s="108"/>
      <c r="H19" s="108"/>
      <c r="I19" s="108"/>
      <c r="J19" s="108"/>
      <c r="K19" s="108"/>
      <c r="L19" s="108"/>
      <c r="M19" s="108"/>
      <c r="N19" s="108"/>
      <c r="O19" s="108"/>
      <c r="P19" s="860"/>
    </row>
    <row r="20" spans="1:18">
      <c r="A20" s="185" t="s">
        <v>1199</v>
      </c>
      <c r="C20" s="1539"/>
      <c r="D20" s="1539">
        <v>18743907.5</v>
      </c>
      <c r="E20" s="1539">
        <v>18743907.5</v>
      </c>
      <c r="F20" s="1539">
        <v>18743907.5</v>
      </c>
      <c r="G20" s="1539">
        <v>18743907.5</v>
      </c>
      <c r="H20" s="1539">
        <v>18743907.5</v>
      </c>
      <c r="I20" s="1539">
        <v>18743907.5</v>
      </c>
      <c r="J20" s="1539">
        <v>18743907.5</v>
      </c>
      <c r="K20" s="1539">
        <v>18743907.5</v>
      </c>
      <c r="L20" s="1539">
        <v>18743907.5</v>
      </c>
      <c r="M20" s="1539">
        <v>18743907.5</v>
      </c>
      <c r="N20" s="1539">
        <v>18743907.5</v>
      </c>
      <c r="O20" s="1539">
        <v>18743907.5</v>
      </c>
      <c r="P20" s="860">
        <f>SUM(C20:O20)</f>
        <v>224926890</v>
      </c>
    </row>
    <row r="21" spans="1:18">
      <c r="A21" s="185" t="s">
        <v>869</v>
      </c>
      <c r="C21" s="108"/>
      <c r="D21" s="1539">
        <v>-59224</v>
      </c>
      <c r="E21" s="1539">
        <v>-59224</v>
      </c>
      <c r="F21" s="1539">
        <v>-59224</v>
      </c>
      <c r="G21" s="1539">
        <v>-59224</v>
      </c>
      <c r="H21" s="1539">
        <v>-59224</v>
      </c>
      <c r="I21" s="1539">
        <v>-59224</v>
      </c>
      <c r="J21" s="1539">
        <v>-59224</v>
      </c>
      <c r="K21" s="1539">
        <v>-59224</v>
      </c>
      <c r="L21" s="1539">
        <v>-59224</v>
      </c>
      <c r="M21" s="1539">
        <v>-59224</v>
      </c>
      <c r="N21" s="1539">
        <v>-59224</v>
      </c>
      <c r="O21" s="1539">
        <v>-59224</v>
      </c>
      <c r="P21" s="860">
        <f t="shared" ref="P21:P28" si="0">SUM(C21:O21)</f>
        <v>-710688</v>
      </c>
      <c r="Q21" s="871"/>
    </row>
    <row r="22" spans="1:18">
      <c r="A22" s="185" t="s">
        <v>870</v>
      </c>
      <c r="C22" s="108"/>
      <c r="D22" s="1539">
        <v>98084</v>
      </c>
      <c r="E22" s="1539">
        <v>98084</v>
      </c>
      <c r="F22" s="1539">
        <v>98084</v>
      </c>
      <c r="G22" s="1539">
        <v>98084</v>
      </c>
      <c r="H22" s="1539">
        <v>98084</v>
      </c>
      <c r="I22" s="1539">
        <v>98084</v>
      </c>
      <c r="J22" s="1539">
        <v>98084</v>
      </c>
      <c r="K22" s="1539">
        <v>98084</v>
      </c>
      <c r="L22" s="1539">
        <v>98084</v>
      </c>
      <c r="M22" s="1539">
        <v>98084</v>
      </c>
      <c r="N22" s="1539">
        <v>98084</v>
      </c>
      <c r="O22" s="1539">
        <v>98084</v>
      </c>
      <c r="P22" s="860">
        <f t="shared" si="0"/>
        <v>1177008</v>
      </c>
      <c r="Q22" s="871"/>
    </row>
    <row r="23" spans="1:18">
      <c r="A23" s="185" t="s">
        <v>1385</v>
      </c>
      <c r="C23" s="108"/>
      <c r="D23" s="1539">
        <v>1777</v>
      </c>
      <c r="E23" s="1539">
        <v>1777</v>
      </c>
      <c r="F23" s="1539">
        <v>1777</v>
      </c>
      <c r="G23" s="1539">
        <v>1777</v>
      </c>
      <c r="H23" s="1539">
        <v>1777</v>
      </c>
      <c r="I23" s="1539">
        <v>1777</v>
      </c>
      <c r="J23" s="1539">
        <v>1777</v>
      </c>
      <c r="K23" s="1539">
        <v>1777</v>
      </c>
      <c r="L23" s="1539">
        <v>1777</v>
      </c>
      <c r="M23" s="1539">
        <v>1777</v>
      </c>
      <c r="N23" s="1539">
        <v>1777</v>
      </c>
      <c r="O23" s="1539">
        <v>1777</v>
      </c>
      <c r="P23" s="860">
        <f t="shared" si="0"/>
        <v>21324</v>
      </c>
      <c r="Q23" s="871"/>
    </row>
    <row r="24" spans="1:18">
      <c r="A24" s="178" t="s">
        <v>1043</v>
      </c>
      <c r="B24" t="s">
        <v>42</v>
      </c>
      <c r="C24" s="126"/>
      <c r="D24" s="1539">
        <v>18743907.5</v>
      </c>
      <c r="E24" s="1539">
        <v>18743907.5</v>
      </c>
      <c r="F24" s="1539">
        <v>18743907.5</v>
      </c>
      <c r="G24" s="1539">
        <v>18743907.5</v>
      </c>
      <c r="H24" s="1539">
        <v>18743907.5</v>
      </c>
      <c r="I24" s="1539">
        <v>18743907.5</v>
      </c>
      <c r="J24" s="1539">
        <v>18743907.5</v>
      </c>
      <c r="K24" s="1539">
        <v>18743907.5</v>
      </c>
      <c r="L24" s="1539">
        <v>18743907.5</v>
      </c>
      <c r="M24" s="1539">
        <v>18743907.5</v>
      </c>
      <c r="N24" s="1539">
        <v>18743907.5</v>
      </c>
      <c r="O24" s="1539">
        <v>18743907.5</v>
      </c>
      <c r="P24" s="108">
        <f>SUM(C24:O24)</f>
        <v>224926890</v>
      </c>
      <c r="Q24" s="126"/>
      <c r="R24" s="860"/>
    </row>
    <row r="25" spans="1:18">
      <c r="A25" t="s">
        <v>847</v>
      </c>
      <c r="B25" t="s">
        <v>49</v>
      </c>
      <c r="C25" s="1539"/>
      <c r="D25" s="1539">
        <v>266496.65000000002</v>
      </c>
      <c r="E25" s="1539">
        <v>266722.93</v>
      </c>
      <c r="F25" s="1539">
        <v>323538.18</v>
      </c>
      <c r="G25" s="1539">
        <v>208179.29</v>
      </c>
      <c r="H25" s="1539">
        <v>262377.53999999998</v>
      </c>
      <c r="I25" s="1539">
        <v>265544.46999999997</v>
      </c>
      <c r="J25" s="1539">
        <v>263842.40999999997</v>
      </c>
      <c r="K25" s="1539">
        <v>261823.02</v>
      </c>
      <c r="L25" s="1539">
        <v>261823.02</v>
      </c>
      <c r="M25" s="1539">
        <v>261823.02</v>
      </c>
      <c r="N25" s="1539">
        <v>261823.02</v>
      </c>
      <c r="O25" s="1539">
        <v>261823.02</v>
      </c>
      <c r="P25" s="108">
        <f t="shared" si="0"/>
        <v>3165816.57</v>
      </c>
    </row>
    <row r="26" spans="1:18">
      <c r="A26" t="s">
        <v>848</v>
      </c>
      <c r="B26" t="s">
        <v>50</v>
      </c>
      <c r="C26" s="1539"/>
      <c r="D26" s="1539">
        <v>195731.27</v>
      </c>
      <c r="E26" s="1539">
        <v>195731.27</v>
      </c>
      <c r="F26" s="1539">
        <v>195731.27</v>
      </c>
      <c r="G26" s="1539">
        <v>198063.43</v>
      </c>
      <c r="H26" s="1539">
        <v>195731.27</v>
      </c>
      <c r="I26" s="1539">
        <v>195731.27</v>
      </c>
      <c r="J26" s="1539">
        <v>206459.21</v>
      </c>
      <c r="K26" s="1539">
        <v>199266.34</v>
      </c>
      <c r="L26" s="1539">
        <v>199266.34</v>
      </c>
      <c r="M26" s="1539">
        <v>199266.34</v>
      </c>
      <c r="N26" s="1539">
        <v>199266.34</v>
      </c>
      <c r="O26" s="1539">
        <v>199266.34</v>
      </c>
      <c r="P26" s="108">
        <f t="shared" si="0"/>
        <v>2379510.69</v>
      </c>
      <c r="Q26" s="456"/>
    </row>
    <row r="27" spans="1:18">
      <c r="A27" t="s">
        <v>850</v>
      </c>
      <c r="B27" t="s">
        <v>51</v>
      </c>
      <c r="C27" s="1643"/>
      <c r="D27" s="1539">
        <v>0</v>
      </c>
      <c r="E27" s="1539">
        <v>0</v>
      </c>
      <c r="F27" s="1539">
        <v>0</v>
      </c>
      <c r="G27" s="1539">
        <v>0</v>
      </c>
      <c r="H27" s="1539">
        <v>0</v>
      </c>
      <c r="I27" s="1539">
        <v>0</v>
      </c>
      <c r="J27" s="1539">
        <v>0</v>
      </c>
      <c r="K27" s="1539">
        <v>0</v>
      </c>
      <c r="L27" s="1539">
        <v>0</v>
      </c>
      <c r="M27" s="1539">
        <v>0</v>
      </c>
      <c r="N27" s="1539">
        <v>0</v>
      </c>
      <c r="O27" s="1539">
        <v>0</v>
      </c>
      <c r="P27" s="860">
        <f t="shared" si="0"/>
        <v>0</v>
      </c>
    </row>
    <row r="28" spans="1:18">
      <c r="A28" t="s">
        <v>851</v>
      </c>
      <c r="B28" t="s">
        <v>52</v>
      </c>
      <c r="C28" s="1643"/>
      <c r="D28" s="1539">
        <v>0</v>
      </c>
      <c r="E28" s="1539">
        <v>0</v>
      </c>
      <c r="F28" s="1539">
        <v>0</v>
      </c>
      <c r="G28" s="1539">
        <v>0</v>
      </c>
      <c r="H28" s="1539">
        <v>0</v>
      </c>
      <c r="I28" s="1539">
        <v>0</v>
      </c>
      <c r="J28" s="1539">
        <v>0</v>
      </c>
      <c r="K28" s="1539">
        <v>0</v>
      </c>
      <c r="L28" s="1539">
        <v>0</v>
      </c>
      <c r="M28" s="1539">
        <v>0</v>
      </c>
      <c r="N28" s="1539">
        <v>0</v>
      </c>
      <c r="O28" s="1539">
        <v>0</v>
      </c>
      <c r="P28" s="860">
        <f t="shared" si="0"/>
        <v>0</v>
      </c>
    </row>
    <row r="29" spans="1:18">
      <c r="A29" s="145" t="s">
        <v>834</v>
      </c>
      <c r="C29" s="108"/>
      <c r="D29" s="108"/>
      <c r="E29" s="108"/>
      <c r="F29" s="108"/>
      <c r="G29" s="108"/>
      <c r="H29" s="108"/>
      <c r="I29" s="108"/>
      <c r="J29" s="108"/>
      <c r="K29" s="108"/>
      <c r="L29" s="108"/>
      <c r="M29" s="108"/>
      <c r="N29" s="108"/>
      <c r="O29" s="108"/>
      <c r="P29" s="861">
        <f>SUM(P24:P28)</f>
        <v>230472217.25999999</v>
      </c>
    </row>
    <row r="30" spans="1:18">
      <c r="C30" s="108"/>
      <c r="D30" s="108"/>
      <c r="E30" s="108"/>
      <c r="F30" s="108"/>
      <c r="G30" s="108"/>
      <c r="H30" s="108"/>
      <c r="I30" s="108"/>
      <c r="J30" s="108"/>
      <c r="K30" s="108"/>
      <c r="L30" s="108"/>
      <c r="M30" s="108"/>
      <c r="N30" s="108"/>
      <c r="O30" s="108"/>
      <c r="P30" s="860"/>
    </row>
    <row r="31" spans="1:18">
      <c r="A31" s="859" t="s">
        <v>852</v>
      </c>
      <c r="C31" s="108"/>
      <c r="D31" s="108"/>
      <c r="E31" s="108"/>
      <c r="F31" s="108"/>
      <c r="G31" s="108"/>
      <c r="H31" s="108"/>
      <c r="I31" s="108"/>
      <c r="J31" s="108"/>
      <c r="K31" s="108"/>
      <c r="L31" s="108"/>
      <c r="M31" s="108"/>
      <c r="N31" s="108"/>
      <c r="O31" s="108"/>
      <c r="P31" s="860"/>
    </row>
    <row r="32" spans="1:18">
      <c r="A32" t="s">
        <v>853</v>
      </c>
      <c r="B32" t="s">
        <v>53</v>
      </c>
      <c r="C32" s="108">
        <v>0</v>
      </c>
      <c r="D32" s="1826">
        <v>0</v>
      </c>
      <c r="E32" s="1826">
        <v>0</v>
      </c>
      <c r="F32" s="1826">
        <v>0</v>
      </c>
      <c r="G32" s="1826">
        <v>0</v>
      </c>
      <c r="H32" s="1826">
        <v>0</v>
      </c>
      <c r="I32" s="1826">
        <v>0</v>
      </c>
      <c r="J32" s="1826">
        <v>0</v>
      </c>
      <c r="K32" s="1826">
        <v>0</v>
      </c>
      <c r="L32" s="1826">
        <v>0</v>
      </c>
      <c r="M32" s="1826">
        <v>0</v>
      </c>
      <c r="N32" s="1826">
        <v>0</v>
      </c>
      <c r="O32" s="1826">
        <v>0</v>
      </c>
      <c r="P32" s="860">
        <f>AVERAGE(C32:O32)</f>
        <v>0</v>
      </c>
    </row>
    <row r="33" spans="1:16">
      <c r="A33" t="s">
        <v>854</v>
      </c>
      <c r="B33" t="s">
        <v>54</v>
      </c>
      <c r="C33" s="108">
        <v>0</v>
      </c>
      <c r="D33" s="1826">
        <v>0</v>
      </c>
      <c r="E33" s="1826">
        <v>0</v>
      </c>
      <c r="F33" s="1826">
        <v>0</v>
      </c>
      <c r="G33" s="1826">
        <v>0</v>
      </c>
      <c r="H33" s="1826">
        <v>0</v>
      </c>
      <c r="I33" s="1826">
        <v>0</v>
      </c>
      <c r="J33" s="1826">
        <v>0</v>
      </c>
      <c r="K33" s="1826">
        <v>0</v>
      </c>
      <c r="L33" s="1826">
        <v>0</v>
      </c>
      <c r="M33" s="1826">
        <v>0</v>
      </c>
      <c r="N33" s="1826">
        <v>0</v>
      </c>
      <c r="O33" s="1826">
        <v>0</v>
      </c>
      <c r="P33" s="860">
        <f>AVERAGE(C33:O33)</f>
        <v>0</v>
      </c>
    </row>
    <row r="34" spans="1:16">
      <c r="A34" t="s">
        <v>855</v>
      </c>
      <c r="B34" t="s">
        <v>55</v>
      </c>
      <c r="C34" s="108">
        <v>0</v>
      </c>
      <c r="D34" s="1826">
        <v>0</v>
      </c>
      <c r="E34" s="1826">
        <v>0</v>
      </c>
      <c r="F34" s="1826">
        <v>0</v>
      </c>
      <c r="G34" s="1826">
        <v>0</v>
      </c>
      <c r="H34" s="1826">
        <v>0</v>
      </c>
      <c r="I34" s="1826">
        <v>0</v>
      </c>
      <c r="J34" s="1826">
        <v>0</v>
      </c>
      <c r="K34" s="1826">
        <v>0</v>
      </c>
      <c r="L34" s="1826">
        <v>0</v>
      </c>
      <c r="M34" s="1826">
        <v>0</v>
      </c>
      <c r="N34" s="1826">
        <v>0</v>
      </c>
      <c r="O34" s="1826">
        <v>0</v>
      </c>
      <c r="P34" s="860">
        <f t="shared" ref="P34:P39" si="1">AVERAGE(C34:O34)</f>
        <v>0</v>
      </c>
    </row>
    <row r="35" spans="1:16">
      <c r="A35" t="s">
        <v>63</v>
      </c>
      <c r="B35" t="s">
        <v>56</v>
      </c>
      <c r="C35" s="108">
        <v>0</v>
      </c>
      <c r="D35" s="1826">
        <v>0</v>
      </c>
      <c r="E35" s="1826">
        <v>0</v>
      </c>
      <c r="F35" s="1826">
        <v>0</v>
      </c>
      <c r="G35" s="1826">
        <v>0</v>
      </c>
      <c r="H35" s="1826">
        <v>0</v>
      </c>
      <c r="I35" s="1826">
        <v>0</v>
      </c>
      <c r="J35" s="1826">
        <v>0</v>
      </c>
      <c r="K35" s="1826">
        <v>0</v>
      </c>
      <c r="L35" s="1826">
        <v>0</v>
      </c>
      <c r="M35" s="1826">
        <v>0</v>
      </c>
      <c r="N35" s="1826">
        <v>0</v>
      </c>
      <c r="O35" s="1826">
        <v>0</v>
      </c>
      <c r="P35" s="860">
        <f t="shared" si="1"/>
        <v>0</v>
      </c>
    </row>
    <row r="36" spans="1:16">
      <c r="A36" t="s">
        <v>856</v>
      </c>
      <c r="B36" t="s">
        <v>57</v>
      </c>
      <c r="C36" s="108">
        <v>0</v>
      </c>
      <c r="D36" s="1826">
        <v>0</v>
      </c>
      <c r="E36" s="1826">
        <v>0</v>
      </c>
      <c r="F36" s="1826">
        <v>0</v>
      </c>
      <c r="G36" s="1826">
        <v>0</v>
      </c>
      <c r="H36" s="1826">
        <v>0</v>
      </c>
      <c r="I36" s="1826">
        <v>0</v>
      </c>
      <c r="J36" s="1826">
        <v>0</v>
      </c>
      <c r="K36" s="1826">
        <v>0</v>
      </c>
      <c r="L36" s="1826">
        <v>0</v>
      </c>
      <c r="M36" s="1826">
        <v>0</v>
      </c>
      <c r="N36" s="1826">
        <v>0</v>
      </c>
      <c r="O36" s="1826">
        <v>0</v>
      </c>
      <c r="P36" s="860">
        <f t="shared" si="1"/>
        <v>0</v>
      </c>
    </row>
    <row r="37" spans="1:16">
      <c r="A37" t="s">
        <v>857</v>
      </c>
      <c r="B37" s="2" t="s">
        <v>62</v>
      </c>
      <c r="C37" s="108">
        <v>0</v>
      </c>
      <c r="D37" s="1826">
        <v>0</v>
      </c>
      <c r="E37" s="1826">
        <v>0</v>
      </c>
      <c r="F37" s="1826">
        <v>0</v>
      </c>
      <c r="G37" s="1826">
        <v>0</v>
      </c>
      <c r="H37" s="1826">
        <v>0</v>
      </c>
      <c r="I37" s="1826">
        <v>0</v>
      </c>
      <c r="J37" s="1826">
        <v>0</v>
      </c>
      <c r="K37" s="1826">
        <v>0</v>
      </c>
      <c r="L37" s="1826">
        <v>0</v>
      </c>
      <c r="M37" s="1826">
        <v>0</v>
      </c>
      <c r="N37" s="1826">
        <v>0</v>
      </c>
      <c r="O37" s="1826">
        <v>0</v>
      </c>
      <c r="P37" s="860">
        <f t="shared" si="1"/>
        <v>0</v>
      </c>
    </row>
    <row r="38" spans="1:16">
      <c r="A38" s="145" t="s">
        <v>858</v>
      </c>
      <c r="C38" s="108"/>
      <c r="D38" s="108"/>
      <c r="E38" s="108"/>
      <c r="F38" s="108"/>
      <c r="G38" s="108"/>
      <c r="H38" s="108"/>
      <c r="I38" s="108"/>
      <c r="J38" s="108"/>
      <c r="K38" s="108"/>
      <c r="L38" s="108"/>
      <c r="M38" s="108"/>
      <c r="N38" s="108"/>
      <c r="O38" s="108"/>
      <c r="P38" s="860"/>
    </row>
    <row r="39" spans="1:16">
      <c r="A39" s="105" t="s">
        <v>835</v>
      </c>
      <c r="B39" t="s">
        <v>58</v>
      </c>
      <c r="C39" s="108">
        <v>0</v>
      </c>
      <c r="D39" s="1827">
        <v>0</v>
      </c>
      <c r="E39" s="1827">
        <v>0</v>
      </c>
      <c r="F39" s="1827">
        <v>0</v>
      </c>
      <c r="G39" s="1827">
        <v>0</v>
      </c>
      <c r="H39" s="1827">
        <v>0</v>
      </c>
      <c r="I39" s="1827">
        <v>0</v>
      </c>
      <c r="J39" s="1827">
        <v>0</v>
      </c>
      <c r="K39" s="1827">
        <v>0</v>
      </c>
      <c r="L39" s="1827">
        <v>0</v>
      </c>
      <c r="M39" s="1827">
        <v>0</v>
      </c>
      <c r="N39" s="1827">
        <v>0</v>
      </c>
      <c r="O39" s="1827">
        <v>0</v>
      </c>
      <c r="P39" s="860">
        <f t="shared" si="1"/>
        <v>0</v>
      </c>
    </row>
    <row r="40" spans="1:16">
      <c r="C40" s="108"/>
      <c r="D40" s="108"/>
      <c r="E40" s="108"/>
      <c r="F40" s="108"/>
      <c r="G40" s="108"/>
      <c r="H40" s="108"/>
      <c r="I40" s="108"/>
      <c r="J40" s="108"/>
      <c r="K40" s="108"/>
      <c r="L40" s="108"/>
      <c r="M40" s="108"/>
      <c r="N40" s="108"/>
      <c r="O40" s="108"/>
      <c r="P40" s="860"/>
    </row>
    <row r="41" spans="1:16">
      <c r="A41" s="859" t="s">
        <v>899</v>
      </c>
      <c r="C41" s="108"/>
      <c r="D41" s="108"/>
      <c r="E41" s="108"/>
      <c r="F41" s="108"/>
      <c r="G41" s="108"/>
      <c r="H41" s="108"/>
      <c r="I41" s="108"/>
      <c r="J41" s="108"/>
      <c r="K41" s="108"/>
      <c r="L41" s="108"/>
      <c r="M41" s="108"/>
      <c r="N41" s="108"/>
      <c r="O41" s="108"/>
      <c r="P41" s="860"/>
    </row>
    <row r="42" spans="1:16">
      <c r="A42" t="s">
        <v>1017</v>
      </c>
      <c r="B42" t="s">
        <v>59</v>
      </c>
      <c r="C42" s="126">
        <v>3440757336</v>
      </c>
      <c r="D42" s="126">
        <f>D58</f>
        <v>3492467632.2999997</v>
      </c>
      <c r="E42" s="126">
        <f t="shared" ref="E42:O42" si="2">E58</f>
        <v>3561597415.4099994</v>
      </c>
      <c r="F42" s="126">
        <f t="shared" si="2"/>
        <v>3490524136.29</v>
      </c>
      <c r="G42" s="126">
        <f t="shared" si="2"/>
        <v>3530291455.5499992</v>
      </c>
      <c r="H42" s="126">
        <f t="shared" si="2"/>
        <v>3413421752.7399998</v>
      </c>
      <c r="I42" s="126">
        <f t="shared" si="2"/>
        <v>3420346021.1899996</v>
      </c>
      <c r="J42" s="126">
        <f t="shared" si="2"/>
        <v>3409868017.4399996</v>
      </c>
      <c r="K42" s="126">
        <f t="shared" si="2"/>
        <v>3416166236.4499993</v>
      </c>
      <c r="L42" s="126">
        <f t="shared" si="2"/>
        <v>3367433356.0699997</v>
      </c>
      <c r="M42" s="126">
        <f t="shared" si="2"/>
        <v>3367939356.8499994</v>
      </c>
      <c r="N42" s="126">
        <f t="shared" si="2"/>
        <v>3409821795.2899995</v>
      </c>
      <c r="O42" s="126">
        <f t="shared" si="2"/>
        <v>3278728607.1299996</v>
      </c>
      <c r="P42" s="860">
        <f>AVERAGE(C42:O42)</f>
        <v>3430720239.9007692</v>
      </c>
    </row>
    <row r="43" spans="1:16">
      <c r="A43" t="s">
        <v>859</v>
      </c>
      <c r="B43" t="s">
        <v>53</v>
      </c>
      <c r="C43" s="108">
        <v>0</v>
      </c>
      <c r="D43" s="1829">
        <v>0</v>
      </c>
      <c r="E43" s="1829">
        <v>0</v>
      </c>
      <c r="F43" s="1829">
        <v>0</v>
      </c>
      <c r="G43" s="1829">
        <v>0</v>
      </c>
      <c r="H43" s="1829">
        <v>0</v>
      </c>
      <c r="I43" s="1829">
        <v>0</v>
      </c>
      <c r="J43" s="1829">
        <v>0</v>
      </c>
      <c r="K43" s="1829">
        <v>0</v>
      </c>
      <c r="L43" s="1829">
        <v>0</v>
      </c>
      <c r="M43" s="1829">
        <v>0</v>
      </c>
      <c r="N43" s="1829">
        <v>0</v>
      </c>
      <c r="O43" s="1829">
        <v>0</v>
      </c>
      <c r="P43" s="860">
        <f>AVERAGE(C43:O43)</f>
        <v>0</v>
      </c>
    </row>
    <row r="44" spans="1:16">
      <c r="A44" t="s">
        <v>860</v>
      </c>
      <c r="B44" t="s">
        <v>60</v>
      </c>
      <c r="C44" s="126">
        <v>-8031791</v>
      </c>
      <c r="D44" s="1829">
        <v>-8031791</v>
      </c>
      <c r="E44" s="1829">
        <v>-8031791</v>
      </c>
      <c r="F44" s="1829">
        <v>-8216815</v>
      </c>
      <c r="G44" s="1829">
        <v>-8216815</v>
      </c>
      <c r="H44" s="1829">
        <v>-8216815</v>
      </c>
      <c r="I44" s="1829">
        <v>-8509803</v>
      </c>
      <c r="J44" s="1829">
        <v>-8509803</v>
      </c>
      <c r="K44" s="1829">
        <v>-8509803</v>
      </c>
      <c r="L44" s="1829">
        <v>-8341592</v>
      </c>
      <c r="M44" s="1829">
        <v>-8341592</v>
      </c>
      <c r="N44" s="1829">
        <v>-8341592</v>
      </c>
      <c r="O44" s="1829">
        <v>-14632037</v>
      </c>
      <c r="P44" s="860">
        <v>-8764003.0769230761</v>
      </c>
    </row>
    <row r="45" spans="1:16">
      <c r="A45" t="s">
        <v>861</v>
      </c>
      <c r="B45" t="s">
        <v>61</v>
      </c>
      <c r="C45" s="108">
        <v>-95737745.439999998</v>
      </c>
      <c r="D45" s="108">
        <v>-94766274.659999996</v>
      </c>
      <c r="E45" s="108">
        <v>-93633036.590000004</v>
      </c>
      <c r="F45" s="108">
        <v>-92939540.219999999</v>
      </c>
      <c r="G45" s="108">
        <v>-92246043.840000004</v>
      </c>
      <c r="H45" s="108">
        <v>-91552547.469999999</v>
      </c>
      <c r="I45" s="108">
        <v>-91437480.890000001</v>
      </c>
      <c r="J45" s="108">
        <v>-90748708.400000006</v>
      </c>
      <c r="K45" s="108">
        <v>-90177741.879999995</v>
      </c>
      <c r="L45" s="108">
        <v>-89478188.390000001</v>
      </c>
      <c r="M45" s="108">
        <v>-88778638.310000002</v>
      </c>
      <c r="N45" s="108">
        <v>-87526385.299999997</v>
      </c>
      <c r="O45" s="108">
        <v>-170956349.22</v>
      </c>
      <c r="P45" s="860">
        <v>-97690667.739230767</v>
      </c>
    </row>
    <row r="46" spans="1:16">
      <c r="A46" s="145" t="s">
        <v>836</v>
      </c>
      <c r="C46" s="1130">
        <f>C42-C43-C44-C45</f>
        <v>3544526872.4400001</v>
      </c>
      <c r="D46" s="1130">
        <f t="shared" ref="D46:P46" si="3">D42-D43-D44-D45</f>
        <v>3595265697.9599996</v>
      </c>
      <c r="E46" s="1130">
        <f t="shared" si="3"/>
        <v>3663262242.9999995</v>
      </c>
      <c r="F46" s="1130">
        <f t="shared" si="3"/>
        <v>3591680491.5099998</v>
      </c>
      <c r="G46" s="1130">
        <f t="shared" si="3"/>
        <v>3630754314.3899994</v>
      </c>
      <c r="H46" s="1130">
        <f t="shared" si="3"/>
        <v>3513191115.2099996</v>
      </c>
      <c r="I46" s="1130">
        <f t="shared" si="3"/>
        <v>3520293305.0799994</v>
      </c>
      <c r="J46" s="1130">
        <f t="shared" si="3"/>
        <v>3509126528.8399997</v>
      </c>
      <c r="K46" s="1130">
        <f t="shared" si="3"/>
        <v>3514853781.3299994</v>
      </c>
      <c r="L46" s="1130">
        <f t="shared" si="3"/>
        <v>3465253136.4599996</v>
      </c>
      <c r="M46" s="1130">
        <f t="shared" si="3"/>
        <v>3465059587.1599994</v>
      </c>
      <c r="N46" s="1130">
        <f t="shared" si="3"/>
        <v>3505689772.5899997</v>
      </c>
      <c r="O46" s="1130">
        <f t="shared" si="3"/>
        <v>3464316993.3499994</v>
      </c>
      <c r="P46" s="861">
        <f t="shared" si="3"/>
        <v>3537174910.7169228</v>
      </c>
    </row>
    <row r="47" spans="1:16">
      <c r="C47" s="108"/>
      <c r="D47" s="108"/>
      <c r="E47" s="108"/>
      <c r="F47" s="108"/>
      <c r="G47" s="108"/>
      <c r="H47" s="108"/>
      <c r="I47" s="108"/>
      <c r="J47" s="108"/>
      <c r="K47" s="108"/>
      <c r="L47" s="108"/>
      <c r="M47" s="108"/>
      <c r="N47" s="108"/>
      <c r="O47" s="108"/>
      <c r="P47" s="860"/>
    </row>
    <row r="48" spans="1:16">
      <c r="C48" s="108"/>
      <c r="D48" s="108"/>
      <c r="E48" s="108"/>
      <c r="F48" s="108"/>
      <c r="G48" s="108"/>
      <c r="H48" s="108"/>
      <c r="I48" s="108"/>
      <c r="J48" s="108"/>
      <c r="K48" s="108"/>
      <c r="L48" s="108"/>
      <c r="M48" s="108"/>
      <c r="N48" s="108"/>
      <c r="O48" s="108"/>
      <c r="P48" s="860"/>
    </row>
    <row r="49" spans="1:17">
      <c r="A49" t="s">
        <v>1017</v>
      </c>
      <c r="C49" s="108"/>
      <c r="D49" s="108"/>
      <c r="E49" s="108"/>
      <c r="F49" s="108"/>
      <c r="G49" s="108"/>
      <c r="H49" s="108"/>
      <c r="I49" s="108"/>
      <c r="J49" s="108"/>
      <c r="K49" s="108"/>
      <c r="L49" s="108"/>
      <c r="M49" s="108"/>
      <c r="N49" s="108"/>
      <c r="O49" s="108"/>
      <c r="P49" s="860"/>
    </row>
    <row r="50" spans="1:17">
      <c r="A50" t="s">
        <v>862</v>
      </c>
      <c r="B50" t="s">
        <v>64</v>
      </c>
      <c r="C50" s="456">
        <v>859037.91</v>
      </c>
      <c r="D50" s="1828">
        <v>859037.91</v>
      </c>
      <c r="E50" s="1828">
        <v>859037.91</v>
      </c>
      <c r="F50" s="1828">
        <v>859037.91</v>
      </c>
      <c r="G50" s="1828">
        <v>859037.91</v>
      </c>
      <c r="H50" s="1828">
        <v>859037.91</v>
      </c>
      <c r="I50" s="1828">
        <v>859037.91</v>
      </c>
      <c r="J50" s="1828">
        <v>859037.91</v>
      </c>
      <c r="K50" s="1828">
        <v>859037.91</v>
      </c>
      <c r="L50" s="1828">
        <v>859037.91</v>
      </c>
      <c r="M50" s="1828">
        <v>859037.91</v>
      </c>
      <c r="N50" s="1828">
        <v>859037.91</v>
      </c>
      <c r="O50" s="1828">
        <v>859037.91</v>
      </c>
      <c r="P50" s="860">
        <f>AVERAGE(C50:O50)</f>
        <v>859037.91</v>
      </c>
    </row>
    <row r="51" spans="1:17">
      <c r="A51" t="s">
        <v>863</v>
      </c>
      <c r="B51" t="s">
        <v>66</v>
      </c>
      <c r="C51" s="456">
        <v>478145249.87</v>
      </c>
      <c r="D51" s="1828">
        <v>478145250</v>
      </c>
      <c r="E51" s="1828">
        <v>478145250</v>
      </c>
      <c r="F51" s="1828">
        <v>478145250</v>
      </c>
      <c r="G51" s="1828">
        <v>478145250</v>
      </c>
      <c r="H51" s="1828">
        <v>478145250</v>
      </c>
      <c r="I51" s="1828">
        <v>478145250</v>
      </c>
      <c r="J51" s="1828">
        <v>478145250</v>
      </c>
      <c r="K51" s="1828">
        <v>478145250</v>
      </c>
      <c r="L51" s="1828">
        <v>478145250</v>
      </c>
      <c r="M51" s="1828">
        <v>478145250</v>
      </c>
      <c r="N51" s="1828">
        <v>478145250</v>
      </c>
      <c r="O51" s="1828">
        <v>478145250</v>
      </c>
      <c r="P51" s="860">
        <f t="shared" ref="P51:P54" si="4">AVERAGE(C51:O51)</f>
        <v>478145249.99000001</v>
      </c>
    </row>
    <row r="52" spans="1:17">
      <c r="A52" t="s">
        <v>864</v>
      </c>
      <c r="B52" t="s">
        <v>56</v>
      </c>
      <c r="C52" s="456">
        <v>2775196691.4699998</v>
      </c>
      <c r="D52" s="1828">
        <v>2775196691.4499998</v>
      </c>
      <c r="E52" s="1828">
        <v>2775196691.4499998</v>
      </c>
      <c r="F52" s="1828">
        <v>2775196691.4499998</v>
      </c>
      <c r="G52" s="1828">
        <v>2775196691.4499998</v>
      </c>
      <c r="H52" s="1828">
        <v>2775196691.4499998</v>
      </c>
      <c r="I52" s="1828">
        <v>2775196691.4499998</v>
      </c>
      <c r="J52" s="1828">
        <v>2775196691.4499998</v>
      </c>
      <c r="K52" s="1828">
        <v>2775196691.4499998</v>
      </c>
      <c r="L52" s="1828">
        <v>2775196691.4499998</v>
      </c>
      <c r="M52" s="1828">
        <v>2775196691.4499998</v>
      </c>
      <c r="N52" s="1828">
        <v>2775196691.4499998</v>
      </c>
      <c r="O52" s="1828">
        <v>2775196691.4499998</v>
      </c>
      <c r="P52" s="860">
        <f t="shared" si="4"/>
        <v>2775196691.4515386</v>
      </c>
    </row>
    <row r="53" spans="1:17">
      <c r="A53" t="s">
        <v>565</v>
      </c>
      <c r="B53" t="s">
        <v>57</v>
      </c>
      <c r="C53" s="108">
        <v>0</v>
      </c>
      <c r="D53" s="108">
        <v>0</v>
      </c>
      <c r="E53" s="108">
        <v>0</v>
      </c>
      <c r="F53" s="108">
        <v>0</v>
      </c>
      <c r="G53" s="108">
        <v>0</v>
      </c>
      <c r="H53" s="108">
        <v>0</v>
      </c>
      <c r="I53" s="108">
        <v>0</v>
      </c>
      <c r="J53" s="108">
        <v>0</v>
      </c>
      <c r="K53" s="108">
        <v>0</v>
      </c>
      <c r="L53" s="108">
        <v>0</v>
      </c>
      <c r="M53" s="108">
        <v>0</v>
      </c>
      <c r="N53" s="108">
        <v>0</v>
      </c>
      <c r="O53" s="108">
        <v>0</v>
      </c>
      <c r="P53" s="860">
        <v>0</v>
      </c>
    </row>
    <row r="54" spans="1:17">
      <c r="A54" t="s">
        <v>865</v>
      </c>
      <c r="B54" t="s">
        <v>62</v>
      </c>
      <c r="C54" s="456">
        <v>-7133879.4000000004</v>
      </c>
      <c r="D54" s="1828">
        <v>-7133879.4000000004</v>
      </c>
      <c r="E54" s="1828">
        <v>-7133879.4000000004</v>
      </c>
      <c r="F54" s="1828">
        <v>-7133879.4000000004</v>
      </c>
      <c r="G54" s="1828">
        <v>-7133879.4000000004</v>
      </c>
      <c r="H54" s="1828">
        <v>-7133879.4000000004</v>
      </c>
      <c r="I54" s="1828">
        <v>-7133879.4000000004</v>
      </c>
      <c r="J54" s="1828">
        <v>-7133879.4000000004</v>
      </c>
      <c r="K54" s="1828">
        <v>-7133879.4000000004</v>
      </c>
      <c r="L54" s="1828">
        <v>-7133879.4000000004</v>
      </c>
      <c r="M54" s="1828">
        <v>-7133879.4000000004</v>
      </c>
      <c r="N54" s="1828">
        <v>-7133879.4000000004</v>
      </c>
      <c r="O54" s="1828">
        <v>-7133879.4000000004</v>
      </c>
      <c r="P54" s="860">
        <f t="shared" si="4"/>
        <v>-7133879.4000000013</v>
      </c>
    </row>
    <row r="55" spans="1:17">
      <c r="A55" t="s">
        <v>866</v>
      </c>
      <c r="B55" t="s">
        <v>65</v>
      </c>
      <c r="C55" s="108">
        <v>297459771.88</v>
      </c>
      <c r="D55" s="1828">
        <v>348198598</v>
      </c>
      <c r="E55" s="1828">
        <v>416195143.04000002</v>
      </c>
      <c r="F55" s="1828">
        <v>344613391.55000001</v>
      </c>
      <c r="G55" s="1828">
        <v>383687214.43000001</v>
      </c>
      <c r="H55" s="1828">
        <v>266124015.25</v>
      </c>
      <c r="I55" s="1828">
        <v>273226205.12</v>
      </c>
      <c r="J55" s="1828">
        <v>262059428.88</v>
      </c>
      <c r="K55" s="1828">
        <v>267786681.37</v>
      </c>
      <c r="L55" s="1828">
        <v>218186036.5</v>
      </c>
      <c r="M55" s="1828">
        <v>217992487.19999999</v>
      </c>
      <c r="N55" s="1828">
        <v>258622672.63</v>
      </c>
      <c r="O55" s="1830">
        <v>217249893.38999999</v>
      </c>
      <c r="P55" s="860">
        <v>290107810.71076924</v>
      </c>
    </row>
    <row r="56" spans="1:17">
      <c r="A56" t="s">
        <v>867</v>
      </c>
      <c r="B56" t="s">
        <v>60</v>
      </c>
      <c r="C56" s="456">
        <v>-8031791</v>
      </c>
      <c r="D56" s="1828">
        <v>-8031791</v>
      </c>
      <c r="E56" s="1828">
        <v>-8031791</v>
      </c>
      <c r="F56" s="1828">
        <v>-8216815</v>
      </c>
      <c r="G56" s="1828">
        <v>-8216815</v>
      </c>
      <c r="H56" s="1828">
        <v>-8216815</v>
      </c>
      <c r="I56" s="1828">
        <v>-8509803</v>
      </c>
      <c r="J56" s="1828">
        <v>-8509803</v>
      </c>
      <c r="K56" s="1828">
        <v>-8509803</v>
      </c>
      <c r="L56" s="1828">
        <v>-8341592</v>
      </c>
      <c r="M56" s="1828">
        <v>-8341592</v>
      </c>
      <c r="N56" s="1828">
        <v>-8341592</v>
      </c>
      <c r="O56" s="1828">
        <v>-14632037</v>
      </c>
      <c r="P56" s="860">
        <v>-8764003.0769230761</v>
      </c>
    </row>
    <row r="57" spans="1:17">
      <c r="A57" t="s">
        <v>868</v>
      </c>
      <c r="B57" t="s">
        <v>61</v>
      </c>
      <c r="C57" s="126">
        <v>-95737745.439999998</v>
      </c>
      <c r="D57" s="1828">
        <v>-94766274.659999996</v>
      </c>
      <c r="E57" s="1828">
        <v>-93633036.590000004</v>
      </c>
      <c r="F57" s="1828">
        <v>-92939540.219999999</v>
      </c>
      <c r="G57" s="1828">
        <v>-92246043.840000004</v>
      </c>
      <c r="H57" s="1828">
        <v>-91552547.469999999</v>
      </c>
      <c r="I57" s="1828">
        <v>-91437480.890000001</v>
      </c>
      <c r="J57" s="1828">
        <v>-90748708.400000006</v>
      </c>
      <c r="K57" s="1828">
        <v>-90177741.879999995</v>
      </c>
      <c r="L57" s="1828">
        <v>-89478188.390000001</v>
      </c>
      <c r="M57" s="1828">
        <v>-88778638.310000002</v>
      </c>
      <c r="N57" s="1828">
        <v>-87526385.299999997</v>
      </c>
      <c r="O57" s="1828">
        <v>-170956349.22</v>
      </c>
      <c r="P57" s="108">
        <v>-97690667.739230767</v>
      </c>
      <c r="Q57" s="2"/>
    </row>
    <row r="58" spans="1:17">
      <c r="C58" s="1130">
        <f t="shared" ref="C58" si="5">SUM(C50:C57)</f>
        <v>3440757335.29</v>
      </c>
      <c r="D58" s="1130">
        <f t="shared" ref="D58:P58" si="6">SUM(D50:D57)</f>
        <v>3492467632.2999997</v>
      </c>
      <c r="E58" s="1130">
        <f t="shared" si="6"/>
        <v>3561597415.4099994</v>
      </c>
      <c r="F58" s="1130">
        <f t="shared" si="6"/>
        <v>3490524136.29</v>
      </c>
      <c r="G58" s="1130">
        <f t="shared" si="6"/>
        <v>3530291455.5499992</v>
      </c>
      <c r="H58" s="1130">
        <f t="shared" si="6"/>
        <v>3413421752.7399998</v>
      </c>
      <c r="I58" s="1130">
        <f t="shared" si="6"/>
        <v>3420346021.1899996</v>
      </c>
      <c r="J58" s="1130">
        <f t="shared" si="6"/>
        <v>3409868017.4399996</v>
      </c>
      <c r="K58" s="1130">
        <f t="shared" si="6"/>
        <v>3416166236.4499993</v>
      </c>
      <c r="L58" s="1130">
        <f t="shared" si="6"/>
        <v>3367433356.0699997</v>
      </c>
      <c r="M58" s="1130">
        <f t="shared" si="6"/>
        <v>3367939356.8499994</v>
      </c>
      <c r="N58" s="1130">
        <f t="shared" si="6"/>
        <v>3409821795.2899995</v>
      </c>
      <c r="O58" s="1130">
        <f t="shared" si="6"/>
        <v>3278728607.1299996</v>
      </c>
      <c r="P58" s="1130">
        <f t="shared" si="6"/>
        <v>3430720239.8461542</v>
      </c>
      <c r="Q58" s="2"/>
    </row>
    <row r="59" spans="1:17">
      <c r="C59" s="108"/>
      <c r="D59" s="108"/>
      <c r="E59" s="108"/>
      <c r="F59" s="108"/>
      <c r="G59" s="108"/>
      <c r="H59" s="108"/>
      <c r="I59" s="108"/>
      <c r="J59" s="108"/>
      <c r="K59" s="108"/>
      <c r="L59" s="108"/>
      <c r="M59" s="108"/>
      <c r="N59" s="108"/>
      <c r="O59" s="108"/>
      <c r="P59" s="108"/>
      <c r="Q59" s="2"/>
    </row>
    <row r="60" spans="1:17">
      <c r="C60" s="860"/>
      <c r="D60" s="860"/>
      <c r="E60" s="860"/>
      <c r="F60" s="860"/>
      <c r="G60" s="860"/>
      <c r="H60" s="860"/>
      <c r="I60" s="860"/>
      <c r="J60" s="860"/>
      <c r="K60" s="860"/>
      <c r="L60" s="860"/>
      <c r="M60" s="860"/>
      <c r="N60" s="860"/>
      <c r="O60" s="860"/>
      <c r="P60" s="860"/>
    </row>
    <row r="61" spans="1:17">
      <c r="C61" s="860"/>
      <c r="D61" s="860"/>
      <c r="E61" s="860"/>
      <c r="F61" s="860"/>
      <c r="G61" s="860"/>
      <c r="H61" s="860"/>
      <c r="I61" s="860"/>
      <c r="J61" s="860"/>
      <c r="K61" s="860"/>
      <c r="L61" s="860"/>
      <c r="M61" s="860"/>
      <c r="N61" s="860"/>
      <c r="O61" s="860"/>
      <c r="P61" s="860"/>
    </row>
    <row r="62" spans="1:17">
      <c r="C62" s="860"/>
      <c r="D62" s="860"/>
      <c r="E62" s="860"/>
      <c r="F62" s="860"/>
      <c r="G62" s="860"/>
      <c r="H62" s="860"/>
      <c r="I62" s="860"/>
      <c r="J62" s="860"/>
      <c r="K62" s="860"/>
      <c r="L62" s="860"/>
      <c r="M62" s="860"/>
      <c r="N62" s="860"/>
      <c r="O62" s="860"/>
      <c r="P62" s="860"/>
    </row>
    <row r="63" spans="1:17">
      <c r="C63" s="860"/>
      <c r="D63" s="860"/>
      <c r="E63" s="860"/>
      <c r="F63" s="860"/>
      <c r="G63" s="860"/>
      <c r="H63" s="860"/>
      <c r="I63" s="860"/>
      <c r="J63" s="860"/>
      <c r="K63" s="860"/>
      <c r="L63" s="860"/>
      <c r="M63" s="860"/>
      <c r="N63" s="860"/>
      <c r="O63" s="860"/>
      <c r="P63" s="860"/>
    </row>
    <row r="64" spans="1:17">
      <c r="C64" s="860"/>
      <c r="D64" s="860"/>
      <c r="E64" s="860"/>
      <c r="F64" s="860"/>
      <c r="G64" s="860"/>
      <c r="H64" s="860"/>
      <c r="I64" s="860"/>
      <c r="J64" s="860"/>
      <c r="K64" s="860"/>
      <c r="L64" s="860"/>
      <c r="M64" s="860"/>
      <c r="N64" s="860"/>
      <c r="O64" s="860"/>
      <c r="P64" s="860"/>
    </row>
    <row r="65" spans="3:16">
      <c r="C65" s="860"/>
      <c r="D65" s="860"/>
      <c r="E65" s="860"/>
      <c r="F65" s="860"/>
      <c r="G65" s="860"/>
      <c r="H65" s="860"/>
      <c r="I65" s="860"/>
      <c r="J65" s="860"/>
      <c r="K65" s="860"/>
      <c r="L65" s="860"/>
      <c r="M65" s="860"/>
      <c r="N65" s="860"/>
      <c r="O65" s="860"/>
      <c r="P65" s="860"/>
    </row>
    <row r="66" spans="3:16">
      <c r="C66" s="860"/>
      <c r="D66" s="860"/>
      <c r="E66" s="860"/>
      <c r="F66" s="860"/>
      <c r="G66" s="860"/>
      <c r="H66" s="860"/>
      <c r="I66" s="860"/>
      <c r="J66" s="860"/>
      <c r="K66" s="860"/>
      <c r="L66" s="860"/>
      <c r="M66" s="860"/>
      <c r="N66" s="860"/>
      <c r="O66" s="860"/>
      <c r="P66" s="860"/>
    </row>
    <row r="67" spans="3:16">
      <c r="C67" s="860"/>
      <c r="D67" s="860"/>
      <c r="E67" s="860"/>
      <c r="F67" s="860"/>
      <c r="G67" s="860"/>
      <c r="H67" s="860"/>
      <c r="I67" s="860"/>
      <c r="J67" s="860"/>
      <c r="K67" s="860"/>
      <c r="L67" s="860"/>
      <c r="M67" s="860"/>
      <c r="N67" s="860"/>
      <c r="O67" s="860"/>
      <c r="P67" s="860"/>
    </row>
    <row r="68" spans="3:16">
      <c r="G68" s="860"/>
      <c r="I68" s="860"/>
      <c r="J68" s="860"/>
      <c r="K68" s="860"/>
    </row>
    <row r="69" spans="3:16">
      <c r="G69" s="860"/>
      <c r="I69" s="860"/>
      <c r="J69" s="860"/>
      <c r="K69" s="860"/>
    </row>
    <row r="70" spans="3:16">
      <c r="G70" s="860"/>
      <c r="I70" s="860"/>
      <c r="J70" s="860"/>
      <c r="K70" s="860"/>
      <c r="N70" s="860"/>
    </row>
    <row r="71" spans="3:16">
      <c r="G71" s="860"/>
      <c r="I71" s="860"/>
      <c r="J71" s="860"/>
      <c r="K71" s="860"/>
      <c r="N71" s="860"/>
    </row>
    <row r="72" spans="3:16">
      <c r="G72" s="860"/>
      <c r="I72" s="860"/>
      <c r="J72" s="860"/>
      <c r="K72" s="860"/>
      <c r="N72" s="860"/>
    </row>
    <row r="73" spans="3:16">
      <c r="G73" s="860"/>
      <c r="I73" s="860"/>
      <c r="J73" s="860"/>
      <c r="K73" s="860"/>
    </row>
    <row r="74" spans="3:16">
      <c r="G74" s="860"/>
      <c r="I74" s="860"/>
      <c r="J74" s="860"/>
      <c r="K74" s="860"/>
    </row>
    <row r="75" spans="3:16">
      <c r="G75" s="860"/>
      <c r="I75" s="860"/>
      <c r="J75" s="860"/>
      <c r="K75" s="860"/>
    </row>
    <row r="76" spans="3:16">
      <c r="G76" s="860"/>
      <c r="I76" s="860"/>
      <c r="J76" s="860"/>
      <c r="K76" s="860"/>
    </row>
    <row r="77" spans="3:16">
      <c r="C77" s="860"/>
      <c r="D77" s="860"/>
      <c r="E77" s="860"/>
      <c r="F77" s="860"/>
      <c r="G77" s="860"/>
      <c r="H77" s="860"/>
      <c r="I77" s="860"/>
      <c r="J77" s="860"/>
      <c r="K77" s="860"/>
      <c r="L77" s="860"/>
      <c r="M77" s="860"/>
      <c r="N77" s="860"/>
      <c r="O77" s="860"/>
      <c r="P77" s="860"/>
    </row>
    <row r="78" spans="3:16">
      <c r="J78" s="860"/>
      <c r="K78" s="860"/>
    </row>
    <row r="79" spans="3:16">
      <c r="J79" s="860"/>
      <c r="K79" s="860"/>
    </row>
    <row r="80" spans="3:16">
      <c r="G80" s="860"/>
      <c r="I80" s="860"/>
      <c r="J80" s="860"/>
      <c r="K80" s="860"/>
    </row>
    <row r="81" spans="1:25">
      <c r="A81" s="859"/>
      <c r="C81" s="860"/>
      <c r="D81" s="860"/>
      <c r="E81" s="860"/>
      <c r="F81" s="860"/>
      <c r="G81" s="860"/>
      <c r="H81" s="860"/>
      <c r="I81" s="860"/>
      <c r="J81" s="860"/>
      <c r="K81" s="860"/>
      <c r="L81" s="860"/>
      <c r="M81" s="860"/>
      <c r="N81" s="860"/>
      <c r="O81" s="860"/>
      <c r="P81" s="860"/>
    </row>
    <row r="82" spans="1:25">
      <c r="A82" s="97"/>
      <c r="B82" s="97"/>
      <c r="C82" s="930"/>
      <c r="D82" s="930"/>
      <c r="E82" s="930"/>
      <c r="F82" s="930"/>
      <c r="G82" s="930"/>
      <c r="H82" s="930"/>
      <c r="I82" s="930"/>
      <c r="J82" s="930"/>
      <c r="K82" s="930"/>
      <c r="L82" s="930"/>
      <c r="M82" s="930"/>
      <c r="N82" s="930"/>
      <c r="O82" s="930"/>
      <c r="P82" s="930"/>
      <c r="Q82" s="97"/>
      <c r="R82" s="97"/>
      <c r="S82" s="97"/>
      <c r="T82" s="97"/>
      <c r="U82" s="97"/>
      <c r="V82" s="97"/>
      <c r="W82" s="97"/>
      <c r="X82" s="97"/>
      <c r="Y82" s="97"/>
    </row>
    <row r="83" spans="1:25">
      <c r="A83" s="97"/>
      <c r="B83" s="97"/>
      <c r="C83" s="930"/>
      <c r="D83" s="930"/>
      <c r="E83" s="930"/>
      <c r="F83" s="930"/>
      <c r="G83" s="930"/>
      <c r="H83" s="930"/>
      <c r="I83" s="930"/>
      <c r="J83" s="930"/>
      <c r="K83" s="930"/>
      <c r="L83" s="930"/>
      <c r="M83" s="930"/>
      <c r="N83" s="930"/>
      <c r="O83" s="930"/>
      <c r="P83" s="930"/>
      <c r="Q83" s="97"/>
      <c r="R83" s="97"/>
      <c r="S83" s="97"/>
      <c r="T83" s="97"/>
      <c r="U83" s="97"/>
      <c r="V83" s="97"/>
      <c r="W83" s="97"/>
      <c r="X83" s="97"/>
      <c r="Y83" s="97"/>
    </row>
    <row r="84" spans="1:25">
      <c r="A84" s="97"/>
      <c r="B84" s="97"/>
      <c r="C84" s="930"/>
      <c r="D84" s="930"/>
      <c r="E84" s="930"/>
      <c r="F84" s="930"/>
      <c r="G84" s="930"/>
      <c r="H84" s="930"/>
      <c r="I84" s="930"/>
      <c r="J84" s="930"/>
      <c r="K84" s="930"/>
      <c r="L84" s="930"/>
      <c r="M84" s="930"/>
      <c r="N84" s="930"/>
      <c r="O84" s="930"/>
      <c r="P84" s="930"/>
      <c r="Q84" s="97"/>
      <c r="R84" s="97"/>
      <c r="S84" s="97"/>
      <c r="T84" s="97"/>
      <c r="U84" s="97"/>
      <c r="V84" s="97"/>
      <c r="W84" s="97"/>
      <c r="X84" s="97"/>
      <c r="Y84" s="97"/>
    </row>
    <row r="85" spans="1:25">
      <c r="A85" s="97"/>
      <c r="B85" s="97"/>
      <c r="C85" s="930"/>
      <c r="D85" s="930"/>
      <c r="E85" s="930"/>
      <c r="F85" s="930"/>
      <c r="G85" s="930"/>
      <c r="H85" s="930"/>
      <c r="I85" s="930"/>
      <c r="J85" s="930"/>
      <c r="K85" s="930"/>
      <c r="L85" s="930"/>
      <c r="M85" s="930"/>
      <c r="N85" s="930"/>
      <c r="O85" s="930"/>
      <c r="P85" s="930"/>
      <c r="Q85" s="97"/>
      <c r="R85" s="97"/>
      <c r="S85" s="97"/>
      <c r="T85" s="97"/>
      <c r="U85" s="97"/>
      <c r="V85" s="97"/>
      <c r="W85" s="97"/>
      <c r="X85" s="97"/>
      <c r="Y85" s="97"/>
    </row>
    <row r="86" spans="1:25">
      <c r="A86" s="97"/>
      <c r="B86" s="97"/>
      <c r="C86" s="930"/>
      <c r="D86" s="930"/>
      <c r="E86" s="930"/>
      <c r="F86" s="930"/>
      <c r="G86" s="930"/>
      <c r="H86" s="930"/>
      <c r="I86" s="930"/>
      <c r="J86" s="930"/>
      <c r="K86" s="930"/>
      <c r="L86" s="930"/>
      <c r="M86" s="930"/>
      <c r="N86" s="930"/>
      <c r="O86" s="930"/>
      <c r="P86" s="930"/>
      <c r="Q86" s="97"/>
      <c r="R86" s="97"/>
      <c r="S86" s="97"/>
      <c r="T86" s="97"/>
      <c r="U86" s="97"/>
      <c r="V86" s="97"/>
      <c r="W86" s="97"/>
      <c r="X86" s="97"/>
      <c r="Y86" s="97"/>
    </row>
    <row r="87" spans="1:25">
      <c r="A87" s="97"/>
      <c r="B87" s="97"/>
      <c r="C87" s="930"/>
      <c r="D87" s="930"/>
      <c r="E87" s="930"/>
      <c r="F87" s="930"/>
      <c r="G87" s="930"/>
      <c r="H87" s="930"/>
      <c r="I87" s="930"/>
      <c r="J87" s="930"/>
      <c r="K87" s="930"/>
      <c r="L87" s="930"/>
      <c r="M87" s="930"/>
      <c r="N87" s="930"/>
      <c r="O87" s="930"/>
      <c r="P87" s="930"/>
      <c r="Q87" s="97"/>
      <c r="R87" s="97"/>
      <c r="S87" s="97"/>
      <c r="T87" s="97"/>
      <c r="U87" s="97"/>
      <c r="V87" s="97"/>
      <c r="W87" s="97"/>
      <c r="X87" s="97"/>
      <c r="Y87" s="97"/>
    </row>
    <row r="88" spans="1:25">
      <c r="A88" s="97"/>
      <c r="B88" s="97"/>
      <c r="C88" s="930"/>
      <c r="D88" s="930"/>
      <c r="E88" s="930"/>
      <c r="F88" s="930"/>
      <c r="G88" s="930"/>
      <c r="H88" s="930"/>
      <c r="I88" s="930"/>
      <c r="J88" s="930"/>
      <c r="K88" s="930"/>
      <c r="L88" s="930"/>
      <c r="M88" s="930"/>
      <c r="N88" s="930"/>
      <c r="O88" s="930"/>
      <c r="P88" s="930"/>
      <c r="Q88" s="97"/>
      <c r="R88" s="97"/>
      <c r="S88" s="97"/>
      <c r="T88" s="97"/>
      <c r="U88" s="97"/>
      <c r="V88" s="97"/>
      <c r="W88" s="97"/>
      <c r="X88" s="97"/>
      <c r="Y88" s="97"/>
    </row>
    <row r="89" spans="1:25">
      <c r="A89" s="97"/>
      <c r="B89" s="97"/>
      <c r="C89" s="930"/>
      <c r="D89" s="930"/>
      <c r="E89" s="930"/>
      <c r="F89" s="930"/>
      <c r="G89" s="930"/>
      <c r="H89" s="930"/>
      <c r="I89" s="930"/>
      <c r="J89" s="930"/>
      <c r="K89" s="930"/>
      <c r="L89" s="930"/>
      <c r="M89" s="930"/>
      <c r="N89" s="930"/>
      <c r="O89" s="930"/>
      <c r="P89" s="930"/>
      <c r="Q89" s="97"/>
      <c r="R89" s="97"/>
      <c r="S89" s="97"/>
      <c r="T89" s="97"/>
      <c r="U89" s="97"/>
      <c r="V89" s="97"/>
      <c r="W89" s="97"/>
      <c r="X89" s="97"/>
      <c r="Y89" s="97"/>
    </row>
    <row r="90" spans="1:25">
      <c r="A90" s="97"/>
      <c r="B90" s="97"/>
      <c r="C90" s="930"/>
      <c r="D90" s="930"/>
      <c r="E90" s="930"/>
      <c r="F90" s="930"/>
      <c r="G90" s="930"/>
      <c r="H90" s="930"/>
      <c r="I90" s="930"/>
      <c r="J90" s="930"/>
      <c r="K90" s="930"/>
      <c r="L90" s="930"/>
      <c r="M90" s="930"/>
      <c r="N90" s="930"/>
      <c r="O90" s="930"/>
      <c r="P90" s="930"/>
      <c r="Q90" s="97"/>
      <c r="R90" s="97"/>
      <c r="S90" s="97"/>
      <c r="T90" s="97"/>
      <c r="U90" s="97"/>
      <c r="V90" s="97"/>
      <c r="W90" s="97"/>
      <c r="X90" s="97"/>
      <c r="Y90" s="97"/>
    </row>
    <row r="91" spans="1:25">
      <c r="A91" s="97"/>
      <c r="B91" s="97"/>
      <c r="C91" s="930"/>
      <c r="D91" s="930"/>
      <c r="E91" s="930"/>
      <c r="F91" s="930"/>
      <c r="G91" s="930"/>
      <c r="H91" s="930"/>
      <c r="I91" s="930"/>
      <c r="J91" s="930"/>
      <c r="K91" s="930"/>
      <c r="L91" s="930"/>
      <c r="M91" s="930"/>
      <c r="N91" s="930"/>
      <c r="O91" s="930"/>
      <c r="P91" s="930"/>
      <c r="Q91" s="97"/>
      <c r="R91" s="97"/>
      <c r="S91" s="97"/>
      <c r="T91" s="97"/>
      <c r="U91" s="97"/>
      <c r="V91" s="97"/>
      <c r="W91" s="97"/>
      <c r="X91" s="97"/>
      <c r="Y91" s="97"/>
    </row>
    <row r="92" spans="1:25">
      <c r="A92" s="97"/>
      <c r="B92" s="97"/>
      <c r="C92" s="930"/>
      <c r="D92" s="930"/>
      <c r="E92" s="930"/>
      <c r="F92" s="930"/>
      <c r="G92" s="930"/>
      <c r="H92" s="930"/>
      <c r="I92" s="930"/>
      <c r="J92" s="930"/>
      <c r="K92" s="930"/>
      <c r="L92" s="930"/>
      <c r="M92" s="930"/>
      <c r="N92" s="930"/>
      <c r="O92" s="930"/>
      <c r="P92" s="930"/>
      <c r="Q92" s="97"/>
      <c r="R92" s="97"/>
      <c r="S92" s="97"/>
      <c r="T92" s="97"/>
      <c r="U92" s="97"/>
      <c r="V92" s="97"/>
      <c r="W92" s="97"/>
      <c r="X92" s="97"/>
      <c r="Y92" s="97"/>
    </row>
    <row r="93" spans="1:25">
      <c r="A93" s="97"/>
      <c r="B93" s="97"/>
      <c r="C93" s="930"/>
      <c r="D93" s="930"/>
      <c r="E93" s="930"/>
      <c r="F93" s="930"/>
      <c r="G93" s="930"/>
      <c r="H93" s="930"/>
      <c r="I93" s="930"/>
      <c r="J93" s="930"/>
      <c r="K93" s="930"/>
      <c r="L93" s="930"/>
      <c r="M93" s="930"/>
      <c r="N93" s="930"/>
      <c r="O93" s="930"/>
      <c r="P93" s="930"/>
      <c r="Q93" s="97"/>
      <c r="R93" s="97"/>
      <c r="S93" s="97"/>
      <c r="T93" s="97"/>
      <c r="U93" s="97"/>
      <c r="V93" s="97"/>
      <c r="W93" s="97"/>
      <c r="X93" s="97"/>
      <c r="Y93" s="97"/>
    </row>
    <row r="94" spans="1:25">
      <c r="A94" s="97"/>
      <c r="B94" s="97"/>
      <c r="C94" s="930"/>
      <c r="D94" s="930"/>
      <c r="E94" s="930"/>
      <c r="F94" s="930"/>
      <c r="G94" s="930"/>
      <c r="H94" s="930"/>
      <c r="I94" s="930"/>
      <c r="J94" s="930"/>
      <c r="K94" s="930"/>
      <c r="L94" s="930"/>
      <c r="M94" s="930"/>
      <c r="N94" s="930"/>
      <c r="O94" s="930"/>
      <c r="P94" s="930"/>
      <c r="Q94" s="97"/>
      <c r="R94" s="97"/>
      <c r="S94" s="97"/>
      <c r="T94" s="97"/>
      <c r="U94" s="97"/>
      <c r="V94" s="97"/>
      <c r="W94" s="97"/>
      <c r="X94" s="97"/>
      <c r="Y94" s="97"/>
    </row>
    <row r="95" spans="1:25">
      <c r="A95" s="97"/>
      <c r="B95" s="97"/>
      <c r="C95" s="930"/>
      <c r="D95" s="930"/>
      <c r="E95" s="930"/>
      <c r="F95" s="930"/>
      <c r="G95" s="930"/>
      <c r="H95" s="930"/>
      <c r="I95" s="930"/>
      <c r="J95" s="930"/>
      <c r="K95" s="930"/>
      <c r="L95" s="930"/>
      <c r="M95" s="930"/>
      <c r="N95" s="930"/>
      <c r="O95" s="930"/>
      <c r="P95" s="930"/>
      <c r="Q95" s="97"/>
      <c r="R95" s="97"/>
      <c r="S95" s="97"/>
      <c r="T95" s="97"/>
      <c r="U95" s="97"/>
      <c r="V95" s="97"/>
      <c r="W95" s="97"/>
      <c r="X95" s="97"/>
      <c r="Y95" s="97"/>
    </row>
    <row r="96" spans="1:25">
      <c r="A96" s="97"/>
      <c r="B96" s="97"/>
      <c r="C96" s="930"/>
      <c r="D96" s="930"/>
      <c r="E96" s="930"/>
      <c r="F96" s="930"/>
      <c r="G96" s="930"/>
      <c r="H96" s="930"/>
      <c r="I96" s="930"/>
      <c r="J96" s="930"/>
      <c r="K96" s="930"/>
      <c r="L96" s="930"/>
      <c r="M96" s="930"/>
      <c r="N96" s="930"/>
      <c r="O96" s="930"/>
      <c r="P96" s="930"/>
      <c r="Q96" s="97"/>
      <c r="R96" s="97"/>
      <c r="S96" s="97"/>
      <c r="T96" s="97"/>
      <c r="U96" s="97"/>
      <c r="V96" s="97"/>
      <c r="W96" s="97"/>
      <c r="X96" s="97"/>
      <c r="Y96" s="97"/>
    </row>
    <row r="97" spans="1:25">
      <c r="A97" s="97"/>
      <c r="B97" s="97"/>
      <c r="C97" s="930"/>
      <c r="D97" s="930"/>
      <c r="E97" s="930"/>
      <c r="F97" s="930"/>
      <c r="G97" s="930"/>
      <c r="H97" s="930"/>
      <c r="I97" s="930"/>
      <c r="J97" s="930"/>
      <c r="K97" s="930"/>
      <c r="L97" s="930"/>
      <c r="M97" s="930"/>
      <c r="N97" s="930"/>
      <c r="O97" s="930"/>
      <c r="P97" s="930"/>
      <c r="Q97" s="97"/>
      <c r="R97" s="97"/>
      <c r="S97" s="97"/>
      <c r="T97" s="97"/>
      <c r="U97" s="97"/>
      <c r="V97" s="97"/>
      <c r="W97" s="97"/>
      <c r="X97" s="97"/>
      <c r="Y97" s="97"/>
    </row>
    <row r="98" spans="1:25">
      <c r="A98" s="97"/>
      <c r="B98" s="97"/>
      <c r="C98" s="930"/>
      <c r="D98" s="930"/>
      <c r="E98" s="930"/>
      <c r="F98" s="930"/>
      <c r="G98" s="930"/>
      <c r="H98" s="930"/>
      <c r="I98" s="930"/>
      <c r="J98" s="930"/>
      <c r="K98" s="930"/>
      <c r="L98" s="930"/>
      <c r="M98" s="930"/>
      <c r="N98" s="930"/>
      <c r="O98" s="930"/>
      <c r="P98" s="930"/>
      <c r="Q98" s="97"/>
      <c r="R98" s="97"/>
      <c r="S98" s="97"/>
      <c r="T98" s="97"/>
      <c r="U98" s="97"/>
      <c r="V98" s="97"/>
      <c r="W98" s="97"/>
      <c r="X98" s="97"/>
      <c r="Y98" s="97"/>
    </row>
    <row r="99" spans="1:25">
      <c r="A99" s="97"/>
      <c r="B99" s="97"/>
      <c r="C99" s="930"/>
      <c r="D99" s="930"/>
      <c r="E99" s="930"/>
      <c r="F99" s="930"/>
      <c r="G99" s="930"/>
      <c r="H99" s="930"/>
      <c r="I99" s="930"/>
      <c r="J99" s="930"/>
      <c r="K99" s="930"/>
      <c r="L99" s="930"/>
      <c r="M99" s="930"/>
      <c r="N99" s="930"/>
      <c r="O99" s="930"/>
      <c r="P99" s="930"/>
      <c r="Q99" s="97"/>
      <c r="R99" s="97"/>
      <c r="S99" s="97"/>
      <c r="T99" s="97"/>
      <c r="U99" s="97"/>
      <c r="V99" s="97"/>
      <c r="W99" s="97"/>
      <c r="X99" s="97"/>
      <c r="Y99" s="97"/>
    </row>
    <row r="100" spans="1: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row>
    <row r="101" spans="1: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row>
    <row r="102" spans="1: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row>
    <row r="103" spans="1:25" ht="15.75">
      <c r="A103" s="97"/>
      <c r="B103" s="97"/>
      <c r="C103" s="380"/>
      <c r="D103" s="682"/>
      <c r="E103" s="682"/>
      <c r="F103" s="682"/>
      <c r="G103" s="941"/>
      <c r="H103" s="682"/>
      <c r="I103" s="681"/>
      <c r="J103" s="680"/>
      <c r="K103" s="680"/>
      <c r="L103" s="680"/>
      <c r="M103" s="868"/>
      <c r="N103" s="97"/>
      <c r="O103" s="97"/>
      <c r="P103" s="97"/>
      <c r="Q103" s="97"/>
      <c r="R103" s="97"/>
      <c r="S103" s="97"/>
      <c r="T103" s="97"/>
      <c r="U103" s="97"/>
      <c r="V103" s="97"/>
      <c r="W103" s="97"/>
      <c r="X103" s="97"/>
      <c r="Y103" s="97"/>
    </row>
    <row r="104" spans="1:25" ht="15.75">
      <c r="A104" s="97"/>
      <c r="B104" s="97"/>
      <c r="C104" s="381"/>
      <c r="D104" s="23"/>
      <c r="E104" s="69"/>
      <c r="F104" s="69"/>
      <c r="G104" s="942"/>
      <c r="H104" s="678"/>
      <c r="I104" s="350"/>
      <c r="J104" s="349"/>
      <c r="K104" s="695"/>
      <c r="L104" s="88"/>
      <c r="M104" s="88"/>
      <c r="N104" s="97"/>
      <c r="O104" s="97"/>
      <c r="P104" s="97"/>
      <c r="Q104" s="97"/>
      <c r="R104" s="97"/>
      <c r="S104" s="97"/>
      <c r="T104" s="97"/>
      <c r="U104" s="97"/>
      <c r="V104" s="97"/>
      <c r="W104" s="97"/>
      <c r="X104" s="97"/>
      <c r="Y104" s="97"/>
    </row>
    <row r="105" spans="1:25" ht="15.75">
      <c r="A105" s="930"/>
      <c r="B105" s="97"/>
      <c r="C105" s="437"/>
      <c r="D105" s="101"/>
      <c r="E105" s="869"/>
      <c r="F105" s="700"/>
      <c r="G105" s="942"/>
      <c r="H105" s="402"/>
      <c r="I105" s="334"/>
      <c r="J105" s="402"/>
      <c r="K105" s="25"/>
      <c r="L105" s="334"/>
      <c r="M105" s="88"/>
      <c r="N105" s="97"/>
      <c r="O105" s="97"/>
      <c r="P105" s="97"/>
      <c r="Q105" s="97"/>
      <c r="R105" s="97"/>
      <c r="S105" s="97"/>
      <c r="T105" s="97"/>
      <c r="U105" s="97"/>
      <c r="V105" s="97"/>
      <c r="W105" s="97"/>
      <c r="X105" s="97"/>
      <c r="Y105" s="97"/>
    </row>
    <row r="106" spans="1:25" ht="15.75">
      <c r="A106" s="930"/>
      <c r="B106" s="97"/>
      <c r="C106" s="420"/>
      <c r="D106" s="738"/>
      <c r="E106" s="738"/>
      <c r="F106" s="738"/>
      <c r="G106" s="679"/>
      <c r="H106" s="738"/>
      <c r="I106" s="738"/>
      <c r="J106" s="738"/>
      <c r="K106" s="738"/>
      <c r="L106" s="738"/>
      <c r="M106" s="759"/>
      <c r="N106" s="97"/>
      <c r="O106" s="97"/>
      <c r="P106" s="97"/>
      <c r="Q106" s="97"/>
      <c r="R106" s="97"/>
      <c r="S106" s="97"/>
      <c r="T106" s="97"/>
      <c r="U106" s="97"/>
      <c r="V106" s="97"/>
      <c r="W106" s="97"/>
      <c r="X106" s="97"/>
      <c r="Y106" s="97"/>
    </row>
    <row r="107" spans="1:25" ht="15.75">
      <c r="A107" s="930"/>
      <c r="B107" s="97"/>
      <c r="C107" s="420"/>
      <c r="D107" s="943"/>
      <c r="E107" s="738"/>
      <c r="F107" s="738"/>
      <c r="G107" s="679"/>
      <c r="H107" s="738"/>
      <c r="I107" s="738"/>
      <c r="J107" s="738"/>
      <c r="K107" s="738"/>
      <c r="L107" s="738"/>
      <c r="M107" s="759"/>
      <c r="N107" s="97"/>
      <c r="O107" s="97"/>
      <c r="P107" s="97"/>
      <c r="Q107" s="97"/>
      <c r="R107" s="97"/>
      <c r="S107" s="97"/>
      <c r="T107" s="97"/>
      <c r="U107" s="97"/>
      <c r="V107" s="97"/>
      <c r="W107" s="97"/>
      <c r="X107" s="97"/>
      <c r="Y107" s="97"/>
    </row>
    <row r="108" spans="1:25" ht="15.75">
      <c r="A108" s="930"/>
      <c r="B108" s="97"/>
      <c r="C108" s="420"/>
      <c r="D108" s="944"/>
      <c r="E108" s="738"/>
      <c r="F108" s="738"/>
      <c r="G108" s="679"/>
      <c r="H108" s="738"/>
      <c r="I108" s="738"/>
      <c r="J108" s="738"/>
      <c r="K108" s="738"/>
      <c r="L108" s="738"/>
      <c r="M108" s="759"/>
      <c r="N108" s="97"/>
      <c r="O108" s="97"/>
      <c r="P108" s="97"/>
      <c r="Q108" s="97"/>
      <c r="R108" s="97"/>
      <c r="S108" s="97"/>
      <c r="T108" s="97"/>
      <c r="U108" s="97"/>
      <c r="V108" s="97"/>
      <c r="W108" s="97"/>
      <c r="X108" s="97"/>
      <c r="Y108" s="97"/>
    </row>
    <row r="109" spans="1:25" ht="15.75">
      <c r="A109" s="930"/>
      <c r="B109" s="97"/>
      <c r="C109" s="420"/>
      <c r="D109" s="943"/>
      <c r="E109" s="738"/>
      <c r="F109" s="738"/>
      <c r="G109" s="679"/>
      <c r="H109" s="738"/>
      <c r="I109" s="738"/>
      <c r="J109" s="738"/>
      <c r="K109" s="738"/>
      <c r="L109" s="738"/>
      <c r="M109" s="759"/>
      <c r="N109" s="97"/>
      <c r="O109" s="97"/>
      <c r="P109" s="97"/>
      <c r="Q109" s="97"/>
      <c r="R109" s="97"/>
      <c r="S109" s="97"/>
      <c r="T109" s="97"/>
      <c r="U109" s="97"/>
      <c r="V109" s="97"/>
      <c r="W109" s="97"/>
      <c r="X109" s="97"/>
      <c r="Y109" s="97"/>
    </row>
    <row r="110" spans="1:25" ht="15.75">
      <c r="A110" s="930"/>
      <c r="B110" s="97"/>
      <c r="C110" s="420"/>
      <c r="D110" s="943"/>
      <c r="E110" s="738"/>
      <c r="F110" s="738"/>
      <c r="G110" s="679"/>
      <c r="H110" s="738"/>
      <c r="I110" s="738"/>
      <c r="J110" s="738"/>
      <c r="K110" s="738"/>
      <c r="L110" s="738"/>
      <c r="M110" s="759"/>
      <c r="N110" s="97"/>
      <c r="O110" s="97"/>
      <c r="P110" s="97"/>
      <c r="Q110" s="97"/>
      <c r="R110" s="97"/>
      <c r="S110" s="97"/>
      <c r="T110" s="97"/>
      <c r="U110" s="97"/>
      <c r="V110" s="97"/>
      <c r="W110" s="97"/>
      <c r="X110" s="97"/>
      <c r="Y110" s="97"/>
    </row>
    <row r="111" spans="1:25" ht="15.75">
      <c r="A111" s="930"/>
      <c r="B111" s="97"/>
      <c r="C111" s="420"/>
      <c r="D111" s="943"/>
      <c r="E111" s="738"/>
      <c r="F111" s="738"/>
      <c r="G111" s="679"/>
      <c r="H111" s="738"/>
      <c r="I111" s="738"/>
      <c r="J111" s="738"/>
      <c r="K111" s="738"/>
      <c r="L111" s="738"/>
      <c r="M111" s="759"/>
      <c r="N111" s="97"/>
      <c r="O111" s="97"/>
      <c r="P111" s="97"/>
      <c r="Q111" s="97"/>
      <c r="R111" s="97"/>
      <c r="S111" s="97"/>
      <c r="T111" s="97"/>
      <c r="U111" s="97"/>
      <c r="V111" s="97"/>
      <c r="W111" s="97"/>
      <c r="X111" s="97"/>
      <c r="Y111" s="97"/>
    </row>
    <row r="112" spans="1:25" ht="15.75">
      <c r="A112" s="930"/>
      <c r="B112" s="97"/>
      <c r="C112" s="420"/>
      <c r="D112" s="738"/>
      <c r="E112" s="738"/>
      <c r="F112" s="738"/>
      <c r="G112" s="679"/>
      <c r="H112" s="738"/>
      <c r="I112" s="738"/>
      <c r="J112" s="738"/>
      <c r="K112" s="738"/>
      <c r="L112" s="738"/>
      <c r="M112" s="759"/>
      <c r="N112" s="97"/>
      <c r="O112" s="97"/>
      <c r="P112" s="97"/>
      <c r="Q112" s="97"/>
      <c r="R112" s="97"/>
      <c r="S112" s="97"/>
      <c r="T112" s="97"/>
      <c r="U112" s="97"/>
      <c r="V112" s="97"/>
      <c r="W112" s="97"/>
      <c r="X112" s="97"/>
      <c r="Y112" s="97"/>
    </row>
    <row r="113" spans="1:25" ht="15.75">
      <c r="A113" s="930"/>
      <c r="B113" s="97"/>
      <c r="C113" s="420"/>
      <c r="D113" s="738"/>
      <c r="E113" s="738"/>
      <c r="F113" s="738"/>
      <c r="G113" s="679"/>
      <c r="H113" s="738"/>
      <c r="I113" s="738"/>
      <c r="J113" s="738"/>
      <c r="K113" s="738"/>
      <c r="L113" s="738"/>
      <c r="M113" s="759"/>
      <c r="N113" s="97"/>
      <c r="O113" s="97"/>
      <c r="P113" s="97"/>
      <c r="Q113" s="97"/>
      <c r="R113" s="97"/>
      <c r="S113" s="97"/>
      <c r="T113" s="97"/>
      <c r="U113" s="97"/>
      <c r="V113" s="97"/>
      <c r="W113" s="97"/>
      <c r="X113" s="97"/>
      <c r="Y113" s="97"/>
    </row>
    <row r="114" spans="1:25" ht="15.75">
      <c r="A114" s="930"/>
      <c r="B114" s="97"/>
      <c r="C114" s="420"/>
      <c r="D114" s="944"/>
      <c r="E114" s="738"/>
      <c r="F114" s="738"/>
      <c r="G114" s="679"/>
      <c r="H114" s="738"/>
      <c r="I114" s="738"/>
      <c r="J114" s="738"/>
      <c r="K114" s="738"/>
      <c r="L114" s="738"/>
      <c r="M114" s="759"/>
      <c r="N114" s="97"/>
      <c r="O114" s="97"/>
      <c r="P114" s="97"/>
      <c r="Q114" s="97"/>
      <c r="R114" s="97"/>
      <c r="S114" s="97"/>
      <c r="T114" s="97"/>
      <c r="U114" s="97"/>
      <c r="V114" s="97"/>
      <c r="W114" s="97"/>
      <c r="X114" s="97"/>
      <c r="Y114" s="97"/>
    </row>
    <row r="115" spans="1:25" ht="15.75">
      <c r="A115" s="930"/>
      <c r="B115" s="97"/>
      <c r="C115" s="420"/>
      <c r="D115" s="738"/>
      <c r="E115" s="738"/>
      <c r="F115" s="738"/>
      <c r="G115" s="679"/>
      <c r="H115" s="738"/>
      <c r="I115" s="738"/>
      <c r="J115" s="738"/>
      <c r="K115" s="738"/>
      <c r="L115" s="738"/>
      <c r="M115" s="759"/>
      <c r="N115" s="97"/>
      <c r="O115" s="97"/>
      <c r="P115" s="97"/>
      <c r="Q115" s="97"/>
      <c r="R115" s="97"/>
      <c r="S115" s="97"/>
      <c r="T115" s="97"/>
      <c r="U115" s="97"/>
      <c r="V115" s="97"/>
      <c r="W115" s="97"/>
      <c r="X115" s="97"/>
      <c r="Y115" s="97"/>
    </row>
    <row r="116" spans="1:25" ht="15.75">
      <c r="A116" s="930"/>
      <c r="B116" s="97"/>
      <c r="C116" s="420"/>
      <c r="D116" s="738"/>
      <c r="E116" s="738"/>
      <c r="F116" s="738"/>
      <c r="G116" s="679"/>
      <c r="H116" s="738"/>
      <c r="I116" s="738"/>
      <c r="J116" s="738"/>
      <c r="K116" s="738"/>
      <c r="L116" s="738"/>
      <c r="M116" s="759"/>
      <c r="N116" s="97"/>
      <c r="O116" s="97"/>
      <c r="P116" s="97"/>
      <c r="Q116" s="97"/>
      <c r="R116" s="97"/>
      <c r="S116" s="97"/>
      <c r="T116" s="97"/>
      <c r="U116" s="97"/>
      <c r="V116" s="97"/>
      <c r="W116" s="97"/>
      <c r="X116" s="97"/>
      <c r="Y116" s="97"/>
    </row>
    <row r="117" spans="1:25" ht="15.75">
      <c r="A117" s="930"/>
      <c r="B117" s="97"/>
      <c r="C117" s="420"/>
      <c r="D117" s="870"/>
      <c r="E117" s="870"/>
      <c r="F117" s="870"/>
      <c r="G117" s="679"/>
      <c r="H117" s="870"/>
      <c r="I117" s="870"/>
      <c r="J117" s="870"/>
      <c r="K117" s="870"/>
      <c r="L117" s="870"/>
      <c r="M117" s="759"/>
      <c r="N117" s="97"/>
      <c r="O117" s="97"/>
      <c r="P117" s="97"/>
      <c r="Q117" s="97"/>
      <c r="R117" s="97"/>
      <c r="S117" s="97"/>
      <c r="T117" s="97"/>
      <c r="U117" s="97"/>
      <c r="V117" s="97"/>
      <c r="W117" s="97"/>
      <c r="X117" s="97"/>
      <c r="Y117" s="97"/>
    </row>
    <row r="118" spans="1:25" ht="15.75">
      <c r="A118" s="97"/>
      <c r="B118" s="97"/>
      <c r="C118" s="420"/>
      <c r="D118" s="945"/>
      <c r="E118" s="758"/>
      <c r="F118" s="758"/>
      <c r="G118" s="758"/>
      <c r="H118" s="683"/>
      <c r="I118" s="679"/>
      <c r="J118" s="684"/>
      <c r="K118" s="759"/>
      <c r="L118" s="759"/>
      <c r="M118" s="759"/>
      <c r="N118" s="97"/>
      <c r="O118" s="97"/>
      <c r="P118" s="97"/>
      <c r="Q118" s="97"/>
      <c r="R118" s="97"/>
      <c r="S118" s="97"/>
      <c r="T118" s="97"/>
      <c r="U118" s="97"/>
      <c r="V118" s="97"/>
      <c r="W118" s="97"/>
      <c r="X118" s="97"/>
      <c r="Y118" s="97"/>
    </row>
    <row r="119" spans="1:25" ht="15.75">
      <c r="A119" s="758"/>
      <c r="B119" s="97"/>
      <c r="C119" s="420"/>
      <c r="D119" s="758"/>
      <c r="E119" s="758"/>
      <c r="F119" s="758"/>
      <c r="G119" s="758"/>
      <c r="H119" s="758"/>
      <c r="I119" s="758"/>
      <c r="J119" s="758"/>
      <c r="K119" s="758"/>
      <c r="L119" s="758"/>
      <c r="M119" s="758"/>
      <c r="N119" s="97"/>
      <c r="O119" s="97"/>
      <c r="P119" s="97"/>
      <c r="Q119" s="97"/>
      <c r="R119" s="97"/>
      <c r="S119" s="97"/>
      <c r="T119" s="97"/>
      <c r="U119" s="97"/>
      <c r="V119" s="97"/>
      <c r="W119" s="97"/>
      <c r="X119" s="97"/>
      <c r="Y119" s="97"/>
    </row>
    <row r="120" spans="1:25">
      <c r="A120" s="75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row>
    <row r="121" spans="1: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row>
    <row r="122" spans="1:2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row>
    <row r="123" spans="1:2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row>
    <row r="124" spans="1:2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row>
  </sheetData>
  <phoneticPr fontId="77" type="noConversion"/>
  <pageMargins left="0.25" right="0.25" top="0.5" bottom="0.5" header="0.25" footer="0.25"/>
  <pageSetup paperSize="5"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316"/>
  <sheetViews>
    <sheetView topLeftCell="A2" zoomScale="59" zoomScaleNormal="59" zoomScaleSheetLayoutView="50" workbookViewId="0">
      <pane xSplit="7" ySplit="5" topLeftCell="H250" activePane="bottomRight" state="frozen"/>
      <selection activeCell="A2" sqref="A2"/>
      <selection pane="topRight" activeCell="H2" sqref="H2"/>
      <selection pane="bottomLeft" activeCell="A7" sqref="A7"/>
      <selection pane="bottomRight" activeCell="J109" sqref="J109"/>
    </sheetView>
  </sheetViews>
  <sheetFormatPr defaultColWidth="11.5703125" defaultRowHeight="15"/>
  <cols>
    <col min="1" max="1" width="10" style="5" customWidth="1"/>
    <col min="2" max="2" width="5.28515625" style="5" customWidth="1"/>
    <col min="3" max="3" width="54.42578125" style="31" customWidth="1"/>
    <col min="4" max="4" width="27.28515625" style="12" customWidth="1"/>
    <col min="5" max="5" width="22.7109375" style="12" customWidth="1"/>
    <col min="6" max="6" width="34.5703125" style="12" customWidth="1"/>
    <col min="7" max="7" width="3" customWidth="1"/>
    <col min="8" max="8" width="26.140625" style="12" customWidth="1"/>
    <col min="9" max="9" width="2.42578125" style="12" customWidth="1"/>
    <col min="10" max="10" width="22.7109375" style="12" customWidth="1"/>
    <col min="11" max="11" width="24.7109375" style="434" customWidth="1"/>
    <col min="12" max="12" width="22.42578125" style="12" customWidth="1"/>
    <col min="13" max="13" width="8.28515625" style="15" customWidth="1"/>
    <col min="14" max="16384" width="11.5703125" style="12"/>
  </cols>
  <sheetData>
    <row r="1" spans="1:13" ht="23.25" customHeight="1">
      <c r="A1" s="448" t="s">
        <v>1027</v>
      </c>
      <c r="C1" s="5"/>
      <c r="K1" s="26"/>
    </row>
    <row r="2" spans="1:13" ht="24" customHeight="1" thickBot="1">
      <c r="A2" s="92"/>
      <c r="C2" s="5"/>
      <c r="J2" s="896"/>
      <c r="K2" s="896"/>
      <c r="L2" s="896"/>
    </row>
    <row r="3" spans="1:13" ht="68.25" customHeight="1">
      <c r="A3" s="835" t="s">
        <v>540</v>
      </c>
      <c r="B3" s="836"/>
      <c r="C3" s="836"/>
      <c r="D3" s="836"/>
      <c r="E3" s="837"/>
      <c r="F3" s="838" t="s">
        <v>184</v>
      </c>
      <c r="H3" s="1099" t="s">
        <v>569</v>
      </c>
      <c r="I3" s="843"/>
      <c r="J3" s="843" t="s">
        <v>1139</v>
      </c>
      <c r="K3" s="843" t="s">
        <v>530</v>
      </c>
      <c r="L3" s="844" t="s">
        <v>531</v>
      </c>
      <c r="M3" s="1653"/>
    </row>
    <row r="4" spans="1:13" s="1" customFormat="1" ht="42" customHeight="1" thickBot="1">
      <c r="A4" s="839" t="s">
        <v>1417</v>
      </c>
      <c r="B4" s="840"/>
      <c r="C4" s="840"/>
      <c r="D4" s="840"/>
      <c r="E4" s="841" t="s">
        <v>1054</v>
      </c>
      <c r="F4" s="842"/>
      <c r="H4" s="845">
        <v>2014</v>
      </c>
      <c r="I4" s="1100"/>
      <c r="J4" s="846"/>
      <c r="K4" s="846"/>
      <c r="L4" s="847"/>
      <c r="M4" s="77"/>
    </row>
    <row r="5" spans="1:13" s="76" customFormat="1" ht="0.75" customHeight="1">
      <c r="A5" s="94" t="s">
        <v>822</v>
      </c>
      <c r="B5" s="385"/>
      <c r="C5" s="385"/>
      <c r="D5" s="385"/>
      <c r="E5" s="386"/>
      <c r="F5" s="95"/>
      <c r="H5" s="95"/>
      <c r="J5" s="524"/>
      <c r="M5" s="906"/>
    </row>
    <row r="6" spans="1:13" s="15" customFormat="1" ht="15.75" customHeight="1" thickBot="1">
      <c r="A6" s="30" t="s">
        <v>959</v>
      </c>
      <c r="B6" s="29"/>
      <c r="C6" s="40"/>
      <c r="D6" s="40"/>
      <c r="E6" s="387"/>
      <c r="F6" s="41"/>
      <c r="G6" s="45"/>
      <c r="H6" s="46"/>
      <c r="I6" s="45"/>
      <c r="J6" s="954"/>
      <c r="K6" s="45"/>
      <c r="L6" s="45"/>
      <c r="M6" s="907"/>
    </row>
    <row r="7" spans="1:13" s="15" customFormat="1" ht="15.75" customHeight="1">
      <c r="A7" s="986"/>
      <c r="B7" s="987"/>
      <c r="C7" s="987"/>
      <c r="D7" s="987"/>
      <c r="E7" s="988"/>
      <c r="F7" s="1064"/>
      <c r="G7" s="989"/>
      <c r="H7" s="990"/>
      <c r="I7" s="991"/>
      <c r="J7" s="992"/>
      <c r="K7" s="992"/>
      <c r="L7" s="993"/>
      <c r="M7" s="436"/>
    </row>
    <row r="8" spans="1:13" ht="15.75" customHeight="1">
      <c r="A8" s="994"/>
      <c r="B8" s="11" t="s">
        <v>965</v>
      </c>
      <c r="C8" s="21"/>
      <c r="D8" s="21"/>
      <c r="E8" s="391"/>
      <c r="F8" s="1065"/>
      <c r="G8" s="97"/>
      <c r="H8" s="946"/>
      <c r="I8" s="436"/>
      <c r="J8" s="526"/>
      <c r="K8" s="526"/>
      <c r="L8" s="995"/>
      <c r="M8" s="436"/>
    </row>
    <row r="9" spans="1:13" ht="15.75" customHeight="1">
      <c r="A9" s="996">
        <v>1</v>
      </c>
      <c r="B9" s="23"/>
      <c r="C9" s="36" t="s">
        <v>917</v>
      </c>
      <c r="D9" s="997"/>
      <c r="E9" s="74"/>
      <c r="F9" s="1065" t="s">
        <v>763</v>
      </c>
      <c r="G9" s="97"/>
      <c r="H9" s="1506">
        <v>8362027</v>
      </c>
      <c r="I9" s="696"/>
      <c r="J9" s="1507">
        <f>H9</f>
        <v>8362027</v>
      </c>
      <c r="K9" s="1507">
        <v>0</v>
      </c>
      <c r="L9" s="1508">
        <v>0</v>
      </c>
      <c r="M9" s="436"/>
    </row>
    <row r="10" spans="1:13">
      <c r="A10" s="996">
        <f>+A9+1</f>
        <v>2</v>
      </c>
      <c r="B10" s="23"/>
      <c r="C10" s="36" t="s">
        <v>918</v>
      </c>
      <c r="D10" s="36"/>
      <c r="E10" s="74"/>
      <c r="F10" s="1066" t="s">
        <v>764</v>
      </c>
      <c r="G10" s="97"/>
      <c r="H10" s="1506">
        <v>99293949</v>
      </c>
      <c r="I10" s="436"/>
      <c r="J10" s="1507">
        <f>$H$10</f>
        <v>99293949</v>
      </c>
      <c r="K10" s="1507">
        <f>$H$10</f>
        <v>99293949</v>
      </c>
      <c r="L10" s="1508">
        <f>$H$10</f>
        <v>99293949</v>
      </c>
      <c r="M10" s="436"/>
    </row>
    <row r="11" spans="1:13" ht="15.75" customHeight="1">
      <c r="A11" s="996">
        <f>+A10+1</f>
        <v>3</v>
      </c>
      <c r="B11" s="23"/>
      <c r="C11" s="36" t="s">
        <v>960</v>
      </c>
      <c r="D11" s="36"/>
      <c r="E11" s="74"/>
      <c r="F11" s="1066" t="s">
        <v>765</v>
      </c>
      <c r="G11" s="97"/>
      <c r="H11" s="1506">
        <v>27401493</v>
      </c>
      <c r="I11" s="436"/>
      <c r="J11" s="1507">
        <f>$H$11</f>
        <v>27401493</v>
      </c>
      <c r="K11" s="1507">
        <f>$H$11</f>
        <v>27401493</v>
      </c>
      <c r="L11" s="1508">
        <f>$H$11</f>
        <v>27401493</v>
      </c>
      <c r="M11" s="436"/>
    </row>
    <row r="12" spans="1:13" ht="15.75" customHeight="1">
      <c r="A12" s="996">
        <f>+A11+1</f>
        <v>4</v>
      </c>
      <c r="B12" s="23"/>
      <c r="C12" s="445" t="s">
        <v>1015</v>
      </c>
      <c r="D12" s="389"/>
      <c r="E12" s="397"/>
      <c r="F12" s="1103" t="str">
        <f>"(Line "&amp;A10&amp;" - "&amp;A11&amp;")"</f>
        <v>(Line 2 - 3)</v>
      </c>
      <c r="G12" s="1062"/>
      <c r="H12" s="1104">
        <f>+H10-H11</f>
        <v>71892456</v>
      </c>
      <c r="I12" s="1105"/>
      <c r="J12" s="1104">
        <f>+J10-J11</f>
        <v>71892456</v>
      </c>
      <c r="K12" s="1104">
        <f>+K10-K11</f>
        <v>71892456</v>
      </c>
      <c r="L12" s="998">
        <f>+L10-L11</f>
        <v>71892456</v>
      </c>
      <c r="M12" s="436"/>
    </row>
    <row r="13" spans="1:13" ht="32.25" customHeight="1" thickBot="1">
      <c r="A13" s="996">
        <v>5</v>
      </c>
      <c r="B13" s="9" t="s">
        <v>986</v>
      </c>
      <c r="C13" s="9"/>
      <c r="D13" s="42"/>
      <c r="E13" s="388"/>
      <c r="F13" s="1101" t="str">
        <f>"(Line "&amp;A9&amp;" / "&amp;A12&amp;")"</f>
        <v>(Line 1 / 4)</v>
      </c>
      <c r="G13" s="1102"/>
      <c r="H13" s="527">
        <f>+H9/H12</f>
        <v>0.11631299673501208</v>
      </c>
      <c r="I13" s="1107"/>
      <c r="J13" s="527">
        <f>+J9/J12</f>
        <v>0.11631299673501208</v>
      </c>
      <c r="K13" s="527">
        <f>+K9/K12</f>
        <v>0</v>
      </c>
      <c r="L13" s="999">
        <f>+L9/L12</f>
        <v>0</v>
      </c>
      <c r="M13" s="436"/>
    </row>
    <row r="14" spans="1:13" ht="16.5" customHeight="1" thickTop="1">
      <c r="A14" s="996"/>
      <c r="B14" s="23"/>
      <c r="C14" s="11"/>
      <c r="D14" s="25"/>
      <c r="E14" s="1000"/>
      <c r="F14" s="1068"/>
      <c r="G14" s="97"/>
      <c r="H14" s="947"/>
      <c r="I14" s="436"/>
      <c r="J14" s="526"/>
      <c r="K14" s="526"/>
      <c r="L14" s="995"/>
      <c r="M14" s="436"/>
    </row>
    <row r="15" spans="1:13" ht="15.75" customHeight="1">
      <c r="A15" s="1001"/>
      <c r="B15" s="11" t="s">
        <v>1006</v>
      </c>
      <c r="C15" s="21"/>
      <c r="D15" s="26"/>
      <c r="E15" s="61"/>
      <c r="F15" s="1069"/>
      <c r="G15" s="97"/>
      <c r="H15" s="948"/>
      <c r="I15" s="436"/>
      <c r="J15" s="526"/>
      <c r="K15" s="526"/>
      <c r="L15" s="995"/>
      <c r="M15" s="436"/>
    </row>
    <row r="16" spans="1:13" ht="15.75" customHeight="1">
      <c r="A16" s="666">
        <f>+A13+1</f>
        <v>6</v>
      </c>
      <c r="B16" s="26"/>
      <c r="C16" s="451" t="s">
        <v>1023</v>
      </c>
      <c r="D16" s="35"/>
      <c r="E16" s="73" t="str">
        <f>"(Note "&amp;B$294&amp;")"</f>
        <v>(Note B)</v>
      </c>
      <c r="F16" s="1070" t="s">
        <v>827</v>
      </c>
      <c r="G16" s="146"/>
      <c r="H16" s="951">
        <f>'5 - Cost Support'!F28</f>
        <v>8762464737</v>
      </c>
      <c r="I16" s="981"/>
      <c r="J16" s="1058">
        <f>H16</f>
        <v>8762464737</v>
      </c>
      <c r="K16" s="1058">
        <f>J16</f>
        <v>8762464737</v>
      </c>
      <c r="L16" s="1059">
        <f>K16</f>
        <v>8762464737</v>
      </c>
      <c r="M16" s="436"/>
    </row>
    <row r="17" spans="1:13" ht="15.75" customHeight="1">
      <c r="A17" s="666">
        <f>+A16+1</f>
        <v>7</v>
      </c>
      <c r="B17" s="26"/>
      <c r="C17" s="36" t="s">
        <v>964</v>
      </c>
      <c r="D17" s="1003"/>
      <c r="E17" s="74"/>
      <c r="F17" s="1071" t="str">
        <f>"(Sum Line "&amp;A16&amp;")"</f>
        <v>(Sum Line 6)</v>
      </c>
      <c r="G17" s="97"/>
      <c r="H17" s="532">
        <f>SUM(H16:H16)</f>
        <v>8762464737</v>
      </c>
      <c r="I17" s="436"/>
      <c r="J17" s="532">
        <f>SUM(J16:J16)</f>
        <v>8762464737</v>
      </c>
      <c r="K17" s="532">
        <f>SUM(K16:K16)</f>
        <v>8762464737</v>
      </c>
      <c r="L17" s="1017">
        <f>SUM(L16:L16)</f>
        <v>8762464737</v>
      </c>
      <c r="M17" s="436"/>
    </row>
    <row r="18" spans="1:13" ht="15.75" customHeight="1">
      <c r="A18" s="666">
        <f>+A17+1</f>
        <v>8</v>
      </c>
      <c r="B18" s="26"/>
      <c r="C18" s="36" t="s">
        <v>915</v>
      </c>
      <c r="D18" s="21"/>
      <c r="E18" s="61"/>
      <c r="F18" s="1066" t="s">
        <v>827</v>
      </c>
      <c r="G18" s="97"/>
      <c r="H18" s="532">
        <f>+'5 - Cost Support'!F59</f>
        <v>3235597434</v>
      </c>
      <c r="I18" s="436"/>
      <c r="J18" s="952">
        <f>H18</f>
        <v>3235597434</v>
      </c>
      <c r="K18" s="952">
        <f>J18</f>
        <v>3235597434</v>
      </c>
      <c r="L18" s="1002">
        <f>K18</f>
        <v>3235597434</v>
      </c>
      <c r="M18" s="436"/>
    </row>
    <row r="19" spans="1:13" ht="15.75" customHeight="1">
      <c r="A19" s="666">
        <f>+A18+1</f>
        <v>9</v>
      </c>
      <c r="B19" s="21"/>
      <c r="C19" s="19" t="s">
        <v>963</v>
      </c>
      <c r="D19" s="20"/>
      <c r="E19" s="62"/>
      <c r="F19" s="1072" t="str">
        <f>"(Line "&amp;A18&amp;")"</f>
        <v>(Line 8)</v>
      </c>
      <c r="G19" s="506"/>
      <c r="H19" s="1060">
        <f>SUM(H18:H18)</f>
        <v>3235597434</v>
      </c>
      <c r="I19" s="1061"/>
      <c r="J19" s="1060">
        <f>SUM(J18:J18)</f>
        <v>3235597434</v>
      </c>
      <c r="K19" s="1060">
        <f>SUM(K18:K18)</f>
        <v>3235597434</v>
      </c>
      <c r="L19" s="998">
        <f>SUM(L18:L18)</f>
        <v>3235597434</v>
      </c>
      <c r="M19" s="1654"/>
    </row>
    <row r="20" spans="1:13" ht="15.75" customHeight="1">
      <c r="A20" s="996">
        <f>+A19+1</f>
        <v>10</v>
      </c>
      <c r="B20" s="26"/>
      <c r="C20" s="18" t="s">
        <v>1000</v>
      </c>
      <c r="D20" s="18"/>
      <c r="E20" s="62"/>
      <c r="F20" s="1065" t="str">
        <f>"(Line "&amp;A17&amp;" - "&amp;A19&amp;")"</f>
        <v>(Line 7 - 9)</v>
      </c>
      <c r="G20" s="97"/>
      <c r="H20" s="532">
        <f>+H17-H19</f>
        <v>5526867303</v>
      </c>
      <c r="I20" s="436"/>
      <c r="J20" s="532">
        <f>+J17-J19</f>
        <v>5526867303</v>
      </c>
      <c r="K20" s="532">
        <f>+K17-K19</f>
        <v>5526867303</v>
      </c>
      <c r="L20" s="998">
        <f>+L17-L19</f>
        <v>5526867303</v>
      </c>
      <c r="M20" s="1654"/>
    </row>
    <row r="21" spans="1:13" ht="15.75" customHeight="1">
      <c r="A21" s="1001"/>
      <c r="B21" s="26"/>
      <c r="C21" s="26"/>
      <c r="D21" s="26"/>
      <c r="E21" s="61"/>
      <c r="F21" s="1069"/>
      <c r="G21" s="97"/>
      <c r="H21" s="948"/>
      <c r="I21" s="436"/>
      <c r="J21" s="525"/>
      <c r="K21" s="525"/>
      <c r="L21" s="1004"/>
      <c r="M21" s="1654"/>
    </row>
    <row r="22" spans="1:13" ht="15.75" customHeight="1">
      <c r="A22" s="666">
        <f>+A20+1</f>
        <v>11</v>
      </c>
      <c r="B22" s="26"/>
      <c r="C22" s="26" t="s">
        <v>961</v>
      </c>
      <c r="D22" s="1003"/>
      <c r="E22" s="61"/>
      <c r="F22" s="1073" t="str">
        <f>"(Line "&amp;A43&amp;")"</f>
        <v>(Line 25)</v>
      </c>
      <c r="G22" s="105"/>
      <c r="H22" s="528">
        <f>+H43</f>
        <v>1226424205.684782</v>
      </c>
      <c r="I22" s="436"/>
      <c r="J22" s="528">
        <f>+J43-J78</f>
        <v>1034258201.6847817</v>
      </c>
      <c r="K22" s="528">
        <f>+K43-K78</f>
        <v>88241226</v>
      </c>
      <c r="L22" s="1005">
        <f>+L43-L78</f>
        <v>87539922</v>
      </c>
      <c r="M22" s="1654"/>
    </row>
    <row r="23" spans="1:13" ht="16.5" customHeight="1" thickBot="1">
      <c r="A23" s="996">
        <f>+A22+1</f>
        <v>12</v>
      </c>
      <c r="B23" s="10" t="s">
        <v>903</v>
      </c>
      <c r="C23" s="10"/>
      <c r="D23" s="38"/>
      <c r="E23" s="63"/>
      <c r="F23" s="1067" t="str">
        <f>"(Line "&amp;A22&amp;" / "&amp;A17&amp;")"</f>
        <v>(Line 11 / 7)</v>
      </c>
      <c r="G23" s="1063"/>
      <c r="H23" s="527">
        <f>+H22/(H17)</f>
        <v>0.13996338273478429</v>
      </c>
      <c r="I23" s="1107"/>
      <c r="J23" s="527">
        <f>+J22/(J17)</f>
        <v>0.11803279473611668</v>
      </c>
      <c r="K23" s="527">
        <f>+K22/(K17)</f>
        <v>1.0070365890021384E-2</v>
      </c>
      <c r="L23" s="999">
        <f>+L22/(L17)</f>
        <v>9.9903308746405288E-3</v>
      </c>
      <c r="M23" s="1654"/>
    </row>
    <row r="24" spans="1:13" ht="16.5" customHeight="1" thickTop="1">
      <c r="A24" s="1001"/>
      <c r="B24" s="21"/>
      <c r="C24" s="21"/>
      <c r="D24" s="21"/>
      <c r="E24" s="61"/>
      <c r="F24" s="1066"/>
      <c r="G24" s="105"/>
      <c r="H24" s="948"/>
      <c r="I24" s="436"/>
      <c r="J24" s="525"/>
      <c r="K24" s="525"/>
      <c r="L24" s="1004"/>
      <c r="M24" s="36"/>
    </row>
    <row r="25" spans="1:13" ht="15.75" customHeight="1">
      <c r="A25" s="666">
        <f>+A23+1</f>
        <v>13</v>
      </c>
      <c r="B25" s="23"/>
      <c r="C25" s="402" t="s">
        <v>962</v>
      </c>
      <c r="D25" s="25"/>
      <c r="E25" s="1000"/>
      <c r="F25" s="1073" t="str">
        <f>"(Line "&amp;A61&amp;"-44)"</f>
        <v>(Line 37-44)</v>
      </c>
      <c r="G25" s="105"/>
      <c r="H25" s="528">
        <f>+H61-H78</f>
        <v>835731015.5720427</v>
      </c>
      <c r="I25" s="436"/>
      <c r="J25" s="528">
        <f>+J61-J78</f>
        <v>756803683.57204247</v>
      </c>
      <c r="K25" s="528">
        <f>+K61-K78</f>
        <v>27574139</v>
      </c>
      <c r="L25" s="1005">
        <f>+L61-L78</f>
        <v>51353193</v>
      </c>
      <c r="M25" s="36"/>
    </row>
    <row r="26" spans="1:13" ht="16.5" customHeight="1" thickBot="1">
      <c r="A26" s="996">
        <f>+A25+1</f>
        <v>14</v>
      </c>
      <c r="B26" s="10" t="s">
        <v>1001</v>
      </c>
      <c r="C26" s="10"/>
      <c r="D26" s="38"/>
      <c r="E26" s="63"/>
      <c r="F26" s="1074" t="str">
        <f>"(Line "&amp;A25&amp;" / "&amp;A20&amp;")"</f>
        <v>(Line 13 / 10)</v>
      </c>
      <c r="G26" s="1063"/>
      <c r="H26" s="527">
        <f>+H25/H20</f>
        <v>0.15121242645330121</v>
      </c>
      <c r="I26" s="1107"/>
      <c r="J26" s="527">
        <f>+J25/J20</f>
        <v>0.13693176298284693</v>
      </c>
      <c r="K26" s="527">
        <f>+K25/K20</f>
        <v>4.989108203309436E-3</v>
      </c>
      <c r="L26" s="999">
        <f>+L25/L20</f>
        <v>9.2915552671447958E-3</v>
      </c>
      <c r="M26" s="36"/>
    </row>
    <row r="27" spans="1:13" ht="16.5" customHeight="1" thickTop="1">
      <c r="A27" s="1006"/>
      <c r="B27" s="23"/>
      <c r="C27" s="11"/>
      <c r="D27" s="25"/>
      <c r="E27" s="1000"/>
      <c r="F27" s="1068"/>
      <c r="G27" s="97"/>
      <c r="H27" s="545"/>
      <c r="I27" s="436"/>
      <c r="J27" s="1106"/>
      <c r="K27" s="526"/>
      <c r="L27" s="995"/>
      <c r="M27" s="436"/>
    </row>
    <row r="28" spans="1:13" s="15" customFormat="1" ht="15.75" customHeight="1">
      <c r="A28" s="1007" t="s">
        <v>999</v>
      </c>
      <c r="B28" s="29"/>
      <c r="C28" s="40"/>
      <c r="D28" s="40"/>
      <c r="E28" s="387"/>
      <c r="F28" s="1075"/>
      <c r="G28" s="41"/>
      <c r="H28" s="949"/>
      <c r="I28" s="1008"/>
      <c r="J28" s="529"/>
      <c r="K28" s="529"/>
      <c r="L28" s="1009"/>
      <c r="M28" s="436"/>
    </row>
    <row r="29" spans="1:13" s="15" customFormat="1" ht="15.75" customHeight="1">
      <c r="A29" s="1010"/>
      <c r="B29" s="43"/>
      <c r="C29" s="25"/>
      <c r="D29" s="25"/>
      <c r="E29" s="386"/>
      <c r="F29" s="1066"/>
      <c r="G29" s="36"/>
      <c r="H29" s="950"/>
      <c r="I29" s="436"/>
      <c r="J29" s="525"/>
      <c r="K29" s="525"/>
      <c r="L29" s="1004"/>
      <c r="M29" s="436"/>
    </row>
    <row r="30" spans="1:13" ht="15.75" customHeight="1">
      <c r="A30" s="1014"/>
      <c r="B30" s="11" t="str">
        <f>"Plant In Service  (Note "&amp;B307&amp;")"</f>
        <v>Plant In Service  (Note O)</v>
      </c>
      <c r="C30" s="25"/>
      <c r="D30" s="25"/>
      <c r="E30" s="1000"/>
      <c r="F30" s="1071"/>
      <c r="G30" s="105"/>
      <c r="H30" s="532"/>
      <c r="I30" s="436"/>
      <c r="J30" s="525"/>
      <c r="K30" s="525"/>
      <c r="L30" s="1004"/>
      <c r="M30" s="436"/>
    </row>
    <row r="31" spans="1:13" ht="15.75" customHeight="1">
      <c r="A31" s="666">
        <f>+A26+1</f>
        <v>15</v>
      </c>
      <c r="B31" s="69"/>
      <c r="C31" s="402" t="s">
        <v>990</v>
      </c>
      <c r="D31" s="25"/>
      <c r="E31" s="71" t="str">
        <f>"(Note "&amp;B$294&amp;")"</f>
        <v>(Note B)</v>
      </c>
      <c r="F31" s="1071" t="s">
        <v>827</v>
      </c>
      <c r="G31" s="105"/>
      <c r="H31" s="532">
        <f>'5 - Cost Support'!F9</f>
        <v>1150072108</v>
      </c>
      <c r="I31" s="436"/>
      <c r="J31" s="525">
        <f>'5 - Cost Support'!G9</f>
        <v>974290960</v>
      </c>
      <c r="K31" s="525">
        <f>'5 - Cost Support'!H9</f>
        <v>88241226</v>
      </c>
      <c r="L31" s="1004">
        <f>'5 - Cost Support'!I9</f>
        <v>87539922</v>
      </c>
      <c r="M31" s="436"/>
    </row>
    <row r="32" spans="1:13" ht="15.75" customHeight="1">
      <c r="A32" s="666">
        <f>+A31+1</f>
        <v>16</v>
      </c>
      <c r="B32" s="69"/>
      <c r="C32" s="411" t="s">
        <v>805</v>
      </c>
      <c r="D32" s="452"/>
      <c r="E32" s="664"/>
      <c r="F32" s="1077" t="s">
        <v>825</v>
      </c>
      <c r="G32" s="148"/>
      <c r="H32" s="951">
        <f>J32+K32+L32</f>
        <v>15707261.416666666</v>
      </c>
      <c r="I32" s="981"/>
      <c r="J32" s="553">
        <f>'6 - Est and True up'!J178</f>
        <v>15707261.416666666</v>
      </c>
      <c r="K32" s="553">
        <v>0</v>
      </c>
      <c r="L32" s="1011">
        <v>0</v>
      </c>
      <c r="M32" s="985"/>
    </row>
    <row r="33" spans="1:13" ht="15.75" customHeight="1">
      <c r="A33" s="666">
        <f>+A32+1</f>
        <v>17</v>
      </c>
      <c r="B33" s="69"/>
      <c r="C33" s="11" t="s">
        <v>804</v>
      </c>
      <c r="D33" s="25"/>
      <c r="E33" s="71"/>
      <c r="F33" s="1071" t="str">
        <f>"(Line "&amp;A31&amp;" + "&amp;A32&amp;")"</f>
        <v>(Line 15 + 16)</v>
      </c>
      <c r="G33" s="105"/>
      <c r="H33" s="952">
        <f>+H31+H32</f>
        <v>1165779369.4166667</v>
      </c>
      <c r="I33" s="436"/>
      <c r="J33" s="952">
        <f>+J31+J32</f>
        <v>989998221.41666663</v>
      </c>
      <c r="K33" s="952">
        <f>+K31+K32</f>
        <v>88241226</v>
      </c>
      <c r="L33" s="1002">
        <f>+L31+L32</f>
        <v>87539922</v>
      </c>
      <c r="M33" s="436"/>
    </row>
    <row r="34" spans="1:13" ht="15.75" customHeight="1">
      <c r="A34" s="666"/>
      <c r="B34" s="69"/>
      <c r="C34" s="11"/>
      <c r="D34" s="25"/>
      <c r="E34" s="71"/>
      <c r="F34" s="1071"/>
      <c r="G34" s="105"/>
      <c r="H34" s="952"/>
      <c r="I34" s="436"/>
      <c r="J34" s="525"/>
      <c r="K34" s="525"/>
      <c r="L34" s="1004"/>
      <c r="M34" s="436"/>
    </row>
    <row r="35" spans="1:13" ht="15.75" customHeight="1">
      <c r="A35" s="666">
        <f>+A33+1</f>
        <v>18</v>
      </c>
      <c r="B35" s="69"/>
      <c r="C35" s="402" t="s">
        <v>336</v>
      </c>
      <c r="D35" s="25"/>
      <c r="E35" s="71"/>
      <c r="F35" s="1071" t="s">
        <v>827</v>
      </c>
      <c r="G35" s="105"/>
      <c r="H35" s="532">
        <f>J35</f>
        <v>322744465.90979999</v>
      </c>
      <c r="I35" s="436"/>
      <c r="J35" s="525">
        <f>'5 - Cost Support'!H31</f>
        <v>322744465.90979999</v>
      </c>
      <c r="K35" s="525">
        <f>J35</f>
        <v>322744465.90979999</v>
      </c>
      <c r="L35" s="1004">
        <f>K35</f>
        <v>322744465.90979999</v>
      </c>
      <c r="M35" s="436"/>
    </row>
    <row r="36" spans="1:13" ht="15.75" customHeight="1">
      <c r="A36" s="666">
        <f>A35+1</f>
        <v>19</v>
      </c>
      <c r="B36" s="69"/>
      <c r="C36" s="411" t="s">
        <v>284</v>
      </c>
      <c r="D36" s="452"/>
      <c r="E36" s="73"/>
      <c r="F36" s="1073"/>
      <c r="G36" s="148"/>
      <c r="H36" s="1841">
        <v>6.6400000000000001E-2</v>
      </c>
      <c r="I36" s="981"/>
      <c r="J36" s="1549">
        <f>H36</f>
        <v>6.6400000000000001E-2</v>
      </c>
      <c r="K36" s="1233"/>
      <c r="L36" s="1234"/>
      <c r="M36" s="436"/>
    </row>
    <row r="37" spans="1:13" ht="15.75" customHeight="1">
      <c r="A37" s="666">
        <f>A36+1</f>
        <v>20</v>
      </c>
      <c r="B37" s="69"/>
      <c r="C37" s="402" t="s">
        <v>285</v>
      </c>
      <c r="D37" s="25"/>
      <c r="E37" s="71"/>
      <c r="F37" s="1071"/>
      <c r="G37" s="105"/>
      <c r="H37" s="532">
        <f>H35*H36</f>
        <v>21430232.536410719</v>
      </c>
      <c r="I37" s="436"/>
      <c r="J37" s="532">
        <f>J35*J36</f>
        <v>21430232.536410719</v>
      </c>
      <c r="K37" s="532">
        <f>K35*K36</f>
        <v>0</v>
      </c>
      <c r="L37" s="1017">
        <f>L35*L36</f>
        <v>0</v>
      </c>
      <c r="M37" s="436"/>
    </row>
    <row r="38" spans="1:13" ht="15.75" customHeight="1">
      <c r="A38" s="666">
        <f>A37+1</f>
        <v>21</v>
      </c>
      <c r="B38" s="69"/>
      <c r="C38" s="402" t="s">
        <v>989</v>
      </c>
      <c r="D38" s="25"/>
      <c r="E38" s="74"/>
      <c r="F38" s="1073" t="s">
        <v>827</v>
      </c>
      <c r="G38" s="148"/>
      <c r="H38" s="951">
        <f>+'5 - Cost Support'!F20+'5 - Cost Support'!F16</f>
        <v>337147222</v>
      </c>
      <c r="I38" s="981"/>
      <c r="J38" s="553">
        <f>$H$38</f>
        <v>337147222</v>
      </c>
      <c r="K38" s="553">
        <f>$H$38</f>
        <v>337147222</v>
      </c>
      <c r="L38" s="1011">
        <f>$H$38</f>
        <v>337147222</v>
      </c>
      <c r="M38" s="436"/>
    </row>
    <row r="39" spans="1:13" ht="15.75" customHeight="1">
      <c r="A39" s="666">
        <f>+A38+1</f>
        <v>22</v>
      </c>
      <c r="B39" s="69"/>
      <c r="C39" s="445" t="s">
        <v>439</v>
      </c>
      <c r="D39" s="17"/>
      <c r="E39" s="66"/>
      <c r="F39" s="1071" t="str">
        <f>"(Line"&amp;A38&amp;")"</f>
        <v>(Line21)</v>
      </c>
      <c r="G39" s="105"/>
      <c r="H39" s="532">
        <f>+H38</f>
        <v>337147222</v>
      </c>
      <c r="I39" s="436"/>
      <c r="J39" s="532">
        <f>+J38</f>
        <v>337147222</v>
      </c>
      <c r="K39" s="532">
        <f>+K38</f>
        <v>337147222</v>
      </c>
      <c r="L39" s="1017">
        <f>+L38</f>
        <v>337147222</v>
      </c>
      <c r="M39" s="436"/>
    </row>
    <row r="40" spans="1:13" ht="15.75" customHeight="1">
      <c r="A40" s="666">
        <f>+A39+1</f>
        <v>23</v>
      </c>
      <c r="B40" s="69"/>
      <c r="C40" s="399" t="s">
        <v>1007</v>
      </c>
      <c r="D40" s="402"/>
      <c r="E40" s="1000"/>
      <c r="F40" s="1073" t="str">
        <f>"(Line "&amp;A$13&amp;")"</f>
        <v>(Line 5)</v>
      </c>
      <c r="G40" s="148"/>
      <c r="H40" s="1108">
        <f>+H13</f>
        <v>0.11631299673501208</v>
      </c>
      <c r="I40" s="981"/>
      <c r="J40" s="739">
        <f>+$J$13</f>
        <v>0.11631299673501208</v>
      </c>
      <c r="K40" s="739">
        <f>+$K$13</f>
        <v>0</v>
      </c>
      <c r="L40" s="1012">
        <f>+$L$13</f>
        <v>0</v>
      </c>
      <c r="M40" s="436"/>
    </row>
    <row r="41" spans="1:13" ht="15.75" customHeight="1">
      <c r="A41" s="666">
        <f>+A40+1</f>
        <v>24</v>
      </c>
      <c r="B41" s="36"/>
      <c r="C41" s="8" t="s">
        <v>443</v>
      </c>
      <c r="D41" s="19"/>
      <c r="E41" s="397"/>
      <c r="F41" s="1071" t="str">
        <f>"(Line  + ("&amp;A39&amp;" * "&amp;A40&amp;"))"</f>
        <v>(Line  + (22 * 23))</v>
      </c>
      <c r="G41" s="105"/>
      <c r="H41" s="952">
        <f>+H39*H40</f>
        <v>39214603.731704392</v>
      </c>
      <c r="I41" s="436"/>
      <c r="J41" s="952">
        <f>+J39*J40</f>
        <v>39214603.731704392</v>
      </c>
      <c r="K41" s="952">
        <f>+K39*K40</f>
        <v>0</v>
      </c>
      <c r="L41" s="1013">
        <f>+L39*L40</f>
        <v>0</v>
      </c>
      <c r="M41" s="436"/>
    </row>
    <row r="42" spans="1:13" ht="15.75" customHeight="1">
      <c r="A42" s="1014"/>
      <c r="B42" s="36"/>
      <c r="C42" s="11"/>
      <c r="D42" s="36"/>
      <c r="E42" s="74"/>
      <c r="F42" s="1066"/>
      <c r="G42" s="105"/>
      <c r="H42" s="532"/>
      <c r="I42" s="436"/>
      <c r="J42" s="525"/>
      <c r="K42" s="525"/>
      <c r="L42" s="1004"/>
      <c r="M42" s="436"/>
    </row>
    <row r="43" spans="1:13" s="1" customFormat="1" ht="16.5" customHeight="1" thickBot="1">
      <c r="A43" s="666">
        <f>+A41+1</f>
        <v>25</v>
      </c>
      <c r="B43" s="1235" t="s">
        <v>966</v>
      </c>
      <c r="C43" s="1235"/>
      <c r="D43" s="1235"/>
      <c r="E43" s="1236"/>
      <c r="F43" s="1079" t="str">
        <f>"(Line "&amp;A33&amp;" + "&amp;A37&amp;" + "&amp;A41&amp;")"</f>
        <v>(Line 17 + 20 + 24)</v>
      </c>
      <c r="G43" s="1235"/>
      <c r="H43" s="531">
        <f>+H41+H33+H37</f>
        <v>1226424205.684782</v>
      </c>
      <c r="I43" s="1109"/>
      <c r="J43" s="531">
        <f>+J41+J33+J37</f>
        <v>1050643057.6847817</v>
      </c>
      <c r="K43" s="531">
        <f>+K41+K33+K37</f>
        <v>88241226</v>
      </c>
      <c r="L43" s="1016">
        <f>+L41+L33+L37</f>
        <v>87539922</v>
      </c>
      <c r="M43" s="1015"/>
    </row>
    <row r="44" spans="1:13" ht="16.5" customHeight="1" thickTop="1">
      <c r="A44" s="1014"/>
      <c r="B44" s="36"/>
      <c r="C44" s="36"/>
      <c r="D44" s="36"/>
      <c r="E44" s="74"/>
      <c r="F44" s="1066"/>
      <c r="G44" s="105"/>
      <c r="H44" s="948"/>
      <c r="I44" s="436"/>
      <c r="J44" s="525"/>
      <c r="K44" s="525"/>
      <c r="L44" s="1004"/>
      <c r="M44" s="436"/>
    </row>
    <row r="45" spans="1:13" ht="15.75" customHeight="1">
      <c r="A45" s="666"/>
      <c r="B45" s="11" t="s">
        <v>953</v>
      </c>
      <c r="C45" s="11"/>
      <c r="D45" s="334"/>
      <c r="E45" s="1000"/>
      <c r="F45" s="1071"/>
      <c r="G45" s="105"/>
      <c r="H45" s="532"/>
      <c r="I45" s="436"/>
      <c r="J45" s="525"/>
      <c r="K45" s="525"/>
      <c r="L45" s="1004"/>
      <c r="M45" s="436"/>
    </row>
    <row r="46" spans="1:13" ht="15.75" customHeight="1">
      <c r="A46" s="1014"/>
      <c r="B46" s="25"/>
      <c r="C46" s="25"/>
      <c r="D46" s="25"/>
      <c r="E46" s="74"/>
      <c r="F46" s="1071"/>
      <c r="G46" s="105"/>
      <c r="H46" s="532"/>
      <c r="I46" s="436"/>
      <c r="J46" s="525"/>
      <c r="K46" s="525"/>
      <c r="L46" s="1004"/>
      <c r="M46" s="436"/>
    </row>
    <row r="47" spans="1:13" ht="15.75" customHeight="1">
      <c r="A47" s="666">
        <f>+A43+1</f>
        <v>26</v>
      </c>
      <c r="B47" s="69"/>
      <c r="C47" s="411" t="s">
        <v>1022</v>
      </c>
      <c r="D47" s="452"/>
      <c r="E47" s="73" t="str">
        <f>"(Note "&amp;B$294&amp;")"</f>
        <v>(Note B)</v>
      </c>
      <c r="F47" s="1073" t="s">
        <v>827</v>
      </c>
      <c r="G47" s="148"/>
      <c r="H47" s="553">
        <f>'5 - Cost Support'!F38</f>
        <v>354348665</v>
      </c>
      <c r="I47" s="981"/>
      <c r="J47" s="553">
        <f>'5 - Cost Support'!G38</f>
        <v>257494849</v>
      </c>
      <c r="K47" s="553">
        <f>'5 - Cost Support'!H38</f>
        <v>60667087</v>
      </c>
      <c r="L47" s="1011">
        <f>'5 - Cost Support'!I38</f>
        <v>36186729</v>
      </c>
      <c r="M47" s="436"/>
    </row>
    <row r="48" spans="1:13" s="15" customFormat="1" ht="15.75" customHeight="1">
      <c r="A48" s="666">
        <f>A47+1</f>
        <v>27</v>
      </c>
      <c r="B48" s="69"/>
      <c r="C48" s="11" t="s">
        <v>362</v>
      </c>
      <c r="D48" s="71"/>
      <c r="E48" s="36"/>
      <c r="F48" s="1076" t="str">
        <f>"(Line "&amp;A47&amp;")"</f>
        <v>(Line 26)</v>
      </c>
      <c r="G48" s="36"/>
      <c r="H48" s="532">
        <f>+H47</f>
        <v>354348665</v>
      </c>
      <c r="I48" s="436"/>
      <c r="J48" s="532">
        <f>+J47</f>
        <v>257494849</v>
      </c>
      <c r="K48" s="532">
        <f>+K47</f>
        <v>60667087</v>
      </c>
      <c r="L48" s="1017">
        <f>+L47</f>
        <v>36186729</v>
      </c>
      <c r="M48" s="436"/>
    </row>
    <row r="49" spans="1:13" s="15" customFormat="1" ht="15.75" customHeight="1">
      <c r="A49" s="666"/>
      <c r="B49" s="69"/>
      <c r="C49" s="402"/>
      <c r="D49" s="71"/>
      <c r="E49" s="36"/>
      <c r="F49" s="1071"/>
      <c r="G49" s="36"/>
      <c r="H49" s="532"/>
      <c r="I49" s="436"/>
      <c r="J49" s="532"/>
      <c r="K49" s="532"/>
      <c r="L49" s="1017"/>
      <c r="M49" s="436"/>
    </row>
    <row r="50" spans="1:13" s="15" customFormat="1" ht="15.75" customHeight="1">
      <c r="A50" s="666">
        <f>A48+1</f>
        <v>28</v>
      </c>
      <c r="B50" s="69"/>
      <c r="C50" s="402" t="s">
        <v>337</v>
      </c>
      <c r="D50" s="71"/>
      <c r="E50" s="34"/>
      <c r="F50" s="1071" t="s">
        <v>827</v>
      </c>
      <c r="G50" s="36"/>
      <c r="H50" s="525">
        <f>'5 - Cost Support'!$H$62</f>
        <v>125867804.0862</v>
      </c>
      <c r="I50" s="436"/>
      <c r="J50" s="525">
        <f>'5 - Cost Support'!$H$62</f>
        <v>125867804.0862</v>
      </c>
      <c r="K50" s="525"/>
      <c r="L50" s="1004"/>
      <c r="M50" s="436"/>
    </row>
    <row r="51" spans="1:13" s="15" customFormat="1" ht="15.75" customHeight="1">
      <c r="A51" s="666">
        <f>A50+1</f>
        <v>29</v>
      </c>
      <c r="B51" s="69"/>
      <c r="C51" s="411" t="s">
        <v>284</v>
      </c>
      <c r="D51" s="73"/>
      <c r="E51" s="32"/>
      <c r="F51" s="1073"/>
      <c r="G51" s="451"/>
      <c r="H51" s="1842">
        <v>6.2700000000000006E-2</v>
      </c>
      <c r="I51" s="981"/>
      <c r="J51" s="1550">
        <f>H51</f>
        <v>6.2700000000000006E-2</v>
      </c>
      <c r="K51" s="553"/>
      <c r="L51" s="1011"/>
      <c r="M51" s="436"/>
    </row>
    <row r="52" spans="1:13" s="15" customFormat="1" ht="15.75" customHeight="1">
      <c r="A52" s="666">
        <f>A51+1</f>
        <v>30</v>
      </c>
      <c r="B52" s="69"/>
      <c r="C52" s="402" t="s">
        <v>285</v>
      </c>
      <c r="D52" s="71"/>
      <c r="E52" s="34"/>
      <c r="F52" s="1071"/>
      <c r="G52" s="36"/>
      <c r="H52" s="525">
        <f>H50*H51</f>
        <v>7891911.3162047407</v>
      </c>
      <c r="I52" s="436"/>
      <c r="J52" s="525">
        <f>J50*J51</f>
        <v>7891911.3162047407</v>
      </c>
      <c r="K52" s="525"/>
      <c r="L52" s="1004"/>
      <c r="M52" s="436"/>
    </row>
    <row r="53" spans="1:13" ht="15.75" customHeight="1">
      <c r="A53" s="666">
        <f>+A52+1</f>
        <v>31</v>
      </c>
      <c r="B53" s="69"/>
      <c r="C53" s="402" t="s">
        <v>1079</v>
      </c>
      <c r="D53" s="25"/>
      <c r="E53" s="74"/>
      <c r="F53" s="1071" t="s">
        <v>827</v>
      </c>
      <c r="G53" s="105"/>
      <c r="H53" s="532">
        <f>+'5 - Cost Support'!F51</f>
        <v>74079863</v>
      </c>
      <c r="I53" s="436"/>
      <c r="J53" s="525">
        <f>$H$53</f>
        <v>74079863</v>
      </c>
      <c r="K53" s="525">
        <f>$H$53</f>
        <v>74079863</v>
      </c>
      <c r="L53" s="1004">
        <f>$H$53</f>
        <v>74079863</v>
      </c>
      <c r="M53" s="436"/>
    </row>
    <row r="54" spans="1:13" ht="15.75" customHeight="1">
      <c r="A54" s="666">
        <f>+A53+1</f>
        <v>32</v>
      </c>
      <c r="B54" s="69"/>
      <c r="C54" s="411" t="s">
        <v>359</v>
      </c>
      <c r="D54" s="452"/>
      <c r="E54" s="664"/>
      <c r="F54" s="1073" t="s">
        <v>827</v>
      </c>
      <c r="G54" s="148"/>
      <c r="H54" s="951">
        <f>+'5 - Cost Support'!F47</f>
        <v>29672582</v>
      </c>
      <c r="I54" s="981"/>
      <c r="J54" s="553">
        <f>$H$54</f>
        <v>29672582</v>
      </c>
      <c r="K54" s="553">
        <f>$H$54</f>
        <v>29672582</v>
      </c>
      <c r="L54" s="1011">
        <f>$H$54</f>
        <v>29672582</v>
      </c>
      <c r="M54" s="436"/>
    </row>
    <row r="55" spans="1:13" ht="15.75" customHeight="1">
      <c r="A55" s="666">
        <f>+A54+1</f>
        <v>33</v>
      </c>
      <c r="B55" s="23"/>
      <c r="C55" s="390" t="s">
        <v>963</v>
      </c>
      <c r="D55" s="21"/>
      <c r="E55" s="391"/>
      <c r="F55" s="1065" t="str">
        <f>"(Sum Lines "&amp;A53&amp;" to "&amp;A54&amp;")"</f>
        <v>(Sum Lines 31 to 32)</v>
      </c>
      <c r="G55" s="97"/>
      <c r="H55" s="532">
        <f>SUM(H53:H54)</f>
        <v>103752445</v>
      </c>
      <c r="I55" s="436"/>
      <c r="J55" s="532">
        <f>SUM(J53:J54)</f>
        <v>103752445</v>
      </c>
      <c r="K55" s="532">
        <f>SUM(K53:K54)</f>
        <v>103752445</v>
      </c>
      <c r="L55" s="1017">
        <f>SUM(L53:L54)</f>
        <v>103752445</v>
      </c>
      <c r="M55" s="436"/>
    </row>
    <row r="56" spans="1:13" ht="15.75" customHeight="1">
      <c r="A56" s="666">
        <f>+A55+1</f>
        <v>34</v>
      </c>
      <c r="B56" s="23"/>
      <c r="C56" s="390" t="str">
        <f>+C40</f>
        <v>Wage &amp; Salary Allocation Factor</v>
      </c>
      <c r="D56" s="21"/>
      <c r="E56" s="391"/>
      <c r="F56" s="1078" t="str">
        <f>"(Line "&amp;A$13&amp;")"</f>
        <v>(Line 5)</v>
      </c>
      <c r="G56" s="146"/>
      <c r="H56" s="739">
        <f>+H13</f>
        <v>0.11631299673501208</v>
      </c>
      <c r="I56" s="981"/>
      <c r="J56" s="739">
        <f>+$J$13</f>
        <v>0.11631299673501208</v>
      </c>
      <c r="K56" s="739">
        <f>+$K$13</f>
        <v>0</v>
      </c>
      <c r="L56" s="1019">
        <f>+$L$13</f>
        <v>0</v>
      </c>
      <c r="M56" s="436"/>
    </row>
    <row r="57" spans="1:13" ht="15.75" customHeight="1">
      <c r="A57" s="666">
        <f>+A56+1</f>
        <v>35</v>
      </c>
      <c r="B57" s="26"/>
      <c r="C57" s="28" t="s">
        <v>440</v>
      </c>
      <c r="D57" s="18"/>
      <c r="E57" s="62"/>
      <c r="F57" s="1065" t="str">
        <f>"(Line "&amp;A55&amp;" * "&amp;A56&amp;")"</f>
        <v>(Line 33 * 34)</v>
      </c>
      <c r="G57" s="97"/>
      <c r="H57" s="952">
        <f>+H56*H55</f>
        <v>12067757.79653452</v>
      </c>
      <c r="I57" s="436"/>
      <c r="J57" s="952">
        <f>+J56*J55</f>
        <v>12067757.79653452</v>
      </c>
      <c r="K57" s="530">
        <f>+K56*K55</f>
        <v>0</v>
      </c>
      <c r="L57" s="1013">
        <f>+L56*L55</f>
        <v>0</v>
      </c>
      <c r="M57" s="436"/>
    </row>
    <row r="58" spans="1:13" ht="15.75" customHeight="1">
      <c r="A58" s="1014"/>
      <c r="B58" s="26"/>
      <c r="C58" s="26"/>
      <c r="D58" s="26"/>
      <c r="E58" s="61"/>
      <c r="F58" s="1069"/>
      <c r="G58" s="97"/>
      <c r="H58" s="953"/>
      <c r="I58" s="436"/>
      <c r="J58" s="525"/>
      <c r="K58" s="525"/>
      <c r="L58" s="1004"/>
      <c r="M58" s="436"/>
    </row>
    <row r="59" spans="1:13" ht="16.5" customHeight="1" thickBot="1">
      <c r="A59" s="666">
        <f>+A57+1</f>
        <v>36</v>
      </c>
      <c r="B59" s="10" t="s">
        <v>991</v>
      </c>
      <c r="C59" s="10"/>
      <c r="D59" s="10"/>
      <c r="E59" s="64"/>
      <c r="F59" s="1080" t="str">
        <f>"(Line "&amp;A48&amp;" + "&amp;A57&amp;")"</f>
        <v>(Line 27 + 35)</v>
      </c>
      <c r="G59" s="1110"/>
      <c r="H59" s="531">
        <f>+H57+H48+H52</f>
        <v>374308334.11273926</v>
      </c>
      <c r="I59" s="1107"/>
      <c r="J59" s="531">
        <f>+J57+J48+J52</f>
        <v>277454518.11273926</v>
      </c>
      <c r="K59" s="531">
        <f>+K57+K48+K52</f>
        <v>60667087</v>
      </c>
      <c r="L59" s="1016">
        <f>+L57+L48+L52</f>
        <v>36186729</v>
      </c>
      <c r="M59" s="436"/>
    </row>
    <row r="60" spans="1:13" ht="16.5" customHeight="1" thickTop="1">
      <c r="A60" s="1014"/>
      <c r="B60" s="26"/>
      <c r="C60" s="26"/>
      <c r="D60" s="26"/>
      <c r="E60" s="61"/>
      <c r="F60" s="1069"/>
      <c r="G60" s="97"/>
      <c r="H60" s="528"/>
      <c r="I60" s="436"/>
      <c r="J60" s="528"/>
      <c r="K60" s="948"/>
      <c r="L60" s="1020"/>
      <c r="M60" s="436"/>
    </row>
    <row r="61" spans="1:13" ht="16.5" customHeight="1" thickBot="1">
      <c r="A61" s="666">
        <f>+A59+1</f>
        <v>37</v>
      </c>
      <c r="B61" s="10" t="s">
        <v>997</v>
      </c>
      <c r="C61" s="10"/>
      <c r="D61" s="10"/>
      <c r="E61" s="64"/>
      <c r="F61" s="1080" t="str">
        <f>"(Line "&amp;A43&amp;" - "&amp;A59&amp;")"</f>
        <v>(Line 25 - 36)</v>
      </c>
      <c r="G61" s="1110"/>
      <c r="H61" s="531">
        <f>+H43-H59</f>
        <v>852115871.5720427</v>
      </c>
      <c r="I61" s="1107"/>
      <c r="J61" s="531">
        <f>+J43-J59</f>
        <v>773188539.57204247</v>
      </c>
      <c r="K61" s="531">
        <f>+K43-K59</f>
        <v>27574139</v>
      </c>
      <c r="L61" s="1016">
        <f>+L43-L59</f>
        <v>51353193</v>
      </c>
      <c r="M61" s="436"/>
    </row>
    <row r="62" spans="1:13" ht="16.5" customHeight="1" thickTop="1">
      <c r="A62" s="1001"/>
      <c r="B62" s="26"/>
      <c r="C62" s="26"/>
      <c r="D62" s="26"/>
      <c r="E62" s="61"/>
      <c r="F62" s="1069"/>
      <c r="G62" s="97"/>
      <c r="H62" s="539"/>
      <c r="I62" s="436"/>
      <c r="J62" s="526"/>
      <c r="K62" s="526"/>
      <c r="L62" s="995"/>
      <c r="M62" s="436"/>
    </row>
    <row r="63" spans="1:13" ht="16.5" customHeight="1">
      <c r="A63" s="1007" t="s">
        <v>967</v>
      </c>
      <c r="B63" s="40"/>
      <c r="C63" s="40"/>
      <c r="D63" s="40"/>
      <c r="E63" s="387"/>
      <c r="F63" s="1075"/>
      <c r="G63" s="1021"/>
      <c r="H63" s="954"/>
      <c r="I63" s="1008"/>
      <c r="J63" s="529"/>
      <c r="K63" s="529"/>
      <c r="L63" s="1009"/>
      <c r="M63" s="436"/>
    </row>
    <row r="64" spans="1:13" ht="15.75" customHeight="1" thickBot="1">
      <c r="A64" s="1022"/>
      <c r="B64" s="1023"/>
      <c r="C64" s="1023"/>
      <c r="D64" s="1023"/>
      <c r="E64" s="61"/>
      <c r="F64" s="1069"/>
      <c r="G64" s="97"/>
      <c r="H64" s="865"/>
      <c r="I64" s="436"/>
      <c r="J64" s="526"/>
      <c r="K64" s="526"/>
      <c r="L64" s="995"/>
      <c r="M64" s="436"/>
    </row>
    <row r="65" spans="1:13" ht="15.75" customHeight="1">
      <c r="A65" s="1224"/>
      <c r="B65" s="1225" t="s">
        <v>1113</v>
      </c>
      <c r="C65" s="1226"/>
      <c r="D65" s="989"/>
      <c r="E65" s="1227"/>
      <c r="F65" s="1228"/>
      <c r="G65" s="1229"/>
      <c r="H65" s="1230"/>
      <c r="I65" s="991"/>
      <c r="J65" s="1231"/>
      <c r="K65" s="1231"/>
      <c r="L65" s="1232"/>
      <c r="M65" s="436"/>
    </row>
    <row r="66" spans="1:13" ht="15.75" customHeight="1">
      <c r="A66" s="1014">
        <f>+A61+1</f>
        <v>38</v>
      </c>
      <c r="B66" s="103"/>
      <c r="C66" s="21" t="s">
        <v>158</v>
      </c>
      <c r="D66" s="36"/>
      <c r="E66" s="449"/>
      <c r="F66" s="1077" t="s">
        <v>826</v>
      </c>
      <c r="G66" s="821"/>
      <c r="H66" s="951">
        <f>'1 - ADIT'!I16</f>
        <v>-164647217.5665215</v>
      </c>
      <c r="I66" s="981"/>
      <c r="J66" s="951">
        <f>H66</f>
        <v>-164647217.5665215</v>
      </c>
      <c r="K66" s="533"/>
      <c r="L66" s="1018"/>
      <c r="M66" s="436"/>
    </row>
    <row r="67" spans="1:13" s="15" customFormat="1" ht="15.75" customHeight="1">
      <c r="A67" s="666">
        <f>+A66+1</f>
        <v>39</v>
      </c>
      <c r="B67" s="36"/>
      <c r="C67" s="392" t="s">
        <v>980</v>
      </c>
      <c r="D67" s="19"/>
      <c r="E67" s="740"/>
      <c r="F67" s="1071" t="str">
        <f>"(Line "&amp;A66&amp;")"</f>
        <v>(Line 38)</v>
      </c>
      <c r="G67" s="36"/>
      <c r="H67" s="956">
        <f>+H66</f>
        <v>-164647217.5665215</v>
      </c>
      <c r="I67" s="436"/>
      <c r="J67" s="956">
        <f>+J66</f>
        <v>-164647217.5665215</v>
      </c>
      <c r="K67" s="525">
        <v>0</v>
      </c>
      <c r="L67" s="1004">
        <v>0</v>
      </c>
      <c r="M67" s="436"/>
    </row>
    <row r="68" spans="1:13" ht="16.5" customHeight="1">
      <c r="A68" s="1014"/>
      <c r="B68" s="36"/>
      <c r="C68" s="103"/>
      <c r="D68" s="36"/>
      <c r="E68" s="74"/>
      <c r="F68" s="1066"/>
      <c r="G68" s="97"/>
      <c r="H68" s="955"/>
      <c r="I68" s="436"/>
      <c r="J68" s="526"/>
      <c r="K68" s="526"/>
      <c r="L68" s="995"/>
      <c r="M68" s="436"/>
    </row>
    <row r="69" spans="1:13" ht="16.5" customHeight="1">
      <c r="A69" s="1014">
        <f>+A67+1</f>
        <v>40</v>
      </c>
      <c r="B69" s="77" t="s">
        <v>928</v>
      </c>
      <c r="C69" s="103"/>
      <c r="D69" s="74" t="s">
        <v>877</v>
      </c>
      <c r="E69" s="25" t="str">
        <f>"(Notes "&amp;$B$293&amp;" &amp; "&amp;B301&amp;")"</f>
        <v>(Notes A &amp; I)</v>
      </c>
      <c r="F69" s="1066" t="s">
        <v>826</v>
      </c>
      <c r="G69" s="105"/>
      <c r="H69" s="1491">
        <f>+'1 - ADIT'!I134</f>
        <v>0</v>
      </c>
      <c r="I69" s="436"/>
      <c r="J69" s="525">
        <v>0</v>
      </c>
      <c r="K69" s="525">
        <v>0</v>
      </c>
      <c r="L69" s="1004">
        <v>0</v>
      </c>
      <c r="M69" s="436"/>
    </row>
    <row r="70" spans="1:13" ht="16.5" customHeight="1">
      <c r="A70" s="1014"/>
      <c r="B70" s="36"/>
      <c r="C70" s="103"/>
      <c r="D70" s="36"/>
      <c r="E70" s="74"/>
      <c r="F70" s="1066"/>
      <c r="G70" s="97"/>
      <c r="H70" s="955"/>
      <c r="I70" s="436"/>
      <c r="J70" s="526"/>
      <c r="K70" s="526"/>
      <c r="L70" s="995"/>
      <c r="M70" s="436"/>
    </row>
    <row r="71" spans="1:13" s="15" customFormat="1" ht="15.75" customHeight="1">
      <c r="A71" s="666"/>
      <c r="B71" s="77" t="s">
        <v>876</v>
      </c>
      <c r="C71" s="103"/>
      <c r="D71" s="36"/>
      <c r="E71" s="74"/>
      <c r="F71" s="1071"/>
      <c r="G71" s="36"/>
      <c r="H71" s="956"/>
      <c r="I71" s="436"/>
      <c r="J71" s="525"/>
      <c r="K71" s="525"/>
      <c r="L71" s="1004"/>
      <c r="M71" s="436"/>
    </row>
    <row r="72" spans="1:13" ht="15.75" customHeight="1">
      <c r="A72" s="1014">
        <f>+A69+1</f>
        <v>41</v>
      </c>
      <c r="B72" s="36"/>
      <c r="C72" s="103" t="s">
        <v>1026</v>
      </c>
      <c r="D72" s="36"/>
      <c r="E72" s="74" t="s">
        <v>877</v>
      </c>
      <c r="F72" s="1066" t="s">
        <v>827</v>
      </c>
      <c r="G72" s="105"/>
      <c r="H72" s="956">
        <f>-'5 - Cost Support'!L190</f>
        <v>-21909962.445754062</v>
      </c>
      <c r="I72" s="436"/>
      <c r="J72" s="956">
        <f>-'5 - Cost Support'!L190</f>
        <v>-21909962.445754062</v>
      </c>
      <c r="K72" s="525">
        <v>0</v>
      </c>
      <c r="L72" s="1004">
        <v>0</v>
      </c>
      <c r="M72" s="25"/>
    </row>
    <row r="73" spans="1:13">
      <c r="A73" s="666"/>
      <c r="B73" s="1025"/>
      <c r="C73" s="25"/>
      <c r="D73" s="25"/>
      <c r="E73" s="74"/>
      <c r="F73" s="1081"/>
      <c r="G73" s="105"/>
      <c r="H73" s="948"/>
      <c r="I73" s="436"/>
      <c r="J73" s="525"/>
      <c r="K73" s="525"/>
      <c r="L73" s="1004"/>
      <c r="M73" s="436"/>
    </row>
    <row r="74" spans="1:13" ht="15.75">
      <c r="A74" s="666"/>
      <c r="B74" s="103" t="s">
        <v>954</v>
      </c>
      <c r="C74" s="399"/>
      <c r="D74" s="25"/>
      <c r="E74" s="74"/>
      <c r="F74" s="1082"/>
      <c r="G74" s="105"/>
      <c r="H74" s="948"/>
      <c r="I74" s="436"/>
      <c r="J74" s="525"/>
      <c r="K74" s="525"/>
      <c r="L74" s="1004"/>
      <c r="M74" s="436"/>
    </row>
    <row r="75" spans="1:13" ht="15.75" customHeight="1">
      <c r="A75" s="666">
        <f>+A72+1</f>
        <v>42</v>
      </c>
      <c r="B75" s="1026"/>
      <c r="C75" s="57" t="s">
        <v>878</v>
      </c>
      <c r="D75" s="73"/>
      <c r="E75" s="1218" t="s">
        <v>134</v>
      </c>
      <c r="F75" s="1084" t="s">
        <v>827</v>
      </c>
      <c r="G75" s="823"/>
      <c r="H75" s="958">
        <f>+'5 - Cost Support'!L200</f>
        <v>1499101.6854708821</v>
      </c>
      <c r="I75" s="981"/>
      <c r="J75" s="958">
        <f>+'5 - Cost Support'!L200</f>
        <v>1499101.6854708821</v>
      </c>
      <c r="K75" s="553"/>
      <c r="L75" s="1011"/>
      <c r="M75" s="436"/>
    </row>
    <row r="76" spans="1:13" ht="15.75" customHeight="1">
      <c r="A76" s="666">
        <f>+A75+1</f>
        <v>43</v>
      </c>
      <c r="B76" s="1025"/>
      <c r="C76" s="77" t="s">
        <v>927</v>
      </c>
      <c r="D76" s="25"/>
      <c r="E76" s="69"/>
      <c r="F76" s="1071" t="str">
        <f>"(Line "&amp;A75&amp;")"</f>
        <v>(Line 42)</v>
      </c>
      <c r="G76" s="105"/>
      <c r="H76" s="956">
        <f>+H75</f>
        <v>1499101.6854708821</v>
      </c>
      <c r="I76" s="436"/>
      <c r="J76" s="956">
        <f>+J75</f>
        <v>1499101.6854708821</v>
      </c>
      <c r="K76" s="525">
        <v>0</v>
      </c>
      <c r="L76" s="1004">
        <v>0</v>
      </c>
      <c r="M76" s="436"/>
    </row>
    <row r="77" spans="1:13" ht="16.5" customHeight="1">
      <c r="A77" s="666"/>
      <c r="B77" s="1025"/>
      <c r="C77" s="77"/>
      <c r="D77" s="25"/>
      <c r="E77" s="69"/>
      <c r="F77" s="1071"/>
      <c r="G77" s="105"/>
      <c r="H77" s="956"/>
      <c r="I77" s="436"/>
      <c r="J77" s="525"/>
      <c r="K77" s="525"/>
      <c r="L77" s="1004"/>
      <c r="M77" s="436"/>
    </row>
    <row r="78" spans="1:13" ht="15.75">
      <c r="A78" s="666">
        <f>+A76+1</f>
        <v>44</v>
      </c>
      <c r="B78" s="11" t="s">
        <v>365</v>
      </c>
      <c r="C78" s="25"/>
      <c r="D78" s="741"/>
      <c r="E78" s="71" t="str">
        <f>"(Note "&amp;B$295&amp;")"</f>
        <v>(Note C)</v>
      </c>
      <c r="F78" s="1071" t="str">
        <f>+F72</f>
        <v>Attachment 5</v>
      </c>
      <c r="G78" s="105"/>
      <c r="H78" s="952">
        <f>+'5 - Cost Support'!I79</f>
        <v>16384856</v>
      </c>
      <c r="I78" s="36"/>
      <c r="J78" s="543">
        <f>+H78</f>
        <v>16384856</v>
      </c>
      <c r="K78" s="525">
        <v>0</v>
      </c>
      <c r="L78" s="1004">
        <v>0</v>
      </c>
      <c r="M78" s="436"/>
    </row>
    <row r="79" spans="1:13" ht="15.75">
      <c r="A79" s="666"/>
      <c r="B79" s="11"/>
      <c r="C79" s="25"/>
      <c r="D79" s="741"/>
      <c r="E79" s="71"/>
      <c r="F79" s="1071"/>
      <c r="G79" s="105"/>
      <c r="H79" s="952"/>
      <c r="I79" s="36"/>
      <c r="J79" s="543"/>
      <c r="K79" s="525"/>
      <c r="L79" s="1004"/>
      <c r="M79" s="436"/>
    </row>
    <row r="80" spans="1:13" ht="15.75">
      <c r="A80" s="666">
        <f>+A78+1</f>
        <v>45</v>
      </c>
      <c r="B80" s="11" t="s">
        <v>123</v>
      </c>
      <c r="C80" s="25"/>
      <c r="D80" s="741"/>
      <c r="E80" s="71"/>
      <c r="F80" s="1071"/>
      <c r="G80" s="105"/>
      <c r="H80" s="1171">
        <v>0</v>
      </c>
      <c r="I80" s="1172"/>
      <c r="J80" s="1173">
        <v>0</v>
      </c>
      <c r="K80" s="525"/>
      <c r="L80" s="1004"/>
      <c r="M80" s="436"/>
    </row>
    <row r="81" spans="1:13" ht="15.75">
      <c r="A81" s="666">
        <f>+A80+1</f>
        <v>46</v>
      </c>
      <c r="B81" s="11" t="s">
        <v>111</v>
      </c>
      <c r="C81" s="25"/>
      <c r="D81" s="741"/>
      <c r="E81" s="71"/>
      <c r="F81" s="1071"/>
      <c r="G81" s="824"/>
      <c r="H81" s="1221">
        <v>0</v>
      </c>
      <c r="I81" s="1222"/>
      <c r="J81" s="1222">
        <v>0</v>
      </c>
      <c r="K81" s="1223"/>
      <c r="L81" s="1174"/>
      <c r="M81" s="436"/>
    </row>
    <row r="82" spans="1:13" ht="15.75" customHeight="1">
      <c r="A82" s="666"/>
      <c r="B82" s="1025"/>
      <c r="C82" s="77"/>
      <c r="D82" s="25"/>
      <c r="E82" s="69"/>
      <c r="F82" s="1071"/>
      <c r="G82" s="105"/>
      <c r="H82" s="956"/>
      <c r="I82" s="436"/>
      <c r="J82" s="525"/>
      <c r="K82" s="525"/>
      <c r="L82" s="1004"/>
      <c r="M82" s="436"/>
    </row>
    <row r="83" spans="1:13" ht="15.75" customHeight="1">
      <c r="A83" s="666"/>
      <c r="B83" s="103" t="s">
        <v>952</v>
      </c>
      <c r="C83" s="36"/>
      <c r="D83" s="36"/>
      <c r="E83" s="1027"/>
      <c r="F83" s="1083"/>
      <c r="G83" s="105"/>
      <c r="H83" s="957"/>
      <c r="I83" s="436"/>
      <c r="J83" s="525"/>
      <c r="K83" s="525"/>
      <c r="L83" s="1004"/>
      <c r="M83" s="436"/>
    </row>
    <row r="84" spans="1:13" ht="15.75" customHeight="1">
      <c r="A84" s="1014">
        <f>+A81+1</f>
        <v>47</v>
      </c>
      <c r="B84" s="36"/>
      <c r="C84" s="36" t="s">
        <v>970</v>
      </c>
      <c r="D84" s="25"/>
      <c r="E84" s="71" t="str">
        <f>"(Note "&amp;B$293&amp;")"</f>
        <v>(Note A)</v>
      </c>
      <c r="F84" s="1090" t="s">
        <v>827</v>
      </c>
      <c r="G84" s="1219"/>
      <c r="H84" s="1081">
        <f>'5 - Cost Support'!Q206</f>
        <v>5323684.769230769</v>
      </c>
      <c r="I84" s="436"/>
      <c r="J84" s="525">
        <f>H84</f>
        <v>5323684.769230769</v>
      </c>
      <c r="K84" s="525">
        <f>J84</f>
        <v>5323684.769230769</v>
      </c>
      <c r="L84" s="1004">
        <f>K84</f>
        <v>5323684.769230769</v>
      </c>
      <c r="M84" s="436"/>
    </row>
    <row r="85" spans="1:13" s="15" customFormat="1" ht="15.75" customHeight="1">
      <c r="A85" s="666">
        <f>+A84+1</f>
        <v>48</v>
      </c>
      <c r="B85" s="1025"/>
      <c r="C85" s="57" t="s">
        <v>1007</v>
      </c>
      <c r="D85" s="32"/>
      <c r="E85" s="65"/>
      <c r="F85" s="1073" t="str">
        <f>"(Line "&amp;A$13&amp;")"</f>
        <v>(Line 5)</v>
      </c>
      <c r="G85" s="1097"/>
      <c r="H85" s="961">
        <f>+H13</f>
        <v>0.11631299673501208</v>
      </c>
      <c r="I85" s="981"/>
      <c r="J85" s="739">
        <f>+$J$13</f>
        <v>0.11631299673501208</v>
      </c>
      <c r="K85" s="739">
        <f>+$K$13</f>
        <v>0</v>
      </c>
      <c r="L85" s="1019">
        <f>+$L$13</f>
        <v>0</v>
      </c>
      <c r="M85" s="436"/>
    </row>
    <row r="86" spans="1:13" ht="15.75" customHeight="1">
      <c r="A86" s="666">
        <f>+A85+1</f>
        <v>49</v>
      </c>
      <c r="B86" s="1025"/>
      <c r="C86" s="399" t="s">
        <v>1021</v>
      </c>
      <c r="D86" s="25"/>
      <c r="E86" s="74"/>
      <c r="F86" s="1071" t="str">
        <f>"(Line "&amp;A84&amp;" * "&amp;A85&amp;")"</f>
        <v>(Line 47 * 48)</v>
      </c>
      <c r="G86" s="105"/>
      <c r="H86" s="955">
        <f>+H84*H85</f>
        <v>619213.72918177198</v>
      </c>
      <c r="I86" s="436"/>
      <c r="J86" s="955">
        <f>+J84*J85</f>
        <v>619213.72918177198</v>
      </c>
      <c r="K86" s="1460">
        <f>+K84*K85</f>
        <v>0</v>
      </c>
      <c r="L86" s="1461">
        <f>+L84*L85</f>
        <v>0</v>
      </c>
      <c r="M86" s="436"/>
    </row>
    <row r="87" spans="1:13" ht="15.75" customHeight="1">
      <c r="A87" s="666">
        <f>+A86+1</f>
        <v>50</v>
      </c>
      <c r="B87" s="1025"/>
      <c r="C87" s="399" t="s">
        <v>943</v>
      </c>
      <c r="D87" s="25"/>
      <c r="E87" s="1028"/>
      <c r="F87" s="1084" t="s">
        <v>827</v>
      </c>
      <c r="G87" s="823"/>
      <c r="H87" s="958">
        <f>'5 - Cost Support'!Q207</f>
        <v>874258.92307692312</v>
      </c>
      <c r="I87" s="981"/>
      <c r="J87" s="958">
        <f>'5 - Cost Support'!Q208</f>
        <v>6197943.692307692</v>
      </c>
      <c r="K87" s="1462">
        <v>0</v>
      </c>
      <c r="L87" s="1463">
        <v>0</v>
      </c>
      <c r="M87" s="436"/>
    </row>
    <row r="88" spans="1:13" ht="18" customHeight="1">
      <c r="A88" s="666">
        <f>+A87+1</f>
        <v>51</v>
      </c>
      <c r="B88" s="1025"/>
      <c r="C88" s="393" t="s">
        <v>951</v>
      </c>
      <c r="D88" s="50"/>
      <c r="E88" s="1220"/>
      <c r="F88" s="1071" t="str">
        <f>"(Line "&amp;A86&amp;" + "&amp;A87&amp;")"</f>
        <v>(Line 49 + 50)</v>
      </c>
      <c r="G88" s="105"/>
      <c r="H88" s="543">
        <f>SUM(H86:H87)</f>
        <v>1493472.6522586951</v>
      </c>
      <c r="I88" s="436"/>
      <c r="J88" s="543">
        <f>SUM(J86:J87)</f>
        <v>6817157.4214894641</v>
      </c>
      <c r="K88" s="1464">
        <f>SUM(K86:K87)</f>
        <v>0</v>
      </c>
      <c r="L88" s="1465">
        <f>SUM(L86:L87)</f>
        <v>0</v>
      </c>
      <c r="M88" s="436"/>
    </row>
    <row r="89" spans="1:13" ht="15.75" customHeight="1">
      <c r="A89" s="666"/>
      <c r="B89" s="1025"/>
      <c r="C89" s="399"/>
      <c r="D89" s="21"/>
      <c r="E89" s="23"/>
      <c r="F89" s="1085"/>
      <c r="G89" s="97"/>
      <c r="H89" s="865"/>
      <c r="I89" s="436"/>
      <c r="J89" s="526"/>
      <c r="K89" s="1466"/>
      <c r="L89" s="1467"/>
      <c r="M89" s="436"/>
    </row>
    <row r="90" spans="1:13" ht="15.75" customHeight="1">
      <c r="A90" s="666"/>
      <c r="B90" s="103" t="s">
        <v>955</v>
      </c>
      <c r="C90" s="36"/>
      <c r="D90" s="25"/>
      <c r="E90" s="74"/>
      <c r="F90" s="1083"/>
      <c r="G90" s="105"/>
      <c r="H90" s="948"/>
      <c r="I90" s="436"/>
      <c r="J90" s="525"/>
      <c r="K90" s="1173"/>
      <c r="L90" s="1468"/>
      <c r="M90" s="436"/>
    </row>
    <row r="91" spans="1:13" ht="15.75" customHeight="1">
      <c r="A91" s="666">
        <f>+A88+1</f>
        <v>52</v>
      </c>
      <c r="B91" s="1025"/>
      <c r="C91" s="399" t="s">
        <v>1018</v>
      </c>
      <c r="D91" s="34"/>
      <c r="E91" s="74"/>
      <c r="F91" s="1071" t="str">
        <f>"(Line "&amp;A$135&amp;")"</f>
        <v>(Line 82)</v>
      </c>
      <c r="G91" s="105"/>
      <c r="H91" s="955">
        <f>+H135</f>
        <v>34134782.556556411</v>
      </c>
      <c r="I91" s="436"/>
      <c r="J91" s="955">
        <f>+J135</f>
        <v>31683757.99781796</v>
      </c>
      <c r="K91" s="1173">
        <v>0</v>
      </c>
      <c r="L91" s="1468">
        <v>0</v>
      </c>
      <c r="M91" s="436"/>
    </row>
    <row r="92" spans="1:13" ht="15.75" customHeight="1">
      <c r="A92" s="666">
        <f>+A91+1</f>
        <v>53</v>
      </c>
      <c r="B92" s="1025"/>
      <c r="C92" s="34" t="s">
        <v>124</v>
      </c>
      <c r="D92" s="34"/>
      <c r="E92" s="71" t="s">
        <v>624</v>
      </c>
      <c r="F92" s="1084"/>
      <c r="G92" s="823"/>
      <c r="H92" s="1215">
        <v>0</v>
      </c>
      <c r="I92" s="1216">
        <v>0</v>
      </c>
      <c r="J92" s="1217">
        <f>$H$92</f>
        <v>0</v>
      </c>
      <c r="K92" s="1462">
        <f>$H$92</f>
        <v>0</v>
      </c>
      <c r="L92" s="1468">
        <f>$H$92</f>
        <v>0</v>
      </c>
      <c r="M92" s="436"/>
    </row>
    <row r="93" spans="1:13" s="1" customFormat="1" ht="16.5" customHeight="1">
      <c r="A93" s="666">
        <f>+A92+1</f>
        <v>54</v>
      </c>
      <c r="B93" s="1029"/>
      <c r="C93" s="392" t="s">
        <v>942</v>
      </c>
      <c r="D93" s="394"/>
      <c r="E93" s="395"/>
      <c r="F93" s="1071" t="str">
        <f>"(Line "&amp;A91&amp;" * "&amp;A92&amp;")"</f>
        <v>(Line 52 * 53)</v>
      </c>
      <c r="G93" s="454"/>
      <c r="H93" s="1469">
        <f>+H91*H92</f>
        <v>0</v>
      </c>
      <c r="I93" s="1475"/>
      <c r="J93" s="1469">
        <f>+J91*J92</f>
        <v>0</v>
      </c>
      <c r="K93" s="1469">
        <f>+K91*K92</f>
        <v>0</v>
      </c>
      <c r="L93" s="1470">
        <f>+L91*L92</f>
        <v>0</v>
      </c>
      <c r="M93" s="1015"/>
    </row>
    <row r="94" spans="1:13" s="1" customFormat="1" ht="15.75" customHeight="1">
      <c r="A94" s="666"/>
      <c r="B94" s="1029"/>
      <c r="C94" s="103"/>
      <c r="D94" s="396"/>
      <c r="E94" s="68"/>
      <c r="F94" s="1065"/>
      <c r="G94" s="454"/>
      <c r="H94" s="956"/>
      <c r="I94" s="1015"/>
      <c r="J94" s="534"/>
      <c r="K94" s="1471"/>
      <c r="L94" s="1472"/>
      <c r="M94" s="1015"/>
    </row>
    <row r="95" spans="1:13" s="1" customFormat="1" ht="15.75" customHeight="1">
      <c r="A95" s="1030"/>
      <c r="B95" s="103" t="s">
        <v>161</v>
      </c>
      <c r="C95" s="454"/>
      <c r="D95" s="396"/>
      <c r="E95" s="454"/>
      <c r="F95" s="1065"/>
      <c r="G95" s="454"/>
      <c r="H95" s="956"/>
      <c r="I95" s="1015"/>
      <c r="J95" s="534"/>
      <c r="K95" s="1471"/>
      <c r="L95" s="1472"/>
      <c r="M95" s="1015"/>
    </row>
    <row r="96" spans="1:13" ht="15.75" customHeight="1">
      <c r="A96" s="666">
        <f>+A93+1</f>
        <v>55</v>
      </c>
      <c r="B96" s="26"/>
      <c r="C96" s="36" t="s">
        <v>165</v>
      </c>
      <c r="D96" s="26"/>
      <c r="E96" s="71" t="str">
        <f>"(Note "&amp;B$306&amp;")"</f>
        <v>(Note N)</v>
      </c>
      <c r="F96" s="1066" t="s">
        <v>827</v>
      </c>
      <c r="G96" s="97"/>
      <c r="H96" s="528">
        <f>J96+K96+L96</f>
        <v>15258.5</v>
      </c>
      <c r="I96" s="436"/>
      <c r="J96" s="526">
        <f>'5 - Cost Support'!J216</f>
        <v>15258.5</v>
      </c>
      <c r="K96" s="1466">
        <v>0</v>
      </c>
      <c r="L96" s="1467">
        <v>0</v>
      </c>
      <c r="M96" s="436"/>
    </row>
    <row r="97" spans="1:13" ht="15.75" customHeight="1">
      <c r="A97" s="1001">
        <f>+A96+1</f>
        <v>56</v>
      </c>
      <c r="B97" s="26"/>
      <c r="C97" s="451" t="s">
        <v>806</v>
      </c>
      <c r="D97" s="96"/>
      <c r="E97" s="119" t="str">
        <f>+E96</f>
        <v>(Note N)</v>
      </c>
      <c r="F97" s="1070" t="s">
        <v>827</v>
      </c>
      <c r="G97" s="821"/>
      <c r="H97" s="553">
        <f>J97+K97+L97</f>
        <v>198255</v>
      </c>
      <c r="I97" s="981"/>
      <c r="J97" s="553">
        <f>'5 - Cost Support'!J221</f>
        <v>198255</v>
      </c>
      <c r="K97" s="1462">
        <v>0</v>
      </c>
      <c r="L97" s="1463">
        <v>0</v>
      </c>
      <c r="M97" s="436"/>
    </row>
    <row r="98" spans="1:13" ht="15.75" customHeight="1">
      <c r="A98" s="1001">
        <f>+A97+1</f>
        <v>57</v>
      </c>
      <c r="B98" s="26"/>
      <c r="C98" s="26" t="s">
        <v>175</v>
      </c>
      <c r="D98" s="26"/>
      <c r="E98" s="61"/>
      <c r="F98" s="1065" t="str">
        <f>"(Line "&amp;A96&amp;" - "&amp;A97&amp;")"</f>
        <v>(Line 55 - 56)</v>
      </c>
      <c r="G98" s="97"/>
      <c r="H98" s="543">
        <f>+H96-H97</f>
        <v>-182996.5</v>
      </c>
      <c r="I98" s="436"/>
      <c r="J98" s="543">
        <f>+J96-J97</f>
        <v>-182996.5</v>
      </c>
      <c r="K98" s="1464">
        <f>+K96-K97</f>
        <v>0</v>
      </c>
      <c r="L98" s="1473">
        <f>+L96-L97</f>
        <v>0</v>
      </c>
      <c r="M98" s="436"/>
    </row>
    <row r="99" spans="1:13" ht="15.75" customHeight="1">
      <c r="A99" s="1001"/>
      <c r="B99" s="26"/>
      <c r="C99" s="26"/>
      <c r="D99" s="26"/>
      <c r="E99" s="61"/>
      <c r="F99" s="1069"/>
      <c r="G99" s="97"/>
      <c r="H99" s="865"/>
      <c r="I99" s="436"/>
      <c r="J99" s="526"/>
      <c r="K99" s="1466"/>
      <c r="L99" s="1467"/>
      <c r="M99" s="436"/>
    </row>
    <row r="100" spans="1:13" ht="16.5" customHeight="1" thickBot="1">
      <c r="A100" s="1001">
        <f>+A98+1</f>
        <v>58</v>
      </c>
      <c r="B100" s="10" t="s">
        <v>1008</v>
      </c>
      <c r="C100" s="10"/>
      <c r="D100" s="10"/>
      <c r="E100" s="64"/>
      <c r="F100" s="1086" t="str">
        <f>"(Line "&amp;A67&amp;" + "&amp;A69&amp;" + "&amp;A72&amp;" + "&amp;A76&amp;" + "&amp;A78&amp;" + "&amp;A80&amp;" + "&amp;A81&amp;" + "&amp;A88&amp;" + "&amp;A93&amp;" - "&amp;A98&amp;" )"</f>
        <v>(Line 39 + 40 + 41 + 43 + 44 + 45 + 46 + 51 + 54 - 57 )</v>
      </c>
      <c r="G100" s="1096"/>
      <c r="H100" s="531">
        <f>SUM(H67,H72,H76,H78,H88,H93+H80+H81)-H98+H69</f>
        <v>-166996753.17454597</v>
      </c>
      <c r="I100" s="1107"/>
      <c r="J100" s="531">
        <f>SUM(J67,J72,J76,J78,J88,J93+J80+J81)-J98+J69</f>
        <v>-161673068.40531519</v>
      </c>
      <c r="K100" s="1474">
        <f>SUM(K67,K72,K76,K78,K88,K93+K80+K81)-K98+K69</f>
        <v>0</v>
      </c>
      <c r="L100" s="1474">
        <f>SUM(L67,L72,L76,L78,L88,L93+L80+L81)-L98+L69</f>
        <v>0</v>
      </c>
      <c r="M100" s="436"/>
    </row>
    <row r="101" spans="1:13" ht="16.5" customHeight="1" thickTop="1">
      <c r="A101" s="1001"/>
      <c r="B101" s="26"/>
      <c r="C101" s="26"/>
      <c r="D101" s="26"/>
      <c r="E101" s="61"/>
      <c r="F101" s="1069"/>
      <c r="G101" s="97"/>
      <c r="H101" s="865"/>
      <c r="I101" s="436"/>
      <c r="J101" s="526"/>
      <c r="K101" s="526"/>
      <c r="L101" s="995"/>
      <c r="M101" s="436"/>
    </row>
    <row r="102" spans="1:13" ht="16.5" customHeight="1" thickBot="1">
      <c r="A102" s="996">
        <f>+A100+1</f>
        <v>59</v>
      </c>
      <c r="B102" s="10" t="s">
        <v>1002</v>
      </c>
      <c r="C102" s="10"/>
      <c r="D102" s="10"/>
      <c r="E102" s="64"/>
      <c r="F102" s="1074" t="str">
        <f>"(Line "&amp;A61&amp;" + "&amp;A100&amp;")"</f>
        <v>(Line 37 + 58)</v>
      </c>
      <c r="G102" s="538"/>
      <c r="H102" s="535">
        <f>+H61+H100</f>
        <v>685119118.3974967</v>
      </c>
      <c r="I102" s="1107"/>
      <c r="J102" s="535">
        <f>+J61+J100</f>
        <v>611515471.1667273</v>
      </c>
      <c r="K102" s="535">
        <f>+K61+K100</f>
        <v>27574139</v>
      </c>
      <c r="L102" s="1032">
        <f>+L61+L100</f>
        <v>51353193</v>
      </c>
      <c r="M102" s="436"/>
    </row>
    <row r="103" spans="1:13" ht="16.5" customHeight="1" thickTop="1" thickBot="1">
      <c r="A103" s="1175"/>
      <c r="B103" s="1176"/>
      <c r="C103" s="1176"/>
      <c r="D103" s="1176"/>
      <c r="E103" s="1177"/>
      <c r="F103" s="1178"/>
      <c r="G103" s="931"/>
      <c r="H103" s="1179"/>
      <c r="I103" s="1180"/>
      <c r="J103" s="1181">
        <f>J102/$H$102</f>
        <v>0.89256810202154424</v>
      </c>
      <c r="K103" s="1181">
        <f>K102/$H$102</f>
        <v>4.0247218709202427E-2</v>
      </c>
      <c r="L103" s="1182">
        <f>L102/$H$102</f>
        <v>7.4955130605778228E-2</v>
      </c>
      <c r="M103" s="436"/>
    </row>
    <row r="104" spans="1:13" s="15" customFormat="1" ht="15.75" customHeight="1" thickBot="1">
      <c r="A104" s="1007" t="s">
        <v>1060</v>
      </c>
      <c r="B104" s="29"/>
      <c r="C104" s="1034"/>
      <c r="D104" s="40"/>
      <c r="E104" s="387"/>
      <c r="F104" s="1075"/>
      <c r="G104" s="41"/>
      <c r="H104" s="949"/>
      <c r="I104" s="1008"/>
      <c r="J104" s="529"/>
      <c r="K104" s="529"/>
      <c r="L104" s="1009"/>
      <c r="M104" s="436"/>
    </row>
    <row r="105" spans="1:13" s="15" customFormat="1" ht="15.75" customHeight="1">
      <c r="A105" s="1660"/>
      <c r="B105" s="987"/>
      <c r="C105" s="987"/>
      <c r="D105" s="987"/>
      <c r="E105" s="988"/>
      <c r="F105" s="1064"/>
      <c r="G105" s="989"/>
      <c r="H105" s="990"/>
      <c r="I105" s="991"/>
      <c r="J105" s="992"/>
      <c r="K105" s="992"/>
      <c r="L105" s="993"/>
      <c r="M105" s="436"/>
    </row>
    <row r="106" spans="1:13" ht="15.75" customHeight="1">
      <c r="A106" s="996"/>
      <c r="B106" s="11" t="s">
        <v>985</v>
      </c>
      <c r="C106" s="21"/>
      <c r="D106" s="332"/>
      <c r="E106" s="391"/>
      <c r="F106" s="1069"/>
      <c r="G106" s="97"/>
      <c r="H106" s="946"/>
      <c r="I106" s="436"/>
      <c r="J106" s="526"/>
      <c r="K106" s="526"/>
      <c r="L106" s="995"/>
      <c r="M106" s="436"/>
    </row>
    <row r="107" spans="1:13" ht="15.75" customHeight="1">
      <c r="A107" s="666">
        <f>+A102+1</f>
        <v>60</v>
      </c>
      <c r="B107" s="23"/>
      <c r="C107" s="402" t="s">
        <v>985</v>
      </c>
      <c r="D107" s="25"/>
      <c r="E107" s="74"/>
      <c r="F107" s="1071" t="s">
        <v>766</v>
      </c>
      <c r="G107" s="105"/>
      <c r="H107" s="1506">
        <v>130001844</v>
      </c>
      <c r="I107" s="1035"/>
      <c r="J107" s="1507">
        <f>130001844-K107-L107</f>
        <v>123200698</v>
      </c>
      <c r="K107" s="1507">
        <v>5940666</v>
      </c>
      <c r="L107" s="1507">
        <v>860480</v>
      </c>
      <c r="M107" s="436"/>
    </row>
    <row r="108" spans="1:13" ht="15.75" customHeight="1">
      <c r="A108" s="666">
        <f>+A107+1</f>
        <v>61</v>
      </c>
      <c r="B108" s="69"/>
      <c r="C108" s="402" t="s">
        <v>908</v>
      </c>
      <c r="D108" s="25"/>
      <c r="E108" s="74"/>
      <c r="F108" s="1071" t="s">
        <v>909</v>
      </c>
      <c r="G108" s="105"/>
      <c r="H108" s="1506">
        <f>+J108+K108+L108</f>
        <v>0</v>
      </c>
      <c r="I108" s="1035"/>
      <c r="J108" s="1507">
        <v>0</v>
      </c>
      <c r="K108" s="525"/>
      <c r="L108" s="1004"/>
      <c r="M108" s="436"/>
    </row>
    <row r="109" spans="1:13" ht="15.75" customHeight="1">
      <c r="A109" s="666">
        <f>+A108+1</f>
        <v>62</v>
      </c>
      <c r="B109" s="69"/>
      <c r="C109" s="402" t="s">
        <v>382</v>
      </c>
      <c r="D109" s="25"/>
      <c r="E109" s="74"/>
      <c r="F109" s="1071" t="s">
        <v>383</v>
      </c>
      <c r="G109" s="105"/>
      <c r="H109" s="532">
        <f>J109+K109+L109</f>
        <v>3396570.0456510847</v>
      </c>
      <c r="I109" s="1035"/>
      <c r="J109" s="525">
        <f>+'Sch 1'!E18</f>
        <v>3396570.0456510847</v>
      </c>
      <c r="K109" s="525"/>
      <c r="L109" s="1004"/>
      <c r="M109" s="436"/>
    </row>
    <row r="110" spans="1:13" ht="15.75" customHeight="1">
      <c r="A110" s="666">
        <f>+A109+1</f>
        <v>63</v>
      </c>
      <c r="B110" s="23"/>
      <c r="C110" s="402" t="s">
        <v>1061</v>
      </c>
      <c r="D110" s="21"/>
      <c r="E110" s="1024" t="s">
        <v>1020</v>
      </c>
      <c r="F110" s="1073" t="s">
        <v>827</v>
      </c>
      <c r="G110" s="823"/>
      <c r="H110" s="951">
        <f>'5 - Cost Support'!K239</f>
        <v>106966364</v>
      </c>
      <c r="I110" s="1098"/>
      <c r="J110" s="553">
        <f>'5 - Cost Support'!K235</f>
        <v>102111054</v>
      </c>
      <c r="K110" s="553">
        <f>'5 - Cost Support'!K236</f>
        <v>4855310</v>
      </c>
      <c r="L110" s="1044">
        <f>'5 - Cost Support'!K237</f>
        <v>0</v>
      </c>
      <c r="M110" s="436"/>
    </row>
    <row r="111" spans="1:13" ht="15.75" customHeight="1">
      <c r="A111" s="666">
        <f>+A110+1</f>
        <v>64</v>
      </c>
      <c r="B111" s="25"/>
      <c r="C111" s="8" t="s">
        <v>985</v>
      </c>
      <c r="D111" s="17"/>
      <c r="E111" s="66"/>
      <c r="F111" s="1071" t="str">
        <f>"(Line "&amp;A107&amp;" - "&amp;A110&amp;")"</f>
        <v>(Line 60 - 63)</v>
      </c>
      <c r="G111" s="105"/>
      <c r="H111" s="952">
        <f>+H107+H108-H110-H109</f>
        <v>19638909.954348914</v>
      </c>
      <c r="I111" s="1035"/>
      <c r="J111" s="952">
        <f>+J107+J108-J110-J109</f>
        <v>17693073.954348914</v>
      </c>
      <c r="K111" s="952">
        <f>+K107+K108-K110-K109</f>
        <v>1085356</v>
      </c>
      <c r="L111" s="1013">
        <f>+L107+L108-L110-L109</f>
        <v>860480</v>
      </c>
      <c r="M111" s="436"/>
    </row>
    <row r="112" spans="1:13" ht="15.75" customHeight="1">
      <c r="A112" s="666"/>
      <c r="B112" s="69"/>
      <c r="C112" s="11"/>
      <c r="D112" s="25"/>
      <c r="E112" s="1000"/>
      <c r="F112" s="1087"/>
      <c r="G112" s="105"/>
      <c r="H112" s="947"/>
      <c r="I112" s="1035"/>
      <c r="J112" s="525"/>
      <c r="K112" s="525"/>
      <c r="L112" s="1004"/>
      <c r="M112" s="436"/>
    </row>
    <row r="113" spans="1:13" ht="15.75" customHeight="1">
      <c r="A113" s="666"/>
      <c r="B113" s="11" t="s">
        <v>441</v>
      </c>
      <c r="C113" s="25"/>
      <c r="D113" s="25"/>
      <c r="E113" s="1000"/>
      <c r="F113" s="1087"/>
      <c r="G113" s="105"/>
      <c r="H113" s="947"/>
      <c r="I113" s="1035"/>
      <c r="J113" s="525"/>
      <c r="K113" s="525"/>
      <c r="L113" s="1004"/>
      <c r="M113" s="436"/>
    </row>
    <row r="114" spans="1:13" ht="15.75" customHeight="1">
      <c r="A114" s="666">
        <f>+A111+1</f>
        <v>65</v>
      </c>
      <c r="B114" s="69"/>
      <c r="C114" s="402" t="s">
        <v>988</v>
      </c>
      <c r="D114" s="25"/>
      <c r="E114" s="74"/>
      <c r="F114" s="1071" t="s">
        <v>767</v>
      </c>
      <c r="G114" s="105"/>
      <c r="H114" s="1506">
        <v>108863442</v>
      </c>
      <c r="I114" s="1035"/>
      <c r="J114" s="525"/>
      <c r="K114" s="525"/>
      <c r="L114" s="1004"/>
      <c r="M114" s="436"/>
    </row>
    <row r="115" spans="1:13" ht="15.75" customHeight="1">
      <c r="A115" s="666">
        <f>+A114+1</f>
        <v>66</v>
      </c>
      <c r="B115" s="69"/>
      <c r="C115" s="402" t="s">
        <v>558</v>
      </c>
      <c r="D115" s="25"/>
      <c r="E115" s="74"/>
      <c r="F115" s="1071" t="s">
        <v>827</v>
      </c>
      <c r="G115" s="105"/>
      <c r="H115" s="532">
        <f>'5 - Cost Support'!I86</f>
        <v>-1161032</v>
      </c>
      <c r="I115" s="1035"/>
      <c r="J115" s="525"/>
      <c r="K115" s="525"/>
      <c r="L115" s="1004"/>
      <c r="M115" s="154"/>
    </row>
    <row r="116" spans="1:13" ht="15.75" customHeight="1">
      <c r="A116" s="666">
        <f>+A115+1</f>
        <v>67</v>
      </c>
      <c r="B116" s="69"/>
      <c r="C116" s="402" t="s">
        <v>1066</v>
      </c>
      <c r="D116" s="334"/>
      <c r="E116" s="74"/>
      <c r="F116" s="1088" t="s">
        <v>768</v>
      </c>
      <c r="G116" s="105"/>
      <c r="H116" s="1506">
        <v>5059153</v>
      </c>
      <c r="I116" s="1035"/>
      <c r="J116" s="525"/>
      <c r="K116" s="525"/>
      <c r="L116" s="1004"/>
      <c r="M116" s="436"/>
    </row>
    <row r="117" spans="1:13" ht="15.75" customHeight="1">
      <c r="A117" s="666">
        <f t="shared" ref="A117:A122" si="0">+A116+1</f>
        <v>68</v>
      </c>
      <c r="B117" s="69"/>
      <c r="C117" s="402" t="s">
        <v>1067</v>
      </c>
      <c r="D117" s="334"/>
      <c r="E117" s="71" t="str">
        <f>"(Note "&amp;B$297&amp;")"</f>
        <v>(Note E)</v>
      </c>
      <c r="F117" s="1088" t="s">
        <v>769</v>
      </c>
      <c r="G117" s="105"/>
      <c r="H117" s="1506">
        <v>7752917</v>
      </c>
      <c r="I117" s="1035"/>
      <c r="J117" s="525"/>
      <c r="K117" s="525"/>
      <c r="L117" s="1004"/>
      <c r="M117" s="436"/>
    </row>
    <row r="118" spans="1:13" ht="15.75" customHeight="1">
      <c r="A118" s="666">
        <f t="shared" si="0"/>
        <v>69</v>
      </c>
      <c r="B118" s="69"/>
      <c r="C118" s="402" t="s">
        <v>1068</v>
      </c>
      <c r="D118" s="334"/>
      <c r="E118" s="74"/>
      <c r="F118" s="1088" t="s">
        <v>770</v>
      </c>
      <c r="G118" s="105"/>
      <c r="H118" s="1506">
        <v>9269</v>
      </c>
      <c r="I118" s="1035"/>
      <c r="J118" s="525"/>
      <c r="K118" s="525"/>
      <c r="L118" s="1004"/>
      <c r="M118" s="436"/>
    </row>
    <row r="119" spans="1:13">
      <c r="A119" s="666">
        <f t="shared" si="0"/>
        <v>70</v>
      </c>
      <c r="B119" s="69"/>
      <c r="C119" s="402" t="s">
        <v>1049</v>
      </c>
      <c r="D119" s="26"/>
      <c r="E119" s="71" t="str">
        <f>"(Note "&amp;B$296&amp;")"</f>
        <v>(Note D)</v>
      </c>
      <c r="F119" s="1073" t="s">
        <v>1004</v>
      </c>
      <c r="G119" s="823"/>
      <c r="H119" s="1555"/>
      <c r="I119" s="1098"/>
      <c r="J119" s="553"/>
      <c r="K119" s="525"/>
      <c r="L119" s="1004"/>
      <c r="M119" s="436"/>
    </row>
    <row r="120" spans="1:13" ht="15.75" customHeight="1">
      <c r="A120" s="666">
        <f t="shared" si="0"/>
        <v>71</v>
      </c>
      <c r="B120" s="69"/>
      <c r="C120" s="8" t="s">
        <v>442</v>
      </c>
      <c r="D120" s="17"/>
      <c r="E120" s="397"/>
      <c r="F120" s="1065" t="str">
        <f>"(Line "&amp;A114&amp;") -  Sum ("&amp;A115&amp;" to "&amp;A119&amp;")"</f>
        <v>(Line 65) -  Sum (66 to 70)</v>
      </c>
      <c r="G120" s="105"/>
      <c r="H120" s="532">
        <f>H114-H116-H117-H118-H119-H115</f>
        <v>97203135</v>
      </c>
      <c r="I120" s="1035"/>
      <c r="J120" s="532">
        <f>$H$120</f>
        <v>97203135</v>
      </c>
      <c r="K120" s="1104">
        <f>$H$120</f>
        <v>97203135</v>
      </c>
      <c r="L120" s="998">
        <f>$H$120</f>
        <v>97203135</v>
      </c>
      <c r="M120" s="436"/>
    </row>
    <row r="121" spans="1:13" ht="15.75" customHeight="1">
      <c r="A121" s="666">
        <f t="shared" si="0"/>
        <v>72</v>
      </c>
      <c r="B121" s="69"/>
      <c r="C121" s="402" t="s">
        <v>1007</v>
      </c>
      <c r="D121" s="32"/>
      <c r="E121" s="664"/>
      <c r="F121" s="1089" t="str">
        <f>"(Line "&amp;A$13&amp;")"</f>
        <v>(Line 5)</v>
      </c>
      <c r="G121" s="823"/>
      <c r="H121" s="961">
        <f>+H13</f>
        <v>0.11631299673501208</v>
      </c>
      <c r="I121" s="1098"/>
      <c r="J121" s="739">
        <f>+$J$13</f>
        <v>0.11631299673501208</v>
      </c>
      <c r="K121" s="739">
        <f>+$K$13</f>
        <v>0</v>
      </c>
      <c r="L121" s="1019">
        <f>+$L$13</f>
        <v>0</v>
      </c>
      <c r="M121" s="436"/>
    </row>
    <row r="122" spans="1:13" ht="15.75" customHeight="1">
      <c r="A122" s="666">
        <f t="shared" si="0"/>
        <v>73</v>
      </c>
      <c r="B122" s="69"/>
      <c r="C122" s="8" t="s">
        <v>444</v>
      </c>
      <c r="D122" s="25"/>
      <c r="E122" s="741"/>
      <c r="F122" s="1071" t="str">
        <f>"(Line "&amp;A120&amp;" * "&amp;A121&amp;")"</f>
        <v>(Line 71 * 72)</v>
      </c>
      <c r="G122" s="105"/>
      <c r="H122" s="952">
        <f>+H121*H120</f>
        <v>11305987.923887938</v>
      </c>
      <c r="I122" s="436"/>
      <c r="J122" s="952">
        <f>+J121*J120</f>
        <v>11305987.923887938</v>
      </c>
      <c r="K122" s="1476">
        <f>+K121*K120</f>
        <v>0</v>
      </c>
      <c r="L122" s="1477">
        <f>+L121*L120</f>
        <v>0</v>
      </c>
      <c r="M122" s="436"/>
    </row>
    <row r="123" spans="1:13" ht="15.75" customHeight="1">
      <c r="A123" s="666"/>
      <c r="B123" s="69"/>
      <c r="C123" s="11"/>
      <c r="D123" s="25"/>
      <c r="E123" s="1000"/>
      <c r="F123" s="1087"/>
      <c r="G123" s="105"/>
      <c r="H123" s="532"/>
      <c r="I123" s="436"/>
      <c r="J123" s="525"/>
      <c r="K123" s="525"/>
      <c r="L123" s="1004"/>
      <c r="M123" s="436"/>
    </row>
    <row r="124" spans="1:13" ht="15.75" customHeight="1">
      <c r="A124" s="666"/>
      <c r="B124" s="11" t="s">
        <v>944</v>
      </c>
      <c r="C124" s="36"/>
      <c r="D124" s="25"/>
      <c r="E124" s="1000"/>
      <c r="F124" s="1087"/>
      <c r="G124" s="105"/>
      <c r="H124" s="532"/>
      <c r="I124" s="436"/>
      <c r="J124" s="525"/>
      <c r="K124" s="526"/>
      <c r="L124" s="995"/>
      <c r="M124" s="436"/>
    </row>
    <row r="125" spans="1:13" ht="15.75" customHeight="1">
      <c r="A125" s="666">
        <f>+A122+1</f>
        <v>74</v>
      </c>
      <c r="B125" s="1025"/>
      <c r="C125" s="399" t="s">
        <v>1069</v>
      </c>
      <c r="D125" s="71"/>
      <c r="E125" s="71" t="str">
        <f>"(Note "&amp;B$299&amp;")"</f>
        <v>(Note G)</v>
      </c>
      <c r="F125" s="1090" t="s">
        <v>827</v>
      </c>
      <c r="G125" s="105"/>
      <c r="H125" s="955">
        <f>+'5 - Cost Support'!H109</f>
        <v>2424877.8773910608</v>
      </c>
      <c r="I125" s="436"/>
      <c r="J125" s="525">
        <f>+'5 - Cost Support'!I109</f>
        <v>1919689.318652608</v>
      </c>
      <c r="K125" s="525">
        <f>+'5 - Cost Support'!J109</f>
        <v>270549.28468787903</v>
      </c>
      <c r="L125" s="1004">
        <f>+'5 - Cost Support'!K109</f>
        <v>234639.27405057385</v>
      </c>
      <c r="M125" s="436"/>
    </row>
    <row r="126" spans="1:13" ht="15.75" customHeight="1">
      <c r="A126" s="666">
        <f>+A125+1</f>
        <v>75</v>
      </c>
      <c r="B126" s="1025"/>
      <c r="C126" s="57" t="s">
        <v>1070</v>
      </c>
      <c r="D126" s="72"/>
      <c r="E126" s="73" t="str">
        <f>"(Note "&amp;B$303&amp;")"</f>
        <v>(Note K)</v>
      </c>
      <c r="F126" s="1084" t="s">
        <v>827</v>
      </c>
      <c r="G126" s="823"/>
      <c r="H126" s="958">
        <f>+'5 - Cost Support'!K114</f>
        <v>0</v>
      </c>
      <c r="I126" s="981"/>
      <c r="J126" s="553">
        <f>H126</f>
        <v>0</v>
      </c>
      <c r="K126" s="533">
        <v>0</v>
      </c>
      <c r="L126" s="1018">
        <v>0</v>
      </c>
      <c r="M126" s="436"/>
    </row>
    <row r="127" spans="1:13" ht="15.75" customHeight="1">
      <c r="A127" s="666">
        <f>+A126+1</f>
        <v>76</v>
      </c>
      <c r="B127" s="1025"/>
      <c r="C127" s="399" t="s">
        <v>1050</v>
      </c>
      <c r="D127" s="1036"/>
      <c r="E127" s="1027"/>
      <c r="F127" s="1071" t="str">
        <f>"(Line "&amp;A125&amp;" + "&amp;A126&amp;")"</f>
        <v>(Line 74 + 75)</v>
      </c>
      <c r="G127" s="105"/>
      <c r="H127" s="956">
        <f>+H126+H125</f>
        <v>2424877.8773910608</v>
      </c>
      <c r="I127" s="436"/>
      <c r="J127" s="536">
        <f>J125</f>
        <v>1919689.318652608</v>
      </c>
      <c r="K127" s="526">
        <f>SUM(K125:K126)</f>
        <v>270549.28468787903</v>
      </c>
      <c r="L127" s="995">
        <f>SUM(L125:L126)</f>
        <v>234639.27405057385</v>
      </c>
      <c r="M127" s="436"/>
    </row>
    <row r="128" spans="1:13" ht="15.75" customHeight="1">
      <c r="A128" s="666"/>
      <c r="B128" s="1025"/>
      <c r="C128" s="399"/>
      <c r="D128" s="1036"/>
      <c r="E128" s="1027"/>
      <c r="F128" s="1090"/>
      <c r="G128" s="105"/>
      <c r="H128" s="959"/>
      <c r="I128" s="436"/>
      <c r="J128" s="525"/>
      <c r="K128" s="526"/>
      <c r="L128" s="995"/>
      <c r="M128" s="436"/>
    </row>
    <row r="129" spans="1:13" ht="15.75" customHeight="1">
      <c r="A129" s="666">
        <f>+A127+1</f>
        <v>77</v>
      </c>
      <c r="B129" s="1025"/>
      <c r="C129" s="399" t="s">
        <v>1071</v>
      </c>
      <c r="D129" s="1036"/>
      <c r="E129" s="71" t="str">
        <f>"(Note "&amp;B$298&amp;")"</f>
        <v>(Note F)</v>
      </c>
      <c r="F129" s="1076" t="str">
        <f>"(Line "&amp;A116&amp;")"</f>
        <v>(Line 67)</v>
      </c>
      <c r="G129" s="105"/>
      <c r="H129" s="955">
        <f>+H116</f>
        <v>5059153</v>
      </c>
      <c r="I129" s="436"/>
      <c r="J129" s="525">
        <f>H129</f>
        <v>5059153</v>
      </c>
      <c r="K129" s="526"/>
      <c r="L129" s="995"/>
      <c r="M129" s="436"/>
    </row>
    <row r="130" spans="1:13" ht="16.5" customHeight="1">
      <c r="A130" s="666">
        <f>+A129+1</f>
        <v>78</v>
      </c>
      <c r="B130" s="1025"/>
      <c r="C130" s="399" t="s">
        <v>1070</v>
      </c>
      <c r="D130" s="1036"/>
      <c r="E130" s="71"/>
      <c r="F130" s="1084" t="s">
        <v>827</v>
      </c>
      <c r="G130" s="823"/>
      <c r="H130" s="958">
        <f>'5 - Cost Support'!I114</f>
        <v>0</v>
      </c>
      <c r="I130" s="981"/>
      <c r="J130" s="553">
        <f>H130</f>
        <v>0</v>
      </c>
      <c r="K130" s="533"/>
      <c r="L130" s="1018"/>
      <c r="M130" s="436"/>
    </row>
    <row r="131" spans="1:13" ht="15.75" customHeight="1">
      <c r="A131" s="666">
        <f>+A130+1</f>
        <v>79</v>
      </c>
      <c r="B131" s="1025"/>
      <c r="C131" s="16" t="s">
        <v>1015</v>
      </c>
      <c r="D131" s="799"/>
      <c r="E131" s="66"/>
      <c r="F131" s="1071" t="str">
        <f>"(Line "&amp;A129&amp;" + "&amp;A130&amp;")"</f>
        <v>(Line 77 + 78)</v>
      </c>
      <c r="G131" s="105"/>
      <c r="H131" s="955">
        <f>+H129+H130</f>
        <v>5059153</v>
      </c>
      <c r="I131" s="436"/>
      <c r="J131" s="955">
        <f>+J129+J130</f>
        <v>5059153</v>
      </c>
      <c r="K131" s="526"/>
      <c r="L131" s="995"/>
      <c r="M131" s="436"/>
    </row>
    <row r="132" spans="1:13" ht="15.75" customHeight="1">
      <c r="A132" s="666">
        <f>+A131+1</f>
        <v>80</v>
      </c>
      <c r="B132" s="69"/>
      <c r="C132" s="16" t="s">
        <v>968</v>
      </c>
      <c r="D132" s="34"/>
      <c r="E132" s="65"/>
      <c r="F132" s="1073" t="str">
        <f>"(Line "&amp;A$26&amp;")"</f>
        <v>(Line 14)</v>
      </c>
      <c r="G132" s="823"/>
      <c r="H132" s="961">
        <f>+H26</f>
        <v>0.15121242645330121</v>
      </c>
      <c r="I132" s="981"/>
      <c r="J132" s="1214">
        <f>H132</f>
        <v>0.15121242645330121</v>
      </c>
      <c r="K132" s="533"/>
      <c r="L132" s="1018"/>
      <c r="M132" s="436"/>
    </row>
    <row r="133" spans="1:13" ht="15.75" customHeight="1">
      <c r="A133" s="666">
        <f>+A132+1</f>
        <v>81</v>
      </c>
      <c r="B133" s="69"/>
      <c r="C133" s="8" t="s">
        <v>945</v>
      </c>
      <c r="D133" s="17"/>
      <c r="E133" s="71" t="s">
        <v>1135</v>
      </c>
      <c r="F133" s="1071" t="str">
        <f>"(Line "&amp;A131&amp;" * "&amp;A132&amp;")"</f>
        <v>(Line 79 * 80)</v>
      </c>
      <c r="G133" s="105"/>
      <c r="H133" s="956">
        <f>+H132*H131</f>
        <v>765006.80092849815</v>
      </c>
      <c r="I133" s="436"/>
      <c r="J133" s="536">
        <f>H133</f>
        <v>765006.80092849815</v>
      </c>
      <c r="K133" s="1478">
        <f>+K132*K131</f>
        <v>0</v>
      </c>
      <c r="L133" s="1470">
        <f>+L132*L131</f>
        <v>0</v>
      </c>
      <c r="M133" s="436"/>
    </row>
    <row r="134" spans="1:13" ht="15.75" customHeight="1">
      <c r="A134" s="996"/>
      <c r="B134" s="23"/>
      <c r="C134" s="11"/>
      <c r="D134" s="25"/>
      <c r="E134" s="391"/>
      <c r="F134" s="1068"/>
      <c r="G134" s="97"/>
      <c r="H134" s="946"/>
      <c r="I134" s="436"/>
      <c r="J134" s="526"/>
      <c r="K134" s="526"/>
      <c r="L134" s="995"/>
      <c r="M134" s="436"/>
    </row>
    <row r="135" spans="1:13" ht="16.5" customHeight="1" thickBot="1">
      <c r="A135" s="996">
        <f>+A133+1</f>
        <v>82</v>
      </c>
      <c r="B135" s="23"/>
      <c r="C135" s="9" t="s">
        <v>987</v>
      </c>
      <c r="D135" s="42"/>
      <c r="E135" s="398"/>
      <c r="F135" s="538" t="str">
        <f>"(Line "&amp;A111&amp;" + "&amp;A122&amp;" + "&amp;A127&amp;" + "&amp;A133&amp;")"</f>
        <v>(Line 64 + 73 + 76 + 81)</v>
      </c>
      <c r="G135" s="538"/>
      <c r="H135" s="537">
        <f>+H111+H122+H127+H133</f>
        <v>34134782.556556411</v>
      </c>
      <c r="I135" s="1107"/>
      <c r="J135" s="537">
        <f>+J111+J122+J127+J133</f>
        <v>31683757.99781796</v>
      </c>
      <c r="K135" s="537">
        <f>+K111+K122+K127+K133</f>
        <v>1355905.284687879</v>
      </c>
      <c r="L135" s="1037">
        <f>+L111+L122+L127+L133</f>
        <v>1095119.2740505738</v>
      </c>
      <c r="M135" s="436"/>
    </row>
    <row r="136" spans="1:13" ht="16.5" customHeight="1" thickTop="1" thickBot="1">
      <c r="A136" s="1661"/>
      <c r="B136" s="1662"/>
      <c r="C136" s="1663"/>
      <c r="D136" s="1664"/>
      <c r="E136" s="1665"/>
      <c r="F136" s="1666"/>
      <c r="G136" s="931"/>
      <c r="H136" s="1667"/>
      <c r="I136" s="1180"/>
      <c r="J136" s="1668"/>
      <c r="K136" s="1668"/>
      <c r="L136" s="1669"/>
      <c r="M136" s="436"/>
    </row>
    <row r="137" spans="1:13" ht="15.75" customHeight="1">
      <c r="A137" s="1007" t="s">
        <v>981</v>
      </c>
      <c r="B137" s="29"/>
      <c r="C137" s="1034"/>
      <c r="D137" s="40"/>
      <c r="E137" s="387"/>
      <c r="F137" s="1075"/>
      <c r="G137" s="1021"/>
      <c r="H137" s="949"/>
      <c r="I137" s="1008"/>
      <c r="J137" s="529"/>
      <c r="K137" s="529"/>
      <c r="L137" s="1009"/>
      <c r="M137" s="436"/>
    </row>
    <row r="138" spans="1:13" ht="15.75" customHeight="1">
      <c r="A138" s="1038"/>
      <c r="B138" s="23"/>
      <c r="C138" s="11"/>
      <c r="D138" s="25"/>
      <c r="E138" s="391"/>
      <c r="F138" s="1068"/>
      <c r="G138" s="97"/>
      <c r="H138" s="545"/>
      <c r="I138" s="436"/>
      <c r="J138" s="526"/>
      <c r="K138" s="526"/>
      <c r="L138" s="995"/>
      <c r="M138" s="436"/>
    </row>
    <row r="139" spans="1:13" ht="15.75" customHeight="1">
      <c r="A139" s="1001"/>
      <c r="B139" s="59" t="str">
        <f>"Depreciation Expense  (Note "&amp;B308&amp;")"</f>
        <v>Depreciation Expense  (Note P)</v>
      </c>
      <c r="C139" s="36"/>
      <c r="D139" s="25"/>
      <c r="E139" s="74"/>
      <c r="F139" s="1212"/>
      <c r="G139" s="105"/>
      <c r="H139" s="1213"/>
      <c r="I139" s="436"/>
      <c r="J139" s="525"/>
      <c r="K139" s="525"/>
      <c r="L139" s="995"/>
      <c r="M139" s="436"/>
    </row>
    <row r="140" spans="1:13" ht="15.75" customHeight="1">
      <c r="A140" s="996">
        <f>+A135+1</f>
        <v>83</v>
      </c>
      <c r="B140" s="1039"/>
      <c r="C140" s="57" t="s">
        <v>916</v>
      </c>
      <c r="D140" s="452"/>
      <c r="E140" s="65"/>
      <c r="F140" s="1084" t="s">
        <v>777</v>
      </c>
      <c r="G140" s="148"/>
      <c r="H140" s="1510">
        <f>J140+K140+L140</f>
        <v>30423236</v>
      </c>
      <c r="I140" s="1557"/>
      <c r="J140" s="1507">
        <f>30423236-L140-K140</f>
        <v>26901992</v>
      </c>
      <c r="K140" s="1507">
        <v>1815497</v>
      </c>
      <c r="L140" s="1507">
        <v>1705747</v>
      </c>
      <c r="M140" s="436"/>
    </row>
    <row r="141" spans="1:13" ht="15.75" customHeight="1">
      <c r="A141" s="996">
        <f>A140+1</f>
        <v>84</v>
      </c>
      <c r="B141" s="1039"/>
      <c r="C141" s="11" t="s">
        <v>363</v>
      </c>
      <c r="D141" s="69"/>
      <c r="E141" s="36"/>
      <c r="F141" s="1076" t="str">
        <f>"(Line "&amp;A140&amp;")"</f>
        <v>(Line 83)</v>
      </c>
      <c r="G141" s="105"/>
      <c r="H141" s="956">
        <f>+H140</f>
        <v>30423236</v>
      </c>
      <c r="I141" s="436"/>
      <c r="J141" s="956">
        <f>+J140</f>
        <v>26901992</v>
      </c>
      <c r="K141" s="956">
        <f>+K140</f>
        <v>1815497</v>
      </c>
      <c r="L141" s="1040">
        <f>+L140</f>
        <v>1705747</v>
      </c>
      <c r="M141" s="436"/>
    </row>
    <row r="142" spans="1:13" ht="15.75" customHeight="1">
      <c r="A142" s="996"/>
      <c r="B142" s="1039"/>
      <c r="C142" s="399"/>
      <c r="D142" s="25"/>
      <c r="E142" s="69"/>
      <c r="F142" s="1090"/>
      <c r="G142" s="105"/>
      <c r="H142" s="956"/>
      <c r="I142" s="436"/>
      <c r="J142" s="525"/>
      <c r="K142" s="525"/>
      <c r="L142" s="995"/>
      <c r="M142" s="436"/>
    </row>
    <row r="143" spans="1:13" ht="15.75" customHeight="1">
      <c r="A143" s="996">
        <f>+A140+1</f>
        <v>84</v>
      </c>
      <c r="B143" s="1039"/>
      <c r="C143" s="399" t="s">
        <v>563</v>
      </c>
      <c r="D143" s="25"/>
      <c r="E143" s="69"/>
      <c r="F143" s="1090" t="s">
        <v>564</v>
      </c>
      <c r="G143" s="105"/>
      <c r="H143" s="1509">
        <v>35223839</v>
      </c>
      <c r="I143" s="436"/>
      <c r="J143" s="1507">
        <f>H143</f>
        <v>35223839</v>
      </c>
      <c r="K143" s="525"/>
      <c r="L143" s="995"/>
      <c r="M143" s="436"/>
    </row>
    <row r="144" spans="1:13" ht="15.75" customHeight="1">
      <c r="A144" s="996">
        <f t="shared" ref="A144:A150" si="1">+A143+1</f>
        <v>85</v>
      </c>
      <c r="B144" s="1039"/>
      <c r="C144" s="411" t="s">
        <v>284</v>
      </c>
      <c r="D144" s="452"/>
      <c r="E144" s="65"/>
      <c r="F144" s="1084"/>
      <c r="G144" s="148"/>
      <c r="H144" s="1843">
        <v>6.3200000000000006E-2</v>
      </c>
      <c r="I144" s="1557"/>
      <c r="J144" s="1556">
        <f>H144</f>
        <v>6.3200000000000006E-2</v>
      </c>
      <c r="K144" s="525"/>
      <c r="L144" s="995"/>
      <c r="M144" s="436"/>
    </row>
    <row r="145" spans="1:13" ht="15.75" customHeight="1">
      <c r="A145" s="996">
        <f t="shared" si="1"/>
        <v>86</v>
      </c>
      <c r="B145" s="26"/>
      <c r="C145" s="402" t="s">
        <v>286</v>
      </c>
      <c r="D145" s="36"/>
      <c r="E145" s="36"/>
      <c r="F145" s="1066"/>
      <c r="G145" s="36"/>
      <c r="H145" s="525">
        <f>H143*H144</f>
        <v>2226146.6248000003</v>
      </c>
      <c r="I145" s="436"/>
      <c r="J145" s="525">
        <f>J143*J144</f>
        <v>2226146.6248000003</v>
      </c>
      <c r="K145" s="525"/>
      <c r="L145" s="995"/>
      <c r="M145" s="436"/>
    </row>
    <row r="146" spans="1:13" s="15" customFormat="1" ht="15.75" customHeight="1">
      <c r="A146" s="996">
        <f t="shared" si="1"/>
        <v>87</v>
      </c>
      <c r="B146" s="1039"/>
      <c r="C146" s="399" t="s">
        <v>1014</v>
      </c>
      <c r="D146" s="25"/>
      <c r="E146" s="69"/>
      <c r="F146" s="1090" t="s">
        <v>778</v>
      </c>
      <c r="G146" s="105"/>
      <c r="H146" s="1509">
        <v>13810995</v>
      </c>
      <c r="I146" s="436"/>
      <c r="J146" s="525"/>
      <c r="K146" s="525"/>
      <c r="L146" s="1004"/>
      <c r="M146" s="436"/>
    </row>
    <row r="147" spans="1:13" ht="15.75" customHeight="1">
      <c r="A147" s="996">
        <f t="shared" si="1"/>
        <v>88</v>
      </c>
      <c r="B147" s="1039"/>
      <c r="C147" s="57" t="s">
        <v>969</v>
      </c>
      <c r="D147" s="452"/>
      <c r="E147" s="73" t="str">
        <f>"(Note "&amp;B$293&amp;")"</f>
        <v>(Note A)</v>
      </c>
      <c r="F147" s="1084" t="s">
        <v>779</v>
      </c>
      <c r="G147" s="823"/>
      <c r="H147" s="1510">
        <v>8767877</v>
      </c>
      <c r="I147" s="981"/>
      <c r="J147" s="553"/>
      <c r="K147" s="553"/>
      <c r="L147" s="1018"/>
      <c r="M147" s="436"/>
    </row>
    <row r="148" spans="1:13" ht="15.75" customHeight="1">
      <c r="A148" s="996">
        <f t="shared" si="1"/>
        <v>89</v>
      </c>
      <c r="B148" s="1039"/>
      <c r="C148" s="399" t="s">
        <v>1015</v>
      </c>
      <c r="D148" s="25"/>
      <c r="E148" s="69"/>
      <c r="F148" s="1071" t="str">
        <f>"(Line "&amp;A146&amp;" + "&amp;A147&amp;")"</f>
        <v>(Line 87 + 88)</v>
      </c>
      <c r="G148" s="105"/>
      <c r="H148" s="955">
        <f>SUM(H146:H147)</f>
        <v>22578872</v>
      </c>
      <c r="I148" s="436"/>
      <c r="J148" s="525">
        <f>$H$148</f>
        <v>22578872</v>
      </c>
      <c r="K148" s="525">
        <f>J148</f>
        <v>22578872</v>
      </c>
      <c r="L148" s="995">
        <f>$H$148</f>
        <v>22578872</v>
      </c>
      <c r="M148" s="436"/>
    </row>
    <row r="149" spans="1:13" ht="15.75" customHeight="1">
      <c r="A149" s="996">
        <f t="shared" si="1"/>
        <v>90</v>
      </c>
      <c r="B149" s="1039"/>
      <c r="C149" s="399" t="s">
        <v>1007</v>
      </c>
      <c r="D149" s="32"/>
      <c r="E149" s="664"/>
      <c r="F149" s="1089" t="str">
        <f>"(Line "&amp;A$13&amp;")"</f>
        <v>(Line 5)</v>
      </c>
      <c r="G149" s="823"/>
      <c r="H149" s="961">
        <f>+H13</f>
        <v>0.11631299673501208</v>
      </c>
      <c r="I149" s="981"/>
      <c r="J149" s="739">
        <f>+$J$13</f>
        <v>0.11631299673501208</v>
      </c>
      <c r="K149" s="739">
        <f>+$K$13</f>
        <v>0</v>
      </c>
      <c r="L149" s="1019">
        <f>+$L$13</f>
        <v>0</v>
      </c>
      <c r="M149" s="436"/>
    </row>
    <row r="150" spans="1:13" ht="15.75" customHeight="1">
      <c r="A150" s="666">
        <f t="shared" si="1"/>
        <v>91</v>
      </c>
      <c r="B150" s="1039"/>
      <c r="C150" s="59" t="s">
        <v>971</v>
      </c>
      <c r="D150" s="25"/>
      <c r="E150" s="741"/>
      <c r="F150" s="1065" t="str">
        <f>"(Line "&amp;A148&amp;" * "&amp;A149&amp;"+"&amp;A145&amp;")"</f>
        <v>(Line 89 * 90+86)</v>
      </c>
      <c r="G150" s="97"/>
      <c r="H150" s="956">
        <f>(+H148*H149)+H145</f>
        <v>4852362.8900162559</v>
      </c>
      <c r="I150" s="436"/>
      <c r="J150" s="956">
        <f>(+J148*J149)+J145</f>
        <v>4852362.8900162559</v>
      </c>
      <c r="K150" s="1469">
        <f>+K148*K149</f>
        <v>0</v>
      </c>
      <c r="L150" s="1479">
        <f>+L148*L149</f>
        <v>0</v>
      </c>
      <c r="M150" s="436"/>
    </row>
    <row r="151" spans="1:13" ht="15.75" customHeight="1">
      <c r="A151" s="1041"/>
      <c r="B151" s="1042"/>
      <c r="C151" s="399"/>
      <c r="D151" s="25"/>
      <c r="E151" s="69"/>
      <c r="F151" s="1090"/>
      <c r="G151" s="97"/>
      <c r="H151" s="957"/>
      <c r="I151" s="436"/>
      <c r="J151" s="526"/>
      <c r="K151" s="526"/>
      <c r="L151" s="995"/>
      <c r="M151" s="436"/>
    </row>
    <row r="152" spans="1:13" s="1" customFormat="1" ht="16.5" customHeight="1" thickBot="1">
      <c r="A152" s="666">
        <f>+A150+1</f>
        <v>92</v>
      </c>
      <c r="B152" s="400" t="s">
        <v>982</v>
      </c>
      <c r="C152" s="400"/>
      <c r="D152" s="37"/>
      <c r="E152" s="401"/>
      <c r="F152" s="538" t="str">
        <f>"(Line "&amp;A141&amp;" + "&amp;A150&amp;")"</f>
        <v>(Line 84 + 91)</v>
      </c>
      <c r="G152" s="538"/>
      <c r="H152" s="538">
        <f>+H150+H141</f>
        <v>35275598.890016258</v>
      </c>
      <c r="I152" s="1109"/>
      <c r="J152" s="538">
        <f>+J150+J141</f>
        <v>31754354.890016258</v>
      </c>
      <c r="K152" s="538">
        <f>+K150+K141</f>
        <v>1815497</v>
      </c>
      <c r="L152" s="1043">
        <f>+L150+L141</f>
        <v>1705747</v>
      </c>
      <c r="M152" s="1015"/>
    </row>
    <row r="153" spans="1:13" ht="16.5" customHeight="1" thickTop="1">
      <c r="A153" s="1033"/>
      <c r="B153" s="21"/>
      <c r="C153" s="21"/>
      <c r="D153" s="21"/>
      <c r="E153" s="61"/>
      <c r="F153" s="1069"/>
      <c r="G153" s="97"/>
      <c r="H153" s="865"/>
      <c r="I153" s="436"/>
      <c r="J153" s="526"/>
      <c r="K153" s="526"/>
      <c r="L153" s="995"/>
      <c r="M153" s="436"/>
    </row>
    <row r="154" spans="1:13" ht="16.5" customHeight="1">
      <c r="A154" s="1007" t="s">
        <v>818</v>
      </c>
      <c r="B154" s="29"/>
      <c r="C154" s="1034"/>
      <c r="D154" s="40"/>
      <c r="E154" s="102"/>
      <c r="F154" s="1075"/>
      <c r="G154" s="1021"/>
      <c r="H154" s="949"/>
      <c r="I154" s="1008"/>
      <c r="J154" s="529"/>
      <c r="K154" s="529"/>
      <c r="L154" s="1009"/>
      <c r="M154" s="436"/>
    </row>
    <row r="155" spans="1:13" ht="15.75" customHeight="1">
      <c r="A155" s="1022"/>
      <c r="B155" s="23"/>
      <c r="C155" s="11"/>
      <c r="D155" s="25"/>
      <c r="E155" s="391"/>
      <c r="F155" s="1068"/>
      <c r="G155" s="97"/>
      <c r="H155" s="545"/>
      <c r="I155" s="436"/>
      <c r="J155" s="526"/>
      <c r="K155" s="526"/>
      <c r="L155" s="995"/>
      <c r="M155" s="436"/>
    </row>
    <row r="156" spans="1:13" ht="15.75" customHeight="1">
      <c r="A156" s="666">
        <f>+A152+1</f>
        <v>93</v>
      </c>
      <c r="B156" s="103" t="s">
        <v>721</v>
      </c>
      <c r="C156" s="1026"/>
      <c r="D156" s="25"/>
      <c r="E156" s="1024"/>
      <c r="F156" s="1066" t="s">
        <v>829</v>
      </c>
      <c r="G156" s="1211"/>
      <c r="H156" s="525">
        <f>SUM(J156:L156)</f>
        <v>15926994.699629104</v>
      </c>
      <c r="I156" s="1015"/>
      <c r="J156" s="525">
        <f>'2 - Other Tax'!G52</f>
        <v>7426034.5696291029</v>
      </c>
      <c r="K156" s="525">
        <f>'2 - Other Tax'!G49</f>
        <v>8028475</v>
      </c>
      <c r="L156" s="1004">
        <f>'2 - Other Tax'!G50</f>
        <v>472485.13</v>
      </c>
      <c r="M156" s="436"/>
    </row>
    <row r="157" spans="1:13" ht="15.75" customHeight="1">
      <c r="A157" s="1014"/>
      <c r="B157" s="25"/>
      <c r="C157" s="21"/>
      <c r="D157" s="21"/>
      <c r="E157" s="23"/>
      <c r="F157" s="1066"/>
      <c r="G157" s="97"/>
      <c r="H157" s="948"/>
      <c r="I157" s="436"/>
      <c r="J157" s="526"/>
      <c r="K157" s="526"/>
      <c r="L157" s="995"/>
      <c r="M157" s="436"/>
    </row>
    <row r="158" spans="1:13" ht="16.5" customHeight="1" thickBot="1">
      <c r="A158" s="666">
        <f>+A156+1</f>
        <v>94</v>
      </c>
      <c r="B158" s="9" t="s">
        <v>910</v>
      </c>
      <c r="C158" s="9"/>
      <c r="D158" s="37"/>
      <c r="E158" s="64"/>
      <c r="F158" s="1080" t="str">
        <f>"(Line "&amp;A156&amp;")"</f>
        <v>(Line 93)</v>
      </c>
      <c r="G158" s="1096"/>
      <c r="H158" s="531">
        <f>+H156</f>
        <v>15926994.699629104</v>
      </c>
      <c r="I158" s="1107"/>
      <c r="J158" s="531">
        <f>+J156</f>
        <v>7426034.5696291029</v>
      </c>
      <c r="K158" s="531">
        <f>+K156</f>
        <v>8028475</v>
      </c>
      <c r="L158" s="1016">
        <f>+L156</f>
        <v>472485.13</v>
      </c>
      <c r="M158" s="436"/>
    </row>
    <row r="159" spans="1:13" ht="17.25" customHeight="1" thickTop="1">
      <c r="A159" s="1001"/>
      <c r="B159" s="21"/>
      <c r="C159" s="21"/>
      <c r="D159" s="21"/>
      <c r="E159" s="61"/>
      <c r="F159" s="1069"/>
      <c r="G159" s="97"/>
      <c r="H159" s="865"/>
      <c r="I159" s="436"/>
      <c r="J159" s="526"/>
      <c r="K159" s="526"/>
      <c r="L159" s="995"/>
      <c r="M159" s="436"/>
    </row>
    <row r="160" spans="1:13" ht="15.75" customHeight="1">
      <c r="A160" s="1007" t="s">
        <v>972</v>
      </c>
      <c r="B160" s="29"/>
      <c r="C160" s="1034"/>
      <c r="D160" s="40"/>
      <c r="E160" s="387"/>
      <c r="F160" s="1075"/>
      <c r="G160" s="1021"/>
      <c r="H160" s="949"/>
      <c r="I160" s="1008"/>
      <c r="J160" s="529"/>
      <c r="K160" s="529"/>
      <c r="L160" s="1009"/>
      <c r="M160" s="436"/>
    </row>
    <row r="161" spans="1:13" ht="15.75" customHeight="1">
      <c r="A161" s="1006"/>
      <c r="B161" s="23"/>
      <c r="C161" s="11"/>
      <c r="D161" s="25"/>
      <c r="E161" s="391"/>
      <c r="F161" s="1068"/>
      <c r="G161" s="97"/>
      <c r="H161" s="545"/>
      <c r="I161" s="436"/>
      <c r="J161" s="526"/>
      <c r="K161" s="526"/>
      <c r="L161" s="995"/>
      <c r="M161" s="436"/>
    </row>
    <row r="162" spans="1:13" ht="15.75" customHeight="1">
      <c r="A162" s="666"/>
      <c r="B162" s="1192" t="s">
        <v>426</v>
      </c>
      <c r="C162" s="1193"/>
      <c r="D162" s="1194"/>
      <c r="E162" s="1194"/>
      <c r="F162" s="1195"/>
      <c r="G162" s="1196"/>
      <c r="H162" s="1197"/>
      <c r="I162" s="867"/>
      <c r="J162" s="866"/>
      <c r="K162" s="526"/>
      <c r="L162" s="995"/>
      <c r="M162" s="436"/>
    </row>
    <row r="163" spans="1:13" ht="15.75" customHeight="1">
      <c r="A163" s="666">
        <f>+A158+1</f>
        <v>95</v>
      </c>
      <c r="B163" s="1196"/>
      <c r="C163" s="1196" t="s">
        <v>388</v>
      </c>
      <c r="D163" s="1196" t="s">
        <v>425</v>
      </c>
      <c r="E163" s="1198"/>
      <c r="F163" s="1199"/>
      <c r="G163" s="1196"/>
      <c r="H163" s="1200">
        <f>+'WKSHT6 - Cost of Capital'!P5</f>
        <v>3760860000</v>
      </c>
      <c r="I163" s="26"/>
      <c r="J163" s="865"/>
      <c r="K163" s="526"/>
      <c r="L163" s="995"/>
      <c r="M163" s="436"/>
    </row>
    <row r="164" spans="1:13" ht="15.75" customHeight="1">
      <c r="A164" s="666">
        <f>+A163+1</f>
        <v>96</v>
      </c>
      <c r="B164" s="1196"/>
      <c r="C164" s="1196" t="s">
        <v>389</v>
      </c>
      <c r="D164" s="1196" t="s">
        <v>425</v>
      </c>
      <c r="E164" s="1198"/>
      <c r="F164" s="1199"/>
      <c r="G164" s="1196"/>
      <c r="H164" s="1200">
        <f>+'WKSHT6 - Cost of Capital'!P6</f>
        <v>0</v>
      </c>
      <c r="I164" s="26"/>
      <c r="J164" s="865"/>
      <c r="K164" s="526"/>
      <c r="L164" s="995"/>
      <c r="M164" s="436"/>
    </row>
    <row r="165" spans="1:13" ht="15.75" customHeight="1">
      <c r="A165" s="666">
        <f t="shared" ref="A165:A201" si="2">+A164+1</f>
        <v>97</v>
      </c>
      <c r="B165" s="1196"/>
      <c r="C165" s="1196" t="s">
        <v>390</v>
      </c>
      <c r="D165" s="1196" t="s">
        <v>425</v>
      </c>
      <c r="E165" s="1198"/>
      <c r="F165" s="1199"/>
      <c r="G165" s="1196"/>
      <c r="H165" s="1200">
        <f>+'WKSHT6 - Cost of Capital'!P8</f>
        <v>0</v>
      </c>
      <c r="I165" s="26"/>
      <c r="J165" s="865"/>
      <c r="K165" s="526"/>
      <c r="L165" s="995"/>
      <c r="M165" s="436"/>
    </row>
    <row r="166" spans="1:13" ht="15.75" customHeight="1">
      <c r="A166" s="666">
        <f t="shared" si="2"/>
        <v>98</v>
      </c>
      <c r="B166" s="1196"/>
      <c r="C166" s="1201" t="s">
        <v>391</v>
      </c>
      <c r="D166" s="1201" t="s">
        <v>425</v>
      </c>
      <c r="E166" s="1202"/>
      <c r="F166" s="1203"/>
      <c r="G166" s="1204"/>
      <c r="H166" s="1204">
        <f>+'WKSHT6 - Cost of Capital'!P9</f>
        <v>0</v>
      </c>
      <c r="I166" s="26"/>
      <c r="J166" s="865"/>
      <c r="K166" s="526"/>
      <c r="L166" s="995"/>
      <c r="M166" s="436"/>
    </row>
    <row r="167" spans="1:13" ht="15.75" customHeight="1">
      <c r="A167" s="666">
        <f t="shared" si="2"/>
        <v>99</v>
      </c>
      <c r="B167" s="1196"/>
      <c r="C167" s="1196" t="s">
        <v>832</v>
      </c>
      <c r="D167" s="1196" t="str">
        <f>"(Sum Ln "&amp;A163&amp;" through "&amp;A166&amp;""</f>
        <v>(Sum Ln 95 through 98</v>
      </c>
      <c r="E167" s="1198"/>
      <c r="F167" s="1199"/>
      <c r="G167" s="1196"/>
      <c r="H167" s="1200">
        <f>SUM(H163:H166)</f>
        <v>3760860000</v>
      </c>
      <c r="I167" s="26"/>
      <c r="J167" s="865"/>
      <c r="K167" s="526"/>
      <c r="L167" s="995"/>
      <c r="M167" s="436"/>
    </row>
    <row r="168" spans="1:13" ht="15.75" customHeight="1">
      <c r="A168" s="666"/>
      <c r="B168" s="1196"/>
      <c r="C168" s="1196"/>
      <c r="D168" s="1196"/>
      <c r="E168" s="1198"/>
      <c r="F168" s="1199"/>
      <c r="G168" s="1196"/>
      <c r="H168" s="1200"/>
      <c r="I168" s="26"/>
      <c r="J168" s="865"/>
      <c r="K168" s="526"/>
      <c r="L168" s="995"/>
      <c r="M168" s="436"/>
    </row>
    <row r="169" spans="1:13" ht="15.75" customHeight="1">
      <c r="A169" s="666">
        <f>+A167+1</f>
        <v>100</v>
      </c>
      <c r="B169" s="1196"/>
      <c r="C169" s="1196" t="s">
        <v>392</v>
      </c>
      <c r="D169" s="1196" t="s">
        <v>425</v>
      </c>
      <c r="E169" s="1198"/>
      <c r="F169" s="1199" t="s">
        <v>423</v>
      </c>
      <c r="G169" s="1196"/>
      <c r="H169" s="1200">
        <f>+'WKSHT6 - Cost of Capital'!P12</f>
        <v>-13390.619999999999</v>
      </c>
      <c r="I169" s="26"/>
      <c r="J169" s="865"/>
      <c r="K169" s="526"/>
      <c r="L169" s="995"/>
      <c r="M169" s="436"/>
    </row>
    <row r="170" spans="1:13" ht="15.75" customHeight="1">
      <c r="A170" s="666">
        <f t="shared" si="2"/>
        <v>101</v>
      </c>
      <c r="B170" s="1196"/>
      <c r="C170" s="1196" t="s">
        <v>393</v>
      </c>
      <c r="D170" s="1196" t="s">
        <v>425</v>
      </c>
      <c r="E170" s="1198"/>
      <c r="F170" s="1199" t="s">
        <v>423</v>
      </c>
      <c r="G170" s="1196"/>
      <c r="H170" s="1200">
        <f>+'WKSHT6 - Cost of Capital'!P13</f>
        <v>-29990748.940000001</v>
      </c>
      <c r="I170" s="26"/>
      <c r="J170" s="865"/>
      <c r="K170" s="526"/>
      <c r="L170" s="995"/>
      <c r="M170" s="436"/>
    </row>
    <row r="171" spans="1:13" ht="15.75" customHeight="1">
      <c r="A171" s="666">
        <f t="shared" si="2"/>
        <v>102</v>
      </c>
      <c r="B171" s="1196"/>
      <c r="C171" s="1196" t="s">
        <v>394</v>
      </c>
      <c r="D171" s="1196" t="s">
        <v>425</v>
      </c>
      <c r="E171" s="1198"/>
      <c r="F171" s="1199" t="s">
        <v>423</v>
      </c>
      <c r="G171" s="1205"/>
      <c r="H171" s="1200">
        <f>+'WKSHT6 - Cost of Capital'!P14</f>
        <v>-36788949.888461538</v>
      </c>
      <c r="I171" s="26"/>
      <c r="J171" s="865"/>
      <c r="K171" s="526"/>
      <c r="L171" s="995"/>
      <c r="M171" s="436"/>
    </row>
    <row r="172" spans="1:13" ht="15.75" customHeight="1">
      <c r="A172" s="666">
        <f t="shared" si="2"/>
        <v>103</v>
      </c>
      <c r="B172" s="1196"/>
      <c r="C172" s="1196" t="s">
        <v>395</v>
      </c>
      <c r="D172" s="1196" t="s">
        <v>425</v>
      </c>
      <c r="E172" s="1198"/>
      <c r="F172" s="1199" t="s">
        <v>423</v>
      </c>
      <c r="G172" s="1205"/>
      <c r="H172" s="1200">
        <f>+'WKSHT6 - Cost of Capital'!P15</f>
        <v>0</v>
      </c>
      <c r="I172" s="26"/>
      <c r="J172" s="865"/>
      <c r="K172" s="526"/>
      <c r="L172" s="995"/>
      <c r="M172" s="436"/>
    </row>
    <row r="173" spans="1:13" ht="15.75" customHeight="1">
      <c r="A173" s="666">
        <f t="shared" si="2"/>
        <v>104</v>
      </c>
      <c r="B173" s="1196"/>
      <c r="C173" s="1201" t="s">
        <v>396</v>
      </c>
      <c r="D173" s="1201" t="s">
        <v>425</v>
      </c>
      <c r="E173" s="1202"/>
      <c r="F173" s="1203" t="s">
        <v>423</v>
      </c>
      <c r="G173" s="1206"/>
      <c r="H173" s="1204">
        <f>+'WKSHT6 - Cost of Capital'!P16</f>
        <v>0</v>
      </c>
      <c r="I173" s="26"/>
      <c r="J173" s="865"/>
      <c r="K173" s="526"/>
      <c r="L173" s="995"/>
      <c r="M173" s="436"/>
    </row>
    <row r="174" spans="1:13" ht="15.75" customHeight="1">
      <c r="A174" s="666">
        <f t="shared" si="2"/>
        <v>105</v>
      </c>
      <c r="B174" s="1196"/>
      <c r="C174" s="1196" t="s">
        <v>833</v>
      </c>
      <c r="D174" s="1196" t="str">
        <f>"(Sum Ln "&amp;A169&amp;" through "&amp;A173&amp;""</f>
        <v>(Sum Ln 100 through 104</v>
      </c>
      <c r="E174" s="1198"/>
      <c r="F174" s="1199"/>
      <c r="G174" s="1205"/>
      <c r="H174" s="1200">
        <f>SUM(H167:H173)</f>
        <v>3694066910.5515385</v>
      </c>
      <c r="I174" s="26"/>
      <c r="J174" s="865"/>
      <c r="K174" s="526"/>
      <c r="L174" s="995"/>
      <c r="M174" s="436"/>
    </row>
    <row r="175" spans="1:13" ht="15.75" customHeight="1">
      <c r="A175" s="666"/>
      <c r="B175" s="1196"/>
      <c r="C175" s="1196"/>
      <c r="D175" s="1196"/>
      <c r="E175" s="1198"/>
      <c r="F175" s="1199"/>
      <c r="G175" s="1205"/>
      <c r="H175" s="1200"/>
      <c r="I175" s="26"/>
      <c r="J175" s="865"/>
      <c r="K175" s="526"/>
      <c r="L175" s="995"/>
      <c r="M175" s="436"/>
    </row>
    <row r="176" spans="1:13" ht="15.75" customHeight="1">
      <c r="A176" s="666"/>
      <c r="B176" s="1192" t="s">
        <v>846</v>
      </c>
      <c r="C176" s="1196"/>
      <c r="D176" s="1196"/>
      <c r="E176" s="1198"/>
      <c r="F176" s="1199"/>
      <c r="G176" s="1196"/>
      <c r="H176" s="1200"/>
      <c r="I176" s="26"/>
      <c r="J176" s="865"/>
      <c r="K176" s="526"/>
      <c r="L176" s="995"/>
      <c r="M176" s="436"/>
    </row>
    <row r="177" spans="1:13" ht="15.75" customHeight="1">
      <c r="A177" s="666">
        <f>+A174+1</f>
        <v>106</v>
      </c>
      <c r="B177" s="1196"/>
      <c r="C177" s="1196" t="s">
        <v>397</v>
      </c>
      <c r="D177" s="1196" t="s">
        <v>425</v>
      </c>
      <c r="E177" s="1198"/>
      <c r="F177" s="1199" t="s">
        <v>423</v>
      </c>
      <c r="G177" s="1196"/>
      <c r="H177" s="1200">
        <f>+'WKSHT6 - Cost of Capital'!P24</f>
        <v>224926890</v>
      </c>
      <c r="I177" s="26"/>
      <c r="J177" s="865"/>
      <c r="K177" s="526"/>
      <c r="L177" s="995"/>
      <c r="M177" s="436"/>
    </row>
    <row r="178" spans="1:13" ht="15.75" customHeight="1">
      <c r="A178" s="666">
        <f t="shared" si="2"/>
        <v>107</v>
      </c>
      <c r="B178" s="1196"/>
      <c r="C178" s="1196" t="s">
        <v>398</v>
      </c>
      <c r="D178" s="1196" t="s">
        <v>425</v>
      </c>
      <c r="E178" s="1198"/>
      <c r="F178" s="1199" t="s">
        <v>423</v>
      </c>
      <c r="G178" s="1196"/>
      <c r="H178" s="1200">
        <f>+'WKSHT6 - Cost of Capital'!P25</f>
        <v>3165816.57</v>
      </c>
      <c r="I178" s="26"/>
      <c r="J178" s="865"/>
      <c r="K178" s="526"/>
      <c r="L178" s="995"/>
      <c r="M178" s="436"/>
    </row>
    <row r="179" spans="1:13" ht="15.75" customHeight="1">
      <c r="A179" s="666">
        <f>+A178+1</f>
        <v>108</v>
      </c>
      <c r="B179" s="1196"/>
      <c r="C179" s="1196" t="s">
        <v>399</v>
      </c>
      <c r="D179" s="1196" t="s">
        <v>425</v>
      </c>
      <c r="E179" s="1198"/>
      <c r="F179" s="1199" t="s">
        <v>423</v>
      </c>
      <c r="G179" s="1196"/>
      <c r="H179" s="1200">
        <f>+'WKSHT6 - Cost of Capital'!P26</f>
        <v>2379510.69</v>
      </c>
      <c r="I179" s="26"/>
      <c r="J179" s="865"/>
      <c r="K179" s="526"/>
      <c r="L179" s="995"/>
      <c r="M179" s="436"/>
    </row>
    <row r="180" spans="1:13" ht="15.75" customHeight="1">
      <c r="A180" s="666">
        <f t="shared" si="2"/>
        <v>109</v>
      </c>
      <c r="B180" s="1196"/>
      <c r="C180" s="1196" t="s">
        <v>400</v>
      </c>
      <c r="D180" s="1196" t="s">
        <v>425</v>
      </c>
      <c r="E180" s="1198"/>
      <c r="F180" s="1199" t="s">
        <v>423</v>
      </c>
      <c r="G180" s="1196"/>
      <c r="H180" s="1200">
        <f>+'WKSHT6 - Cost of Capital'!P27</f>
        <v>0</v>
      </c>
      <c r="I180" s="26"/>
      <c r="J180" s="865"/>
      <c r="K180" s="526"/>
      <c r="L180" s="995"/>
      <c r="M180" s="436"/>
    </row>
    <row r="181" spans="1:13" ht="15.75" customHeight="1">
      <c r="A181" s="666">
        <f>+A180+1</f>
        <v>110</v>
      </c>
      <c r="B181" s="1196"/>
      <c r="C181" s="1196" t="s">
        <v>418</v>
      </c>
      <c r="D181" s="1196" t="s">
        <v>425</v>
      </c>
      <c r="E181" s="1198"/>
      <c r="F181" s="1199" t="s">
        <v>424</v>
      </c>
      <c r="G181" s="1196"/>
      <c r="H181" s="1200">
        <f>+'WKSHT6 - Cost of Capital'!P21</f>
        <v>-710688</v>
      </c>
      <c r="I181" s="26"/>
      <c r="J181" s="865"/>
      <c r="K181" s="526"/>
      <c r="L181" s="995"/>
      <c r="M181" s="436"/>
    </row>
    <row r="182" spans="1:13" ht="15.75" customHeight="1">
      <c r="A182" s="666">
        <f>+A181+1</f>
        <v>111</v>
      </c>
      <c r="B182" s="1196"/>
      <c r="C182" s="1201" t="s">
        <v>401</v>
      </c>
      <c r="D182" s="1201" t="s">
        <v>425</v>
      </c>
      <c r="E182" s="1202"/>
      <c r="F182" s="1203" t="s">
        <v>423</v>
      </c>
      <c r="G182" s="1204"/>
      <c r="H182" s="1204">
        <f>+'WKSHT6 - Cost of Capital'!P28</f>
        <v>0</v>
      </c>
      <c r="I182" s="26"/>
      <c r="J182" s="865"/>
      <c r="K182" s="526"/>
      <c r="L182" s="995"/>
      <c r="M182" s="436"/>
    </row>
    <row r="183" spans="1:13" ht="15.75" customHeight="1">
      <c r="A183" s="666">
        <f>+A182+1</f>
        <v>112</v>
      </c>
      <c r="B183" s="1196"/>
      <c r="C183" s="1196" t="s">
        <v>834</v>
      </c>
      <c r="D183" s="1196" t="str">
        <f>"(Sum Ln "&amp;A177&amp;" through "&amp;A183&amp;""</f>
        <v>(Sum Ln 106 through 112</v>
      </c>
      <c r="E183" s="1198"/>
      <c r="F183" s="1199"/>
      <c r="G183" s="1196"/>
      <c r="H183" s="1200">
        <f>SUM(H177:H182)</f>
        <v>229761529.25999999</v>
      </c>
      <c r="I183" s="26"/>
      <c r="J183" s="865"/>
      <c r="K183" s="1452"/>
      <c r="L183" s="995"/>
      <c r="M183" s="436"/>
    </row>
    <row r="184" spans="1:13" ht="15.75" customHeight="1">
      <c r="A184" s="666"/>
      <c r="B184" s="1196"/>
      <c r="C184" s="1196"/>
      <c r="D184" s="1196"/>
      <c r="E184" s="1198"/>
      <c r="F184" s="1199"/>
      <c r="G184" s="1196"/>
      <c r="H184" s="1200"/>
      <c r="I184" s="26"/>
      <c r="J184" s="865"/>
      <c r="K184" s="1452"/>
      <c r="L184" s="995"/>
      <c r="M184" s="436"/>
    </row>
    <row r="185" spans="1:13" ht="15.75" customHeight="1">
      <c r="A185" s="666"/>
      <c r="B185" s="1192" t="s">
        <v>427</v>
      </c>
      <c r="C185" s="1193"/>
      <c r="D185" s="1196"/>
      <c r="E185" s="1198"/>
      <c r="F185" s="1199"/>
      <c r="G185" s="1196"/>
      <c r="H185" s="1207"/>
      <c r="I185" s="26"/>
      <c r="J185" s="865"/>
      <c r="K185" s="1452"/>
      <c r="L185" s="995"/>
      <c r="M185" s="436"/>
    </row>
    <row r="186" spans="1:13" ht="15.75" customHeight="1">
      <c r="A186" s="666">
        <f>+A183+1</f>
        <v>113</v>
      </c>
      <c r="B186" s="1196"/>
      <c r="C186" s="1196" t="s">
        <v>402</v>
      </c>
      <c r="D186" s="1196" t="s">
        <v>425</v>
      </c>
      <c r="E186" s="1198"/>
      <c r="F186" s="1199"/>
      <c r="G186" s="1196"/>
      <c r="H186" s="1200">
        <f>+'WKSHT6 - Cost of Capital'!P32</f>
        <v>0</v>
      </c>
      <c r="I186" s="26"/>
      <c r="J186" s="865"/>
      <c r="K186" s="1452"/>
      <c r="L186" s="995"/>
      <c r="M186" s="436"/>
    </row>
    <row r="187" spans="1:13" ht="15.75" customHeight="1">
      <c r="A187" s="666">
        <f t="shared" si="2"/>
        <v>114</v>
      </c>
      <c r="B187" s="1196"/>
      <c r="C187" s="1196" t="s">
        <v>403</v>
      </c>
      <c r="D187" s="1196" t="s">
        <v>425</v>
      </c>
      <c r="E187" s="1198"/>
      <c r="F187" s="1199"/>
      <c r="G187" s="1196"/>
      <c r="H187" s="1200">
        <f>+'WKSHT6 - Cost of Capital'!P33</f>
        <v>0</v>
      </c>
      <c r="I187" s="26"/>
      <c r="J187" s="865"/>
      <c r="K187" s="1452"/>
      <c r="L187" s="995"/>
      <c r="M187" s="436"/>
    </row>
    <row r="188" spans="1:13" ht="15.75" customHeight="1">
      <c r="A188" s="666">
        <f t="shared" si="2"/>
        <v>115</v>
      </c>
      <c r="B188" s="1196"/>
      <c r="C188" s="1196" t="s">
        <v>404</v>
      </c>
      <c r="D188" s="1196" t="s">
        <v>425</v>
      </c>
      <c r="E188" s="1198"/>
      <c r="F188" s="1199"/>
      <c r="G188" s="1196"/>
      <c r="H188" s="1200">
        <f>+'WKSHT6 - Cost of Capital'!P34</f>
        <v>0</v>
      </c>
      <c r="I188" s="26"/>
      <c r="J188" s="865"/>
      <c r="K188" s="1452"/>
      <c r="L188" s="995"/>
      <c r="M188" s="436"/>
    </row>
    <row r="189" spans="1:13" ht="15.75" customHeight="1">
      <c r="A189" s="666">
        <f t="shared" si="2"/>
        <v>116</v>
      </c>
      <c r="B189" s="1196"/>
      <c r="C189" s="1196" t="s">
        <v>405</v>
      </c>
      <c r="D189" s="1196" t="s">
        <v>425</v>
      </c>
      <c r="E189" s="1198"/>
      <c r="F189" s="1199"/>
      <c r="G189" s="1196"/>
      <c r="H189" s="1200">
        <f>+'WKSHT6 - Cost of Capital'!P35</f>
        <v>0</v>
      </c>
      <c r="I189" s="26"/>
      <c r="J189" s="865"/>
      <c r="K189" s="526"/>
      <c r="L189" s="995"/>
      <c r="M189" s="436"/>
    </row>
    <row r="190" spans="1:13" ht="15.75" customHeight="1">
      <c r="A190" s="666">
        <f t="shared" si="2"/>
        <v>117</v>
      </c>
      <c r="B190" s="1196"/>
      <c r="C190" s="1196" t="s">
        <v>406</v>
      </c>
      <c r="D190" s="1196" t="s">
        <v>425</v>
      </c>
      <c r="E190" s="1198"/>
      <c r="F190" s="1199"/>
      <c r="G190" s="1196"/>
      <c r="H190" s="1200">
        <f>+'WKSHT6 - Cost of Capital'!P36</f>
        <v>0</v>
      </c>
      <c r="I190" s="26"/>
      <c r="J190" s="865"/>
      <c r="K190" s="1452"/>
      <c r="L190" s="995"/>
      <c r="M190" s="436"/>
    </row>
    <row r="191" spans="1:13" ht="15.75" customHeight="1">
      <c r="A191" s="666">
        <f t="shared" si="2"/>
        <v>118</v>
      </c>
      <c r="B191" s="1196"/>
      <c r="C191" s="1201" t="s">
        <v>407</v>
      </c>
      <c r="D191" s="1201" t="s">
        <v>425</v>
      </c>
      <c r="E191" s="1202"/>
      <c r="F191" s="1203"/>
      <c r="G191" s="1204"/>
      <c r="H191" s="1204">
        <f>+'WKSHT6 - Cost of Capital'!P37</f>
        <v>0</v>
      </c>
      <c r="I191" s="26"/>
      <c r="J191" s="865"/>
      <c r="K191" s="1452"/>
      <c r="L191" s="995"/>
      <c r="M191" s="436"/>
    </row>
    <row r="192" spans="1:13" ht="15.75" customHeight="1">
      <c r="A192" s="666">
        <f t="shared" si="2"/>
        <v>119</v>
      </c>
      <c r="B192" s="1196"/>
      <c r="C192" s="1196" t="s">
        <v>408</v>
      </c>
      <c r="D192" s="1196" t="str">
        <f>"(Sum Ln "&amp;A186&amp;" through "&amp;A191&amp;""</f>
        <v>(Sum Ln 113 through 118</v>
      </c>
      <c r="E192" s="1196"/>
      <c r="F192" s="1195"/>
      <c r="G192" s="1196"/>
      <c r="H192" s="1200">
        <f>SUM(H186:H191)</f>
        <v>0</v>
      </c>
      <c r="I192" s="26"/>
      <c r="J192" s="865"/>
      <c r="K192" s="1452"/>
      <c r="L192" s="995"/>
      <c r="M192" s="436"/>
    </row>
    <row r="193" spans="1:13" ht="15.75" customHeight="1">
      <c r="A193" s="666"/>
      <c r="B193" s="1196"/>
      <c r="C193" s="1196"/>
      <c r="D193" s="1196"/>
      <c r="E193" s="1196"/>
      <c r="F193" s="1195"/>
      <c r="G193" s="1196"/>
      <c r="H193" s="1200"/>
      <c r="I193" s="26"/>
      <c r="J193" s="865"/>
      <c r="K193" s="1452"/>
      <c r="L193" s="995"/>
      <c r="M193" s="436"/>
    </row>
    <row r="194" spans="1:13" ht="15.75" customHeight="1">
      <c r="A194" s="666">
        <f>+A192+1</f>
        <v>120</v>
      </c>
      <c r="B194" s="1196"/>
      <c r="C194" s="1196" t="s">
        <v>835</v>
      </c>
      <c r="D194" s="1196" t="s">
        <v>425</v>
      </c>
      <c r="E194" s="1198"/>
      <c r="F194" s="1199" t="s">
        <v>409</v>
      </c>
      <c r="G194" s="1196"/>
      <c r="H194" s="1200">
        <f>+'WKSHT6 - Cost of Capital'!P39</f>
        <v>0</v>
      </c>
      <c r="I194" s="26"/>
      <c r="J194" s="865"/>
      <c r="K194" s="1452"/>
      <c r="L194" s="995"/>
      <c r="M194" s="436"/>
    </row>
    <row r="195" spans="1:13" ht="15.75" customHeight="1">
      <c r="A195" s="666"/>
      <c r="B195" s="1196"/>
      <c r="C195" s="1196"/>
      <c r="D195" s="1196"/>
      <c r="E195" s="1198"/>
      <c r="F195" s="1199"/>
      <c r="G195" s="1196"/>
      <c r="H195" s="1200"/>
      <c r="I195" s="26"/>
      <c r="J195" s="865"/>
      <c r="K195" s="526"/>
      <c r="L195" s="995"/>
      <c r="M195" s="436"/>
    </row>
    <row r="196" spans="1:13" ht="15.75" customHeight="1">
      <c r="A196" s="666"/>
      <c r="B196" s="1192" t="s">
        <v>899</v>
      </c>
      <c r="C196" s="1193"/>
      <c r="D196" s="1196"/>
      <c r="E196" s="1198"/>
      <c r="F196" s="1199"/>
      <c r="G196" s="1196"/>
      <c r="H196" s="1207"/>
      <c r="I196" s="26"/>
      <c r="J196" s="865"/>
      <c r="K196" s="526"/>
      <c r="L196" s="995"/>
      <c r="M196" s="436"/>
    </row>
    <row r="197" spans="1:13" ht="15.75" customHeight="1">
      <c r="A197" s="666">
        <f>+A194+1</f>
        <v>121</v>
      </c>
      <c r="B197" s="1196"/>
      <c r="C197" s="1196" t="s">
        <v>1017</v>
      </c>
      <c r="D197" s="1196" t="s">
        <v>425</v>
      </c>
      <c r="E197" s="1198"/>
      <c r="F197" s="1199"/>
      <c r="G197" s="1196"/>
      <c r="H197" s="1200">
        <f>+'WKSHT6 - Cost of Capital'!P42</f>
        <v>3430720239.9007692</v>
      </c>
      <c r="I197" s="26"/>
      <c r="J197" s="865"/>
      <c r="K197" s="526"/>
      <c r="L197" s="995"/>
      <c r="M197" s="436"/>
    </row>
    <row r="198" spans="1:13" ht="15.75" customHeight="1">
      <c r="A198" s="666">
        <f t="shared" si="2"/>
        <v>122</v>
      </c>
      <c r="B198" s="1196"/>
      <c r="C198" s="1196" t="s">
        <v>410</v>
      </c>
      <c r="D198" s="1196" t="s">
        <v>425</v>
      </c>
      <c r="E198" s="1198"/>
      <c r="F198" s="1199"/>
      <c r="G198" s="1196"/>
      <c r="H198" s="1200">
        <f>+'WKSHT6 - Cost of Capital'!P43</f>
        <v>0</v>
      </c>
      <c r="I198" s="26"/>
      <c r="J198" s="865"/>
      <c r="K198" s="526"/>
      <c r="L198" s="995"/>
      <c r="M198" s="436"/>
    </row>
    <row r="199" spans="1:13" ht="15.75" customHeight="1">
      <c r="A199" s="666">
        <f t="shared" si="2"/>
        <v>123</v>
      </c>
      <c r="B199" s="1196"/>
      <c r="C199" s="1196" t="s">
        <v>411</v>
      </c>
      <c r="D199" s="1196" t="s">
        <v>425</v>
      </c>
      <c r="E199" s="1198"/>
      <c r="F199" s="1199"/>
      <c r="G199" s="1196"/>
      <c r="H199" s="1200">
        <f>+'WKSHT6 - Cost of Capital'!P44</f>
        <v>-8764003.0769230761</v>
      </c>
      <c r="I199" s="26"/>
      <c r="J199" s="865"/>
      <c r="K199" s="526"/>
      <c r="L199" s="995"/>
      <c r="M199" s="436"/>
    </row>
    <row r="200" spans="1:13" ht="15.75" customHeight="1">
      <c r="A200" s="666">
        <f t="shared" si="2"/>
        <v>124</v>
      </c>
      <c r="B200" s="1196"/>
      <c r="C200" s="1201" t="s">
        <v>412</v>
      </c>
      <c r="D200" s="1201" t="s">
        <v>425</v>
      </c>
      <c r="E200" s="1202"/>
      <c r="F200" s="1203"/>
      <c r="G200" s="1204"/>
      <c r="H200" s="1204">
        <f>+'WKSHT6 - Cost of Capital'!P45</f>
        <v>-97690667.739230767</v>
      </c>
      <c r="I200" s="26"/>
      <c r="J200" s="865"/>
      <c r="K200" s="526"/>
      <c r="L200" s="995"/>
      <c r="M200" s="436"/>
    </row>
    <row r="201" spans="1:13" ht="15.75" customHeight="1">
      <c r="A201" s="666">
        <f t="shared" si="2"/>
        <v>125</v>
      </c>
      <c r="B201" s="1196"/>
      <c r="C201" s="1196" t="s">
        <v>836</v>
      </c>
      <c r="D201" s="1196" t="str">
        <f>"(Sum Ln "&amp;A197&amp;" through "&amp;A200&amp;""</f>
        <v>(Sum Ln 121 through 124</v>
      </c>
      <c r="E201" s="1196"/>
      <c r="F201" s="1195"/>
      <c r="G201" s="1196"/>
      <c r="H201" s="1200">
        <f>+H197-H198-H199-H200</f>
        <v>3537174910.7169228</v>
      </c>
      <c r="I201" s="26"/>
      <c r="J201" s="865"/>
      <c r="K201" s="526"/>
      <c r="L201" s="995"/>
      <c r="M201" s="436"/>
    </row>
    <row r="202" spans="1:13" ht="15.75" customHeight="1">
      <c r="A202" s="666"/>
      <c r="B202" s="1196"/>
      <c r="C202" s="1196"/>
      <c r="D202" s="1196"/>
      <c r="E202" s="1196"/>
      <c r="F202" s="1195"/>
      <c r="G202" s="1196"/>
      <c r="H202" s="1200"/>
      <c r="I202" s="26"/>
      <c r="J202" s="865"/>
      <c r="K202" s="526"/>
      <c r="L202" s="995"/>
      <c r="M202" s="436"/>
    </row>
    <row r="203" spans="1:13" ht="15.75" customHeight="1">
      <c r="A203" s="666">
        <f>+A201+1</f>
        <v>126</v>
      </c>
      <c r="B203" s="36"/>
      <c r="C203" s="399" t="s">
        <v>413</v>
      </c>
      <c r="D203" s="402" t="s">
        <v>904</v>
      </c>
      <c r="E203" s="71" t="s">
        <v>122</v>
      </c>
      <c r="F203" s="1081" t="str">
        <f>"1 minus Sum Lines "&amp;A204&amp;" &amp; "&amp;A205&amp;"))"</f>
        <v>1 minus Sum Lines 127 &amp; 128))</v>
      </c>
      <c r="G203" s="334"/>
      <c r="H203" s="962">
        <f>1-H204-H205</f>
        <v>0.51532502187366924</v>
      </c>
      <c r="I203" s="26"/>
      <c r="J203" s="865"/>
      <c r="K203" s="526"/>
      <c r="L203" s="995"/>
      <c r="M203" s="436"/>
    </row>
    <row r="204" spans="1:13" ht="15.75" customHeight="1">
      <c r="A204" s="666">
        <f>+A203+1</f>
        <v>127</v>
      </c>
      <c r="B204" s="36"/>
      <c r="C204" s="399" t="s">
        <v>414</v>
      </c>
      <c r="D204" s="402" t="s">
        <v>924</v>
      </c>
      <c r="E204" s="71"/>
      <c r="F204" s="1071" t="str">
        <f>"(Line "&amp;A192&amp;" / (Lines "&amp;A$167&amp;" + "&amp;A$192&amp;" +"&amp;A$201&amp;"))"</f>
        <v>(Line 119 / (Lines 99 + 119 +125))</v>
      </c>
      <c r="G204" s="334"/>
      <c r="H204" s="1208">
        <f>H192/(H167+H192+H201)</f>
        <v>0</v>
      </c>
      <c r="I204" s="26"/>
      <c r="J204" s="865"/>
      <c r="K204" s="526"/>
      <c r="L204" s="995"/>
      <c r="M204" s="436"/>
    </row>
    <row r="205" spans="1:13" ht="15.75" customHeight="1">
      <c r="A205" s="666">
        <f>+A204+1</f>
        <v>128</v>
      </c>
      <c r="B205" s="36"/>
      <c r="C205" s="399" t="s">
        <v>415</v>
      </c>
      <c r="D205" s="402" t="s">
        <v>929</v>
      </c>
      <c r="E205" s="71"/>
      <c r="F205" s="1081" t="str">
        <f>"Lesser of 50% or (Line "&amp;A201&amp;" / (Lines "&amp;A$167&amp;" + "&amp;A$192&amp;" +"&amp;A$201&amp;"))"</f>
        <v>Lesser of 50% or (Line 125 / (Lines 99 + 119 +125))</v>
      </c>
      <c r="G205" s="334"/>
      <c r="H205" s="1208">
        <f>IF(H201/(H167+H192+H201)&gt;0.5,0.5,H201/(H167+H192+H201))</f>
        <v>0.48467497812633076</v>
      </c>
      <c r="I205" s="26"/>
      <c r="J205" s="865"/>
      <c r="K205" s="526"/>
      <c r="L205" s="995"/>
      <c r="M205" s="436"/>
    </row>
    <row r="206" spans="1:13" ht="18">
      <c r="A206" s="666"/>
      <c r="B206" s="36"/>
      <c r="C206" s="1209"/>
      <c r="D206" s="25"/>
      <c r="E206" s="74"/>
      <c r="F206" s="1071"/>
      <c r="G206" s="334"/>
      <c r="H206" s="1451"/>
      <c r="I206" s="26"/>
      <c r="J206" s="865"/>
      <c r="K206" s="526"/>
      <c r="L206" s="995"/>
      <c r="M206" s="436"/>
    </row>
    <row r="207" spans="1:13" ht="15.75" customHeight="1">
      <c r="A207" s="666"/>
      <c r="B207" s="36"/>
      <c r="C207" s="1209"/>
      <c r="D207" s="25"/>
      <c r="E207" s="74"/>
      <c r="F207" s="1071"/>
      <c r="G207" s="532"/>
      <c r="H207" s="865"/>
      <c r="I207" s="26"/>
      <c r="J207" s="865"/>
      <c r="K207" s="526"/>
      <c r="L207" s="995"/>
      <c r="M207" s="436"/>
    </row>
    <row r="208" spans="1:13" ht="66.75" customHeight="1">
      <c r="A208" s="666">
        <f>+A205+1</f>
        <v>129</v>
      </c>
      <c r="B208" s="36"/>
      <c r="C208" s="1209" t="s">
        <v>1075</v>
      </c>
      <c r="D208" s="1210" t="s">
        <v>416</v>
      </c>
      <c r="E208" s="74"/>
      <c r="F208" s="1071" t="str">
        <f>"(Line "&amp;A183&amp;" / Line "&amp;A174&amp;")"</f>
        <v>(Line 112 / Line 105)</v>
      </c>
      <c r="G208" s="334"/>
      <c r="H208" s="962">
        <f>H183/H174</f>
        <v>6.2197446560516068E-2</v>
      </c>
      <c r="I208" s="26"/>
      <c r="J208" s="865"/>
      <c r="K208" s="526"/>
      <c r="L208" s="995"/>
      <c r="M208" s="436"/>
    </row>
    <row r="209" spans="1:13" ht="15.75" customHeight="1">
      <c r="A209" s="666">
        <f>+A208+1</f>
        <v>130</v>
      </c>
      <c r="B209" s="36"/>
      <c r="C209" s="1209" t="s">
        <v>1081</v>
      </c>
      <c r="D209" s="1210" t="s">
        <v>417</v>
      </c>
      <c r="E209" s="74"/>
      <c r="F209" s="1071" t="str">
        <f>"(Line "&amp;A194&amp;" / Line "&amp;A192&amp;")"</f>
        <v>(Line 120 / Line 119)</v>
      </c>
      <c r="G209" s="334"/>
      <c r="H209" s="962">
        <f>IF(H194=0,0,H194/H192)</f>
        <v>0</v>
      </c>
      <c r="I209" s="26"/>
      <c r="J209" s="865"/>
      <c r="K209" s="526"/>
      <c r="L209" s="995"/>
      <c r="M209" s="436"/>
    </row>
    <row r="210" spans="1:13" ht="15.75" customHeight="1">
      <c r="A210" s="666">
        <f>+A209+1</f>
        <v>131</v>
      </c>
      <c r="B210" s="36"/>
      <c r="C210" s="1209" t="s">
        <v>1076</v>
      </c>
      <c r="D210" s="402" t="s">
        <v>899</v>
      </c>
      <c r="E210" s="71" t="str">
        <f>"(Note "&amp;B302&amp;")"</f>
        <v>(Note J)</v>
      </c>
      <c r="F210" s="1071" t="s">
        <v>1058</v>
      </c>
      <c r="G210" s="334"/>
      <c r="H210" s="962">
        <v>9.8000000000000004E-2</v>
      </c>
      <c r="I210" s="26"/>
      <c r="J210" s="865"/>
      <c r="K210" s="526"/>
      <c r="L210" s="995"/>
      <c r="M210" s="436"/>
    </row>
    <row r="211" spans="1:13" ht="15.75" customHeight="1">
      <c r="A211" s="666"/>
      <c r="B211" s="36"/>
      <c r="C211" s="1209"/>
      <c r="D211" s="402"/>
      <c r="E211" s="71"/>
      <c r="F211" s="1071"/>
      <c r="G211" s="334"/>
      <c r="H211" s="962"/>
      <c r="I211" s="26"/>
      <c r="J211" s="865"/>
      <c r="K211" s="526"/>
      <c r="L211" s="995"/>
      <c r="M211" s="436"/>
    </row>
    <row r="212" spans="1:13" ht="15.75" customHeight="1">
      <c r="A212" s="666">
        <f>+A210+1</f>
        <v>132</v>
      </c>
      <c r="B212" s="69"/>
      <c r="C212" s="399" t="s">
        <v>1077</v>
      </c>
      <c r="D212" s="402"/>
      <c r="E212" s="74"/>
      <c r="F212" s="1071" t="str">
        <f>"(Line "&amp;A203&amp;" * "&amp;A208&amp;")"</f>
        <v>(Line 126 * 129)</v>
      </c>
      <c r="G212" s="105"/>
      <c r="H212" s="963">
        <f>+H203*H208</f>
        <v>3.2051900509284317E-2</v>
      </c>
      <c r="I212" s="436"/>
      <c r="J212" s="526"/>
      <c r="K212" s="526"/>
      <c r="L212" s="995"/>
      <c r="M212" s="436"/>
    </row>
    <row r="213" spans="1:13" ht="15.75" customHeight="1">
      <c r="A213" s="666">
        <f>+A212+1</f>
        <v>133</v>
      </c>
      <c r="B213" s="69"/>
      <c r="C213" s="399" t="s">
        <v>1107</v>
      </c>
      <c r="D213" s="402"/>
      <c r="E213" s="74"/>
      <c r="F213" s="1071" t="str">
        <f>"(Line "&amp;A204&amp;" * "&amp;A209&amp;")"</f>
        <v>(Line 127 * 130)</v>
      </c>
      <c r="G213" s="105"/>
      <c r="H213" s="963">
        <f>+H204*H209</f>
        <v>0</v>
      </c>
      <c r="I213" s="436"/>
      <c r="J213" s="526"/>
      <c r="K213" s="526"/>
      <c r="L213" s="995"/>
      <c r="M213" s="436"/>
    </row>
    <row r="214" spans="1:13" ht="15.75" customHeight="1">
      <c r="A214" s="666">
        <f>+A213+1</f>
        <v>134</v>
      </c>
      <c r="B214" s="60"/>
      <c r="C214" s="33" t="s">
        <v>1078</v>
      </c>
      <c r="D214" s="328"/>
      <c r="E214" s="67"/>
      <c r="F214" s="1078" t="str">
        <f>"(Line "&amp;A205&amp;" * "&amp;A210&amp;")"</f>
        <v>(Line 128 * 131)</v>
      </c>
      <c r="G214" s="821"/>
      <c r="H214" s="966">
        <f>+H205*H210</f>
        <v>4.7498147856380415E-2</v>
      </c>
      <c r="I214" s="436"/>
      <c r="J214" s="525"/>
      <c r="K214" s="525"/>
      <c r="L214" s="1004"/>
      <c r="M214" s="436"/>
    </row>
    <row r="215" spans="1:13" s="1" customFormat="1" ht="15.75" customHeight="1">
      <c r="A215" s="996">
        <f>+A214+1</f>
        <v>135</v>
      </c>
      <c r="B215" s="27" t="s">
        <v>905</v>
      </c>
      <c r="C215" s="27"/>
      <c r="D215" s="47"/>
      <c r="E215" s="68"/>
      <c r="F215" s="1065" t="str">
        <f>"(Sum Lines "&amp;A212&amp;" to "&amp;A214&amp;")"</f>
        <v>(Sum Lines 132 to 134)</v>
      </c>
      <c r="G215" s="454"/>
      <c r="H215" s="967">
        <f>SUM(H212:H214)</f>
        <v>7.9550048365664733E-2</v>
      </c>
      <c r="I215" s="1015"/>
      <c r="J215" s="536"/>
      <c r="K215" s="536"/>
      <c r="L215" s="1044"/>
      <c r="M215" s="1015"/>
    </row>
    <row r="216" spans="1:13" s="1" customFormat="1" ht="15.75" customHeight="1">
      <c r="A216" s="1045"/>
      <c r="B216" s="417"/>
      <c r="C216" s="27"/>
      <c r="D216" s="47"/>
      <c r="E216" s="68"/>
      <c r="F216" s="1091"/>
      <c r="G216" s="454"/>
      <c r="H216" s="968"/>
      <c r="I216" s="1015"/>
      <c r="J216" s="536"/>
      <c r="K216" s="536"/>
      <c r="L216" s="1044"/>
      <c r="M216" s="1015"/>
    </row>
    <row r="217" spans="1:13" ht="16.5" customHeight="1" thickBot="1">
      <c r="A217" s="996">
        <f>+A215+1</f>
        <v>136</v>
      </c>
      <c r="B217" s="39" t="s">
        <v>977</v>
      </c>
      <c r="C217" s="38"/>
      <c r="D217" s="37"/>
      <c r="E217" s="450"/>
      <c r="F217" s="1080" t="str">
        <f>"(Line "&amp;A102&amp;" * "&amp;A215&amp;")"</f>
        <v>(Line 59 * 135)</v>
      </c>
      <c r="G217" s="1111"/>
      <c r="H217" s="1080">
        <f>+H102*H215</f>
        <v>54501259.004762448</v>
      </c>
      <c r="I217" s="1107"/>
      <c r="J217" s="537">
        <f>$H$217*J103</f>
        <v>48646085.307665415</v>
      </c>
      <c r="K217" s="537">
        <f>+H215*K102</f>
        <v>2193524.0910915621</v>
      </c>
      <c r="L217" s="1037">
        <f>$H$217*L103</f>
        <v>4085148.9868813162</v>
      </c>
      <c r="M217" s="436"/>
    </row>
    <row r="218" spans="1:13" ht="16.5" customHeight="1" thickTop="1">
      <c r="A218" s="996"/>
      <c r="B218" s="23"/>
      <c r="C218" s="390"/>
      <c r="D218" s="21"/>
      <c r="E218" s="61"/>
      <c r="F218" s="1065"/>
      <c r="G218" s="97"/>
      <c r="H218" s="969"/>
      <c r="I218" s="436"/>
      <c r="J218" s="525"/>
      <c r="K218" s="525"/>
      <c r="L218" s="1004"/>
      <c r="M218" s="436"/>
    </row>
    <row r="219" spans="1:13" ht="15.75" customHeight="1">
      <c r="A219" s="1007" t="s">
        <v>762</v>
      </c>
      <c r="B219" s="29"/>
      <c r="C219" s="1034"/>
      <c r="D219" s="40"/>
      <c r="E219" s="102"/>
      <c r="F219" s="1075"/>
      <c r="G219" s="1021"/>
      <c r="H219" s="949"/>
      <c r="I219" s="1008"/>
      <c r="J219" s="529"/>
      <c r="K219" s="529"/>
      <c r="L219" s="1009"/>
      <c r="M219" s="436"/>
    </row>
    <row r="220" spans="1:13" ht="15.75" customHeight="1">
      <c r="A220" s="1046"/>
      <c r="B220" s="23"/>
      <c r="C220" s="11"/>
      <c r="D220" s="25"/>
      <c r="E220" s="391"/>
      <c r="F220" s="1068"/>
      <c r="G220" s="97"/>
      <c r="H220" s="545"/>
      <c r="I220" s="436"/>
      <c r="J220" s="525"/>
      <c r="K220" s="525"/>
      <c r="L220" s="1004"/>
      <c r="M220" s="436"/>
    </row>
    <row r="221" spans="1:13" ht="15.75" customHeight="1">
      <c r="A221" s="996" t="s">
        <v>919</v>
      </c>
      <c r="B221" s="48" t="s">
        <v>978</v>
      </c>
      <c r="C221" s="21"/>
      <c r="D221" s="21"/>
      <c r="E221" s="391"/>
      <c r="F221" s="1065"/>
      <c r="G221" s="97"/>
      <c r="H221" s="970"/>
      <c r="I221" s="436"/>
      <c r="J221" s="525"/>
      <c r="K221" s="525"/>
      <c r="L221" s="1004"/>
      <c r="M221" s="436"/>
    </row>
    <row r="222" spans="1:13" ht="15.75" customHeight="1">
      <c r="A222" s="996">
        <f>+A217+1</f>
        <v>137</v>
      </c>
      <c r="B222" s="23"/>
      <c r="C222" s="21" t="s">
        <v>976</v>
      </c>
      <c r="D222" s="21"/>
      <c r="E222" s="61"/>
      <c r="F222" s="1068"/>
      <c r="G222" s="97"/>
      <c r="H222" s="971">
        <v>0.35</v>
      </c>
      <c r="I222" s="436"/>
      <c r="J222" s="525"/>
      <c r="K222" s="525"/>
      <c r="L222" s="1004"/>
      <c r="M222" s="436"/>
    </row>
    <row r="223" spans="1:13" ht="15.75" customHeight="1">
      <c r="A223" s="996">
        <f>+A222+1</f>
        <v>138</v>
      </c>
      <c r="B223" s="23"/>
      <c r="C223" s="1047" t="s">
        <v>975</v>
      </c>
      <c r="D223" s="1048"/>
      <c r="E223" s="71" t="str">
        <f>"(Note "&amp;B$301&amp;")"</f>
        <v>(Note I)</v>
      </c>
      <c r="F223" s="1068"/>
      <c r="G223" s="97"/>
      <c r="H223" s="971">
        <v>0</v>
      </c>
      <c r="I223" s="436"/>
      <c r="J223" s="525"/>
      <c r="K223" s="525"/>
      <c r="L223" s="1004"/>
      <c r="M223" s="436"/>
    </row>
    <row r="224" spans="1:13" ht="15.75" customHeight="1">
      <c r="A224" s="996">
        <f>+A223+1</f>
        <v>139</v>
      </c>
      <c r="B224" s="23"/>
      <c r="C224" s="1047" t="s">
        <v>1052</v>
      </c>
      <c r="D224" s="1047" t="s">
        <v>1053</v>
      </c>
      <c r="E224" s="61"/>
      <c r="F224" s="1068" t="s">
        <v>886</v>
      </c>
      <c r="G224" s="97"/>
      <c r="H224" s="971">
        <v>0</v>
      </c>
      <c r="I224" s="436"/>
      <c r="J224" s="525"/>
      <c r="K224" s="525"/>
      <c r="L224" s="1004"/>
      <c r="M224" s="436"/>
    </row>
    <row r="225" spans="1:13" ht="15.75" customHeight="1">
      <c r="A225" s="996">
        <f>+A224+1</f>
        <v>140</v>
      </c>
      <c r="B225" s="23"/>
      <c r="C225" s="1047" t="s">
        <v>776</v>
      </c>
      <c r="D225" s="403" t="s">
        <v>1072</v>
      </c>
      <c r="E225" s="61"/>
      <c r="F225" s="1068"/>
      <c r="G225" s="97"/>
      <c r="H225" s="972">
        <f>IF(H222&gt;0,1-(((1-H223)*(1-H222))/(1-H223*H222*H224)),0)</f>
        <v>0.35</v>
      </c>
      <c r="I225" s="436"/>
      <c r="J225" s="525"/>
      <c r="K225" s="525"/>
      <c r="L225" s="1004"/>
      <c r="M225" s="436"/>
    </row>
    <row r="226" spans="1:13" ht="15.75" customHeight="1">
      <c r="A226" s="996">
        <f>+A225+1</f>
        <v>141</v>
      </c>
      <c r="B226" s="23"/>
      <c r="C226" s="1047" t="s">
        <v>1051</v>
      </c>
      <c r="D226" s="1048"/>
      <c r="E226" s="61"/>
      <c r="F226" s="1068"/>
      <c r="G226" s="97"/>
      <c r="H226" s="971">
        <f>+H225/(1-H225)</f>
        <v>0.53846153846153844</v>
      </c>
      <c r="I226" s="436"/>
      <c r="J226" s="525"/>
      <c r="K226" s="525"/>
      <c r="L226" s="1004"/>
      <c r="M226" s="436"/>
    </row>
    <row r="227" spans="1:13" ht="15.75" customHeight="1">
      <c r="A227" s="996"/>
      <c r="B227" s="23"/>
      <c r="C227" s="21"/>
      <c r="D227" s="21"/>
      <c r="E227" s="1049"/>
      <c r="F227" s="1092"/>
      <c r="G227" s="97"/>
      <c r="H227" s="972"/>
      <c r="I227" s="436"/>
      <c r="J227" s="525"/>
      <c r="K227" s="525"/>
      <c r="L227" s="1004"/>
      <c r="M227" s="436"/>
    </row>
    <row r="228" spans="1:13" ht="15.75" customHeight="1">
      <c r="A228" s="996"/>
      <c r="B228" s="48" t="s">
        <v>973</v>
      </c>
      <c r="C228" s="390"/>
      <c r="D228" s="21"/>
      <c r="E228" s="71" t="str">
        <f>"(Note "&amp;B$301&amp;")"</f>
        <v>(Note I)</v>
      </c>
      <c r="F228" s="1065"/>
      <c r="G228" s="97"/>
      <c r="H228" s="973"/>
      <c r="I228" s="436"/>
      <c r="J228" s="525"/>
      <c r="K228" s="525"/>
      <c r="L228" s="1004"/>
      <c r="M228" s="436"/>
    </row>
    <row r="229" spans="1:13" ht="15.75" customHeight="1">
      <c r="A229" s="996">
        <f>+A226+1</f>
        <v>142</v>
      </c>
      <c r="B229" s="23"/>
      <c r="C229" s="402" t="s">
        <v>578</v>
      </c>
      <c r="D229" s="25" t="str">
        <f>"(Note "&amp;$B$293&amp;")"</f>
        <v>(Note A)</v>
      </c>
      <c r="E229" s="1000" t="s">
        <v>1057</v>
      </c>
      <c r="F229" s="1090" t="s">
        <v>826</v>
      </c>
      <c r="G229" s="105"/>
      <c r="H229" s="532">
        <f>+'1 - ADIT'!H137</f>
        <v>0</v>
      </c>
      <c r="I229" s="985"/>
      <c r="J229" s="568"/>
      <c r="K229" s="525"/>
      <c r="L229" s="1004"/>
      <c r="M229" s="436"/>
    </row>
    <row r="230" spans="1:13" ht="15.75" customHeight="1">
      <c r="A230" s="996">
        <f>+A229+1</f>
        <v>143</v>
      </c>
      <c r="B230" s="23"/>
      <c r="C230" s="402" t="s">
        <v>358</v>
      </c>
      <c r="D230" s="25"/>
      <c r="E230" s="23"/>
      <c r="F230" s="1071" t="str">
        <f>"(1 / (1-Line "&amp;A225&amp;"))"</f>
        <v>(1 / (1-Line 140))</v>
      </c>
      <c r="G230" s="105"/>
      <c r="H230" s="962">
        <f>1/(1-H225)</f>
        <v>1.5384615384615383</v>
      </c>
      <c r="I230" s="436"/>
      <c r="J230" s="525"/>
      <c r="K230" s="525"/>
      <c r="L230" s="1004"/>
      <c r="M230" s="436"/>
    </row>
    <row r="231" spans="1:13" ht="15.75" customHeight="1">
      <c r="A231" s="996">
        <f>+A230+1</f>
        <v>144</v>
      </c>
      <c r="B231" s="23"/>
      <c r="C231" s="390" t="s">
        <v>968</v>
      </c>
      <c r="D231" s="32"/>
      <c r="E231" s="60"/>
      <c r="F231" s="1078" t="str">
        <f>"(Line "&amp;A$26&amp;")"</f>
        <v>(Line 14)</v>
      </c>
      <c r="G231" s="1095"/>
      <c r="H231" s="960">
        <f>+H26</f>
        <v>0.15121242645330121</v>
      </c>
      <c r="I231" s="436"/>
      <c r="J231" s="525"/>
      <c r="K231" s="525"/>
      <c r="L231" s="1004"/>
      <c r="M231" s="436"/>
    </row>
    <row r="232" spans="1:13" ht="15.75" customHeight="1">
      <c r="A232" s="996">
        <f>+A231+1</f>
        <v>145</v>
      </c>
      <c r="B232" s="23"/>
      <c r="C232" s="49" t="s">
        <v>974</v>
      </c>
      <c r="D232" s="17"/>
      <c r="E232" s="71"/>
      <c r="F232" s="1065" t="str">
        <f>"(Line "&amp;A229&amp;" *  "&amp;A230&amp;" * "&amp;A231&amp;")"</f>
        <v>(Line 142 *  143 * 144)</v>
      </c>
      <c r="G232" s="97"/>
      <c r="H232" s="974">
        <f>+H229*H230*H231</f>
        <v>0</v>
      </c>
      <c r="I232" s="436"/>
      <c r="J232" s="525"/>
      <c r="K232" s="525"/>
      <c r="L232" s="1004"/>
      <c r="M232" s="436"/>
    </row>
    <row r="233" spans="1:13" ht="15.75" customHeight="1">
      <c r="A233" s="996"/>
      <c r="B233" s="23"/>
      <c r="C233" s="59"/>
      <c r="D233" s="25"/>
      <c r="E233" s="79"/>
      <c r="F233" s="1093"/>
      <c r="G233" s="97"/>
      <c r="H233" s="975"/>
      <c r="I233" s="436"/>
      <c r="J233" s="525"/>
      <c r="K233" s="525"/>
      <c r="L233" s="1004"/>
      <c r="M233" s="436"/>
    </row>
    <row r="234" spans="1:13" ht="15.75" customHeight="1">
      <c r="A234" s="996">
        <f>+A232+1</f>
        <v>146</v>
      </c>
      <c r="B234" s="454" t="s">
        <v>1003</v>
      </c>
      <c r="C234" s="26"/>
      <c r="D234" s="21" t="s">
        <v>1005</v>
      </c>
      <c r="E234" s="391"/>
      <c r="F234" s="1065" t="str">
        <f>"[Line "&amp;A226&amp;" * "&amp;A217&amp;" * (1-("&amp;A212&amp;" / "&amp;A215&amp;"))]"</f>
        <v>[Line 141 * 136 * (1-(132 / 135))]</v>
      </c>
      <c r="G234" s="97"/>
      <c r="H234" s="546">
        <f>+H226*(1-H212/H215)*H217</f>
        <v>17522555.714933932</v>
      </c>
      <c r="I234" s="436"/>
      <c r="J234" s="525"/>
      <c r="K234" s="525"/>
      <c r="L234" s="1004"/>
      <c r="M234" s="436"/>
    </row>
    <row r="235" spans="1:13" ht="15.75" customHeight="1">
      <c r="A235" s="996"/>
      <c r="B235" s="23"/>
      <c r="C235" s="24"/>
      <c r="D235" s="25"/>
      <c r="E235" s="69"/>
      <c r="F235" s="1085"/>
      <c r="G235" s="97"/>
      <c r="H235" s="976"/>
      <c r="I235" s="436"/>
      <c r="J235" s="525"/>
      <c r="K235" s="525"/>
      <c r="L235" s="1004"/>
      <c r="M235" s="436"/>
    </row>
    <row r="236" spans="1:13" ht="16.5" customHeight="1" thickBot="1">
      <c r="A236" s="996">
        <f>+A234+1</f>
        <v>147</v>
      </c>
      <c r="B236" s="39" t="s">
        <v>895</v>
      </c>
      <c r="C236" s="39"/>
      <c r="D236" s="37"/>
      <c r="E236" s="64"/>
      <c r="F236" s="1080" t="str">
        <f>"(Line "&amp;A232&amp;" + "&amp;A234&amp;")"</f>
        <v>(Line 145 + 146)</v>
      </c>
      <c r="G236" s="1080"/>
      <c r="H236" s="977">
        <f>+H234+H232</f>
        <v>17522555.714933932</v>
      </c>
      <c r="I236" s="1107"/>
      <c r="J236" s="537">
        <f>$H236*J$103</f>
        <v>15640074.297045343</v>
      </c>
      <c r="K236" s="537">
        <f>$H$236*K103</f>
        <v>705234.13220313087</v>
      </c>
      <c r="L236" s="1037">
        <f>$H$236*L103</f>
        <v>1313405.4521598986</v>
      </c>
      <c r="M236" s="436"/>
    </row>
    <row r="237" spans="1:13" ht="16.5" customHeight="1" thickTop="1">
      <c r="A237" s="996"/>
      <c r="B237" s="23"/>
      <c r="C237" s="403"/>
      <c r="D237" s="21"/>
      <c r="E237" s="61"/>
      <c r="F237" s="1081"/>
      <c r="G237" s="97"/>
      <c r="H237" s="978"/>
      <c r="I237" s="436"/>
      <c r="J237" s="525"/>
      <c r="K237" s="525"/>
      <c r="L237" s="1004"/>
      <c r="M237" s="436"/>
    </row>
    <row r="238" spans="1:13" ht="15.75" customHeight="1">
      <c r="A238" s="1007" t="s">
        <v>906</v>
      </c>
      <c r="B238" s="29"/>
      <c r="C238" s="1034"/>
      <c r="D238" s="40"/>
      <c r="E238" s="387"/>
      <c r="F238" s="1075"/>
      <c r="G238" s="1021"/>
      <c r="H238" s="949"/>
      <c r="I238" s="1008"/>
      <c r="J238" s="529"/>
      <c r="K238" s="529"/>
      <c r="L238" s="1009"/>
      <c r="M238" s="436"/>
    </row>
    <row r="239" spans="1:13" ht="15.75" customHeight="1">
      <c r="A239" s="1001"/>
      <c r="B239" s="26"/>
      <c r="C239" s="26"/>
      <c r="D239" s="26"/>
      <c r="E239" s="61"/>
      <c r="F239" s="1069"/>
      <c r="G239" s="97"/>
      <c r="H239" s="865"/>
      <c r="I239" s="436"/>
      <c r="J239" s="526"/>
      <c r="K239" s="526"/>
      <c r="L239" s="995"/>
      <c r="M239" s="436"/>
    </row>
    <row r="240" spans="1:13" ht="15.75" customHeight="1">
      <c r="A240" s="1001"/>
      <c r="B240" s="454" t="s">
        <v>896</v>
      </c>
      <c r="C240" s="26"/>
      <c r="D240" s="26"/>
      <c r="E240" s="61"/>
      <c r="F240" s="1069"/>
      <c r="G240" s="97"/>
      <c r="H240" s="865"/>
      <c r="I240" s="436"/>
      <c r="J240" s="526"/>
      <c r="K240" s="526"/>
      <c r="L240" s="995"/>
      <c r="M240" s="436"/>
    </row>
    <row r="241" spans="1:13" ht="15.75" customHeight="1">
      <c r="A241" s="1001">
        <f>+A236+1</f>
        <v>148</v>
      </c>
      <c r="B241" s="26"/>
      <c r="C241" s="26" t="s">
        <v>897</v>
      </c>
      <c r="D241" s="26"/>
      <c r="E241" s="61"/>
      <c r="F241" s="1065" t="str">
        <f>"(Line "&amp;A61&amp;")"</f>
        <v>(Line 37)</v>
      </c>
      <c r="G241" s="97"/>
      <c r="H241" s="539">
        <f>+H61</f>
        <v>852115871.5720427</v>
      </c>
      <c r="I241" s="1003"/>
      <c r="J241" s="539">
        <f>+J61</f>
        <v>773188539.57204247</v>
      </c>
      <c r="K241" s="539">
        <f>+K61</f>
        <v>27574139</v>
      </c>
      <c r="L241" s="1050">
        <f>+L61</f>
        <v>51353193</v>
      </c>
      <c r="M241" s="436"/>
    </row>
    <row r="242" spans="1:13" ht="15.75" customHeight="1">
      <c r="A242" s="996">
        <f>+A241+1</f>
        <v>149</v>
      </c>
      <c r="B242" s="26"/>
      <c r="C242" s="26" t="s">
        <v>998</v>
      </c>
      <c r="D242" s="26"/>
      <c r="E242" s="61"/>
      <c r="F242" s="1078" t="str">
        <f>"(Line "&amp;A100&amp;")"</f>
        <v>(Line 58)</v>
      </c>
      <c r="G242" s="821"/>
      <c r="H242" s="539">
        <f>+H100</f>
        <v>-166996753.17454597</v>
      </c>
      <c r="I242" s="1003"/>
      <c r="J242" s="539">
        <f>+J100</f>
        <v>-161673068.40531519</v>
      </c>
      <c r="K242" s="539">
        <f>+K100</f>
        <v>0</v>
      </c>
      <c r="L242" s="1050">
        <f>+L100</f>
        <v>0</v>
      </c>
      <c r="M242" s="436"/>
    </row>
    <row r="243" spans="1:13" ht="15.75" customHeight="1">
      <c r="A243" s="996">
        <f>+A242+1</f>
        <v>150</v>
      </c>
      <c r="B243" s="23"/>
      <c r="C243" s="6" t="s">
        <v>1002</v>
      </c>
      <c r="D243" s="50"/>
      <c r="E243" s="70"/>
      <c r="F243" s="1065" t="str">
        <f>"(Line "&amp;A102&amp;")"</f>
        <v>(Line 59)</v>
      </c>
      <c r="G243" s="97"/>
      <c r="H243" s="540">
        <f>+H102</f>
        <v>685119118.3974967</v>
      </c>
      <c r="I243" s="982"/>
      <c r="J243" s="540">
        <f>+J102</f>
        <v>611515471.1667273</v>
      </c>
      <c r="K243" s="540">
        <f>+K102</f>
        <v>27574139</v>
      </c>
      <c r="L243" s="1051">
        <f>+L102</f>
        <v>51353193</v>
      </c>
      <c r="M243" s="436"/>
    </row>
    <row r="244" spans="1:13" ht="15.75" customHeight="1">
      <c r="A244" s="996"/>
      <c r="B244" s="23"/>
      <c r="C244" s="402"/>
      <c r="D244" s="25"/>
      <c r="E244" s="391"/>
      <c r="F244" s="1068"/>
      <c r="G244" s="97"/>
      <c r="H244" s="539"/>
      <c r="I244" s="436"/>
      <c r="J244" s="526"/>
      <c r="K244" s="526"/>
      <c r="L244" s="995"/>
      <c r="M244" s="436"/>
    </row>
    <row r="245" spans="1:13" ht="15.75" customHeight="1">
      <c r="A245" s="996">
        <f>+A243+1</f>
        <v>151</v>
      </c>
      <c r="B245" s="21"/>
      <c r="C245" s="402" t="s">
        <v>1060</v>
      </c>
      <c r="D245" s="21"/>
      <c r="E245" s="61"/>
      <c r="F245" s="1065" t="str">
        <f>"(Line "&amp;A135&amp;")"</f>
        <v>(Line 82)</v>
      </c>
      <c r="G245" s="97"/>
      <c r="H245" s="539">
        <f>+H135</f>
        <v>34134782.556556411</v>
      </c>
      <c r="I245" s="1003"/>
      <c r="J245" s="539">
        <f>+J135</f>
        <v>31683757.99781796</v>
      </c>
      <c r="K245" s="539">
        <f>+K135</f>
        <v>1355905.284687879</v>
      </c>
      <c r="L245" s="1050">
        <f>+L135</f>
        <v>1095119.2740505738</v>
      </c>
      <c r="M245" s="413"/>
    </row>
    <row r="246" spans="1:13" ht="15.75" customHeight="1">
      <c r="A246" s="996">
        <f>+A245+1</f>
        <v>152</v>
      </c>
      <c r="B246" s="21"/>
      <c r="C246" s="24" t="s">
        <v>979</v>
      </c>
      <c r="D246" s="21"/>
      <c r="E246" s="61"/>
      <c r="F246" s="1065" t="str">
        <f>"(Line "&amp;A152&amp;")"</f>
        <v>(Line 92)</v>
      </c>
      <c r="G246" s="97"/>
      <c r="H246" s="539">
        <f>+H152</f>
        <v>35275598.890016258</v>
      </c>
      <c r="I246" s="1003"/>
      <c r="J246" s="539">
        <f>+J152</f>
        <v>31754354.890016258</v>
      </c>
      <c r="K246" s="539">
        <f>+K152</f>
        <v>1815497</v>
      </c>
      <c r="L246" s="1050">
        <f>+L152</f>
        <v>1705747</v>
      </c>
      <c r="M246" s="413"/>
    </row>
    <row r="247" spans="1:13" ht="15.75" customHeight="1">
      <c r="A247" s="996">
        <f>+A246+1</f>
        <v>153</v>
      </c>
      <c r="B247" s="23"/>
      <c r="C247" s="402" t="s">
        <v>898</v>
      </c>
      <c r="D247" s="25"/>
      <c r="E247" s="391"/>
      <c r="F247" s="1065" t="str">
        <f>"(Line "&amp;A158&amp;")"</f>
        <v>(Line 94)</v>
      </c>
      <c r="G247" s="97"/>
      <c r="H247" s="539">
        <f>+H158</f>
        <v>15926994.699629104</v>
      </c>
      <c r="I247" s="1003"/>
      <c r="J247" s="539">
        <f>+J158</f>
        <v>7426034.5696291029</v>
      </c>
      <c r="K247" s="539">
        <f>+K158</f>
        <v>8028475</v>
      </c>
      <c r="L247" s="1050">
        <f>+L158</f>
        <v>472485.13</v>
      </c>
      <c r="M247" s="413"/>
    </row>
    <row r="248" spans="1:13" ht="15.75" customHeight="1">
      <c r="A248" s="996">
        <f>+A247+1</f>
        <v>154</v>
      </c>
      <c r="B248" s="23"/>
      <c r="C248" s="403" t="s">
        <v>1024</v>
      </c>
      <c r="D248" s="25"/>
      <c r="E248" s="391"/>
      <c r="F248" s="1065" t="str">
        <f>"(Line "&amp;A217&amp;")"</f>
        <v>(Line 136)</v>
      </c>
      <c r="G248" s="97"/>
      <c r="H248" s="539">
        <f>+H217</f>
        <v>54501259.004762448</v>
      </c>
      <c r="I248" s="1003"/>
      <c r="J248" s="539">
        <f>+J217</f>
        <v>48646085.307665415</v>
      </c>
      <c r="K248" s="539">
        <f>+K217</f>
        <v>2193524.0910915621</v>
      </c>
      <c r="L248" s="1050">
        <f>+L217</f>
        <v>4085148.9868813162</v>
      </c>
      <c r="M248" s="413"/>
    </row>
    <row r="249" spans="1:13" ht="15.75" customHeight="1">
      <c r="A249" s="996">
        <f>+A248+1</f>
        <v>155</v>
      </c>
      <c r="B249" s="23"/>
      <c r="C249" s="403" t="s">
        <v>1025</v>
      </c>
      <c r="D249" s="25"/>
      <c r="E249" s="391"/>
      <c r="F249" s="1065" t="str">
        <f>"(Line "&amp;A236&amp;")"</f>
        <v>(Line 147)</v>
      </c>
      <c r="G249" s="97"/>
      <c r="H249" s="539">
        <f>+H236</f>
        <v>17522555.714933932</v>
      </c>
      <c r="I249" s="1003"/>
      <c r="J249" s="539">
        <f>+J236</f>
        <v>15640074.297045343</v>
      </c>
      <c r="K249" s="539">
        <f>+K236</f>
        <v>705234.13220313087</v>
      </c>
      <c r="L249" s="1050">
        <f>+L236</f>
        <v>1313405.4521598986</v>
      </c>
      <c r="M249" s="413"/>
    </row>
    <row r="250" spans="1:13" ht="16.5" customHeight="1" thickBot="1">
      <c r="A250" s="996"/>
      <c r="B250" s="23"/>
      <c r="C250" s="403"/>
      <c r="D250" s="25"/>
      <c r="E250" s="391"/>
      <c r="F250" s="1068"/>
      <c r="G250" s="97"/>
      <c r="H250" s="539"/>
      <c r="I250" s="1003"/>
      <c r="J250" s="539"/>
      <c r="K250" s="539"/>
      <c r="L250" s="1050"/>
      <c r="M250" s="436"/>
    </row>
    <row r="251" spans="1:13" ht="18.75" customHeight="1" thickBot="1">
      <c r="A251" s="55">
        <f>+A249+1</f>
        <v>156</v>
      </c>
      <c r="B251" s="54"/>
      <c r="C251" s="404" t="s">
        <v>1048</v>
      </c>
      <c r="D251" s="405"/>
      <c r="E251" s="406"/>
      <c r="F251" s="541" t="str">
        <f>"(Sum Lines "&amp;A245&amp;" to "&amp;A249&amp;")"</f>
        <v>(Sum Lines 151 to 155)</v>
      </c>
      <c r="G251" s="1112"/>
      <c r="H251" s="541">
        <f>SUM(H249,H248,H247,H246,H245)</f>
        <v>157361190.86589813</v>
      </c>
      <c r="I251" s="983"/>
      <c r="J251" s="541">
        <f>SUM(J249,J248,J247,J246,J245)</f>
        <v>135150307.06217408</v>
      </c>
      <c r="K251" s="541">
        <f>SUM(K249,K248,K247,K246,K245)</f>
        <v>14098635.507982573</v>
      </c>
      <c r="L251" s="1052">
        <f>SUM(L249,L248,L247,L246,L245)</f>
        <v>8671905.8430917896</v>
      </c>
      <c r="M251" s="436"/>
    </row>
    <row r="252" spans="1:13" ht="18" customHeight="1">
      <c r="A252" s="1053"/>
      <c r="B252" s="75"/>
      <c r="C252" s="407"/>
      <c r="D252" s="408"/>
      <c r="E252" s="409"/>
      <c r="F252" s="1091"/>
      <c r="G252" s="97"/>
      <c r="H252" s="979"/>
      <c r="I252" s="436"/>
      <c r="J252" s="526"/>
      <c r="K252" s="526"/>
      <c r="L252" s="995"/>
      <c r="M252" s="436"/>
    </row>
    <row r="253" spans="1:13" ht="18" customHeight="1">
      <c r="A253" s="1053"/>
      <c r="B253" s="59" t="s">
        <v>946</v>
      </c>
      <c r="C253" s="407"/>
      <c r="D253" s="408"/>
      <c r="E253" s="409"/>
      <c r="F253" s="1091"/>
      <c r="G253" s="97"/>
      <c r="H253" s="979"/>
      <c r="I253" s="436"/>
      <c r="J253" s="526"/>
      <c r="K253" s="526"/>
      <c r="L253" s="995"/>
      <c r="M253" s="436"/>
    </row>
    <row r="254" spans="1:13" ht="18" customHeight="1">
      <c r="A254" s="666">
        <f>+A251+1</f>
        <v>157</v>
      </c>
      <c r="B254" s="69"/>
      <c r="C254" s="402" t="str">
        <f>+C31</f>
        <v>Transmission Plant In Service</v>
      </c>
      <c r="D254" s="408"/>
      <c r="E254" s="409"/>
      <c r="F254" s="1071" t="str">
        <f>"(Line "&amp;A33&amp;")"</f>
        <v>(Line 17)</v>
      </c>
      <c r="G254" s="97"/>
      <c r="H254" s="528">
        <f>+H33</f>
        <v>1165779369.4166667</v>
      </c>
      <c r="I254" s="410"/>
      <c r="J254" s="528">
        <f>+J33</f>
        <v>989998221.41666663</v>
      </c>
      <c r="K254" s="528">
        <f>+K33</f>
        <v>88241226</v>
      </c>
      <c r="L254" s="1005">
        <f>+L33</f>
        <v>87539922</v>
      </c>
      <c r="M254" s="436"/>
    </row>
    <row r="255" spans="1:13" ht="18" customHeight="1">
      <c r="A255" s="666">
        <f>+A254+1</f>
        <v>158</v>
      </c>
      <c r="B255" s="69"/>
      <c r="C255" s="411" t="s">
        <v>947</v>
      </c>
      <c r="D255" s="412"/>
      <c r="E255" s="73" t="str">
        <f>"(Note "&amp;B$305&amp;")"</f>
        <v>(Note M)</v>
      </c>
      <c r="F255" s="1073" t="s">
        <v>827</v>
      </c>
      <c r="G255" s="821"/>
      <c r="H255" s="542">
        <f>+J255+K255+L255</f>
        <v>156385956</v>
      </c>
      <c r="I255" s="984"/>
      <c r="J255" s="542">
        <f>'5 - Cost Support'!H121</f>
        <v>150886417</v>
      </c>
      <c r="K255" s="542">
        <f>'5 - Cost Support'!H120</f>
        <v>5499539</v>
      </c>
      <c r="L255" s="1054">
        <f>'5 - Cost Support'!H122</f>
        <v>0</v>
      </c>
      <c r="M255" s="436"/>
    </row>
    <row r="256" spans="1:13" ht="18" customHeight="1">
      <c r="A256" s="666">
        <f>+A255+1</f>
        <v>159</v>
      </c>
      <c r="B256" s="69"/>
      <c r="C256" s="402" t="s">
        <v>948</v>
      </c>
      <c r="D256" s="408"/>
      <c r="E256" s="1646"/>
      <c r="F256" s="1071" t="str">
        <f>"(Line "&amp;A254&amp;" - "&amp;A255&amp;")"</f>
        <v>(Line 157 - 158)</v>
      </c>
      <c r="G256" s="97"/>
      <c r="H256" s="528">
        <f>+H254-H255</f>
        <v>1009393413.4166667</v>
      </c>
      <c r="I256" s="410"/>
      <c r="J256" s="528">
        <f>+J254-J255</f>
        <v>839111804.41666663</v>
      </c>
      <c r="K256" s="528">
        <f>+K254-K255</f>
        <v>82741687</v>
      </c>
      <c r="L256" s="1005">
        <f>+L254-L255</f>
        <v>87539922</v>
      </c>
      <c r="M256" s="436"/>
    </row>
    <row r="257" spans="1:13" s="15" customFormat="1" ht="18" customHeight="1">
      <c r="A257" s="666">
        <f>+A256+1</f>
        <v>160</v>
      </c>
      <c r="B257" s="69"/>
      <c r="C257" s="402" t="s">
        <v>949</v>
      </c>
      <c r="D257" s="408"/>
      <c r="E257" s="1646"/>
      <c r="F257" s="1071" t="str">
        <f>"(Line "&amp;A256&amp;" / "&amp;A254&amp;")"</f>
        <v>(Line 159 / 157)</v>
      </c>
      <c r="G257" s="105"/>
      <c r="H257" s="1190">
        <f>+H256/H254</f>
        <v>0.86585287053222393</v>
      </c>
      <c r="I257" s="413"/>
      <c r="J257" s="1190">
        <f>+J256/J254</f>
        <v>0.84758920396434179</v>
      </c>
      <c r="K257" s="1190">
        <f>+K256/K254</f>
        <v>0.93767608124574331</v>
      </c>
      <c r="L257" s="1191">
        <f>+L256/L254</f>
        <v>1</v>
      </c>
      <c r="M257" s="413"/>
    </row>
    <row r="258" spans="1:13" ht="18" customHeight="1">
      <c r="A258" s="666">
        <f>+A257+1</f>
        <v>161</v>
      </c>
      <c r="B258" s="69"/>
      <c r="C258" s="411" t="s">
        <v>1048</v>
      </c>
      <c r="D258" s="412"/>
      <c r="E258" s="1647"/>
      <c r="F258" s="1073" t="str">
        <f>"(Line "&amp;A251&amp;")"</f>
        <v>(Line 156)</v>
      </c>
      <c r="G258" s="821"/>
      <c r="H258" s="542">
        <f>+H251</f>
        <v>157361190.86589813</v>
      </c>
      <c r="I258" s="984"/>
      <c r="J258" s="542">
        <f>+J251</f>
        <v>135150307.06217408</v>
      </c>
      <c r="K258" s="542">
        <f>+K251</f>
        <v>14098635.507982573</v>
      </c>
      <c r="L258" s="1054">
        <f>+L251</f>
        <v>8671905.8430917896</v>
      </c>
      <c r="M258" s="436"/>
    </row>
    <row r="259" spans="1:13" ht="18" customHeight="1">
      <c r="A259" s="666">
        <f>+A258+1</f>
        <v>162</v>
      </c>
      <c r="B259" s="69"/>
      <c r="C259" s="11" t="s">
        <v>950</v>
      </c>
      <c r="D259" s="408"/>
      <c r="E259" s="1648"/>
      <c r="F259" s="1071" t="str">
        <f>"(Line "&amp;A257&amp;" * "&amp;A258&amp;")"</f>
        <v>(Line 160 * 161)</v>
      </c>
      <c r="G259" s="97"/>
      <c r="H259" s="543">
        <f>+H258*H257</f>
        <v>136251638.82160708</v>
      </c>
      <c r="I259" s="78"/>
      <c r="J259" s="543">
        <f>+J258*J257</f>
        <v>114551941.17836449</v>
      </c>
      <c r="K259" s="543">
        <f>+K258*K257</f>
        <v>13219953.294037187</v>
      </c>
      <c r="L259" s="1031">
        <f>+L258*L257</f>
        <v>8671905.8430917896</v>
      </c>
      <c r="M259" s="436"/>
    </row>
    <row r="260" spans="1:13" ht="15.75" customHeight="1">
      <c r="A260" s="1022"/>
      <c r="B260" s="23"/>
      <c r="C260" s="402"/>
      <c r="D260" s="25"/>
      <c r="E260" s="1649"/>
      <c r="F260" s="1068"/>
      <c r="G260" s="97"/>
      <c r="H260" s="545"/>
      <c r="I260" s="436"/>
      <c r="J260" s="526"/>
      <c r="K260" s="526"/>
      <c r="L260" s="995"/>
      <c r="M260" s="436"/>
    </row>
    <row r="261" spans="1:13" ht="15.75" customHeight="1">
      <c r="A261" s="1022"/>
      <c r="B261" s="59" t="s">
        <v>177</v>
      </c>
      <c r="C261" s="402"/>
      <c r="D261" s="25"/>
      <c r="E261" s="1649"/>
      <c r="F261" s="1068"/>
      <c r="G261" s="97"/>
      <c r="H261" s="545"/>
      <c r="I261" s="436"/>
      <c r="J261" s="526"/>
      <c r="K261" s="526"/>
      <c r="L261" s="995"/>
      <c r="M261" s="436"/>
    </row>
    <row r="262" spans="1:13" ht="15.75" customHeight="1">
      <c r="A262" s="666">
        <f>+A259+1</f>
        <v>163</v>
      </c>
      <c r="B262" s="26"/>
      <c r="C262" s="103" t="s">
        <v>901</v>
      </c>
      <c r="D262" s="25"/>
      <c r="E262" s="1650"/>
      <c r="F262" s="1068" t="s">
        <v>828</v>
      </c>
      <c r="G262" s="97"/>
      <c r="H262" s="980">
        <f>+'3 - Revenue Credits'!D22</f>
        <v>21234052.153490808</v>
      </c>
      <c r="I262" s="436"/>
      <c r="J262" s="525">
        <f>+'3 - Revenue Credits'!F22</f>
        <v>20523041.499760032</v>
      </c>
      <c r="K262" s="525">
        <f>+'3 - Revenue Credits'!G22</f>
        <v>24750.715044039815</v>
      </c>
      <c r="L262" s="1004">
        <f>+'3 - Revenue Credits'!H22</f>
        <v>686259.93868673756</v>
      </c>
      <c r="M262" s="436"/>
    </row>
    <row r="263" spans="1:13" ht="15.75" customHeight="1">
      <c r="A263" s="666">
        <f>+A262+1</f>
        <v>164</v>
      </c>
      <c r="B263" s="26"/>
      <c r="C263" s="59" t="s">
        <v>176</v>
      </c>
      <c r="D263" s="25"/>
      <c r="E263" s="71" t="str">
        <f>"(Note "&amp;B$306&amp;")"</f>
        <v>(Note N)</v>
      </c>
      <c r="F263" s="1068" t="s">
        <v>827</v>
      </c>
      <c r="G263" s="97"/>
      <c r="H263" s="980">
        <f>J263+K263+L263</f>
        <v>0</v>
      </c>
      <c r="I263" s="436"/>
      <c r="J263" s="526">
        <f>'5 - Cost Support'!H227</f>
        <v>0</v>
      </c>
      <c r="K263" s="526">
        <v>0</v>
      </c>
      <c r="L263" s="995">
        <v>0</v>
      </c>
      <c r="M263" s="436"/>
    </row>
    <row r="264" spans="1:13" ht="16.5" customHeight="1" thickBot="1">
      <c r="A264" s="996"/>
      <c r="B264" s="23"/>
      <c r="C264" s="36"/>
      <c r="D264" s="36"/>
      <c r="E264" s="1651"/>
      <c r="F264" s="1068"/>
      <c r="G264" s="97"/>
      <c r="H264" s="545"/>
      <c r="I264" s="436"/>
      <c r="J264" s="526"/>
      <c r="K264" s="526"/>
      <c r="L264" s="995"/>
      <c r="M264" s="436"/>
    </row>
    <row r="265" spans="1:13" s="1" customFormat="1" ht="18.75" customHeight="1" thickBot="1">
      <c r="A265" s="55">
        <f>+A263+1</f>
        <v>165</v>
      </c>
      <c r="B265" s="1113"/>
      <c r="C265" s="1114" t="s">
        <v>1059</v>
      </c>
      <c r="D265" s="1115"/>
      <c r="E265" s="1116"/>
      <c r="F265" s="1094" t="str">
        <f>"(Line "&amp;A259&amp;" - "&amp;A262&amp;" + "&amp;A263&amp;")"</f>
        <v>(Line 162 - 163 + 164)</v>
      </c>
      <c r="G265" s="1112"/>
      <c r="H265" s="541">
        <f>+H259-H262+H263</f>
        <v>115017586.66811627</v>
      </c>
      <c r="I265" s="983"/>
      <c r="J265" s="541">
        <f>+J259-J262+J263</f>
        <v>94028899.678604454</v>
      </c>
      <c r="K265" s="541">
        <f>+K259-K262+K263</f>
        <v>13195202.578993147</v>
      </c>
      <c r="L265" s="1052">
        <f>+L259-L262+L263</f>
        <v>7985645.9044050518</v>
      </c>
      <c r="M265" s="1015"/>
    </row>
    <row r="266" spans="1:13" ht="15.75" customHeight="1">
      <c r="A266" s="1022"/>
      <c r="B266" s="23"/>
      <c r="C266" s="36"/>
      <c r="D266" s="36"/>
      <c r="E266" s="61"/>
      <c r="F266" s="1068"/>
      <c r="G266" s="97"/>
      <c r="H266" s="545"/>
      <c r="I266" s="436"/>
      <c r="J266" s="526"/>
      <c r="K266" s="526"/>
      <c r="L266" s="995"/>
      <c r="M266" s="436"/>
    </row>
    <row r="267" spans="1:13" ht="15.75" customHeight="1">
      <c r="A267" s="666"/>
      <c r="B267" s="77" t="s">
        <v>1100</v>
      </c>
      <c r="C267" s="36"/>
      <c r="D267" s="36"/>
      <c r="E267" s="61"/>
      <c r="F267" s="1068"/>
      <c r="G267" s="97"/>
      <c r="H267" s="545"/>
      <c r="I267" s="436"/>
      <c r="J267" s="526"/>
      <c r="K267" s="526"/>
      <c r="L267" s="995"/>
      <c r="M267" s="436"/>
    </row>
    <row r="268" spans="1:13" ht="15.75" customHeight="1">
      <c r="A268" s="666">
        <f>+A265+1</f>
        <v>166</v>
      </c>
      <c r="B268" s="69"/>
      <c r="C268" s="36" t="str">
        <f>+C251</f>
        <v>Gross Revenue Requirement</v>
      </c>
      <c r="D268" s="36"/>
      <c r="E268" s="74"/>
      <c r="F268" s="1087" t="str">
        <f>"(Line "&amp;A251&amp;")"</f>
        <v>(Line 156)</v>
      </c>
      <c r="G268" s="105"/>
      <c r="H268" s="546">
        <f>+H259</f>
        <v>136251638.82160708</v>
      </c>
      <c r="I268" s="668"/>
      <c r="J268" s="544">
        <f>+J259</f>
        <v>114551941.17836449</v>
      </c>
      <c r="K268" s="544">
        <f>+K259</f>
        <v>13219953.294037187</v>
      </c>
      <c r="L268" s="1055">
        <f>+L259</f>
        <v>8671905.8430917896</v>
      </c>
      <c r="M268" s="436"/>
    </row>
    <row r="269" spans="1:13" ht="15.75" customHeight="1">
      <c r="A269" s="666">
        <f>+A268+1</f>
        <v>167</v>
      </c>
      <c r="B269" s="69"/>
      <c r="C269" s="36" t="s">
        <v>159</v>
      </c>
      <c r="D269" s="36"/>
      <c r="E269" s="74"/>
      <c r="F269" s="1087" t="str">
        <f>"(Line "&amp;A31&amp;" - "&amp;A47&amp;")"</f>
        <v>(Line 15 - 26)</v>
      </c>
      <c r="G269" s="105"/>
      <c r="H269" s="546">
        <f>+H31-H47</f>
        <v>795723443</v>
      </c>
      <c r="I269" s="668"/>
      <c r="J269" s="544">
        <f>+J31-J47</f>
        <v>716796111</v>
      </c>
      <c r="K269" s="544">
        <f>+K31-K47</f>
        <v>27574139</v>
      </c>
      <c r="L269" s="1055">
        <f>+L31-L47</f>
        <v>51353193</v>
      </c>
      <c r="M269" s="436"/>
    </row>
    <row r="270" spans="1:13" ht="15.75" customHeight="1">
      <c r="A270" s="666">
        <f>+A269+1</f>
        <v>168</v>
      </c>
      <c r="B270" s="69"/>
      <c r="C270" s="36" t="s">
        <v>1104</v>
      </c>
      <c r="D270" s="36"/>
      <c r="E270" s="74"/>
      <c r="F270" s="1087" t="str">
        <f>"(Line "&amp;A251&amp;" / "&amp;A269&amp;")"</f>
        <v>(Line 156 / 167)</v>
      </c>
      <c r="G270" s="105"/>
      <c r="H270" s="947">
        <f>+H251/H269</f>
        <v>0.19775864623596132</v>
      </c>
      <c r="I270" s="667"/>
      <c r="J270" s="545">
        <f>+J268/J269</f>
        <v>0.15981105285093333</v>
      </c>
      <c r="K270" s="545">
        <f>+K268/K269</f>
        <v>0.47943304028594286</v>
      </c>
      <c r="L270" s="1056">
        <f>+L268/L269</f>
        <v>0.16886789966676055</v>
      </c>
      <c r="M270" s="436"/>
    </row>
    <row r="271" spans="1:13" ht="15.75" customHeight="1">
      <c r="A271" s="666">
        <f>+A270+1</f>
        <v>169</v>
      </c>
      <c r="B271" s="69"/>
      <c r="C271" s="36" t="s">
        <v>1105</v>
      </c>
      <c r="D271" s="36"/>
      <c r="E271" s="74"/>
      <c r="F271" s="1087" t="str">
        <f>"(Line "&amp;A251&amp;" - "&amp;A140&amp;") / "&amp;A269</f>
        <v>(Line 156 - 83) / 167</v>
      </c>
      <c r="G271" s="105"/>
      <c r="H271" s="947">
        <f>(H251-H140)/H269</f>
        <v>0.15952521693632965</v>
      </c>
      <c r="I271" s="667"/>
      <c r="J271" s="545">
        <f>(J268-J140)/J269</f>
        <v>0.12228016842346469</v>
      </c>
      <c r="K271" s="545">
        <f>(K268-K140)/K269</f>
        <v>0.41359247133835031</v>
      </c>
      <c r="L271" s="1056">
        <f>(L268-L140)/L269</f>
        <v>0.13565191249338263</v>
      </c>
      <c r="M271" s="436"/>
    </row>
    <row r="272" spans="1:13" ht="15.75" customHeight="1">
      <c r="A272" s="666">
        <f>+A271+1</f>
        <v>170</v>
      </c>
      <c r="B272" s="69"/>
      <c r="C272" s="36" t="s">
        <v>1106</v>
      </c>
      <c r="D272" s="36"/>
      <c r="E272" s="74"/>
      <c r="F272" s="1087" t="str">
        <f>"(Line "&amp;A251&amp;" - "&amp;A140&amp;" - "&amp;A217&amp;" - "&amp;A236&amp;") / "&amp;A269</f>
        <v>(Line 156 - 83 - 136 - 147) / 167</v>
      </c>
      <c r="G272" s="105"/>
      <c r="H272" s="947">
        <f>(H251-H140-H217-H236)/H269</f>
        <v>6.9011590181592475E-2</v>
      </c>
      <c r="I272" s="667"/>
      <c r="J272" s="545">
        <f>(J268-J140-J217-J236)/J269</f>
        <v>3.2594749350772813E-2</v>
      </c>
      <c r="K272" s="545">
        <f>(K268-K140-K217-K236)/K269</f>
        <v>0.30846649720386538</v>
      </c>
      <c r="L272" s="1056">
        <f>(L268-L140-L217-L236)/L269</f>
        <v>3.0525938358897661E-2</v>
      </c>
      <c r="M272" s="436"/>
    </row>
    <row r="273" spans="1:164" ht="15.75" customHeight="1">
      <c r="A273" s="666"/>
      <c r="B273" s="69"/>
      <c r="C273" s="36"/>
      <c r="D273" s="36"/>
      <c r="E273" s="74"/>
      <c r="F273" s="1087"/>
      <c r="G273" s="105"/>
      <c r="H273" s="947"/>
      <c r="I273" s="436"/>
      <c r="J273" s="526"/>
      <c r="K273" s="526"/>
      <c r="L273" s="995"/>
      <c r="M273" s="436"/>
    </row>
    <row r="274" spans="1:164" ht="15.75" customHeight="1">
      <c r="A274" s="666"/>
      <c r="B274" s="77" t="s">
        <v>1101</v>
      </c>
      <c r="C274" s="36"/>
      <c r="D274" s="36"/>
      <c r="E274" s="74"/>
      <c r="F274" s="1087"/>
      <c r="G274" s="105"/>
      <c r="H274" s="947"/>
      <c r="I274" s="436"/>
      <c r="J274" s="525"/>
      <c r="K274" s="525"/>
      <c r="L274" s="1004"/>
      <c r="M274" s="436"/>
    </row>
    <row r="275" spans="1:164" ht="15.75" customHeight="1">
      <c r="A275" s="666">
        <f>+A272+1</f>
        <v>171</v>
      </c>
      <c r="B275" s="69"/>
      <c r="C275" s="36" t="s">
        <v>536</v>
      </c>
      <c r="D275" s="36"/>
      <c r="E275" s="74"/>
      <c r="F275" s="1087" t="str">
        <f>"(Line "&amp;A251&amp;" - "&amp;A248&amp;" - "&amp;A249&amp;")"</f>
        <v>(Line 156 - 154 - 155)</v>
      </c>
      <c r="G275" s="105"/>
      <c r="H275" s="546">
        <f>+H251-H248-H249</f>
        <v>85337376.14620176</v>
      </c>
      <c r="I275" s="668"/>
      <c r="J275" s="544">
        <f>+J259-J248-J249</f>
        <v>50265781.573653728</v>
      </c>
      <c r="K275" s="544">
        <f>+K259-K248-K249</f>
        <v>10321195.070742495</v>
      </c>
      <c r="L275" s="1055">
        <f>+L259-L248-L249</f>
        <v>3273351.4040505756</v>
      </c>
      <c r="M275" s="436"/>
    </row>
    <row r="276" spans="1:164" ht="16.5" customHeight="1">
      <c r="A276" s="666">
        <f>+A275+1</f>
        <v>172</v>
      </c>
      <c r="B276" s="69"/>
      <c r="C276" s="36" t="s">
        <v>450</v>
      </c>
      <c r="D276" s="36"/>
      <c r="E276" s="61"/>
      <c r="F276" s="1087" t="s">
        <v>1165</v>
      </c>
      <c r="G276" s="105"/>
      <c r="H276" s="546">
        <f>+'4 - 100 Basis Pt ROE'!G9</f>
        <v>77132431.546207741</v>
      </c>
      <c r="I276" s="436"/>
      <c r="J276" s="546">
        <f>+$H276*J103</f>
        <v>68845948.029505327</v>
      </c>
      <c r="K276" s="546">
        <f>+$H276*K103</f>
        <v>3104365.8420128077</v>
      </c>
      <c r="L276" s="546">
        <f>+$H276*L103</f>
        <v>5781471.4804872498</v>
      </c>
      <c r="M276" s="436"/>
    </row>
    <row r="277" spans="1:164" ht="16.5" customHeight="1">
      <c r="A277" s="666">
        <f>+A276+1</f>
        <v>173</v>
      </c>
      <c r="B277" s="69"/>
      <c r="C277" s="36" t="s">
        <v>537</v>
      </c>
      <c r="D277" s="36"/>
      <c r="E277" s="61"/>
      <c r="F277" s="1087" t="str">
        <f>"(Line "&amp;A275&amp;" + "&amp;A276&amp;")"</f>
        <v>(Line 171 + 172)</v>
      </c>
      <c r="G277" s="97"/>
      <c r="H277" s="544">
        <f>+H276+H275</f>
        <v>162469807.69240952</v>
      </c>
      <c r="I277" s="668"/>
      <c r="J277" s="544">
        <f>+J276+J275</f>
        <v>119111729.60315906</v>
      </c>
      <c r="K277" s="544">
        <f>+K276+K275</f>
        <v>13425560.912755303</v>
      </c>
      <c r="L277" s="1055">
        <f>+L276+L275</f>
        <v>9054822.8845378254</v>
      </c>
      <c r="M277" s="436"/>
    </row>
    <row r="278" spans="1:164" ht="15.75" customHeight="1">
      <c r="A278" s="666">
        <f>+A277+1</f>
        <v>174</v>
      </c>
      <c r="B278" s="69"/>
      <c r="C278" s="36" t="str">
        <f>+C269</f>
        <v>Net Transmission Plant</v>
      </c>
      <c r="D278" s="36"/>
      <c r="E278" s="61"/>
      <c r="F278" s="1068" t="str">
        <f>"(Line "&amp;A31&amp;" - "&amp;A47&amp;")"</f>
        <v>(Line 15 - 26)</v>
      </c>
      <c r="G278" s="97"/>
      <c r="H278" s="544">
        <f>+H269</f>
        <v>795723443</v>
      </c>
      <c r="I278" s="668"/>
      <c r="J278" s="544">
        <f>+J269</f>
        <v>716796111</v>
      </c>
      <c r="K278" s="544">
        <f>+K269</f>
        <v>27574139</v>
      </c>
      <c r="L278" s="1055">
        <f>+L269</f>
        <v>51353193</v>
      </c>
      <c r="M278" s="436"/>
    </row>
    <row r="279" spans="1:164" ht="15.75" customHeight="1">
      <c r="A279" s="666">
        <f>+A278+1</f>
        <v>175</v>
      </c>
      <c r="B279" s="69"/>
      <c r="C279" s="36" t="s">
        <v>1102</v>
      </c>
      <c r="D279" s="36"/>
      <c r="E279" s="61"/>
      <c r="F279" s="1068" t="str">
        <f>"(Line "&amp;A277&amp;" / "&amp;A278&amp;")"</f>
        <v>(Line 173 / 174)</v>
      </c>
      <c r="G279" s="97"/>
      <c r="H279" s="545">
        <f>+H277/H278</f>
        <v>0.20417873712489015</v>
      </c>
      <c r="I279" s="667"/>
      <c r="J279" s="545">
        <f>+J277/J278</f>
        <v>0.16617239934098785</v>
      </c>
      <c r="K279" s="545">
        <f>+K277/K278</f>
        <v>0.48688957841096336</v>
      </c>
      <c r="L279" s="1056">
        <f>+L277/L278</f>
        <v>0.17632443779178103</v>
      </c>
      <c r="M279" s="436"/>
    </row>
    <row r="280" spans="1:164" ht="15.75" customHeight="1">
      <c r="A280" s="666">
        <f>+A279+1</f>
        <v>176</v>
      </c>
      <c r="B280" s="69"/>
      <c r="C280" s="36" t="s">
        <v>1103</v>
      </c>
      <c r="D280" s="36"/>
      <c r="E280" s="61"/>
      <c r="F280" s="1068" t="str">
        <f>"(Line "&amp;A277&amp;" - "&amp;A140&amp;") / "&amp;A278</f>
        <v>(Line 173 - 83) / 174</v>
      </c>
      <c r="G280" s="97"/>
      <c r="H280" s="545">
        <f>(H277-H140)/H278</f>
        <v>0.16594530782525849</v>
      </c>
      <c r="I280" s="667"/>
      <c r="J280" s="545">
        <f>(J277-J140)/J278</f>
        <v>0.12864151491351919</v>
      </c>
      <c r="K280" s="545">
        <f>(K277-K140)/K278</f>
        <v>0.42104900946337087</v>
      </c>
      <c r="L280" s="1056">
        <f>(L277-L140)/L278</f>
        <v>0.14310845061840313</v>
      </c>
      <c r="M280" s="436"/>
    </row>
    <row r="281" spans="1:164" ht="15.75" customHeight="1">
      <c r="A281" s="666"/>
      <c r="B281" s="69"/>
      <c r="C281" s="36"/>
      <c r="D281" s="36"/>
      <c r="E281" s="61"/>
      <c r="F281" s="1068"/>
      <c r="G281" s="97"/>
      <c r="H281" s="545"/>
      <c r="I281" s="436"/>
      <c r="J281" s="526"/>
      <c r="K281" s="526"/>
      <c r="L281" s="995"/>
      <c r="M281" s="436"/>
    </row>
    <row r="282" spans="1:164" ht="15.75" customHeight="1">
      <c r="A282" s="666">
        <f>+A280+1</f>
        <v>177</v>
      </c>
      <c r="B282" s="69"/>
      <c r="C282" s="77" t="s">
        <v>1059</v>
      </c>
      <c r="D282" s="36"/>
      <c r="E282" s="74"/>
      <c r="F282" s="1068" t="str">
        <f>"(Line "&amp;A265&amp;")"</f>
        <v>(Line 165)</v>
      </c>
      <c r="G282" s="97"/>
      <c r="H282" s="544">
        <f>+H265</f>
        <v>115017586.66811627</v>
      </c>
      <c r="I282" s="668"/>
      <c r="J282" s="544">
        <f>+J265</f>
        <v>94028899.678604454</v>
      </c>
      <c r="K282" s="544">
        <f>+K265</f>
        <v>13195202.578993147</v>
      </c>
      <c r="L282" s="1055">
        <f>+L265</f>
        <v>7985645.9044050518</v>
      </c>
      <c r="M282" s="436"/>
    </row>
    <row r="283" spans="1:164" ht="15.75" customHeight="1">
      <c r="A283" s="666">
        <f>+A282+1</f>
        <v>178</v>
      </c>
      <c r="B283" s="69"/>
      <c r="C283" s="36" t="s">
        <v>451</v>
      </c>
      <c r="D283" s="36"/>
      <c r="E283" s="391"/>
      <c r="F283" s="1076" t="s">
        <v>825</v>
      </c>
      <c r="G283" s="97"/>
      <c r="H283" s="546">
        <f>SUM(J283:L283)</f>
        <v>9736009.5649667513</v>
      </c>
      <c r="I283" s="333"/>
      <c r="J283" s="1844">
        <f>'6 - Est and True up'!I155</f>
        <v>7548662.1140075307</v>
      </c>
      <c r="K283" s="546">
        <f>'6A-Colstrip'!H136</f>
        <v>4474971.2227034811</v>
      </c>
      <c r="L283" s="1057">
        <f>'6B-So Intertie'!H135</f>
        <v>-2287623.771744261</v>
      </c>
      <c r="M283" s="436"/>
    </row>
    <row r="284" spans="1:164" ht="15.75" customHeight="1">
      <c r="A284" s="666">
        <f>+A283+1</f>
        <v>179</v>
      </c>
      <c r="B284" s="69"/>
      <c r="C284" s="155" t="s">
        <v>771</v>
      </c>
      <c r="D284" s="36"/>
      <c r="E284" s="391"/>
      <c r="F284" s="1076" t="s">
        <v>447</v>
      </c>
      <c r="G284" s="97"/>
      <c r="H284" s="546">
        <f>+'7 - Cap Add WS'!M32</f>
        <v>0</v>
      </c>
      <c r="I284" s="333"/>
      <c r="J284" s="546">
        <f>+H284</f>
        <v>0</v>
      </c>
      <c r="K284" s="546">
        <v>0</v>
      </c>
      <c r="L284" s="1057">
        <v>0</v>
      </c>
      <c r="M284" s="436"/>
    </row>
    <row r="285" spans="1:164" ht="15.75" customHeight="1">
      <c r="A285" s="666">
        <f>+A284+1</f>
        <v>180</v>
      </c>
      <c r="B285" s="69"/>
      <c r="C285" s="25" t="s">
        <v>135</v>
      </c>
      <c r="D285" s="151"/>
      <c r="E285" s="71"/>
      <c r="F285" s="1087" t="s">
        <v>879</v>
      </c>
      <c r="G285" s="97"/>
      <c r="H285" s="546">
        <v>0</v>
      </c>
      <c r="I285" s="333"/>
      <c r="J285" s="546">
        <v>0</v>
      </c>
      <c r="K285" s="546">
        <v>0</v>
      </c>
      <c r="L285" s="1057">
        <v>0</v>
      </c>
      <c r="M285" s="436"/>
      <c r="FH285" s="12">
        <f>SUM(A285:FG285)</f>
        <v>180</v>
      </c>
    </row>
    <row r="286" spans="1:164" ht="15.75" customHeight="1">
      <c r="A286" s="666">
        <f>+A285+1</f>
        <v>181</v>
      </c>
      <c r="B286" s="69"/>
      <c r="C286" s="77" t="s">
        <v>775</v>
      </c>
      <c r="D286" s="36"/>
      <c r="E286" s="74"/>
      <c r="F286" s="1068" t="str">
        <f>"(Line "&amp;A282&amp;" - "&amp;A283&amp;" + "&amp;A284&amp;" + "&amp;A285&amp;")"</f>
        <v>(Line 177 - 178 + 179 + 180)</v>
      </c>
      <c r="G286" s="97"/>
      <c r="H286" s="546">
        <f>SUM(H282:H285)</f>
        <v>124753596.23308302</v>
      </c>
      <c r="I286" s="668"/>
      <c r="J286" s="544">
        <f>SUM(J282:J285)</f>
        <v>101577561.79261199</v>
      </c>
      <c r="K286" s="544">
        <f>SUM(K282:K285)</f>
        <v>17670173.801696628</v>
      </c>
      <c r="L286" s="1055">
        <f>SUM(L282:L285)</f>
        <v>5698022.1326607913</v>
      </c>
      <c r="M286" s="436"/>
    </row>
    <row r="287" spans="1:164" ht="15.75" customHeight="1">
      <c r="A287" s="666"/>
      <c r="B287" s="23"/>
      <c r="C287" s="36"/>
      <c r="D287" s="36"/>
      <c r="E287" s="61"/>
      <c r="F287" s="1068"/>
      <c r="G287" s="97"/>
      <c r="H287" s="947"/>
      <c r="I287" s="435"/>
      <c r="J287" s="526"/>
      <c r="K287" s="526"/>
      <c r="L287" s="995"/>
      <c r="M287" s="436"/>
    </row>
    <row r="288" spans="1:164" ht="15.75" customHeight="1">
      <c r="A288" s="666"/>
      <c r="B288" s="103" t="s">
        <v>1416</v>
      </c>
      <c r="C288" s="36"/>
      <c r="D288" s="36"/>
      <c r="E288" s="61"/>
      <c r="F288" s="1068"/>
      <c r="G288" s="97"/>
      <c r="H288" s="947"/>
      <c r="I288" s="435"/>
      <c r="J288" s="526"/>
      <c r="K288" s="526"/>
      <c r="L288" s="995"/>
      <c r="M288" s="436"/>
    </row>
    <row r="289" spans="1:164" ht="15.75" customHeight="1">
      <c r="A289" s="666">
        <f>+A286+1</f>
        <v>182</v>
      </c>
      <c r="B289" s="69"/>
      <c r="C289" s="24" t="s">
        <v>526</v>
      </c>
      <c r="D289" s="669" t="s">
        <v>919</v>
      </c>
      <c r="E289" s="71" t="s">
        <v>914</v>
      </c>
      <c r="F289" s="1066" t="s">
        <v>117</v>
      </c>
      <c r="G289" s="97"/>
      <c r="H289" s="1412">
        <f>+'WKSHT4 - Monthly Tx System Peak'!C26</f>
        <v>4704333.333333333</v>
      </c>
      <c r="I289" s="36"/>
      <c r="J289" s="1412">
        <f>H289</f>
        <v>4704333.333333333</v>
      </c>
      <c r="K289" s="536">
        <f>+'WKSHT4 - Monthly Tx System Peak'!C74</f>
        <v>663000</v>
      </c>
      <c r="L289" s="1044">
        <f>+'WKSHT4 - Monthly Tx System Peak'!C51</f>
        <v>575000</v>
      </c>
      <c r="M289" s="436"/>
    </row>
    <row r="290" spans="1:164" ht="15.75" customHeight="1">
      <c r="A290" s="1014">
        <f>+A289+1</f>
        <v>183</v>
      </c>
      <c r="B290" s="25"/>
      <c r="C290" s="24" t="s">
        <v>1416</v>
      </c>
      <c r="D290" s="1119"/>
      <c r="E290" s="414"/>
      <c r="F290" s="1065" t="str">
        <f>"(Line "&amp;A286&amp;" / "&amp;A289&amp;")"</f>
        <v>(Line 181 / 182)</v>
      </c>
      <c r="G290" s="97"/>
      <c r="H290" s="1189"/>
      <c r="I290" s="1117"/>
      <c r="J290" s="1118">
        <f>+J286/J289</f>
        <v>21.592339359302485</v>
      </c>
      <c r="K290" s="1118">
        <f>+K286/K289</f>
        <v>26.651845854746046</v>
      </c>
      <c r="L290" s="1118">
        <f>+L286/L289</f>
        <v>9.9096037089752897</v>
      </c>
      <c r="M290" s="436"/>
    </row>
    <row r="291" spans="1:164" ht="15.75" customHeight="1" thickBot="1">
      <c r="A291" s="1120">
        <f>+A290+1</f>
        <v>184</v>
      </c>
      <c r="B291" s="1121"/>
      <c r="C291" s="1122" t="s">
        <v>505</v>
      </c>
      <c r="D291" s="1123"/>
      <c r="E291" s="1124"/>
      <c r="F291" s="1125" t="str">
        <f>"(Line "&amp;A289&amp;" / 12)"</f>
        <v>(Line 182 / 12)</v>
      </c>
      <c r="G291" s="1126"/>
      <c r="H291" s="1127"/>
      <c r="I291" s="1128"/>
      <c r="J291" s="1867">
        <f>J290/12</f>
        <v>1.7993616132752071</v>
      </c>
      <c r="K291" s="1129">
        <f>K290/12</f>
        <v>2.2209871545621707</v>
      </c>
      <c r="L291" s="1129">
        <f>L290/12</f>
        <v>0.82580030908127411</v>
      </c>
      <c r="M291" s="436"/>
    </row>
    <row r="292" spans="1:164" s="26" customFormat="1" ht="15.75" customHeight="1">
      <c r="A292" s="58"/>
      <c r="B292" s="59" t="s">
        <v>1054</v>
      </c>
      <c r="C292" s="21"/>
      <c r="D292" s="21"/>
      <c r="E292" s="416"/>
      <c r="F292" s="415"/>
      <c r="H292" s="191"/>
      <c r="I292" s="435"/>
      <c r="J292" s="858"/>
      <c r="K292" s="858"/>
      <c r="L292" s="858"/>
      <c r="M292" s="436"/>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row>
    <row r="293" spans="1:164" ht="15.75" customHeight="1">
      <c r="A293" s="417"/>
      <c r="B293" s="69" t="s">
        <v>921</v>
      </c>
      <c r="C293" s="783" t="s">
        <v>1064</v>
      </c>
      <c r="D293" s="784"/>
      <c r="E293" s="785"/>
      <c r="F293" s="786"/>
      <c r="G293" s="787"/>
      <c r="H293" s="788"/>
      <c r="I293" s="435"/>
      <c r="J293" s="435"/>
      <c r="K293" s="435"/>
      <c r="L293" s="435"/>
      <c r="M293" s="1659"/>
    </row>
    <row r="294" spans="1:164" ht="59.25" customHeight="1">
      <c r="A294" s="386"/>
      <c r="B294" s="1399" t="s">
        <v>1016</v>
      </c>
      <c r="C294" s="1888" t="s">
        <v>620</v>
      </c>
      <c r="D294" s="1888"/>
      <c r="E294" s="1888"/>
      <c r="F294" s="1888"/>
      <c r="G294" s="1888"/>
      <c r="H294" s="1888"/>
      <c r="I294" s="1888"/>
      <c r="J294" s="1888"/>
      <c r="K294" s="1888"/>
      <c r="L294" s="1888"/>
      <c r="M294" s="436"/>
    </row>
    <row r="295" spans="1:164" ht="15.75" customHeight="1">
      <c r="A295" s="386"/>
      <c r="B295" s="69" t="s">
        <v>902</v>
      </c>
      <c r="C295" s="789" t="s">
        <v>1065</v>
      </c>
      <c r="D295" s="783"/>
      <c r="E295" s="790"/>
      <c r="F295" s="791"/>
      <c r="G295" s="1183"/>
      <c r="H295" s="1184"/>
      <c r="I295" s="436"/>
      <c r="J295" s="436"/>
      <c r="K295" s="435"/>
      <c r="L295" s="435"/>
      <c r="M295" s="436"/>
    </row>
    <row r="296" spans="1:164" ht="15.75" customHeight="1">
      <c r="A296" s="386"/>
      <c r="B296" s="69" t="s">
        <v>922</v>
      </c>
      <c r="C296" s="781" t="s">
        <v>532</v>
      </c>
      <c r="D296" s="783"/>
      <c r="E296" s="790"/>
      <c r="F296" s="791"/>
      <c r="G296" s="1183"/>
      <c r="H296" s="1184"/>
      <c r="I296" s="436"/>
      <c r="J296" s="436"/>
      <c r="K296" s="435"/>
      <c r="L296" s="435"/>
      <c r="M296" s="436"/>
    </row>
    <row r="297" spans="1:164" ht="15.75" customHeight="1">
      <c r="A297" s="386"/>
      <c r="B297" s="69" t="s">
        <v>920</v>
      </c>
      <c r="C297" s="782" t="s">
        <v>534</v>
      </c>
      <c r="D297" s="783"/>
      <c r="E297" s="790"/>
      <c r="F297" s="791"/>
      <c r="G297" s="1183"/>
      <c r="H297" s="1184"/>
      <c r="I297" s="436"/>
      <c r="J297" s="436"/>
      <c r="K297" s="435"/>
      <c r="L297" s="435"/>
      <c r="M297" s="436"/>
    </row>
    <row r="298" spans="1:164" ht="15.75" customHeight="1">
      <c r="A298" s="386"/>
      <c r="B298" s="69" t="s">
        <v>197</v>
      </c>
      <c r="C298" s="783" t="s">
        <v>533</v>
      </c>
      <c r="D298" s="783"/>
      <c r="E298" s="790"/>
      <c r="F298" s="791"/>
      <c r="G298" s="1183"/>
      <c r="H298" s="1184"/>
      <c r="I298" s="436"/>
      <c r="J298" s="436"/>
      <c r="K298" s="435"/>
      <c r="L298" s="435"/>
      <c r="M298" s="436"/>
    </row>
    <row r="299" spans="1:164" ht="18">
      <c r="A299" s="386"/>
      <c r="B299" s="1399" t="s">
        <v>923</v>
      </c>
      <c r="C299" s="1891" t="s">
        <v>513</v>
      </c>
      <c r="D299" s="1891"/>
      <c r="E299" s="1891"/>
      <c r="F299" s="1891"/>
      <c r="G299" s="1891"/>
      <c r="H299" s="1891"/>
      <c r="I299" s="1891"/>
      <c r="J299" s="1891"/>
      <c r="K299" s="1891"/>
      <c r="L299" s="1891"/>
      <c r="M299" s="436"/>
    </row>
    <row r="300" spans="1:164" ht="18">
      <c r="A300" s="386"/>
      <c r="B300" s="69" t="s">
        <v>623</v>
      </c>
      <c r="C300" s="12" t="s">
        <v>125</v>
      </c>
      <c r="D300" s="1385"/>
      <c r="E300" s="1385"/>
      <c r="F300" s="1385"/>
      <c r="G300" s="1385"/>
      <c r="H300" s="1385"/>
      <c r="I300" s="1385"/>
      <c r="J300" s="1385"/>
      <c r="K300" s="1385"/>
      <c r="L300" s="1385"/>
      <c r="M300" s="436"/>
    </row>
    <row r="301" spans="1:164" ht="85.5" customHeight="1">
      <c r="A301" s="386"/>
      <c r="B301" s="1399" t="s">
        <v>907</v>
      </c>
      <c r="C301" s="1891" t="s">
        <v>621</v>
      </c>
      <c r="D301" s="1891"/>
      <c r="E301" s="1891"/>
      <c r="F301" s="1891"/>
      <c r="G301" s="1891"/>
      <c r="H301" s="1891"/>
      <c r="I301" s="1891"/>
      <c r="J301" s="1891"/>
      <c r="K301" s="1891"/>
      <c r="L301" s="1891"/>
      <c r="M301" s="436"/>
    </row>
    <row r="302" spans="1:164" ht="32.25" customHeight="1">
      <c r="A302" s="386"/>
      <c r="B302" s="1399" t="s">
        <v>911</v>
      </c>
      <c r="C302" s="1891" t="s">
        <v>37</v>
      </c>
      <c r="D302" s="1891"/>
      <c r="E302" s="1891"/>
      <c r="F302" s="1891"/>
      <c r="G302" s="1891"/>
      <c r="H302" s="1891"/>
      <c r="I302" s="1891"/>
      <c r="J302" s="1891"/>
      <c r="K302" s="1891"/>
      <c r="L302" s="1891"/>
      <c r="M302" s="436"/>
    </row>
    <row r="303" spans="1:164" ht="18">
      <c r="A303" s="386"/>
      <c r="B303" s="69" t="s">
        <v>925</v>
      </c>
      <c r="C303" s="1890" t="s">
        <v>535</v>
      </c>
      <c r="D303" s="1890"/>
      <c r="E303" s="1890"/>
      <c r="F303" s="1890"/>
      <c r="G303" s="1890"/>
      <c r="H303" s="1890"/>
      <c r="I303" s="1890"/>
      <c r="J303" s="1890"/>
      <c r="K303" s="1890"/>
      <c r="L303" s="1890"/>
      <c r="M303" s="436"/>
    </row>
    <row r="304" spans="1:164" ht="15.75" customHeight="1">
      <c r="A304" s="386"/>
      <c r="B304" s="69" t="s">
        <v>983</v>
      </c>
      <c r="C304" s="1893" t="s">
        <v>622</v>
      </c>
      <c r="D304" s="1893"/>
      <c r="E304" s="1893"/>
      <c r="F304" s="1893"/>
      <c r="G304" s="1893"/>
      <c r="H304" s="1893"/>
      <c r="I304" s="1893"/>
      <c r="J304" s="1893"/>
      <c r="K304" s="1893"/>
      <c r="L304" s="1893"/>
      <c r="M304" s="436"/>
    </row>
    <row r="305" spans="1:13" ht="15.75" customHeight="1">
      <c r="A305" s="22"/>
      <c r="B305" s="22" t="s">
        <v>984</v>
      </c>
      <c r="C305" s="782" t="s">
        <v>1098</v>
      </c>
      <c r="D305" s="782"/>
      <c r="E305" s="790"/>
      <c r="F305" s="791"/>
      <c r="G305" s="1185"/>
      <c r="H305" s="1184"/>
      <c r="I305" s="154"/>
      <c r="J305" s="436"/>
      <c r="K305" s="435"/>
      <c r="L305" s="435"/>
      <c r="M305" s="436"/>
    </row>
    <row r="306" spans="1:13" ht="35.25" customHeight="1">
      <c r="A306" s="22"/>
      <c r="B306" s="1399" t="s">
        <v>198</v>
      </c>
      <c r="C306" s="1892" t="s">
        <v>1163</v>
      </c>
      <c r="D306" s="1892"/>
      <c r="E306" s="1892"/>
      <c r="F306" s="1892"/>
      <c r="G306" s="1892"/>
      <c r="H306" s="1892"/>
      <c r="I306" s="1892"/>
      <c r="J306" s="1892"/>
      <c r="K306" s="1892"/>
      <c r="L306" s="1892"/>
      <c r="M306" s="436"/>
    </row>
    <row r="307" spans="1:13" ht="15.75" customHeight="1">
      <c r="A307" s="69"/>
      <c r="B307" s="69" t="s">
        <v>364</v>
      </c>
      <c r="C307" s="783" t="s">
        <v>385</v>
      </c>
      <c r="D307" s="783"/>
      <c r="E307" s="790"/>
      <c r="F307" s="791"/>
      <c r="G307" s="1185"/>
      <c r="H307" s="1184"/>
      <c r="I307" s="154"/>
      <c r="J307" s="436"/>
      <c r="K307" s="435"/>
      <c r="L307" s="435"/>
      <c r="M307" s="436"/>
    </row>
    <row r="308" spans="1:13" ht="15.75" customHeight="1">
      <c r="A308" s="69"/>
      <c r="B308" s="69" t="s">
        <v>387</v>
      </c>
      <c r="C308" s="783" t="s">
        <v>386</v>
      </c>
      <c r="D308" s="783"/>
      <c r="E308" s="790"/>
      <c r="F308" s="791"/>
      <c r="G308" s="1185"/>
      <c r="H308" s="1184"/>
      <c r="I308" s="154"/>
      <c r="J308" s="436"/>
      <c r="K308" s="435"/>
      <c r="L308" s="435"/>
      <c r="M308" s="436"/>
    </row>
    <row r="309" spans="1:13" ht="18">
      <c r="A309" s="69"/>
      <c r="B309" s="69" t="s">
        <v>419</v>
      </c>
      <c r="C309" s="1889" t="s">
        <v>422</v>
      </c>
      <c r="D309" s="1889"/>
      <c r="E309" s="1889"/>
      <c r="F309" s="1889"/>
      <c r="G309" s="1889"/>
      <c r="H309" s="1889"/>
      <c r="I309" s="154"/>
      <c r="J309" s="436"/>
      <c r="K309" s="435"/>
      <c r="L309" s="435"/>
      <c r="M309" s="436"/>
    </row>
    <row r="310" spans="1:13" ht="18">
      <c r="A310" s="69"/>
      <c r="B310" s="69" t="s">
        <v>421</v>
      </c>
      <c r="C310" s="1186" t="s">
        <v>420</v>
      </c>
      <c r="D310" s="1187"/>
      <c r="E310" s="1187"/>
      <c r="F310" s="1187"/>
      <c r="G310" s="1187"/>
      <c r="H310" s="1187"/>
      <c r="I310" s="154"/>
      <c r="J310" s="436"/>
      <c r="K310" s="435"/>
      <c r="L310" s="435"/>
      <c r="M310" s="436"/>
    </row>
    <row r="311" spans="1:13" ht="15" customHeight="1">
      <c r="A311" s="69"/>
      <c r="B311" s="69" t="s">
        <v>1136</v>
      </c>
      <c r="C311" s="25" t="s">
        <v>1164</v>
      </c>
      <c r="D311" s="25"/>
      <c r="E311" s="414"/>
      <c r="F311" s="418"/>
      <c r="G311" s="2"/>
      <c r="H311" s="1188"/>
      <c r="I311" s="154"/>
      <c r="J311" s="436"/>
      <c r="K311" s="435"/>
      <c r="L311" s="435"/>
      <c r="M311" s="436"/>
    </row>
    <row r="312" spans="1:13" ht="15.75">
      <c r="A312" s="69"/>
      <c r="B312" s="12"/>
      <c r="C312" s="12"/>
      <c r="D312" s="25"/>
      <c r="E312" s="414"/>
      <c r="F312" s="418"/>
      <c r="H312" s="191"/>
      <c r="I312" s="56"/>
      <c r="J312" s="56"/>
      <c r="K312" s="56"/>
      <c r="L312" s="56"/>
    </row>
    <row r="313" spans="1:13" ht="15.75">
      <c r="A313" s="69"/>
      <c r="B313" s="69"/>
      <c r="C313" s="12"/>
      <c r="D313" s="25"/>
      <c r="E313" s="414"/>
      <c r="F313" s="418"/>
      <c r="H313" s="191"/>
      <c r="I313" s="56"/>
      <c r="J313" s="56"/>
      <c r="K313" s="56"/>
      <c r="L313" s="56"/>
    </row>
    <row r="314" spans="1:13" ht="15.75">
      <c r="A314" s="69"/>
      <c r="B314" s="69"/>
      <c r="C314" s="25"/>
      <c r="D314" s="25"/>
      <c r="E314" s="414"/>
      <c r="F314" s="418"/>
      <c r="H314" s="191"/>
      <c r="I314" s="56"/>
      <c r="J314" s="56"/>
      <c r="K314" s="56"/>
      <c r="L314" s="56"/>
    </row>
    <row r="315" spans="1:13" ht="15.75">
      <c r="A315" s="13"/>
      <c r="B315" s="4"/>
      <c r="C315" s="3"/>
      <c r="D315" s="14"/>
      <c r="E315" s="106"/>
      <c r="F315" s="5"/>
      <c r="H315" s="7"/>
      <c r="I315" s="56"/>
      <c r="J315" s="56"/>
      <c r="K315" s="56"/>
      <c r="L315" s="56"/>
    </row>
    <row r="316" spans="1:13" ht="15.75">
      <c r="A316" s="52" t="s">
        <v>900</v>
      </c>
      <c r="B316" s="51"/>
      <c r="C316" s="45"/>
      <c r="D316" s="44"/>
      <c r="E316" s="419"/>
      <c r="F316" s="44"/>
      <c r="G316" s="453"/>
      <c r="H316" s="45"/>
      <c r="I316" s="446"/>
      <c r="J316" s="446"/>
      <c r="K316" s="446"/>
      <c r="L316" s="446"/>
    </row>
  </sheetData>
  <mergeCells count="8">
    <mergeCell ref="C294:L294"/>
    <mergeCell ref="C309:H309"/>
    <mergeCell ref="C303:L303"/>
    <mergeCell ref="C302:L302"/>
    <mergeCell ref="C299:L299"/>
    <mergeCell ref="C301:L301"/>
    <mergeCell ref="C306:L306"/>
    <mergeCell ref="C304:L304"/>
  </mergeCells>
  <phoneticPr fontId="66" type="noConversion"/>
  <pageMargins left="0.25" right="0.25" top="0.25" bottom="0.25" header="0.5" footer="0.5"/>
  <pageSetup scale="45" fitToHeight="4" orientation="landscape" r:id="rId1"/>
  <headerFooter alignWithMargins="0"/>
  <rowBreaks count="5" manualBreakCount="5">
    <brk id="62" max="11" man="1"/>
    <brk id="136" max="11" man="1"/>
    <brk id="159" max="11" man="1"/>
    <brk id="237" max="11" man="1"/>
    <brk id="29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45"/>
  <sheetViews>
    <sheetView topLeftCell="A109" zoomScale="75" zoomScaleNormal="75" zoomScaleSheetLayoutView="65" workbookViewId="0">
      <selection activeCell="B139" sqref="B139"/>
    </sheetView>
  </sheetViews>
  <sheetFormatPr defaultRowHeight="12.75"/>
  <cols>
    <col min="1" max="1" width="11.42578125" style="111" customWidth="1"/>
    <col min="2" max="2" width="37.42578125" style="111" customWidth="1"/>
    <col min="3" max="3" width="19.85546875" style="111" customWidth="1"/>
    <col min="4" max="4" width="17" customWidth="1"/>
    <col min="5" max="5" width="16.5703125" customWidth="1"/>
    <col min="6" max="7" width="16.85546875" customWidth="1"/>
    <col min="8" max="9" width="16.5703125" customWidth="1"/>
    <col min="10" max="10" width="72" customWidth="1"/>
    <col min="11" max="11" width="12.85546875" bestFit="1" customWidth="1"/>
    <col min="14" max="14" width="14.140625" customWidth="1"/>
    <col min="15" max="15" width="10.28515625" bestFit="1" customWidth="1"/>
  </cols>
  <sheetData>
    <row r="1" spans="1:12" ht="18">
      <c r="A1" s="1900" t="str">
        <f>+'ATT H-1 '!A3</f>
        <v xml:space="preserve">Puget Sound Energy </v>
      </c>
      <c r="B1" s="1900"/>
      <c r="C1" s="1900"/>
      <c r="D1" s="1901"/>
      <c r="E1" s="1901"/>
      <c r="F1" s="1901"/>
      <c r="G1" s="1901"/>
      <c r="H1" s="1901"/>
      <c r="I1" s="1901"/>
      <c r="J1" s="1902"/>
    </row>
    <row r="2" spans="1:12" ht="18">
      <c r="A2" s="107"/>
      <c r="B2" s="107"/>
      <c r="C2" s="107"/>
      <c r="D2" s="170"/>
      <c r="E2" s="170"/>
      <c r="F2" s="170"/>
      <c r="G2" s="170"/>
      <c r="H2" s="170"/>
      <c r="I2" s="170"/>
      <c r="J2" s="85"/>
    </row>
    <row r="3" spans="1:12" ht="15.75">
      <c r="A3" s="1241" t="s">
        <v>823</v>
      </c>
      <c r="B3" s="173"/>
      <c r="C3" s="173"/>
      <c r="D3" s="174"/>
      <c r="E3" s="174"/>
      <c r="F3" s="174"/>
      <c r="G3" s="174"/>
      <c r="H3" s="174"/>
      <c r="I3" s="174"/>
      <c r="J3" s="174"/>
    </row>
    <row r="4" spans="1:12" ht="15">
      <c r="A4" s="169"/>
      <c r="B4" s="169"/>
      <c r="C4" s="169"/>
      <c r="D4" s="150"/>
      <c r="E4" s="150"/>
      <c r="F4" s="150"/>
      <c r="G4" s="150"/>
      <c r="H4" s="150"/>
      <c r="I4" s="150"/>
      <c r="J4" s="150"/>
    </row>
    <row r="5" spans="1:12">
      <c r="A5" s="127"/>
      <c r="B5" s="127"/>
      <c r="C5" s="127"/>
      <c r="D5" s="2"/>
      <c r="E5" s="2"/>
      <c r="F5" s="87" t="s">
        <v>919</v>
      </c>
      <c r="G5" s="87"/>
      <c r="H5" s="2"/>
      <c r="I5" s="87"/>
      <c r="J5" s="2"/>
    </row>
    <row r="6" spans="1:12">
      <c r="A6" s="127"/>
      <c r="B6" s="127"/>
      <c r="C6" s="127"/>
      <c r="D6" s="2"/>
      <c r="E6" s="178"/>
      <c r="F6" s="128" t="s">
        <v>1108</v>
      </c>
      <c r="G6" s="128" t="s">
        <v>136</v>
      </c>
      <c r="H6" s="128" t="s">
        <v>138</v>
      </c>
      <c r="I6" s="128" t="s">
        <v>1015</v>
      </c>
      <c r="J6" s="2"/>
    </row>
    <row r="7" spans="1:12">
      <c r="A7" s="127"/>
      <c r="B7" s="127"/>
      <c r="C7" s="127"/>
      <c r="D7" s="2"/>
      <c r="E7" s="84"/>
      <c r="F7" s="128" t="s">
        <v>137</v>
      </c>
      <c r="G7" s="128" t="s">
        <v>137</v>
      </c>
      <c r="H7" s="128" t="s">
        <v>137</v>
      </c>
      <c r="I7" s="128" t="s">
        <v>146</v>
      </c>
      <c r="J7" s="2"/>
    </row>
    <row r="8" spans="1:12">
      <c r="A8" s="127"/>
      <c r="B8" s="127"/>
      <c r="C8" s="127"/>
      <c r="D8" s="2"/>
      <c r="E8" s="2"/>
      <c r="F8" s="2"/>
      <c r="G8" s="2"/>
      <c r="H8" s="2"/>
      <c r="I8" s="2"/>
      <c r="J8" s="2"/>
      <c r="L8" s="185"/>
    </row>
    <row r="9" spans="1:12">
      <c r="A9" s="127"/>
      <c r="B9" s="127"/>
      <c r="C9" s="127"/>
      <c r="D9" s="2"/>
      <c r="E9" s="2"/>
      <c r="F9" s="2"/>
      <c r="G9" s="2"/>
      <c r="H9" s="2"/>
      <c r="I9" s="2"/>
      <c r="J9" s="2"/>
    </row>
    <row r="10" spans="1:12">
      <c r="A10" s="127"/>
      <c r="B10" s="127"/>
      <c r="C10" s="127"/>
      <c r="D10" s="182" t="s">
        <v>1110</v>
      </c>
      <c r="E10" s="2"/>
      <c r="F10" s="108">
        <f>+G73</f>
        <v>0</v>
      </c>
      <c r="G10" s="108">
        <f>+H73</f>
        <v>-1205784742</v>
      </c>
      <c r="H10" s="108">
        <f>+I73</f>
        <v>0</v>
      </c>
      <c r="I10" s="108">
        <f>SUM(F10:H10)</f>
        <v>-1205784742</v>
      </c>
      <c r="J10" s="2"/>
    </row>
    <row r="11" spans="1:12">
      <c r="A11" s="127"/>
      <c r="B11" s="127"/>
      <c r="C11" s="127"/>
      <c r="D11" s="182" t="s">
        <v>1111</v>
      </c>
      <c r="E11" s="2"/>
      <c r="F11" s="108">
        <f>+G114</f>
        <v>0</v>
      </c>
      <c r="G11" s="108">
        <f>+H114</f>
        <v>2469672</v>
      </c>
      <c r="H11" s="108">
        <f>+I114</f>
        <v>-62504734.5</v>
      </c>
      <c r="I11" s="108">
        <f>SUM(F11:H11)</f>
        <v>-60035062.5</v>
      </c>
      <c r="J11" s="183"/>
    </row>
    <row r="12" spans="1:12">
      <c r="A12" s="127"/>
      <c r="B12" s="127"/>
      <c r="C12" s="127"/>
      <c r="D12" s="182" t="s">
        <v>1109</v>
      </c>
      <c r="E12" s="2"/>
      <c r="F12" s="108">
        <f>+G49</f>
        <v>0</v>
      </c>
      <c r="G12" s="108">
        <f>+H49</f>
        <v>17788378</v>
      </c>
      <c r="H12" s="108">
        <f>+I49</f>
        <v>73536249.5</v>
      </c>
      <c r="I12" s="108">
        <f>SUM(F12:H12)</f>
        <v>91324627.5</v>
      </c>
      <c r="J12" s="183"/>
    </row>
    <row r="13" spans="1:12">
      <c r="A13" s="127"/>
      <c r="B13" s="127"/>
      <c r="C13" s="127"/>
      <c r="D13" s="182" t="s">
        <v>1063</v>
      </c>
      <c r="E13" s="2"/>
      <c r="F13" s="108">
        <f>SUM(F10:F12)</f>
        <v>0</v>
      </c>
      <c r="G13" s="108">
        <f>SUM(G10:G12)</f>
        <v>-1185526692</v>
      </c>
      <c r="H13" s="108">
        <f>SUM(H10:H12)</f>
        <v>11031515</v>
      </c>
      <c r="I13" s="108">
        <f>SUM(F13:H13)</f>
        <v>-1174495177</v>
      </c>
      <c r="J13" s="108"/>
      <c r="K13" s="1868"/>
      <c r="L13" s="1868"/>
    </row>
    <row r="14" spans="1:12">
      <c r="A14" s="127"/>
      <c r="B14" s="127"/>
      <c r="C14" s="127"/>
      <c r="D14" s="182" t="s">
        <v>986</v>
      </c>
      <c r="E14" s="2"/>
      <c r="F14" s="2"/>
      <c r="G14" s="2"/>
      <c r="H14" s="1240">
        <f>+'ATT H-1 '!H13</f>
        <v>0.11631299673501208</v>
      </c>
      <c r="I14" s="2"/>
      <c r="J14" s="2"/>
    </row>
    <row r="15" spans="1:12">
      <c r="A15" s="127"/>
      <c r="B15" s="127"/>
      <c r="C15" s="127"/>
      <c r="D15" s="182" t="s">
        <v>903</v>
      </c>
      <c r="E15" s="2"/>
      <c r="F15" s="2"/>
      <c r="G15" s="1240">
        <f>+'ATT H-1 '!H23</f>
        <v>0.13996338273478429</v>
      </c>
      <c r="H15" s="2"/>
      <c r="I15" s="2"/>
      <c r="J15" s="2"/>
    </row>
    <row r="16" spans="1:12">
      <c r="A16" s="127"/>
      <c r="B16" s="127"/>
      <c r="C16" s="127"/>
      <c r="D16" s="182" t="s">
        <v>146</v>
      </c>
      <c r="E16" s="2"/>
      <c r="F16" s="108">
        <f>+F13</f>
        <v>0</v>
      </c>
      <c r="G16" s="108">
        <f>+G15*G13</f>
        <v>-165930326.13469872</v>
      </c>
      <c r="H16" s="108">
        <f>+H14*H13</f>
        <v>1283108.5681772367</v>
      </c>
      <c r="I16" s="108">
        <f>SUM(F16:H16)</f>
        <v>-164647217.5665215</v>
      </c>
      <c r="J16" s="2"/>
    </row>
    <row r="17" spans="1:11">
      <c r="A17" s="127"/>
      <c r="B17" s="127"/>
      <c r="C17" s="127"/>
      <c r="D17" s="2"/>
      <c r="E17" s="2"/>
      <c r="F17" s="2"/>
      <c r="G17" s="2"/>
      <c r="H17" s="2"/>
      <c r="I17" s="2"/>
      <c r="J17" s="2"/>
    </row>
    <row r="18" spans="1:11">
      <c r="A18" s="1244"/>
      <c r="B18" s="1244"/>
      <c r="C18" s="1244"/>
      <c r="D18" s="1244"/>
      <c r="E18" s="1244"/>
      <c r="F18" s="1244"/>
      <c r="G18" s="1244"/>
      <c r="H18" s="1244"/>
      <c r="I18" s="1244"/>
      <c r="J18" s="1244"/>
    </row>
    <row r="19" spans="1:11">
      <c r="A19" s="1562"/>
      <c r="B19" s="1562"/>
      <c r="C19" s="1562"/>
      <c r="D19" s="1244"/>
      <c r="E19" s="1244"/>
      <c r="F19" s="1244"/>
      <c r="G19" s="1244"/>
      <c r="H19" s="1244"/>
      <c r="I19" s="1244"/>
      <c r="J19" s="1244"/>
    </row>
    <row r="20" spans="1:11">
      <c r="A20" s="1671" t="s">
        <v>202</v>
      </c>
      <c r="B20" s="1562"/>
      <c r="C20" s="1562"/>
      <c r="D20" s="1244"/>
      <c r="E20" s="1244"/>
      <c r="F20" s="1244"/>
      <c r="G20" s="1244"/>
      <c r="H20" s="1244"/>
      <c r="I20" s="1244"/>
      <c r="J20" s="1244"/>
    </row>
    <row r="21" spans="1:11">
      <c r="A21" s="1671" t="s">
        <v>1028</v>
      </c>
      <c r="B21" s="1562"/>
      <c r="C21" s="1562"/>
      <c r="D21" s="1244"/>
      <c r="E21" s="1244"/>
      <c r="F21" s="1244"/>
      <c r="G21" s="1244"/>
      <c r="H21" s="1244"/>
      <c r="I21" s="1244"/>
      <c r="J21" s="1244"/>
    </row>
    <row r="22" spans="1:11" ht="15">
      <c r="A22" s="1562"/>
      <c r="B22" s="1562"/>
      <c r="C22" s="1562"/>
      <c r="D22" s="1563"/>
      <c r="E22" s="1563"/>
      <c r="F22" s="1563"/>
      <c r="G22" s="1563"/>
      <c r="H22" s="1563"/>
      <c r="I22" s="1563"/>
      <c r="J22" s="1564"/>
    </row>
    <row r="23" spans="1:11">
      <c r="A23" s="127"/>
      <c r="B23" s="127"/>
      <c r="C23" s="127"/>
      <c r="D23" s="2"/>
      <c r="E23" s="2"/>
      <c r="F23" s="2"/>
      <c r="G23" s="2"/>
      <c r="H23" s="2"/>
      <c r="I23" s="120"/>
      <c r="J23" s="2"/>
    </row>
    <row r="24" spans="1:11">
      <c r="A24" s="128" t="s">
        <v>921</v>
      </c>
      <c r="B24" s="128"/>
      <c r="C24" s="128"/>
      <c r="D24" s="128"/>
      <c r="E24" s="158" t="s">
        <v>1016</v>
      </c>
      <c r="F24" s="158" t="s">
        <v>902</v>
      </c>
      <c r="G24" s="158" t="s">
        <v>922</v>
      </c>
      <c r="H24" s="158" t="s">
        <v>920</v>
      </c>
      <c r="I24" s="158" t="s">
        <v>197</v>
      </c>
      <c r="J24" s="158" t="s">
        <v>923</v>
      </c>
    </row>
    <row r="25" spans="1:11">
      <c r="A25" s="127"/>
      <c r="B25" s="127"/>
      <c r="C25" s="872" t="s">
        <v>1015</v>
      </c>
      <c r="D25" s="182" t="s">
        <v>1015</v>
      </c>
      <c r="E25" s="128" t="s">
        <v>1015</v>
      </c>
      <c r="F25" s="128" t="s">
        <v>139</v>
      </c>
      <c r="G25" s="128" t="s">
        <v>141</v>
      </c>
      <c r="H25" s="87"/>
      <c r="I25" s="87"/>
      <c r="J25" s="2"/>
    </row>
    <row r="26" spans="1:11">
      <c r="A26" s="182" t="s">
        <v>1109</v>
      </c>
      <c r="B26" s="182"/>
      <c r="C26" s="182" t="s">
        <v>428</v>
      </c>
      <c r="D26" s="182" t="s">
        <v>316</v>
      </c>
      <c r="E26" s="128" t="s">
        <v>429</v>
      </c>
      <c r="F26" s="128" t="s">
        <v>140</v>
      </c>
      <c r="G26" s="128" t="s">
        <v>1108</v>
      </c>
      <c r="H26" s="128" t="s">
        <v>136</v>
      </c>
      <c r="I26" s="128" t="s">
        <v>138</v>
      </c>
      <c r="J26" s="2"/>
    </row>
    <row r="27" spans="1:11">
      <c r="A27" s="127"/>
      <c r="B27" s="127"/>
      <c r="C27" s="127"/>
      <c r="D27" s="2"/>
      <c r="E27" s="87"/>
      <c r="F27" s="128" t="s">
        <v>137</v>
      </c>
      <c r="G27" s="128" t="s">
        <v>137</v>
      </c>
      <c r="H27" s="128" t="s">
        <v>137</v>
      </c>
      <c r="I27" s="128" t="s">
        <v>137</v>
      </c>
      <c r="J27" s="128" t="s">
        <v>894</v>
      </c>
    </row>
    <row r="28" spans="1:11">
      <c r="A28" s="127"/>
      <c r="B28" s="127"/>
      <c r="C28" s="127"/>
      <c r="D28" s="1237"/>
      <c r="E28" s="1237"/>
      <c r="F28" s="2"/>
      <c r="G28" s="2"/>
      <c r="H28" s="2"/>
      <c r="I28" s="2"/>
      <c r="J28" s="2"/>
    </row>
    <row r="29" spans="1:11">
      <c r="A29" s="1672" t="s">
        <v>126</v>
      </c>
      <c r="B29" s="1673"/>
      <c r="C29" s="1674">
        <v>0</v>
      </c>
      <c r="D29" s="1674">
        <v>0</v>
      </c>
      <c r="E29" s="1674">
        <f>AVERAGE(C29,D29)</f>
        <v>0</v>
      </c>
      <c r="F29" s="1674">
        <f>E29</f>
        <v>0</v>
      </c>
      <c r="G29" s="1674"/>
      <c r="H29" s="1674"/>
      <c r="I29" s="1674"/>
      <c r="J29" s="1675"/>
      <c r="K29" s="97"/>
    </row>
    <row r="30" spans="1:11">
      <c r="A30" s="1676" t="s">
        <v>103</v>
      </c>
      <c r="B30" s="1677"/>
      <c r="C30" s="1674">
        <v>47669508</v>
      </c>
      <c r="D30" s="1674">
        <v>99402991</v>
      </c>
      <c r="E30" s="1674">
        <f>AVERAGE(C30,D30)</f>
        <v>73536249.5</v>
      </c>
      <c r="F30" s="1674"/>
      <c r="G30" s="1674"/>
      <c r="H30" s="1674"/>
      <c r="I30" s="1674">
        <f>E30</f>
        <v>73536249.5</v>
      </c>
      <c r="J30" s="1675" t="s">
        <v>127</v>
      </c>
      <c r="K30" s="97"/>
    </row>
    <row r="31" spans="1:11">
      <c r="A31" s="1676" t="s">
        <v>104</v>
      </c>
      <c r="B31" s="1677"/>
      <c r="C31" s="1674">
        <v>18985047</v>
      </c>
      <c r="D31" s="1674">
        <v>46103085</v>
      </c>
      <c r="E31" s="1674">
        <f t="shared" ref="E31:E39" si="0">AVERAGE(C31,D31)</f>
        <v>32544066</v>
      </c>
      <c r="F31" s="1674">
        <f>E31</f>
        <v>32544066</v>
      </c>
      <c r="G31" s="1674"/>
      <c r="H31" s="1674"/>
      <c r="I31" s="1674"/>
      <c r="J31" s="1675" t="s">
        <v>774</v>
      </c>
      <c r="K31" s="97"/>
    </row>
    <row r="32" spans="1:11">
      <c r="A32" s="1672" t="s">
        <v>105</v>
      </c>
      <c r="B32" s="1673"/>
      <c r="C32" s="1674">
        <v>135280620</v>
      </c>
      <c r="D32" s="1674">
        <v>158604125</v>
      </c>
      <c r="E32" s="1674">
        <f t="shared" si="0"/>
        <v>146942372.5</v>
      </c>
      <c r="F32" s="1674">
        <f>E32</f>
        <v>146942372.5</v>
      </c>
      <c r="G32" s="1674"/>
      <c r="H32" s="1674"/>
      <c r="I32" s="1674"/>
      <c r="J32" s="1675" t="s">
        <v>774</v>
      </c>
      <c r="K32" s="97"/>
    </row>
    <row r="33" spans="1:11">
      <c r="A33" s="1672" t="s">
        <v>106</v>
      </c>
      <c r="B33" s="1673"/>
      <c r="C33" s="1674">
        <v>90088729</v>
      </c>
      <c r="D33" s="1674">
        <v>98841269</v>
      </c>
      <c r="E33" s="1674">
        <f t="shared" si="0"/>
        <v>94464999</v>
      </c>
      <c r="F33" s="1674">
        <f>E33</f>
        <v>94464999</v>
      </c>
      <c r="G33" s="1674"/>
      <c r="H33" s="1674"/>
      <c r="I33" s="1674"/>
      <c r="J33" s="1675" t="s">
        <v>128</v>
      </c>
      <c r="K33" s="97"/>
    </row>
    <row r="34" spans="1:11">
      <c r="A34" s="1678" t="s">
        <v>101</v>
      </c>
      <c r="B34" s="1679"/>
      <c r="C34" s="1674">
        <v>5683588</v>
      </c>
      <c r="D34" s="1674">
        <v>4802314</v>
      </c>
      <c r="E34" s="1674">
        <f t="shared" si="0"/>
        <v>5242951</v>
      </c>
      <c r="F34" s="1674">
        <f>E34</f>
        <v>5242951</v>
      </c>
      <c r="G34" s="1674"/>
      <c r="H34" s="1674"/>
      <c r="I34" s="1674"/>
      <c r="J34" s="1675" t="s">
        <v>774</v>
      </c>
      <c r="K34" s="97"/>
    </row>
    <row r="35" spans="1:11">
      <c r="A35" s="1678" t="s">
        <v>107</v>
      </c>
      <c r="B35" s="1679"/>
      <c r="C35" s="1674">
        <v>0</v>
      </c>
      <c r="D35" s="1674">
        <v>0</v>
      </c>
      <c r="E35" s="1674">
        <f>AVERAGE(C35,D35)</f>
        <v>0</v>
      </c>
      <c r="F35" s="1674">
        <f t="shared" ref="F35:F37" si="1">E35</f>
        <v>0</v>
      </c>
      <c r="G35" s="1674"/>
      <c r="H35" s="1674"/>
      <c r="I35" s="1674"/>
      <c r="J35" s="1675" t="s">
        <v>129</v>
      </c>
      <c r="K35" s="97"/>
    </row>
    <row r="36" spans="1:11">
      <c r="A36" s="1678" t="s">
        <v>1122</v>
      </c>
      <c r="B36" s="1679"/>
      <c r="C36" s="1674">
        <v>0</v>
      </c>
      <c r="D36" s="1674">
        <v>0</v>
      </c>
      <c r="E36" s="1674">
        <f t="shared" si="0"/>
        <v>0</v>
      </c>
      <c r="F36" s="1674">
        <f t="shared" si="1"/>
        <v>0</v>
      </c>
      <c r="G36" s="1674"/>
      <c r="H36" s="1674">
        <f>E36</f>
        <v>0</v>
      </c>
      <c r="I36" s="1674"/>
      <c r="J36" s="1680" t="s">
        <v>556</v>
      </c>
      <c r="K36" s="97"/>
    </row>
    <row r="37" spans="1:11">
      <c r="A37" s="1678" t="s">
        <v>885</v>
      </c>
      <c r="B37" s="1679"/>
      <c r="C37" s="1674">
        <v>153697514</v>
      </c>
      <c r="D37" s="1674">
        <f>158604125-379793</f>
        <v>158224332</v>
      </c>
      <c r="E37" s="1674">
        <f t="shared" si="0"/>
        <v>155960923</v>
      </c>
      <c r="F37" s="1674">
        <f t="shared" si="1"/>
        <v>155960923</v>
      </c>
      <c r="G37" s="1674"/>
      <c r="H37" s="1681"/>
      <c r="I37" s="1674"/>
      <c r="J37" s="1675" t="s">
        <v>130</v>
      </c>
      <c r="K37" s="1853"/>
    </row>
    <row r="38" spans="1:11">
      <c r="A38" s="1672" t="s">
        <v>191</v>
      </c>
      <c r="B38" s="1673"/>
      <c r="C38" s="1674">
        <v>29972735</v>
      </c>
      <c r="D38" s="1674">
        <f>14450989-4802314</f>
        <v>9648675</v>
      </c>
      <c r="E38" s="1674">
        <f t="shared" si="0"/>
        <v>19810705</v>
      </c>
      <c r="F38" s="1674">
        <v>2022327</v>
      </c>
      <c r="G38" s="1674"/>
      <c r="H38" s="1674">
        <f>E38-F38</f>
        <v>17788378</v>
      </c>
      <c r="I38" s="1674"/>
      <c r="J38" s="1675" t="s">
        <v>556</v>
      </c>
      <c r="K38" s="1853"/>
    </row>
    <row r="39" spans="1:11">
      <c r="A39" s="1672" t="s">
        <v>102</v>
      </c>
      <c r="B39" s="1673"/>
      <c r="C39" s="1674">
        <v>67407495</v>
      </c>
      <c r="D39" s="1674">
        <v>78901989</v>
      </c>
      <c r="E39" s="1674">
        <f t="shared" si="0"/>
        <v>73154742</v>
      </c>
      <c r="F39" s="1674">
        <f>E39</f>
        <v>73154742</v>
      </c>
      <c r="G39" s="1674"/>
      <c r="H39" s="1674"/>
      <c r="I39" s="1674"/>
      <c r="J39" s="1675" t="s">
        <v>131</v>
      </c>
      <c r="K39" s="97"/>
    </row>
    <row r="40" spans="1:11">
      <c r="A40" s="1672"/>
      <c r="B40" s="1673"/>
      <c r="C40" s="1673"/>
      <c r="D40" s="1674"/>
      <c r="E40" s="1674"/>
      <c r="F40" s="1674"/>
      <c r="G40" s="1674"/>
      <c r="H40" s="1674"/>
      <c r="I40" s="1674"/>
      <c r="J40" s="1675"/>
      <c r="K40" s="97"/>
    </row>
    <row r="41" spans="1:11">
      <c r="A41" s="1678"/>
      <c r="B41" s="1679"/>
      <c r="C41" s="1679"/>
      <c r="D41" s="1682"/>
      <c r="E41" s="1674"/>
      <c r="F41" s="1674"/>
      <c r="G41" s="1674"/>
      <c r="H41" s="1674"/>
      <c r="I41" s="1674"/>
      <c r="J41" s="1675"/>
      <c r="K41" s="97"/>
    </row>
    <row r="42" spans="1:11">
      <c r="A42" s="1678"/>
      <c r="B42" s="1679"/>
      <c r="C42" s="1679"/>
      <c r="D42" s="1682"/>
      <c r="E42" s="1681"/>
      <c r="F42" s="1681"/>
      <c r="G42" s="1681"/>
      <c r="H42" s="1681"/>
      <c r="I42" s="1681"/>
      <c r="J42" s="1675"/>
      <c r="K42" s="97"/>
    </row>
    <row r="43" spans="1:11">
      <c r="A43" s="1678"/>
      <c r="B43" s="1679"/>
      <c r="C43" s="1679"/>
      <c r="D43" s="1683"/>
      <c r="E43" s="1674"/>
      <c r="F43" s="1674"/>
      <c r="G43" s="1674"/>
      <c r="H43" s="1674"/>
      <c r="I43" s="1674"/>
      <c r="J43" s="1675"/>
      <c r="K43" s="97"/>
    </row>
    <row r="44" spans="1:11">
      <c r="A44" s="1678"/>
      <c r="B44" s="1679"/>
      <c r="C44" s="1679"/>
      <c r="D44" s="1683"/>
      <c r="E44" s="1674"/>
      <c r="F44" s="1674"/>
      <c r="G44" s="1674"/>
      <c r="H44" s="1674"/>
      <c r="I44" s="1674"/>
      <c r="J44" s="1675"/>
      <c r="K44" s="97"/>
    </row>
    <row r="45" spans="1:11">
      <c r="A45" s="1678"/>
      <c r="B45" s="1679"/>
      <c r="C45" s="1679"/>
      <c r="D45" s="1683"/>
      <c r="E45" s="1681"/>
      <c r="F45" s="1681"/>
      <c r="G45" s="1681"/>
      <c r="H45" s="1681"/>
      <c r="I45" s="1681"/>
      <c r="J45" s="1675"/>
      <c r="K45" s="97"/>
    </row>
    <row r="46" spans="1:11">
      <c r="A46" s="1684" t="s">
        <v>145</v>
      </c>
      <c r="B46" s="1565"/>
      <c r="C46" s="1565"/>
      <c r="D46" s="1566"/>
      <c r="E46" s="1567">
        <f>SUM(E29:E45)</f>
        <v>601657008</v>
      </c>
      <c r="F46" s="1567">
        <f>SUM(F29:F45)</f>
        <v>510332380.5</v>
      </c>
      <c r="G46" s="131">
        <f>SUM(G29:G45)</f>
        <v>0</v>
      </c>
      <c r="H46" s="131">
        <f>SUM(H29:H45)</f>
        <v>17788378</v>
      </c>
      <c r="I46" s="131">
        <f>SUM(I29:I45)</f>
        <v>73536249.5</v>
      </c>
      <c r="J46" s="161"/>
      <c r="K46" s="97"/>
    </row>
    <row r="47" spans="1:11">
      <c r="A47" s="1685" t="s">
        <v>830</v>
      </c>
      <c r="B47" s="1568"/>
      <c r="C47" s="1568"/>
      <c r="D47" s="1569"/>
      <c r="E47" s="1567">
        <v>0</v>
      </c>
      <c r="F47" s="1567">
        <v>0</v>
      </c>
      <c r="G47" s="131">
        <v>0</v>
      </c>
      <c r="H47" s="1239">
        <v>0</v>
      </c>
      <c r="I47" s="131">
        <f>E47</f>
        <v>0</v>
      </c>
      <c r="J47" s="164"/>
      <c r="K47" s="97"/>
    </row>
    <row r="48" spans="1:11">
      <c r="A48" s="1686" t="s">
        <v>831</v>
      </c>
      <c r="B48" s="1570"/>
      <c r="C48" s="1570"/>
      <c r="D48" s="1571"/>
      <c r="E48" s="1567">
        <v>0</v>
      </c>
      <c r="F48" s="1567">
        <v>0</v>
      </c>
      <c r="G48" s="131">
        <v>0</v>
      </c>
      <c r="H48" s="131">
        <v>0</v>
      </c>
      <c r="I48" s="131">
        <f>E48</f>
        <v>0</v>
      </c>
      <c r="J48" s="164"/>
      <c r="K48" s="97"/>
    </row>
    <row r="49" spans="1:11">
      <c r="A49" s="1684" t="s">
        <v>1015</v>
      </c>
      <c r="B49" s="1565"/>
      <c r="C49" s="1616">
        <f>SUM(C29:C48)</f>
        <v>548785236</v>
      </c>
      <c r="D49" s="1616">
        <f>SUM(D29:D48)</f>
        <v>654528780</v>
      </c>
      <c r="E49" s="1567">
        <f>+E46-E47-E48</f>
        <v>601657008</v>
      </c>
      <c r="F49" s="1567">
        <f>+F46-F47-F48</f>
        <v>510332380.5</v>
      </c>
      <c r="G49" s="131">
        <f>+G46-G47-G48</f>
        <v>0</v>
      </c>
      <c r="H49" s="131">
        <f>+H46-H47-H48</f>
        <v>17788378</v>
      </c>
      <c r="I49" s="131">
        <f>+I46-I47-I48</f>
        <v>73536249.5</v>
      </c>
      <c r="J49" s="161"/>
      <c r="K49" s="97"/>
    </row>
    <row r="50" spans="1:11">
      <c r="A50" s="1687"/>
      <c r="B50" s="1572"/>
      <c r="C50" s="1572"/>
      <c r="D50" s="1573"/>
      <c r="E50" s="1574"/>
      <c r="F50" s="1575"/>
      <c r="G50" s="105"/>
      <c r="H50" s="149"/>
      <c r="I50" s="104"/>
      <c r="J50" s="139"/>
      <c r="K50" s="97"/>
    </row>
    <row r="51" spans="1:11">
      <c r="A51" s="1688" t="s">
        <v>142</v>
      </c>
      <c r="B51" s="1689"/>
      <c r="C51" s="1690"/>
      <c r="D51" s="1691"/>
      <c r="E51" s="1692"/>
      <c r="F51" s="1693"/>
      <c r="G51" s="97"/>
      <c r="H51" s="97"/>
      <c r="I51" s="139"/>
      <c r="J51" s="97"/>
    </row>
    <row r="52" spans="1:11" ht="25.5" customHeight="1">
      <c r="A52" s="1894" t="s">
        <v>722</v>
      </c>
      <c r="B52" s="1895"/>
      <c r="C52" s="1895"/>
      <c r="D52" s="1895"/>
      <c r="E52" s="1895"/>
      <c r="F52" s="1896"/>
      <c r="G52" s="97"/>
      <c r="H52" s="97"/>
      <c r="I52" s="171"/>
      <c r="J52" s="97"/>
    </row>
    <row r="53" spans="1:11">
      <c r="A53" s="1694" t="s">
        <v>723</v>
      </c>
      <c r="B53" s="1695"/>
      <c r="C53" s="1696"/>
      <c r="D53" s="1696"/>
      <c r="E53" s="1697"/>
      <c r="F53" s="1698"/>
      <c r="G53" s="97"/>
      <c r="H53" s="97"/>
      <c r="I53" s="139"/>
      <c r="J53" s="97"/>
    </row>
    <row r="54" spans="1:11">
      <c r="A54" s="1694" t="s">
        <v>1085</v>
      </c>
      <c r="B54" s="1695"/>
      <c r="C54" s="1696"/>
      <c r="D54" s="1696"/>
      <c r="E54" s="1697"/>
      <c r="F54" s="1698"/>
      <c r="G54" s="97"/>
      <c r="H54" s="97"/>
      <c r="I54" s="171"/>
      <c r="J54" s="97"/>
    </row>
    <row r="55" spans="1:11">
      <c r="A55" s="1694" t="s">
        <v>1086</v>
      </c>
      <c r="B55" s="1695"/>
      <c r="C55" s="1696"/>
      <c r="D55" s="1696"/>
      <c r="E55" s="1697"/>
      <c r="F55" s="1698"/>
      <c r="G55" s="97"/>
      <c r="H55" s="97"/>
      <c r="I55" s="139"/>
      <c r="J55" s="97"/>
    </row>
    <row r="56" spans="1:11" ht="42" customHeight="1">
      <c r="A56" s="1897" t="s">
        <v>736</v>
      </c>
      <c r="B56" s="1898"/>
      <c r="C56" s="1898"/>
      <c r="D56" s="1898"/>
      <c r="E56" s="1898"/>
      <c r="F56" s="1899"/>
      <c r="G56" s="97"/>
      <c r="H56" s="97"/>
      <c r="I56" s="97"/>
      <c r="J56" s="143"/>
    </row>
    <row r="57" spans="1:11">
      <c r="A57" s="1699" t="s">
        <v>873</v>
      </c>
      <c r="B57" s="1700"/>
      <c r="C57" s="1700"/>
      <c r="D57" s="1700"/>
      <c r="E57" s="1700"/>
      <c r="F57" s="1701"/>
      <c r="G57" s="97"/>
      <c r="H57" s="97"/>
      <c r="I57" s="139"/>
      <c r="J57" s="97"/>
    </row>
    <row r="58" spans="1:11">
      <c r="A58" s="137"/>
      <c r="B58" s="137"/>
      <c r="C58" s="97"/>
      <c r="D58" s="105"/>
      <c r="E58" s="105"/>
      <c r="F58" s="104"/>
      <c r="G58" s="104"/>
      <c r="H58" s="97"/>
      <c r="J58" s="139"/>
      <c r="K58" s="97"/>
    </row>
    <row r="59" spans="1:11" ht="15">
      <c r="A59" s="137"/>
      <c r="B59" s="137"/>
      <c r="C59" s="137"/>
      <c r="D59" s="135"/>
      <c r="E59" s="135"/>
      <c r="F59" s="135"/>
      <c r="G59" s="135"/>
      <c r="H59" s="135"/>
      <c r="I59" s="135"/>
      <c r="J59" s="139"/>
      <c r="K59" s="97"/>
    </row>
    <row r="60" spans="1:11">
      <c r="A60" s="133"/>
      <c r="B60" s="133"/>
      <c r="C60" s="133"/>
      <c r="D60" s="134"/>
      <c r="E60" s="97"/>
      <c r="F60" s="97"/>
      <c r="G60" s="97"/>
      <c r="H60" s="97"/>
      <c r="I60" s="97"/>
      <c r="J60" s="105"/>
      <c r="K60" s="97"/>
    </row>
    <row r="61" spans="1:11" ht="15.75">
      <c r="A61" s="396" t="s">
        <v>823</v>
      </c>
      <c r="B61" s="189"/>
      <c r="C61" s="189"/>
      <c r="D61" s="136"/>
      <c r="E61" s="136"/>
      <c r="F61" s="136"/>
      <c r="G61" s="136"/>
      <c r="H61" s="136"/>
      <c r="I61" s="136"/>
      <c r="J61" s="136"/>
      <c r="K61" s="97"/>
    </row>
    <row r="62" spans="1:11" ht="15">
      <c r="A62" s="135"/>
      <c r="B62" s="135"/>
      <c r="C62" s="135"/>
      <c r="D62" s="136"/>
      <c r="E62" s="136"/>
      <c r="F62" s="136"/>
      <c r="G62" s="136"/>
      <c r="H62" s="136"/>
      <c r="I62" s="136"/>
      <c r="J62" s="136"/>
      <c r="K62" s="97"/>
    </row>
    <row r="63" spans="1:11">
      <c r="A63" s="158" t="s">
        <v>921</v>
      </c>
      <c r="B63" s="137"/>
      <c r="C63" s="137"/>
      <c r="E63" s="158" t="s">
        <v>1016</v>
      </c>
      <c r="F63" s="158" t="s">
        <v>902</v>
      </c>
      <c r="G63" s="158" t="s">
        <v>922</v>
      </c>
      <c r="H63" s="158" t="s">
        <v>920</v>
      </c>
      <c r="I63" s="158" t="s">
        <v>197</v>
      </c>
      <c r="J63" s="158" t="s">
        <v>923</v>
      </c>
      <c r="K63" s="97"/>
    </row>
    <row r="64" spans="1:11">
      <c r="A64" s="2"/>
      <c r="B64" s="1242"/>
      <c r="C64" s="872" t="s">
        <v>1015</v>
      </c>
      <c r="D64" s="182" t="s">
        <v>1015</v>
      </c>
      <c r="E64" s="87" t="s">
        <v>1015</v>
      </c>
      <c r="F64" s="87" t="s">
        <v>139</v>
      </c>
      <c r="G64" s="87" t="s">
        <v>141</v>
      </c>
      <c r="H64" s="87"/>
      <c r="I64" s="87"/>
      <c r="J64" s="2"/>
      <c r="K64" s="97"/>
    </row>
    <row r="65" spans="1:15">
      <c r="A65" s="657" t="s">
        <v>1110</v>
      </c>
      <c r="B65" s="1243"/>
      <c r="C65" s="182" t="s">
        <v>428</v>
      </c>
      <c r="D65" s="182" t="s">
        <v>316</v>
      </c>
      <c r="E65" s="128" t="s">
        <v>429</v>
      </c>
      <c r="F65" s="128" t="s">
        <v>140</v>
      </c>
      <c r="G65" s="128" t="s">
        <v>1108</v>
      </c>
      <c r="H65" s="128" t="s">
        <v>136</v>
      </c>
      <c r="I65" s="128" t="s">
        <v>138</v>
      </c>
      <c r="J65" s="1244"/>
      <c r="K65" s="97"/>
    </row>
    <row r="66" spans="1:15">
      <c r="A66" s="1243"/>
      <c r="B66" s="1243"/>
      <c r="C66" s="1243"/>
      <c r="D66" s="1245"/>
      <c r="E66" s="128"/>
      <c r="F66" s="128" t="s">
        <v>137</v>
      </c>
      <c r="G66" s="128" t="s">
        <v>137</v>
      </c>
      <c r="H66" s="128" t="s">
        <v>137</v>
      </c>
      <c r="I66" s="128" t="s">
        <v>137</v>
      </c>
      <c r="J66" s="128" t="s">
        <v>894</v>
      </c>
      <c r="K66" s="97"/>
    </row>
    <row r="67" spans="1:15">
      <c r="A67" s="1702" t="s">
        <v>1114</v>
      </c>
      <c r="B67" s="1703"/>
      <c r="C67" s="1674">
        <v>-456246636</v>
      </c>
      <c r="D67" s="1674">
        <v>-493711951</v>
      </c>
      <c r="E67" s="1674">
        <f>AVERAGE(C67,D67)</f>
        <v>-474979293.5</v>
      </c>
      <c r="F67" s="1674">
        <f>E67</f>
        <v>-474979293.5</v>
      </c>
      <c r="G67" s="1674"/>
      <c r="H67" s="1674"/>
      <c r="I67" s="1674"/>
      <c r="J67" s="1680" t="s">
        <v>131</v>
      </c>
      <c r="K67" s="97"/>
    </row>
    <row r="68" spans="1:15">
      <c r="A68" s="1702" t="s">
        <v>1115</v>
      </c>
      <c r="B68" s="1703"/>
      <c r="C68" s="1674">
        <v>-1176220645</v>
      </c>
      <c r="D68" s="1674">
        <v>-1235348839</v>
      </c>
      <c r="E68" s="1674">
        <f>AVERAGE(C68,D68)</f>
        <v>-1205784742</v>
      </c>
      <c r="F68" s="1674"/>
      <c r="G68" s="1674"/>
      <c r="H68" s="1674">
        <f>E68</f>
        <v>-1205784742</v>
      </c>
      <c r="I68" s="1674"/>
      <c r="J68" s="1680" t="s">
        <v>556</v>
      </c>
      <c r="K68" s="97"/>
    </row>
    <row r="69" spans="1:15">
      <c r="A69" s="1577"/>
      <c r="B69" s="1578"/>
      <c r="C69" s="1578"/>
      <c r="D69" s="163"/>
      <c r="E69" s="131"/>
      <c r="F69" s="131"/>
      <c r="G69" s="131"/>
      <c r="H69" s="131"/>
      <c r="I69" s="131"/>
      <c r="J69" s="161"/>
      <c r="K69" s="97"/>
      <c r="O69" s="1617"/>
    </row>
    <row r="70" spans="1:15">
      <c r="A70" s="1704" t="s">
        <v>874</v>
      </c>
      <c r="B70" s="1579"/>
      <c r="C70" s="1579"/>
      <c r="D70" s="163"/>
      <c r="E70" s="1567">
        <f>SUM(E67:E69)</f>
        <v>-1680764035.5</v>
      </c>
      <c r="F70" s="1567">
        <f>SUM(F67:F69)</f>
        <v>-474979293.5</v>
      </c>
      <c r="G70" s="131">
        <f>SUM(G67:G69)</f>
        <v>0</v>
      </c>
      <c r="H70" s="131">
        <f>SUM(H67:H69)</f>
        <v>-1205784742</v>
      </c>
      <c r="I70" s="131">
        <f>SUM(I67:I69)</f>
        <v>0</v>
      </c>
      <c r="J70" s="161"/>
      <c r="K70" s="97"/>
    </row>
    <row r="71" spans="1:15">
      <c r="A71" s="1705" t="s">
        <v>830</v>
      </c>
      <c r="B71" s="1580"/>
      <c r="C71" s="1580"/>
      <c r="D71" s="163"/>
      <c r="E71" s="1567">
        <f>SUM(F71:I71)</f>
        <v>0</v>
      </c>
      <c r="F71" s="1567"/>
      <c r="G71" s="131"/>
      <c r="H71" s="131">
        <v>0</v>
      </c>
      <c r="I71" s="131"/>
      <c r="J71" s="164"/>
      <c r="K71" s="97"/>
      <c r="O71" s="1618"/>
    </row>
    <row r="72" spans="1:15">
      <c r="A72" s="1706" t="s">
        <v>831</v>
      </c>
      <c r="B72" s="1581"/>
      <c r="C72" s="1581"/>
      <c r="D72" s="162"/>
      <c r="E72" s="1567">
        <f>SUM(F72:I72)</f>
        <v>0</v>
      </c>
      <c r="F72" s="1567"/>
      <c r="G72" s="131"/>
      <c r="H72" s="131"/>
      <c r="I72" s="131"/>
      <c r="J72" s="164"/>
      <c r="K72" s="97"/>
    </row>
    <row r="73" spans="1:15">
      <c r="A73" s="1707" t="s">
        <v>1015</v>
      </c>
      <c r="B73" s="1394"/>
      <c r="C73" s="1394"/>
      <c r="D73" s="163"/>
      <c r="E73" s="1567">
        <f>+E70-E71-E72</f>
        <v>-1680764035.5</v>
      </c>
      <c r="F73" s="1567">
        <f>+F70-F71-F72</f>
        <v>-474979293.5</v>
      </c>
      <c r="G73" s="131">
        <f>+G70-G71-G72</f>
        <v>0</v>
      </c>
      <c r="H73" s="131">
        <f>+H70-H71-H72</f>
        <v>-1205784742</v>
      </c>
      <c r="I73" s="131">
        <f>+I70-I71-I72</f>
        <v>0</v>
      </c>
      <c r="J73" s="161"/>
      <c r="K73" s="97"/>
    </row>
    <row r="74" spans="1:15">
      <c r="A74" s="1243"/>
      <c r="B74" s="1243"/>
      <c r="C74" s="1243"/>
      <c r="D74" s="1582"/>
      <c r="E74" s="1576"/>
      <c r="F74" s="1576"/>
      <c r="G74" s="147"/>
      <c r="H74" s="104"/>
      <c r="I74" s="104"/>
      <c r="J74" s="139"/>
      <c r="K74" s="97"/>
    </row>
    <row r="75" spans="1:15">
      <c r="A75" s="1688" t="s">
        <v>144</v>
      </c>
      <c r="B75" s="1690"/>
      <c r="C75" s="1690"/>
      <c r="D75" s="1690"/>
      <c r="E75" s="1708"/>
      <c r="F75" s="1693"/>
      <c r="G75" s="139"/>
      <c r="H75" s="105"/>
      <c r="I75" s="2"/>
      <c r="J75" s="2"/>
    </row>
    <row r="76" spans="1:15">
      <c r="A76" s="1894" t="s">
        <v>722</v>
      </c>
      <c r="B76" s="1895"/>
      <c r="C76" s="1895"/>
      <c r="D76" s="1895"/>
      <c r="E76" s="1895"/>
      <c r="F76" s="1896"/>
      <c r="G76" s="139"/>
      <c r="H76" s="105"/>
      <c r="I76" s="2"/>
      <c r="J76" s="2"/>
    </row>
    <row r="77" spans="1:15">
      <c r="A77" s="1694" t="s">
        <v>723</v>
      </c>
      <c r="B77" s="1696"/>
      <c r="C77" s="1696"/>
      <c r="D77" s="1696"/>
      <c r="E77" s="1697"/>
      <c r="F77" s="1698"/>
      <c r="G77" s="139"/>
      <c r="H77" s="105"/>
      <c r="I77" s="2"/>
      <c r="J77" s="2"/>
      <c r="O77" s="1618"/>
    </row>
    <row r="78" spans="1:15">
      <c r="A78" s="1694" t="s">
        <v>1085</v>
      </c>
      <c r="B78" s="1696"/>
      <c r="C78" s="1696"/>
      <c r="D78" s="1696"/>
      <c r="E78" s="1697"/>
      <c r="F78" s="1698"/>
      <c r="G78" s="139"/>
      <c r="H78" s="105"/>
      <c r="I78" s="2"/>
      <c r="J78" s="2"/>
    </row>
    <row r="79" spans="1:15">
      <c r="A79" s="1694" t="s">
        <v>1086</v>
      </c>
      <c r="B79" s="1696"/>
      <c r="C79" s="1696"/>
      <c r="D79" s="1696"/>
      <c r="E79" s="1697"/>
      <c r="F79" s="1698"/>
      <c r="G79" s="139"/>
      <c r="H79" s="105"/>
      <c r="I79" s="2"/>
      <c r="J79" s="2"/>
    </row>
    <row r="80" spans="1:15" ht="39" customHeight="1">
      <c r="A80" s="1894" t="s">
        <v>736</v>
      </c>
      <c r="B80" s="1895"/>
      <c r="C80" s="1895"/>
      <c r="D80" s="1895"/>
      <c r="E80" s="1895"/>
      <c r="F80" s="1896"/>
      <c r="G80" s="105"/>
      <c r="H80" s="143"/>
      <c r="I80" s="2"/>
      <c r="J80" s="2"/>
    </row>
    <row r="81" spans="1:11">
      <c r="A81" s="1699" t="s">
        <v>873</v>
      </c>
      <c r="B81" s="1709"/>
      <c r="C81" s="1709"/>
      <c r="D81" s="1709"/>
      <c r="E81" s="1710"/>
      <c r="F81" s="1711"/>
      <c r="G81" s="139"/>
      <c r="H81" s="105"/>
      <c r="I81" s="2"/>
      <c r="J81" s="2"/>
    </row>
    <row r="82" spans="1:11">
      <c r="A82" s="1242"/>
      <c r="B82" s="1242"/>
      <c r="C82" s="1242"/>
      <c r="D82" s="144"/>
      <c r="E82" s="105"/>
      <c r="F82" s="105"/>
      <c r="G82" s="105"/>
      <c r="H82" s="104"/>
      <c r="I82" s="104"/>
      <c r="J82" s="139"/>
      <c r="K82" s="97"/>
    </row>
    <row r="83" spans="1:11" ht="18">
      <c r="A83" s="1246"/>
      <c r="B83" s="1246"/>
      <c r="C83" s="1246"/>
      <c r="D83" s="1247"/>
      <c r="E83" s="1247"/>
      <c r="F83" s="1247"/>
      <c r="G83" s="1247"/>
      <c r="H83" s="1247"/>
      <c r="I83" s="1247"/>
      <c r="J83" s="1248"/>
      <c r="K83" s="97"/>
    </row>
    <row r="84" spans="1:11" ht="18">
      <c r="A84" s="1249"/>
      <c r="B84" s="1249"/>
      <c r="C84" s="1249"/>
      <c r="D84" s="1250"/>
      <c r="E84" s="167"/>
      <c r="F84" s="167"/>
      <c r="G84" s="167"/>
      <c r="H84" s="167"/>
      <c r="I84" s="167"/>
      <c r="J84" s="167"/>
      <c r="K84" s="97"/>
    </row>
    <row r="85" spans="1:11" ht="15.75">
      <c r="A85" s="1492" t="s">
        <v>823</v>
      </c>
      <c r="B85" s="1251"/>
      <c r="C85" s="1251"/>
      <c r="D85" s="1248"/>
      <c r="E85" s="1248"/>
      <c r="F85" s="1248"/>
      <c r="G85" s="1248"/>
      <c r="H85" s="1248"/>
      <c r="I85" s="1248"/>
      <c r="J85" s="1248"/>
      <c r="K85" s="97"/>
    </row>
    <row r="86" spans="1:11">
      <c r="A86" s="1242"/>
      <c r="B86" s="1242"/>
      <c r="C86" s="1242"/>
      <c r="D86" s="105"/>
      <c r="E86" s="105"/>
      <c r="F86" s="105"/>
      <c r="G86" s="105"/>
      <c r="H86" s="105"/>
      <c r="I86" s="1252"/>
      <c r="J86" s="139"/>
      <c r="K86" s="97"/>
    </row>
    <row r="87" spans="1:11">
      <c r="A87" s="128" t="s">
        <v>921</v>
      </c>
      <c r="B87" s="1242"/>
      <c r="C87" s="1242"/>
      <c r="D87" s="2"/>
      <c r="E87" s="128" t="s">
        <v>1016</v>
      </c>
      <c r="F87" s="128" t="s">
        <v>902</v>
      </c>
      <c r="G87" s="128" t="s">
        <v>922</v>
      </c>
      <c r="H87" s="128" t="s">
        <v>920</v>
      </c>
      <c r="I87" s="128" t="s">
        <v>197</v>
      </c>
      <c r="J87" s="128" t="s">
        <v>923</v>
      </c>
      <c r="K87" s="97"/>
    </row>
    <row r="88" spans="1:11">
      <c r="A88" s="188"/>
      <c r="B88" s="1253"/>
      <c r="C88" s="872" t="s">
        <v>1015</v>
      </c>
      <c r="D88" s="182" t="s">
        <v>1015</v>
      </c>
      <c r="E88" s="128" t="s">
        <v>1015</v>
      </c>
      <c r="F88" s="128" t="s">
        <v>139</v>
      </c>
      <c r="G88" s="128" t="s">
        <v>141</v>
      </c>
      <c r="H88" s="128"/>
      <c r="I88" s="128"/>
      <c r="J88" s="84"/>
      <c r="K88" s="97"/>
    </row>
    <row r="89" spans="1:11">
      <c r="A89" s="657" t="s">
        <v>1111</v>
      </c>
      <c r="B89" s="1254"/>
      <c r="C89" s="182" t="s">
        <v>428</v>
      </c>
      <c r="D89" s="182" t="s">
        <v>316</v>
      </c>
      <c r="E89" s="128" t="s">
        <v>429</v>
      </c>
      <c r="F89" s="128" t="s">
        <v>140</v>
      </c>
      <c r="G89" s="128" t="s">
        <v>1108</v>
      </c>
      <c r="H89" s="128" t="s">
        <v>136</v>
      </c>
      <c r="I89" s="128" t="s">
        <v>138</v>
      </c>
      <c r="J89" s="84"/>
      <c r="K89" s="97"/>
    </row>
    <row r="90" spans="1:11">
      <c r="A90" s="1254"/>
      <c r="B90" s="1254"/>
      <c r="C90" s="1254"/>
      <c r="D90" s="1211"/>
      <c r="E90" s="128"/>
      <c r="F90" s="128" t="s">
        <v>137</v>
      </c>
      <c r="G90" s="128" t="s">
        <v>137</v>
      </c>
      <c r="H90" s="128" t="s">
        <v>137</v>
      </c>
      <c r="I90" s="128" t="s">
        <v>137</v>
      </c>
      <c r="J90" s="128" t="s">
        <v>894</v>
      </c>
      <c r="K90" s="97"/>
    </row>
    <row r="91" spans="1:11">
      <c r="A91" s="1702" t="s">
        <v>1120</v>
      </c>
      <c r="B91" s="1703"/>
      <c r="C91" s="1674">
        <v>-145191221</v>
      </c>
      <c r="D91" s="1674">
        <f>-66215246-27972051</f>
        <v>-94187297</v>
      </c>
      <c r="E91" s="1674">
        <f t="shared" ref="E91:E101" si="2">AVERAGE(C91,D91)</f>
        <v>-119689259</v>
      </c>
      <c r="F91" s="1674">
        <f>E91</f>
        <v>-119689259</v>
      </c>
      <c r="G91" s="1674"/>
      <c r="H91" s="1681"/>
      <c r="I91" s="1674"/>
      <c r="J91" s="1680" t="s">
        <v>557</v>
      </c>
      <c r="K91" s="97"/>
    </row>
    <row r="92" spans="1:11">
      <c r="A92" s="1702" t="s">
        <v>1116</v>
      </c>
      <c r="B92" s="1703"/>
      <c r="C92" s="1674">
        <v>-61120936</v>
      </c>
      <c r="D92" s="1674">
        <v>-63888533</v>
      </c>
      <c r="E92" s="1674">
        <f t="shared" si="2"/>
        <v>-62504734.5</v>
      </c>
      <c r="F92" s="1674"/>
      <c r="G92" s="1674"/>
      <c r="H92" s="1712"/>
      <c r="I92" s="1674">
        <f>E92</f>
        <v>-62504734.5</v>
      </c>
      <c r="J92" s="1680" t="s">
        <v>132</v>
      </c>
      <c r="K92" s="97"/>
    </row>
    <row r="93" spans="1:11">
      <c r="A93" s="1702" t="s">
        <v>1121</v>
      </c>
      <c r="B93" s="1703"/>
      <c r="C93" s="1674">
        <v>-40714815</v>
      </c>
      <c r="D93" s="1674">
        <v>-41588283</v>
      </c>
      <c r="E93" s="1674">
        <f t="shared" si="2"/>
        <v>-41151549</v>
      </c>
      <c r="F93" s="1674">
        <f>E93</f>
        <v>-41151549</v>
      </c>
      <c r="G93" s="1674"/>
      <c r="H93" s="1674"/>
      <c r="I93" s="1674"/>
      <c r="J93" s="1675" t="s">
        <v>887</v>
      </c>
      <c r="K93" s="97"/>
    </row>
    <row r="94" spans="1:11">
      <c r="A94" s="1702" t="s">
        <v>1122</v>
      </c>
      <c r="B94" s="1703"/>
      <c r="C94" s="1674"/>
      <c r="D94" s="1674">
        <v>0</v>
      </c>
      <c r="E94" s="1674">
        <f t="shared" si="2"/>
        <v>0</v>
      </c>
      <c r="F94" s="1674"/>
      <c r="G94" s="1674"/>
      <c r="H94" s="1674">
        <f>E94</f>
        <v>0</v>
      </c>
      <c r="I94" s="1674"/>
      <c r="J94" s="1680" t="s">
        <v>556</v>
      </c>
      <c r="K94" s="97"/>
    </row>
    <row r="95" spans="1:11">
      <c r="A95" s="1702" t="s">
        <v>1123</v>
      </c>
      <c r="B95" s="1703"/>
      <c r="C95" s="1674">
        <v>-66950687</v>
      </c>
      <c r="D95" s="1674">
        <f>-79925535-15542410</f>
        <v>-95467945</v>
      </c>
      <c r="E95" s="1674">
        <f t="shared" si="2"/>
        <v>-81209316</v>
      </c>
      <c r="F95" s="1674">
        <f>E95</f>
        <v>-81209316</v>
      </c>
      <c r="G95" s="1674"/>
      <c r="H95" s="1674"/>
      <c r="I95" s="1674"/>
      <c r="J95" s="1675" t="s">
        <v>887</v>
      </c>
      <c r="K95" s="97"/>
    </row>
    <row r="96" spans="1:11">
      <c r="A96" s="1713" t="s">
        <v>1124</v>
      </c>
      <c r="B96" s="1714"/>
      <c r="C96" s="1674">
        <v>-12064330</v>
      </c>
      <c r="D96" s="1674">
        <v>-7035669</v>
      </c>
      <c r="E96" s="1674">
        <f t="shared" si="2"/>
        <v>-9549999.5</v>
      </c>
      <c r="F96" s="1674">
        <f t="shared" ref="F96:F101" si="3">E96</f>
        <v>-9549999.5</v>
      </c>
      <c r="G96" s="1674"/>
      <c r="H96" s="1674"/>
      <c r="I96" s="1674"/>
      <c r="J96" s="1675" t="s">
        <v>774</v>
      </c>
      <c r="K96" s="97"/>
    </row>
    <row r="97" spans="1:11">
      <c r="A97" s="1713" t="s">
        <v>99</v>
      </c>
      <c r="B97" s="1714"/>
      <c r="C97" s="1674">
        <v>-6878344</v>
      </c>
      <c r="D97" s="1674">
        <v>-12458716</v>
      </c>
      <c r="E97" s="1674">
        <f t="shared" si="2"/>
        <v>-9668530</v>
      </c>
      <c r="F97" s="1674">
        <f t="shared" si="3"/>
        <v>-9668530</v>
      </c>
      <c r="G97" s="1674"/>
      <c r="H97" s="1674"/>
      <c r="I97" s="1674"/>
      <c r="J97" s="1675" t="s">
        <v>887</v>
      </c>
      <c r="K97" s="97"/>
    </row>
    <row r="98" spans="1:11">
      <c r="A98" s="1713" t="s">
        <v>100</v>
      </c>
      <c r="B98" s="1714"/>
      <c r="C98" s="1674">
        <v>0</v>
      </c>
      <c r="D98" s="1674"/>
      <c r="E98" s="1674">
        <f t="shared" si="2"/>
        <v>0</v>
      </c>
      <c r="F98" s="1674"/>
      <c r="G98" s="1674"/>
      <c r="H98" s="1674">
        <f>E98</f>
        <v>0</v>
      </c>
      <c r="I98" s="1674"/>
      <c r="J98" s="1680" t="s">
        <v>133</v>
      </c>
      <c r="K98" s="97"/>
    </row>
    <row r="99" spans="1:11">
      <c r="A99" s="1713" t="s">
        <v>101</v>
      </c>
      <c r="B99" s="1714"/>
      <c r="C99" s="1674">
        <v>0</v>
      </c>
      <c r="D99" s="1674"/>
      <c r="E99" s="1674">
        <f t="shared" si="2"/>
        <v>0</v>
      </c>
      <c r="F99" s="1674">
        <f t="shared" si="3"/>
        <v>0</v>
      </c>
      <c r="G99" s="1674"/>
      <c r="H99" s="1674"/>
      <c r="I99" s="1674"/>
      <c r="J99" s="1675" t="s">
        <v>887</v>
      </c>
      <c r="K99" s="97"/>
    </row>
    <row r="100" spans="1:11">
      <c r="A100" s="1713" t="s">
        <v>191</v>
      </c>
      <c r="B100" s="1714"/>
      <c r="C100" s="1674">
        <v>2609785</v>
      </c>
      <c r="D100" s="1674">
        <v>2329559</v>
      </c>
      <c r="E100" s="1674">
        <f t="shared" si="2"/>
        <v>2469672</v>
      </c>
      <c r="F100" s="1674">
        <v>0</v>
      </c>
      <c r="G100" s="1674"/>
      <c r="H100" s="1674">
        <f>E100</f>
        <v>2469672</v>
      </c>
      <c r="I100" s="1674"/>
      <c r="J100" s="1675" t="s">
        <v>556</v>
      </c>
      <c r="K100" s="1853"/>
    </row>
    <row r="101" spans="1:11">
      <c r="A101" s="1713" t="s">
        <v>102</v>
      </c>
      <c r="B101" s="1714"/>
      <c r="C101" s="1674">
        <v>-32381827</v>
      </c>
      <c r="D101" s="1674">
        <v>-56139869</v>
      </c>
      <c r="E101" s="1674">
        <f t="shared" si="2"/>
        <v>-44260848</v>
      </c>
      <c r="F101" s="1674">
        <f t="shared" si="3"/>
        <v>-44260848</v>
      </c>
      <c r="G101" s="1674"/>
      <c r="H101" s="1674"/>
      <c r="I101" s="1674"/>
      <c r="J101" s="1675"/>
      <c r="K101" s="97"/>
    </row>
    <row r="102" spans="1:11">
      <c r="A102" s="1713"/>
      <c r="B102" s="1714"/>
      <c r="C102" s="1714"/>
      <c r="D102" s="1674"/>
      <c r="E102" s="1674"/>
      <c r="F102" s="1674"/>
      <c r="G102" s="1674"/>
      <c r="H102" s="1674"/>
      <c r="I102" s="1674"/>
      <c r="J102" s="1675"/>
      <c r="K102" s="97"/>
    </row>
    <row r="103" spans="1:11">
      <c r="A103" s="1715"/>
      <c r="B103" s="1716"/>
      <c r="C103" s="1716"/>
      <c r="D103" s="1717"/>
      <c r="E103" s="1674"/>
      <c r="F103" s="1681"/>
      <c r="G103" s="1681"/>
      <c r="H103" s="1681"/>
      <c r="I103" s="1681"/>
      <c r="J103" s="1675"/>
      <c r="K103" s="97"/>
    </row>
    <row r="104" spans="1:11">
      <c r="A104" s="1702"/>
      <c r="B104" s="1714"/>
      <c r="C104" s="1714"/>
      <c r="D104" s="1718"/>
      <c r="E104" s="1674"/>
      <c r="F104" s="1674"/>
      <c r="G104" s="1674"/>
      <c r="H104" s="1681"/>
      <c r="I104" s="1674"/>
      <c r="J104" s="1680"/>
      <c r="K104" s="97"/>
    </row>
    <row r="105" spans="1:11">
      <c r="A105" s="1702"/>
      <c r="B105" s="1703"/>
      <c r="C105" s="1703"/>
      <c r="D105" s="1719"/>
      <c r="E105" s="1674"/>
      <c r="F105" s="1674"/>
      <c r="G105" s="1674"/>
      <c r="H105" s="1674"/>
      <c r="I105" s="1674"/>
      <c r="J105" s="1675"/>
      <c r="K105" s="97"/>
    </row>
    <row r="106" spans="1:11">
      <c r="A106" s="1715"/>
      <c r="B106" s="1716"/>
      <c r="C106" s="1716"/>
      <c r="D106" s="1719"/>
      <c r="E106" s="1674"/>
      <c r="F106" s="1674"/>
      <c r="G106" s="1681"/>
      <c r="H106" s="1674"/>
      <c r="I106" s="1674"/>
      <c r="J106" s="1675"/>
      <c r="K106" s="97"/>
    </row>
    <row r="107" spans="1:11">
      <c r="A107" s="1676"/>
      <c r="B107" s="1716"/>
      <c r="C107" s="1716"/>
      <c r="D107" s="1718"/>
      <c r="E107" s="1674"/>
      <c r="F107" s="1674"/>
      <c r="G107" s="1674"/>
      <c r="H107" s="1674"/>
      <c r="I107" s="1674"/>
      <c r="J107" s="1675"/>
      <c r="K107" s="97"/>
    </row>
    <row r="108" spans="1:11">
      <c r="A108" s="1676"/>
      <c r="B108" s="1677"/>
      <c r="C108" s="1677"/>
      <c r="D108" s="1718"/>
      <c r="E108" s="1674"/>
      <c r="F108" s="1674"/>
      <c r="G108" s="1674"/>
      <c r="H108" s="1674"/>
      <c r="I108" s="1674"/>
      <c r="J108" s="1675"/>
      <c r="K108" s="97"/>
    </row>
    <row r="109" spans="1:11">
      <c r="A109" s="1720"/>
      <c r="B109" s="1721"/>
      <c r="C109" s="1721"/>
      <c r="D109" s="1718"/>
      <c r="E109" s="1674"/>
      <c r="F109" s="1674"/>
      <c r="G109" s="1674"/>
      <c r="H109" s="1674"/>
      <c r="I109" s="1674"/>
      <c r="J109" s="1675"/>
      <c r="K109" s="97"/>
    </row>
    <row r="110" spans="1:11">
      <c r="A110" s="1722"/>
      <c r="B110" s="1723"/>
      <c r="C110" s="1723"/>
      <c r="D110" s="1718"/>
      <c r="E110" s="1674"/>
      <c r="F110" s="1681"/>
      <c r="G110" s="1681"/>
      <c r="H110" s="1681"/>
      <c r="I110" s="1681"/>
      <c r="J110" s="1675"/>
      <c r="K110" s="97"/>
    </row>
    <row r="111" spans="1:11">
      <c r="A111" s="1724" t="s">
        <v>875</v>
      </c>
      <c r="B111" s="1583"/>
      <c r="C111" s="1583"/>
      <c r="D111" s="163"/>
      <c r="E111" s="1567">
        <f>SUM(E91:E110)</f>
        <v>-365564564</v>
      </c>
      <c r="F111" s="1567">
        <f>SUM(F91:F110)</f>
        <v>-305529501.5</v>
      </c>
      <c r="G111" s="131">
        <f>SUM(G91:G110)</f>
        <v>0</v>
      </c>
      <c r="H111" s="131">
        <f>SUM(H91:H110)</f>
        <v>2469672</v>
      </c>
      <c r="I111" s="131">
        <f>SUM(I91:I110)</f>
        <v>-62504734.5</v>
      </c>
      <c r="J111" s="164"/>
      <c r="K111" s="97"/>
    </row>
    <row r="112" spans="1:11">
      <c r="A112" s="1707" t="s">
        <v>830</v>
      </c>
      <c r="B112" s="1394"/>
      <c r="C112" s="1394"/>
      <c r="D112" s="163"/>
      <c r="E112" s="1584">
        <f>+E92+E101</f>
        <v>-106765582.5</v>
      </c>
      <c r="F112" s="1584">
        <f>+E112</f>
        <v>-106765582.5</v>
      </c>
      <c r="G112" s="132">
        <v>0</v>
      </c>
      <c r="H112" s="132">
        <v>0</v>
      </c>
      <c r="I112" s="132">
        <v>0</v>
      </c>
      <c r="J112" s="164"/>
      <c r="K112" s="97"/>
    </row>
    <row r="113" spans="1:11">
      <c r="A113" s="1707" t="s">
        <v>831</v>
      </c>
      <c r="B113" s="1394"/>
      <c r="C113" s="1394"/>
      <c r="D113" s="163"/>
      <c r="E113" s="1584">
        <v>0</v>
      </c>
      <c r="F113" s="1584">
        <v>0</v>
      </c>
      <c r="G113" s="132">
        <v>0</v>
      </c>
      <c r="H113" s="132">
        <v>0</v>
      </c>
      <c r="I113" s="132">
        <f>+E113</f>
        <v>0</v>
      </c>
      <c r="J113" s="161"/>
      <c r="K113" s="97"/>
    </row>
    <row r="114" spans="1:11">
      <c r="A114" s="1725" t="s">
        <v>1015</v>
      </c>
      <c r="B114" s="1585"/>
      <c r="C114" s="1585"/>
      <c r="D114" s="1255"/>
      <c r="E114" s="1584">
        <f>+E111-E112-E113</f>
        <v>-258798981.5</v>
      </c>
      <c r="F114" s="1584">
        <f>+F111-F112-F113</f>
        <v>-198763919</v>
      </c>
      <c r="G114" s="132">
        <f>+G111-G112-G113</f>
        <v>0</v>
      </c>
      <c r="H114" s="132">
        <f>+H111-H112-H113</f>
        <v>2469672</v>
      </c>
      <c r="I114" s="132">
        <f>+I111-I112-I113</f>
        <v>-62504734.5</v>
      </c>
      <c r="J114" s="161"/>
      <c r="K114" s="97"/>
    </row>
    <row r="115" spans="1:11">
      <c r="A115" s="1243"/>
      <c r="B115" s="1243"/>
      <c r="C115" s="1243"/>
      <c r="D115" s="1582"/>
      <c r="E115" s="1576"/>
      <c r="F115" s="1586"/>
      <c r="G115" s="147"/>
      <c r="H115" s="147"/>
      <c r="I115" s="147"/>
      <c r="J115" s="139"/>
      <c r="K115" s="97"/>
    </row>
    <row r="116" spans="1:11">
      <c r="A116" s="1688" t="s">
        <v>143</v>
      </c>
      <c r="B116" s="1689"/>
      <c r="C116" s="1690"/>
      <c r="D116" s="1690"/>
      <c r="E116" s="1708"/>
      <c r="F116" s="1693"/>
      <c r="G116" s="172"/>
      <c r="H116" s="329"/>
    </row>
    <row r="117" spans="1:11">
      <c r="A117" s="1894" t="s">
        <v>722</v>
      </c>
      <c r="B117" s="1895"/>
      <c r="C117" s="1895"/>
      <c r="D117" s="1895"/>
      <c r="E117" s="1895"/>
      <c r="F117" s="1896"/>
      <c r="G117" s="139"/>
      <c r="H117" s="330"/>
    </row>
    <row r="118" spans="1:11">
      <c r="A118" s="1694" t="s">
        <v>723</v>
      </c>
      <c r="B118" s="1695"/>
      <c r="C118" s="1696"/>
      <c r="D118" s="1696"/>
      <c r="E118" s="1697"/>
      <c r="F118" s="1698"/>
      <c r="G118" s="172"/>
      <c r="H118" s="97"/>
    </row>
    <row r="119" spans="1:11">
      <c r="A119" s="1694" t="s">
        <v>1085</v>
      </c>
      <c r="B119" s="1695"/>
      <c r="C119" s="1696"/>
      <c r="D119" s="1696"/>
      <c r="E119" s="1697"/>
      <c r="F119" s="1698"/>
      <c r="G119" s="139"/>
      <c r="H119" s="331"/>
    </row>
    <row r="120" spans="1:11">
      <c r="A120" s="1694" t="s">
        <v>1086</v>
      </c>
      <c r="B120" s="1695"/>
      <c r="C120" s="1695"/>
      <c r="D120" s="1695"/>
      <c r="E120" s="1695"/>
      <c r="F120" s="1726"/>
      <c r="G120" s="143"/>
      <c r="H120" s="97"/>
    </row>
    <row r="121" spans="1:11" ht="38.25" customHeight="1">
      <c r="A121" s="1897" t="str">
        <f>+A80</f>
        <v>5. Deferred income taxes arise when items are included in taxable income in different periods than they are included in rates, therefore if the item giving rise to the ADIT is not included in the formula, the associated ADIT amount shall be excluded</v>
      </c>
      <c r="B121" s="1898"/>
      <c r="C121" s="1898"/>
      <c r="D121" s="1898"/>
      <c r="E121" s="1898"/>
      <c r="F121" s="1899"/>
      <c r="G121" s="139"/>
      <c r="H121" s="97"/>
    </row>
    <row r="122" spans="1:11">
      <c r="A122" s="1699" t="s">
        <v>873</v>
      </c>
      <c r="B122" s="1727"/>
      <c r="C122" s="1727"/>
      <c r="D122" s="1727"/>
      <c r="E122" s="1727"/>
      <c r="F122" s="1728"/>
      <c r="G122" s="139"/>
      <c r="H122" s="97"/>
    </row>
    <row r="123" spans="1:11">
      <c r="A123" s="137"/>
      <c r="B123" s="137"/>
      <c r="C123" s="137"/>
      <c r="D123" s="97"/>
      <c r="E123" s="97"/>
      <c r="F123" s="97"/>
      <c r="G123" s="97"/>
      <c r="H123" s="97"/>
      <c r="I123" s="97"/>
      <c r="J123" s="97"/>
      <c r="K123" s="97"/>
    </row>
    <row r="124" spans="1:11" ht="18">
      <c r="A124" s="165"/>
      <c r="B124" s="165"/>
      <c r="C124" s="165"/>
      <c r="D124" s="166"/>
      <c r="E124" s="166"/>
      <c r="F124" s="166"/>
      <c r="G124" s="166"/>
      <c r="H124" s="166"/>
      <c r="I124" s="166"/>
      <c r="J124" s="166"/>
      <c r="K124" s="97"/>
    </row>
    <row r="125" spans="1:11">
      <c r="A125" s="190" t="s">
        <v>1029</v>
      </c>
      <c r="B125" s="190"/>
      <c r="C125" s="190"/>
      <c r="D125" s="136"/>
      <c r="E125" s="136"/>
      <c r="F125" s="136"/>
      <c r="G125" s="136"/>
      <c r="H125" s="136"/>
      <c r="I125" s="136"/>
      <c r="J125" s="136"/>
      <c r="K125" s="136"/>
    </row>
    <row r="126" spans="1:11">
      <c r="A126" s="97"/>
      <c r="B126" s="97"/>
      <c r="C126" s="97"/>
      <c r="D126" s="97"/>
      <c r="E126" s="97"/>
      <c r="F126" s="97"/>
      <c r="G126" s="97"/>
      <c r="H126" s="97"/>
      <c r="I126" s="97"/>
      <c r="J126" s="97"/>
      <c r="K126" s="97"/>
    </row>
    <row r="127" spans="1:11">
      <c r="A127" s="97"/>
      <c r="B127" s="97"/>
      <c r="C127" s="97"/>
      <c r="D127" s="97"/>
      <c r="E127" s="97"/>
      <c r="F127" s="97"/>
      <c r="G127" s="97"/>
      <c r="H127" s="97"/>
      <c r="I127" s="97"/>
      <c r="J127" s="97"/>
      <c r="K127" s="97"/>
    </row>
    <row r="128" spans="1:11">
      <c r="A128" s="97"/>
      <c r="B128" s="97"/>
      <c r="C128" s="97"/>
      <c r="D128" s="97"/>
      <c r="E128" s="97"/>
      <c r="F128" s="97"/>
      <c r="G128" s="97"/>
      <c r="H128" s="97"/>
      <c r="I128" s="97"/>
      <c r="J128" s="97"/>
      <c r="K128" s="97"/>
    </row>
    <row r="129" spans="1:11" ht="15">
      <c r="A129" s="140" t="s">
        <v>1030</v>
      </c>
      <c r="B129" s="140"/>
      <c r="C129" s="140"/>
      <c r="D129" s="97"/>
      <c r="E129" s="97"/>
      <c r="F129" s="141"/>
      <c r="G129" s="141"/>
      <c r="H129" s="141"/>
      <c r="I129" s="141"/>
      <c r="J129" s="141"/>
      <c r="K129" s="141"/>
    </row>
    <row r="130" spans="1:11" ht="15">
      <c r="A130" s="140"/>
      <c r="B130" s="140"/>
      <c r="C130" s="140"/>
      <c r="D130" s="686"/>
      <c r="E130" s="97"/>
      <c r="F130" s="142"/>
      <c r="G130" s="142"/>
      <c r="H130" s="141"/>
      <c r="I130" s="141"/>
      <c r="J130" s="141"/>
      <c r="K130" s="141"/>
    </row>
    <row r="131" spans="1:11">
      <c r="A131" s="129"/>
      <c r="B131" s="1256"/>
      <c r="C131" s="1257" t="s">
        <v>538</v>
      </c>
      <c r="D131" s="1257" t="s">
        <v>538</v>
      </c>
      <c r="E131" s="1257" t="s">
        <v>538</v>
      </c>
      <c r="F131" s="2"/>
      <c r="G131" s="1257" t="s">
        <v>539</v>
      </c>
      <c r="H131" s="1257" t="s">
        <v>539</v>
      </c>
      <c r="I131" s="1257" t="s">
        <v>539</v>
      </c>
      <c r="J131" s="105"/>
      <c r="K131" s="97"/>
    </row>
    <row r="132" spans="1:11">
      <c r="A132" s="129"/>
      <c r="B132" s="1256"/>
      <c r="F132" s="2"/>
      <c r="J132" s="105"/>
      <c r="K132" s="97"/>
    </row>
    <row r="133" spans="1:11">
      <c r="A133" s="129">
        <v>1</v>
      </c>
      <c r="B133" s="1238" t="s">
        <v>1032</v>
      </c>
      <c r="C133" s="1256" t="s">
        <v>430</v>
      </c>
      <c r="D133" s="1256" t="s">
        <v>431</v>
      </c>
      <c r="E133" s="1258" t="s">
        <v>432</v>
      </c>
      <c r="F133" s="2"/>
      <c r="G133" s="1256" t="s">
        <v>430</v>
      </c>
      <c r="H133" s="1256" t="s">
        <v>431</v>
      </c>
      <c r="I133" s="1258" t="s">
        <v>432</v>
      </c>
      <c r="J133" s="105"/>
      <c r="K133" s="97"/>
    </row>
    <row r="134" spans="1:11">
      <c r="A134" s="129">
        <v>2</v>
      </c>
      <c r="B134" s="1257" t="s">
        <v>1444</v>
      </c>
      <c r="C134" s="1729">
        <v>0</v>
      </c>
      <c r="D134" s="1729">
        <v>0</v>
      </c>
      <c r="E134" s="1259">
        <f>+C134/2+D134/2</f>
        <v>0</v>
      </c>
      <c r="F134" s="2"/>
      <c r="G134" s="1730"/>
      <c r="H134" s="1730"/>
      <c r="I134" s="1259">
        <f>+G134+H134</f>
        <v>0</v>
      </c>
      <c r="J134" s="105"/>
      <c r="K134" s="97"/>
    </row>
    <row r="135" spans="1:11">
      <c r="A135" s="129"/>
      <c r="B135" s="1238"/>
      <c r="C135" s="1258"/>
      <c r="D135" s="1259"/>
      <c r="E135" s="1259"/>
      <c r="F135" s="2"/>
      <c r="G135" s="1259"/>
      <c r="H135" s="1259"/>
      <c r="I135" s="1259"/>
      <c r="J135" s="105"/>
      <c r="K135" s="97"/>
    </row>
    <row r="136" spans="1:11">
      <c r="A136" s="129">
        <v>3</v>
      </c>
      <c r="B136" s="1238" t="s">
        <v>1031</v>
      </c>
      <c r="C136" s="1258"/>
      <c r="D136" s="1259" t="s">
        <v>1031</v>
      </c>
      <c r="E136" s="1259"/>
      <c r="F136" s="2"/>
      <c r="G136" s="1259"/>
      <c r="H136" s="1259" t="str">
        <f>+D136</f>
        <v>Amortization</v>
      </c>
      <c r="I136" s="1259"/>
      <c r="J136" s="105"/>
      <c r="K136" s="97"/>
    </row>
    <row r="137" spans="1:11">
      <c r="A137" s="129">
        <v>4</v>
      </c>
      <c r="B137" s="1257" t="s">
        <v>1445</v>
      </c>
      <c r="C137" s="1730">
        <v>21939</v>
      </c>
      <c r="D137" s="1729"/>
      <c r="E137" s="131"/>
      <c r="F137" s="2"/>
      <c r="G137" s="1730">
        <v>0</v>
      </c>
      <c r="H137" s="1730">
        <v>0</v>
      </c>
      <c r="I137" s="1406">
        <f>AVERAGE(G137,H137)</f>
        <v>0</v>
      </c>
      <c r="J137" s="105"/>
      <c r="K137" s="97"/>
    </row>
    <row r="138" spans="1:11">
      <c r="A138" s="129"/>
      <c r="B138" s="1238"/>
      <c r="C138" s="1258"/>
      <c r="D138" s="1259"/>
      <c r="E138" s="1259"/>
      <c r="F138" s="2"/>
      <c r="G138" s="1259"/>
      <c r="H138" s="1259"/>
      <c r="I138" s="1259"/>
      <c r="J138" s="105"/>
      <c r="K138" s="97"/>
    </row>
    <row r="139" spans="1:11">
      <c r="A139" s="129">
        <v>5</v>
      </c>
      <c r="B139" s="1238" t="s">
        <v>1015</v>
      </c>
      <c r="C139" s="1258"/>
      <c r="D139" s="1259">
        <f>+D137+D134</f>
        <v>0</v>
      </c>
      <c r="E139" s="1259"/>
      <c r="F139" s="2"/>
      <c r="G139" s="1259">
        <f>+G137+G134</f>
        <v>0</v>
      </c>
      <c r="H139" s="1259">
        <f>+H137+H134</f>
        <v>0</v>
      </c>
      <c r="I139" s="1259">
        <f>+I137+I134</f>
        <v>0</v>
      </c>
      <c r="J139" s="105"/>
      <c r="K139" s="97"/>
    </row>
    <row r="140" spans="1:11">
      <c r="A140" s="129"/>
      <c r="B140" s="1238"/>
      <c r="C140" s="1258"/>
      <c r="D140" s="1259"/>
      <c r="E140" s="1259"/>
      <c r="F140" s="2"/>
      <c r="G140" s="1259"/>
      <c r="H140" s="1259"/>
      <c r="I140" s="1259"/>
      <c r="J140" s="105"/>
      <c r="K140" s="97"/>
    </row>
    <row r="141" spans="1:11">
      <c r="A141" s="129">
        <v>6</v>
      </c>
      <c r="B141" s="1238" t="s">
        <v>1099</v>
      </c>
      <c r="C141" s="1258"/>
      <c r="D141" s="1259">
        <f>D139</f>
        <v>0</v>
      </c>
      <c r="E141" s="1259"/>
      <c r="F141" s="2"/>
      <c r="G141" s="1259">
        <f>G139</f>
        <v>0</v>
      </c>
      <c r="H141" s="1259">
        <f>H139</f>
        <v>0</v>
      </c>
      <c r="I141" s="1259">
        <f>I139</f>
        <v>0</v>
      </c>
      <c r="J141" s="105"/>
      <c r="K141" s="97"/>
    </row>
    <row r="142" spans="1:11">
      <c r="A142" s="130"/>
      <c r="B142" s="1238"/>
      <c r="C142" s="1238"/>
      <c r="D142" s="1238"/>
      <c r="E142" s="1259"/>
      <c r="F142" s="2"/>
      <c r="G142" s="1259"/>
      <c r="H142" s="1259"/>
      <c r="I142" s="1259"/>
      <c r="J142" s="105"/>
      <c r="K142" s="97"/>
    </row>
    <row r="143" spans="1:11">
      <c r="A143" s="129">
        <v>7</v>
      </c>
      <c r="B143" s="130" t="s">
        <v>1033</v>
      </c>
      <c r="C143" s="129"/>
      <c r="D143" s="1238"/>
      <c r="E143" s="160">
        <f>+E139-E141</f>
        <v>0</v>
      </c>
      <c r="G143" s="160">
        <f>+G139-G141</f>
        <v>0</v>
      </c>
      <c r="H143" s="160">
        <f>+H139-H141</f>
        <v>0</v>
      </c>
      <c r="I143" s="160">
        <f>+I139-I141</f>
        <v>0</v>
      </c>
      <c r="J143" s="97"/>
      <c r="K143" s="97"/>
    </row>
    <row r="144" spans="1:11">
      <c r="A144" s="97"/>
      <c r="B144" s="97"/>
      <c r="C144" s="97"/>
      <c r="D144" s="97"/>
      <c r="E144" s="97"/>
      <c r="F144" s="157"/>
      <c r="G144" s="157"/>
      <c r="I144" s="97"/>
      <c r="J144" s="97"/>
      <c r="K144" s="97"/>
    </row>
    <row r="145" spans="1:11">
      <c r="A145" s="137"/>
      <c r="B145" s="137"/>
      <c r="C145" s="137"/>
      <c r="D145" s="97" t="s">
        <v>1034</v>
      </c>
      <c r="E145" s="97"/>
      <c r="F145" s="97"/>
      <c r="G145" s="97"/>
      <c r="I145" s="97"/>
      <c r="J145" s="97"/>
      <c r="K145" s="97"/>
    </row>
  </sheetData>
  <customSheetViews>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1"/>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2"/>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4"/>
      <headerFooter alignWithMargins="0">
        <oddHeader>&amp;R&amp;12Page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6"/>
      <headerFooter alignWithMargins="0">
        <oddHeader>&amp;R&amp;14Page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8"/>
      <headerFooter alignWithMargins="0">
        <oddHeader>&amp;R&amp;12Page &amp;P of &amp;N</oddHeader>
      </headerFooter>
    </customSheetView>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9"/>
      <headerFooter alignWithMargins="0">
        <oddHeader>&amp;R&amp;12Page &amp;P of &amp;N</oddHeader>
      </headerFooter>
    </customSheetView>
  </customSheetViews>
  <mergeCells count="7">
    <mergeCell ref="A117:F117"/>
    <mergeCell ref="A121:F121"/>
    <mergeCell ref="A56:F56"/>
    <mergeCell ref="A1:J1"/>
    <mergeCell ref="A76:F76"/>
    <mergeCell ref="A52:F52"/>
    <mergeCell ref="A80:F80"/>
  </mergeCells>
  <phoneticPr fontId="0" type="noConversion"/>
  <printOptions horizontalCentered="1"/>
  <pageMargins left="0.5" right="0.5" top="1" bottom="0.5" header="0.5" footer="0.5"/>
  <pageSetup scale="54" fitToHeight="5" orientation="landscape" r:id="rId10"/>
  <headerFooter alignWithMargins="0"/>
  <rowBreaks count="4" manualBreakCount="4">
    <brk id="58" max="8" man="1"/>
    <brk id="122" max="8" man="1"/>
    <brk id="151" max="16383" man="1"/>
    <brk id="2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116"/>
  <sheetViews>
    <sheetView topLeftCell="A34" zoomScale="75" zoomScaleNormal="75" workbookViewId="0">
      <selection activeCell="K69" sqref="K69"/>
    </sheetView>
  </sheetViews>
  <sheetFormatPr defaultRowHeight="12.75"/>
  <cols>
    <col min="1" max="2" width="4.7109375" customWidth="1"/>
    <col min="3" max="3" width="63" customWidth="1"/>
    <col min="4" max="4" width="3.140625" customWidth="1"/>
    <col min="5" max="5" width="14.42578125" style="90" customWidth="1"/>
    <col min="6" max="6" width="15.28515625" customWidth="1"/>
    <col min="7" max="7" width="17.42578125" customWidth="1"/>
    <col min="8" max="8" width="10.85546875" customWidth="1"/>
    <col min="9" max="9" width="4" customWidth="1"/>
  </cols>
  <sheetData>
    <row r="1" spans="1:8" ht="18">
      <c r="A1" s="1900" t="str">
        <f>+'ATT H-1 '!A3</f>
        <v xml:space="preserve">Puget Sound Energy </v>
      </c>
      <c r="B1" s="1900"/>
      <c r="C1" s="1900"/>
      <c r="D1" s="1900"/>
      <c r="E1" s="1900"/>
      <c r="F1" s="1900"/>
      <c r="G1" s="1900"/>
      <c r="H1" s="1902"/>
    </row>
    <row r="2" spans="1:8">
      <c r="A2" s="92"/>
    </row>
    <row r="3" spans="1:8" ht="15.75">
      <c r="A3" s="1903" t="s">
        <v>824</v>
      </c>
      <c r="B3" s="1904"/>
      <c r="C3" s="1904"/>
      <c r="D3" s="1904"/>
      <c r="E3" s="1904"/>
      <c r="F3" s="1905"/>
      <c r="G3" s="1905"/>
      <c r="H3" s="1905"/>
    </row>
    <row r="5" spans="1:8">
      <c r="D5" s="93"/>
    </row>
    <row r="7" spans="1:8">
      <c r="D7" s="87"/>
      <c r="E7" s="128" t="s">
        <v>148</v>
      </c>
      <c r="F7" s="128"/>
      <c r="G7" s="128" t="s">
        <v>156</v>
      </c>
      <c r="H7" s="87"/>
    </row>
    <row r="8" spans="1:8">
      <c r="A8" s="805" t="s">
        <v>926</v>
      </c>
      <c r="B8" s="80"/>
      <c r="D8" s="87"/>
      <c r="E8" s="128" t="s">
        <v>149</v>
      </c>
      <c r="F8" s="128" t="s">
        <v>1055</v>
      </c>
      <c r="G8" s="128" t="s">
        <v>157</v>
      </c>
      <c r="H8" s="87"/>
    </row>
    <row r="9" spans="1:8">
      <c r="A9" s="80"/>
      <c r="B9" s="80"/>
      <c r="D9" s="87"/>
      <c r="E9" s="99"/>
      <c r="F9" s="87"/>
      <c r="G9" s="87"/>
      <c r="H9" s="87"/>
    </row>
    <row r="10" spans="1:8">
      <c r="A10" s="120"/>
      <c r="B10" s="120"/>
      <c r="C10" s="2"/>
      <c r="D10" s="87"/>
      <c r="E10" s="99"/>
      <c r="F10" s="87"/>
      <c r="G10" s="87"/>
      <c r="H10" s="87"/>
    </row>
    <row r="11" spans="1:8">
      <c r="A11" s="2"/>
      <c r="B11" s="178"/>
      <c r="C11" s="2"/>
      <c r="D11" s="87"/>
      <c r="E11" s="99"/>
      <c r="F11" s="2"/>
      <c r="G11" s="87"/>
      <c r="H11" s="89"/>
    </row>
    <row r="12" spans="1:8">
      <c r="A12" s="2"/>
      <c r="B12" s="182" t="s">
        <v>147</v>
      </c>
      <c r="C12" s="2"/>
      <c r="D12" s="87"/>
      <c r="E12" s="91"/>
      <c r="F12" s="1493" t="s">
        <v>903</v>
      </c>
      <c r="G12" s="87"/>
      <c r="H12" s="89"/>
    </row>
    <row r="13" spans="1:8">
      <c r="A13" s="2"/>
      <c r="B13" s="84"/>
      <c r="C13" s="2"/>
      <c r="D13" s="87"/>
      <c r="E13" s="91"/>
      <c r="F13" s="87"/>
      <c r="G13" s="87"/>
      <c r="H13" s="89"/>
    </row>
    <row r="14" spans="1:8" s="348" customFormat="1" ht="12.75" customHeight="1">
      <c r="A14" s="1260"/>
      <c r="B14" s="1409">
        <v>1</v>
      </c>
      <c r="C14" s="1518" t="s">
        <v>1415</v>
      </c>
      <c r="D14" s="742"/>
      <c r="E14" s="1516">
        <v>45594477</v>
      </c>
      <c r="F14" s="830">
        <f>+'ATT H-1 '!$H$23</f>
        <v>0.13996338273478429</v>
      </c>
      <c r="G14" s="1261">
        <f>+F14*E14</f>
        <v>6381557.2349433191</v>
      </c>
      <c r="H14" s="1906"/>
    </row>
    <row r="15" spans="1:8" ht="12.75" customHeight="1">
      <c r="A15" s="2"/>
      <c r="B15" s="1410">
        <v>2</v>
      </c>
      <c r="C15" s="1514"/>
      <c r="D15" s="181"/>
      <c r="E15" s="1516"/>
      <c r="F15" s="830">
        <f>+F16</f>
        <v>0.13996338273478429</v>
      </c>
      <c r="G15" s="1262">
        <f t="shared" ref="G15:G18" si="0">+F15*E15</f>
        <v>0</v>
      </c>
      <c r="H15" s="1906"/>
    </row>
    <row r="16" spans="1:8" ht="12.75" customHeight="1">
      <c r="A16" s="2"/>
      <c r="B16" s="1410">
        <v>3</v>
      </c>
      <c r="C16" s="1514"/>
      <c r="D16" s="181"/>
      <c r="E16" s="1516"/>
      <c r="F16" s="830">
        <f>+F17</f>
        <v>0.13996338273478429</v>
      </c>
      <c r="G16" s="1262">
        <f t="shared" si="0"/>
        <v>0</v>
      </c>
      <c r="H16" s="82"/>
    </row>
    <row r="17" spans="1:8" ht="12.75" customHeight="1">
      <c r="A17" s="2"/>
      <c r="B17" s="1410">
        <v>4</v>
      </c>
      <c r="C17" s="1514"/>
      <c r="D17" s="181"/>
      <c r="E17" s="1516"/>
      <c r="F17" s="830">
        <f>+F18</f>
        <v>0.13996338273478429</v>
      </c>
      <c r="G17" s="1262">
        <f t="shared" si="0"/>
        <v>0</v>
      </c>
      <c r="H17" s="82"/>
    </row>
    <row r="18" spans="1:8" ht="12.75" customHeight="1">
      <c r="A18" s="2"/>
      <c r="B18" s="1410">
        <v>5</v>
      </c>
      <c r="C18" s="1514"/>
      <c r="D18" s="181"/>
      <c r="E18" s="1519"/>
      <c r="F18" s="830">
        <f>+F19</f>
        <v>0.13996338273478429</v>
      </c>
      <c r="G18" s="1262">
        <f t="shared" si="0"/>
        <v>0</v>
      </c>
      <c r="H18" s="2" t="s">
        <v>919</v>
      </c>
    </row>
    <row r="19" spans="1:8" ht="12.75" customHeight="1">
      <c r="A19" s="2"/>
      <c r="B19" s="1410"/>
      <c r="C19" s="1515"/>
      <c r="D19" s="181"/>
      <c r="E19" s="1519"/>
      <c r="F19" s="830">
        <f>+'ATT H-1 '!$H$23</f>
        <v>0.13996338273478429</v>
      </c>
      <c r="G19" s="1262">
        <f>+F19*E19</f>
        <v>0</v>
      </c>
      <c r="H19" s="82"/>
    </row>
    <row r="20" spans="1:8" ht="12.75" customHeight="1">
      <c r="A20" s="2"/>
      <c r="B20" s="182" t="s">
        <v>152</v>
      </c>
      <c r="C20" s="2"/>
      <c r="D20" s="181"/>
      <c r="E20" s="109">
        <f>SUM(E14:E19)</f>
        <v>45594477</v>
      </c>
      <c r="F20" s="2"/>
      <c r="G20" s="109">
        <f>SUM(G14:G19)</f>
        <v>6381557.2349433191</v>
      </c>
      <c r="H20" s="82"/>
    </row>
    <row r="21" spans="1:8" ht="12.75" customHeight="1">
      <c r="A21" s="2"/>
      <c r="B21" s="84"/>
      <c r="C21" s="2"/>
      <c r="D21" s="181"/>
      <c r="E21" s="1263"/>
      <c r="F21" s="181"/>
      <c r="G21" s="181"/>
      <c r="H21" s="82"/>
    </row>
    <row r="22" spans="1:8" ht="12.75" customHeight="1">
      <c r="A22" s="2"/>
      <c r="B22" s="84"/>
      <c r="C22" s="2"/>
      <c r="D22" s="181"/>
      <c r="E22" s="1263"/>
      <c r="F22" s="181"/>
      <c r="G22" s="181"/>
      <c r="H22" s="82"/>
    </row>
    <row r="23" spans="1:8" ht="12.75" customHeight="1">
      <c r="A23" s="2"/>
      <c r="B23" s="182" t="s">
        <v>150</v>
      </c>
      <c r="C23" s="2"/>
      <c r="D23" s="181"/>
      <c r="E23" s="1263"/>
      <c r="F23" s="1494" t="s">
        <v>1036</v>
      </c>
      <c r="G23" s="181"/>
      <c r="H23" s="82"/>
    </row>
    <row r="24" spans="1:8" ht="12.75" customHeight="1">
      <c r="A24" s="2"/>
      <c r="B24" s="182"/>
      <c r="C24" s="2"/>
      <c r="D24" s="181"/>
      <c r="E24" s="123"/>
      <c r="F24" s="2"/>
      <c r="G24" s="181"/>
      <c r="H24" s="82"/>
    </row>
    <row r="25" spans="1:8" ht="12.75" customHeight="1">
      <c r="A25" s="2"/>
      <c r="B25" s="84"/>
      <c r="C25" s="2"/>
      <c r="D25" s="181"/>
      <c r="E25" s="1263"/>
      <c r="F25" s="181"/>
      <c r="G25" s="181"/>
      <c r="H25" s="82"/>
    </row>
    <row r="26" spans="1:8" ht="12.75" customHeight="1">
      <c r="A26" s="2"/>
      <c r="B26" s="1407">
        <v>6</v>
      </c>
      <c r="C26" s="1513" t="s">
        <v>1117</v>
      </c>
      <c r="D26" s="743"/>
      <c r="E26" s="1516">
        <v>8979885</v>
      </c>
      <c r="F26" s="743"/>
      <c r="G26" s="743"/>
      <c r="H26" s="83"/>
    </row>
    <row r="27" spans="1:8">
      <c r="A27" s="2"/>
      <c r="B27" s="1407"/>
      <c r="C27" s="1514"/>
      <c r="D27" s="2"/>
      <c r="E27" s="1516"/>
      <c r="F27" s="2"/>
      <c r="G27" s="2"/>
    </row>
    <row r="28" spans="1:8">
      <c r="A28" s="2"/>
      <c r="B28" s="1407"/>
      <c r="C28" s="1515"/>
      <c r="D28" s="2"/>
      <c r="E28" s="1517"/>
      <c r="F28" s="2"/>
      <c r="G28" s="2"/>
    </row>
    <row r="29" spans="1:8">
      <c r="A29" s="2"/>
      <c r="B29" s="1407"/>
      <c r="C29" s="1515"/>
      <c r="D29" s="2"/>
      <c r="E29" s="1517"/>
      <c r="F29" s="2"/>
      <c r="G29" s="2"/>
    </row>
    <row r="30" spans="1:8">
      <c r="A30" s="2"/>
      <c r="B30" s="84"/>
      <c r="C30" s="1515"/>
      <c r="D30" s="2"/>
      <c r="E30" s="1517"/>
      <c r="F30" s="2"/>
      <c r="G30" s="2"/>
    </row>
    <row r="31" spans="1:8">
      <c r="A31" s="2"/>
      <c r="B31" s="182" t="s">
        <v>153</v>
      </c>
      <c r="C31" s="2"/>
      <c r="D31" s="2"/>
      <c r="E31" s="109">
        <f>SUM(E26:E30)</f>
        <v>8979885</v>
      </c>
      <c r="F31" s="830">
        <f>+'ATT H-1 '!H13</f>
        <v>0.11631299673501208</v>
      </c>
      <c r="G31" s="109">
        <f>+F31*E31</f>
        <v>1044477.3346857839</v>
      </c>
    </row>
    <row r="32" spans="1:8">
      <c r="A32" s="2"/>
      <c r="B32" s="182"/>
      <c r="C32" s="1263"/>
      <c r="D32" s="2"/>
      <c r="E32" s="123"/>
      <c r="F32" s="2"/>
      <c r="G32" s="2"/>
    </row>
    <row r="33" spans="1:7">
      <c r="A33" s="2"/>
      <c r="B33" s="84"/>
      <c r="C33" s="2"/>
      <c r="D33" s="2"/>
      <c r="E33" s="123"/>
      <c r="F33" s="2"/>
      <c r="G33" s="2"/>
    </row>
    <row r="34" spans="1:7">
      <c r="A34" s="2"/>
      <c r="B34" s="182" t="s">
        <v>151</v>
      </c>
      <c r="C34" s="2"/>
      <c r="D34" s="2"/>
      <c r="E34" s="123"/>
      <c r="F34" s="1493" t="s">
        <v>903</v>
      </c>
      <c r="G34" s="2"/>
    </row>
    <row r="35" spans="1:7">
      <c r="A35" s="2"/>
      <c r="B35" s="84"/>
      <c r="C35" s="2"/>
      <c r="D35" s="2"/>
      <c r="E35" s="123"/>
      <c r="F35" s="2"/>
      <c r="G35" s="2"/>
    </row>
    <row r="36" spans="1:7">
      <c r="A36" s="2"/>
      <c r="B36" s="84">
        <v>7</v>
      </c>
      <c r="C36" s="743" t="s">
        <v>1112</v>
      </c>
      <c r="D36" s="2"/>
      <c r="E36" s="123">
        <v>0</v>
      </c>
      <c r="F36" s="2"/>
      <c r="G36" s="2"/>
    </row>
    <row r="37" spans="1:7">
      <c r="A37" s="2"/>
      <c r="B37" s="84"/>
      <c r="C37" s="84"/>
      <c r="D37" s="2"/>
      <c r="E37" s="109"/>
      <c r="F37" s="2"/>
      <c r="G37" s="2"/>
    </row>
    <row r="38" spans="1:7">
      <c r="A38" s="2"/>
      <c r="B38" s="84"/>
      <c r="C38" s="2"/>
      <c r="D38" s="2"/>
      <c r="E38" s="123"/>
      <c r="F38" s="2"/>
      <c r="G38" s="2"/>
    </row>
    <row r="39" spans="1:7">
      <c r="A39" s="2"/>
      <c r="B39" s="84"/>
      <c r="C39" s="2"/>
      <c r="D39" s="2"/>
      <c r="E39" s="123"/>
      <c r="F39" s="2"/>
      <c r="G39" s="2"/>
    </row>
    <row r="40" spans="1:7">
      <c r="A40" s="2"/>
      <c r="B40" s="182" t="s">
        <v>154</v>
      </c>
      <c r="C40" s="2"/>
      <c r="D40" s="2"/>
      <c r="E40" s="109">
        <f>SUM(E36:E39)</f>
        <v>0</v>
      </c>
      <c r="F40" s="830">
        <f>+F19</f>
        <v>0.13996338273478429</v>
      </c>
      <c r="G40" s="109">
        <f>+F40*E40</f>
        <v>0</v>
      </c>
    </row>
    <row r="41" spans="1:7">
      <c r="A41" s="2"/>
      <c r="B41" s="182"/>
      <c r="C41" s="2"/>
      <c r="D41" s="2"/>
      <c r="E41" s="109"/>
      <c r="F41" s="830"/>
      <c r="G41" s="109"/>
    </row>
    <row r="42" spans="1:7">
      <c r="A42" s="2"/>
      <c r="B42" s="182" t="s">
        <v>1132</v>
      </c>
      <c r="C42" s="2"/>
      <c r="D42" s="2"/>
      <c r="E42" s="109"/>
      <c r="F42" s="830"/>
      <c r="G42" s="109"/>
    </row>
    <row r="43" spans="1:7">
      <c r="A43" s="2"/>
      <c r="B43" s="1514">
        <v>8</v>
      </c>
      <c r="C43" s="1515" t="s">
        <v>1133</v>
      </c>
      <c r="D43" s="1515"/>
      <c r="E43" s="1516"/>
      <c r="F43" s="830"/>
      <c r="G43" s="109"/>
    </row>
    <row r="44" spans="1:7">
      <c r="A44" s="2"/>
      <c r="B44" s="84"/>
      <c r="C44" s="2"/>
      <c r="D44" s="2"/>
      <c r="E44" s="109"/>
      <c r="F44" s="830"/>
      <c r="G44" s="109"/>
    </row>
    <row r="45" spans="1:7">
      <c r="A45" s="2"/>
      <c r="B45" s="182" t="s">
        <v>1134</v>
      </c>
      <c r="C45" s="2"/>
      <c r="D45" s="2"/>
      <c r="E45" s="109">
        <f>SUM(E43:E44)</f>
        <v>0</v>
      </c>
      <c r="F45" s="830">
        <v>1</v>
      </c>
      <c r="G45" s="109">
        <f>E45*F45</f>
        <v>0</v>
      </c>
    </row>
    <row r="46" spans="1:7">
      <c r="A46" s="2"/>
      <c r="B46" s="84"/>
      <c r="C46" s="2"/>
      <c r="D46" s="2"/>
      <c r="E46" s="123"/>
      <c r="F46" s="2"/>
      <c r="G46" s="2"/>
    </row>
    <row r="47" spans="1:7">
      <c r="A47" s="2"/>
      <c r="B47" s="182" t="s">
        <v>118</v>
      </c>
      <c r="C47" s="2"/>
      <c r="D47" s="2"/>
      <c r="E47" s="123"/>
      <c r="F47" s="2"/>
      <c r="G47" s="1264">
        <f>+G40+G31+G20+G45</f>
        <v>7426034.5696291029</v>
      </c>
    </row>
    <row r="48" spans="1:7">
      <c r="A48" s="2"/>
      <c r="B48" s="182"/>
      <c r="C48" s="2"/>
      <c r="D48" s="2"/>
      <c r="E48" s="123"/>
      <c r="F48" s="2"/>
      <c r="G48" s="1264"/>
    </row>
    <row r="49" spans="1:9">
      <c r="A49" s="2"/>
      <c r="B49" s="182" t="s">
        <v>119</v>
      </c>
      <c r="C49" s="2"/>
      <c r="D49" s="2"/>
      <c r="E49" s="1639"/>
      <c r="F49" s="2"/>
      <c r="G49" s="1543">
        <v>8028475</v>
      </c>
    </row>
    <row r="50" spans="1:9">
      <c r="A50" s="2"/>
      <c r="B50" s="182" t="s">
        <v>120</v>
      </c>
      <c r="C50" s="100"/>
      <c r="D50" s="2"/>
      <c r="E50" s="1640"/>
      <c r="F50" s="2"/>
      <c r="G50" s="1534">
        <v>472485.13</v>
      </c>
    </row>
    <row r="51" spans="1:9">
      <c r="A51" s="2"/>
      <c r="B51" s="182"/>
      <c r="C51" s="100"/>
      <c r="D51" s="2"/>
      <c r="E51" s="123"/>
      <c r="F51" s="2"/>
      <c r="G51" s="179"/>
    </row>
    <row r="52" spans="1:9">
      <c r="A52" s="2"/>
      <c r="B52" s="182" t="s">
        <v>121</v>
      </c>
      <c r="C52" s="100"/>
      <c r="D52" s="2"/>
      <c r="E52" s="123"/>
      <c r="F52" s="2"/>
      <c r="G52" s="1881">
        <f>G47</f>
        <v>7426034.5696291029</v>
      </c>
    </row>
    <row r="53" spans="1:9">
      <c r="A53" s="2"/>
      <c r="B53" s="2"/>
      <c r="C53" s="100"/>
      <c r="D53" s="2"/>
      <c r="E53" s="123"/>
      <c r="F53" s="2"/>
      <c r="G53" s="2"/>
    </row>
    <row r="54" spans="1:9">
      <c r="A54" s="2"/>
      <c r="B54" s="2"/>
      <c r="C54" s="120" t="s">
        <v>155</v>
      </c>
      <c r="D54" s="2"/>
      <c r="E54" s="123"/>
      <c r="F54" s="2"/>
      <c r="G54" s="2"/>
    </row>
    <row r="55" spans="1:9">
      <c r="A55" s="2"/>
      <c r="B55" s="2"/>
      <c r="C55" s="2"/>
      <c r="D55" s="2"/>
      <c r="E55" s="123"/>
      <c r="F55" s="2"/>
      <c r="G55" s="120"/>
      <c r="H55" s="2"/>
      <c r="I55" s="2"/>
    </row>
    <row r="56" spans="1:9">
      <c r="A56" s="2"/>
      <c r="B56" s="1408">
        <f>B43+1</f>
        <v>9</v>
      </c>
      <c r="C56" s="1513" t="s">
        <v>1118</v>
      </c>
      <c r="D56" s="2"/>
      <c r="E56" s="1516">
        <v>76408737</v>
      </c>
      <c r="F56" s="110"/>
      <c r="G56" s="2"/>
      <c r="H56" s="100"/>
      <c r="I56" s="2"/>
    </row>
    <row r="57" spans="1:9">
      <c r="A57" s="2"/>
      <c r="B57" s="1408">
        <f t="shared" ref="B57:B64" si="1">+B56+1</f>
        <v>10</v>
      </c>
      <c r="C57" s="1513" t="s">
        <v>1119</v>
      </c>
      <c r="D57" s="2"/>
      <c r="E57" s="1516">
        <v>75075968</v>
      </c>
      <c r="F57" s="110"/>
      <c r="G57" s="2"/>
      <c r="H57" s="100"/>
      <c r="I57" s="2"/>
    </row>
    <row r="58" spans="1:9">
      <c r="A58" s="2"/>
      <c r="B58" s="1408">
        <f t="shared" si="1"/>
        <v>11</v>
      </c>
      <c r="C58" s="1513" t="s">
        <v>191</v>
      </c>
      <c r="D58" s="2"/>
      <c r="E58" s="1516">
        <v>1385233</v>
      </c>
      <c r="F58" s="2"/>
      <c r="G58" s="2"/>
      <c r="H58" s="100"/>
      <c r="I58" s="2"/>
    </row>
    <row r="59" spans="1:9">
      <c r="A59" s="2"/>
      <c r="B59" s="1408">
        <f t="shared" si="1"/>
        <v>12</v>
      </c>
      <c r="C59" s="1520"/>
      <c r="D59" s="2"/>
      <c r="E59" s="1516"/>
      <c r="F59" s="2"/>
      <c r="G59" s="2"/>
      <c r="H59" s="100"/>
      <c r="I59" s="2"/>
    </row>
    <row r="60" spans="1:9">
      <c r="A60" s="2"/>
      <c r="B60" s="1408">
        <f>+B59+1</f>
        <v>13</v>
      </c>
      <c r="C60" s="1520"/>
      <c r="D60" s="2"/>
      <c r="E60" s="1516"/>
      <c r="F60" s="2"/>
      <c r="G60" s="2"/>
    </row>
    <row r="61" spans="1:9">
      <c r="A61" s="2"/>
      <c r="B61" s="1408">
        <f t="shared" si="1"/>
        <v>14</v>
      </c>
      <c r="C61" s="1520"/>
      <c r="D61" s="2"/>
      <c r="E61" s="1516"/>
      <c r="F61" s="2"/>
      <c r="G61" s="2"/>
    </row>
    <row r="62" spans="1:9">
      <c r="A62" s="2"/>
      <c r="B62" s="1408">
        <f t="shared" si="1"/>
        <v>15</v>
      </c>
      <c r="C62" s="1520"/>
      <c r="D62" s="2"/>
      <c r="E62" s="1516"/>
      <c r="F62" s="2"/>
      <c r="G62" s="2"/>
    </row>
    <row r="63" spans="1:9">
      <c r="A63" s="2"/>
      <c r="B63" s="1408">
        <f t="shared" si="1"/>
        <v>16</v>
      </c>
      <c r="C63" s="1520"/>
      <c r="D63" s="2"/>
      <c r="E63" s="1516"/>
      <c r="F63" s="2"/>
      <c r="G63" s="2"/>
    </row>
    <row r="64" spans="1:9">
      <c r="A64" s="2"/>
      <c r="B64" s="1408">
        <f t="shared" si="1"/>
        <v>17</v>
      </c>
      <c r="C64" s="1520"/>
      <c r="D64" s="2"/>
      <c r="E64" s="1516"/>
      <c r="F64" s="2"/>
      <c r="G64" s="2"/>
    </row>
    <row r="65" spans="1:12">
      <c r="A65" s="2"/>
      <c r="B65" s="1408">
        <f>B64+1</f>
        <v>18</v>
      </c>
      <c r="C65" s="1520"/>
      <c r="D65" s="2"/>
      <c r="E65" s="1516"/>
      <c r="F65" s="2"/>
      <c r="G65" s="2"/>
    </row>
    <row r="66" spans="1:12">
      <c r="A66" s="2"/>
      <c r="B66" s="1408">
        <f>B65+1</f>
        <v>19</v>
      </c>
      <c r="C66" s="1520"/>
      <c r="D66" s="2"/>
      <c r="E66" s="1516"/>
      <c r="F66" s="2"/>
      <c r="G66" s="2"/>
    </row>
    <row r="67" spans="1:12">
      <c r="A67" s="2"/>
      <c r="B67" s="1408">
        <f>B66+1</f>
        <v>20</v>
      </c>
      <c r="C67" s="1520"/>
      <c r="D67" s="2"/>
      <c r="E67" s="1516"/>
      <c r="F67" s="2"/>
      <c r="G67" s="105"/>
      <c r="H67" s="97"/>
      <c r="I67" s="97"/>
      <c r="J67" s="97"/>
    </row>
    <row r="68" spans="1:12">
      <c r="A68" s="2"/>
      <c r="B68" s="1408">
        <f>B67+1</f>
        <v>21</v>
      </c>
      <c r="C68" s="1514"/>
      <c r="D68" s="2"/>
      <c r="E68" s="1516"/>
      <c r="F68" s="2"/>
      <c r="G68" s="147"/>
      <c r="H68" s="97"/>
      <c r="I68" s="97"/>
      <c r="J68" s="97"/>
    </row>
    <row r="69" spans="1:12">
      <c r="A69" s="2"/>
      <c r="B69" s="2"/>
      <c r="C69" s="2"/>
      <c r="D69" s="2"/>
      <c r="E69" s="123"/>
      <c r="F69" s="2"/>
      <c r="G69" s="147"/>
      <c r="H69" s="97"/>
      <c r="I69" s="97"/>
      <c r="J69" s="97"/>
    </row>
    <row r="70" spans="1:12">
      <c r="A70" s="2"/>
      <c r="B70" s="2">
        <f>B68+1</f>
        <v>22</v>
      </c>
      <c r="C70" s="105" t="s">
        <v>1042</v>
      </c>
      <c r="D70" s="2"/>
      <c r="E70" s="109">
        <f>SUM(E45:E68)+E31+E20</f>
        <v>207444300</v>
      </c>
      <c r="F70" s="2"/>
      <c r="G70" s="1642"/>
      <c r="H70" s="97"/>
      <c r="I70" s="97"/>
      <c r="J70" s="97"/>
      <c r="K70" s="2"/>
      <c r="L70" s="2"/>
    </row>
    <row r="71" spans="1:12">
      <c r="A71" s="2"/>
      <c r="B71" s="2"/>
      <c r="C71" s="1211"/>
      <c r="D71" s="2"/>
      <c r="E71" s="123"/>
      <c r="F71" s="2"/>
      <c r="G71" s="147"/>
      <c r="H71" s="97"/>
      <c r="I71" s="97"/>
      <c r="J71" s="97"/>
      <c r="K71" s="2"/>
      <c r="L71" s="2"/>
    </row>
    <row r="72" spans="1:12">
      <c r="A72" s="2"/>
      <c r="B72" s="2">
        <f>+B70+1</f>
        <v>23</v>
      </c>
      <c r="C72" s="1211" t="s">
        <v>1047</v>
      </c>
      <c r="D72" s="1265"/>
      <c r="E72" s="1670">
        <v>207444301</v>
      </c>
      <c r="F72" s="1768"/>
      <c r="G72" s="121"/>
      <c r="H72" s="122"/>
      <c r="I72" s="97"/>
      <c r="J72" s="657"/>
      <c r="K72" s="2"/>
      <c r="L72" s="2"/>
    </row>
    <row r="73" spans="1:12">
      <c r="A73" s="2"/>
      <c r="B73" s="2"/>
      <c r="C73" s="108"/>
      <c r="D73" s="108"/>
      <c r="E73" s="125"/>
      <c r="F73" s="121"/>
      <c r="G73" s="121"/>
      <c r="H73" s="122"/>
      <c r="I73" s="97"/>
      <c r="J73" s="97"/>
      <c r="K73" s="2"/>
      <c r="L73" s="2"/>
    </row>
    <row r="74" spans="1:12">
      <c r="B74">
        <f>+B72+1</f>
        <v>24</v>
      </c>
      <c r="C74" s="108" t="s">
        <v>880</v>
      </c>
      <c r="D74" s="152"/>
      <c r="E74" s="124">
        <f>+E70-E72</f>
        <v>-1</v>
      </c>
      <c r="F74" s="121"/>
      <c r="G74" s="121"/>
      <c r="H74" s="122"/>
      <c r="I74" s="97"/>
      <c r="J74" s="97"/>
    </row>
    <row r="75" spans="1:12">
      <c r="C75" s="108"/>
      <c r="D75" s="152"/>
      <c r="E75" s="124"/>
      <c r="F75" s="121"/>
      <c r="G75" s="121"/>
      <c r="H75" s="122"/>
    </row>
    <row r="76" spans="1:12">
      <c r="B76" s="2" t="s">
        <v>1035</v>
      </c>
      <c r="C76" s="84"/>
      <c r="D76" s="2"/>
      <c r="E76" s="109"/>
      <c r="F76" s="110"/>
      <c r="G76" s="110"/>
      <c r="H76" s="110"/>
    </row>
    <row r="77" spans="1:12">
      <c r="B77" s="2" t="s">
        <v>921</v>
      </c>
      <c r="C77" s="84" t="s">
        <v>881</v>
      </c>
      <c r="D77" s="2"/>
      <c r="E77" s="109"/>
      <c r="F77" s="110"/>
      <c r="G77" s="110"/>
      <c r="H77" s="110"/>
    </row>
    <row r="78" spans="1:12">
      <c r="B78" s="2"/>
      <c r="C78" s="127" t="s">
        <v>738</v>
      </c>
      <c r="D78" s="2"/>
      <c r="E78" s="109"/>
      <c r="F78" s="2"/>
      <c r="G78" s="110"/>
      <c r="H78" s="110"/>
    </row>
    <row r="79" spans="1:12">
      <c r="B79" s="2" t="s">
        <v>1016</v>
      </c>
      <c r="C79" s="84" t="s">
        <v>882</v>
      </c>
      <c r="D79" s="2"/>
      <c r="E79" s="109"/>
      <c r="F79" s="2"/>
      <c r="G79" s="110"/>
      <c r="H79" s="110"/>
    </row>
    <row r="80" spans="1:12">
      <c r="B80" s="2"/>
      <c r="C80" s="127" t="s">
        <v>738</v>
      </c>
      <c r="D80" s="2"/>
      <c r="E80" s="109"/>
      <c r="F80" s="2"/>
      <c r="G80" s="110"/>
      <c r="H80" s="110"/>
    </row>
    <row r="81" spans="2:8">
      <c r="B81" s="2" t="s">
        <v>902</v>
      </c>
      <c r="C81" s="84" t="s">
        <v>737</v>
      </c>
      <c r="D81" s="2"/>
      <c r="E81" s="109"/>
      <c r="F81" s="2"/>
      <c r="G81" s="110"/>
      <c r="H81" s="110"/>
    </row>
    <row r="82" spans="2:8">
      <c r="B82" s="2" t="s">
        <v>922</v>
      </c>
      <c r="C82" s="127" t="s">
        <v>1082</v>
      </c>
      <c r="D82" s="2"/>
      <c r="E82" s="109"/>
      <c r="F82" s="2"/>
      <c r="G82" s="110"/>
      <c r="H82" s="110"/>
    </row>
    <row r="83" spans="2:8">
      <c r="B83" s="2"/>
      <c r="C83" s="84" t="s">
        <v>1083</v>
      </c>
      <c r="D83" s="2"/>
      <c r="E83" s="109"/>
      <c r="F83" s="2"/>
      <c r="G83" s="2"/>
      <c r="H83" s="2"/>
    </row>
    <row r="84" spans="2:8">
      <c r="B84" s="2"/>
      <c r="C84" s="2" t="s">
        <v>1084</v>
      </c>
    </row>
    <row r="85" spans="2:8">
      <c r="B85" s="178" t="s">
        <v>920</v>
      </c>
      <c r="C85" s="178" t="s">
        <v>203</v>
      </c>
      <c r="D85" s="178"/>
      <c r="E85" s="180"/>
      <c r="F85" s="178"/>
    </row>
    <row r="116" spans="2:5">
      <c r="B116" s="90"/>
      <c r="E116"/>
    </row>
  </sheetData>
  <customSheetViews>
    <customSheetView guid="{1155D18F-BFDD-426B-8E78-817CEB25FB23}" scale="75" showPageBreaks="1" fitToPage="1" showRuler="0" topLeftCell="A32">
      <selection activeCell="E62" sqref="E62"/>
      <pageMargins left="0.75" right="0.75" top="1" bottom="1" header="0.5" footer="0.5"/>
      <pageSetup scale="66" orientation="portrait" r:id="rId1"/>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66" orientation="portrait" r:id="rId2"/>
      <headerFooter alignWithMargins="0">
        <oddHeader>&amp;R&amp;12Page &amp;P of &amp;N</oddHeader>
      </headerFooter>
    </customSheetView>
    <customSheetView guid="{63011E91-4609-4523-98FE-FD252E915668}" scale="60" showPageBreaks="1" fitToPage="1" printArea="1" view="pageBreakPreview" showRuler="0" topLeftCell="A40">
      <selection activeCell="J74" sqref="J74"/>
      <pageMargins left="0.75" right="0.75" top="1" bottom="1" header="0.5" footer="0.5"/>
      <pageSetup scale="66" orientation="portrait" r:id="rId3"/>
      <headerFooter alignWithMargins="0">
        <oddHeader>&amp;R&amp;12Page &amp;P of &amp;N</oddHeader>
      </headerFooter>
    </customSheetView>
    <customSheetView guid="{B647CB7F-C846-4278-B6B1-1EF7F3C004F5}" scale="75" fitToPage="1" showRuler="0" topLeftCell="A52">
      <selection activeCell="C62" sqref="C62"/>
      <pageMargins left="0.75" right="0.75" top="1" bottom="1" header="0.5" footer="0.5"/>
      <pageSetup scale="68" orientation="portrait" r:id="rId4"/>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68"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66" orientation="portrait" r:id="rId7"/>
      <headerFooter alignWithMargins="0">
        <oddHeader>&amp;R&amp;12Page &amp;P of &amp;N</oddHeader>
      </headerFooter>
    </customSheetView>
    <customSheetView guid="{44504B44-F20F-4B6F-B585-74D55BA74563}" scale="75" showPageBreaks="1" fitToPage="1" showRuler="0" topLeftCell="A25">
      <selection activeCell="E60" sqref="E60"/>
      <pageMargins left="0.75" right="0.75" top="1" bottom="1" header="0.5" footer="0.5"/>
      <pageSetup scale="48" orientation="portrait" r:id="rId8"/>
      <headerFooter alignWithMargins="0">
        <oddHeader>&amp;R&amp;12Page &amp;P of &amp;N</oddHeader>
      </headerFooter>
    </customSheetView>
    <customSheetView guid="{16940A0E-2B20-4241-BF05-A4686E5A0274}" scale="75" fitToPage="1" showRuler="0" topLeftCell="A16">
      <selection activeCell="E60" sqref="E60"/>
      <pageMargins left="0.75" right="0.75" top="1" bottom="1" header="0.5" footer="0.5"/>
      <pageSetup scale="48" orientation="portrait" r:id="rId9"/>
      <headerFooter alignWithMargins="0">
        <oddHeader>&amp;R&amp;12Page &amp;P of &amp;N</oddHeader>
      </headerFooter>
    </customSheetView>
  </customSheetViews>
  <mergeCells count="3">
    <mergeCell ref="A1:H1"/>
    <mergeCell ref="A3:H3"/>
    <mergeCell ref="H14:H15"/>
  </mergeCells>
  <phoneticPr fontId="0" type="noConversion"/>
  <pageMargins left="0.17" right="0.17" top="1" bottom="1" header="0.5" footer="0.5"/>
  <pageSetup scale="60" orientation="portrait" r:id="rId10"/>
  <headerFooter alignWithMargins="0"/>
  <rowBreaks count="2" manualBreakCount="2">
    <brk id="171" max="16383" man="1"/>
    <brk id="2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6"/>
  <sheetViews>
    <sheetView zoomScale="75" zoomScaleNormal="75" workbookViewId="0">
      <selection activeCell="F41" sqref="F41"/>
    </sheetView>
  </sheetViews>
  <sheetFormatPr defaultRowHeight="12.75"/>
  <cols>
    <col min="1" max="1" width="7.42578125" style="81" customWidth="1"/>
    <col min="2" max="2" width="86.7109375" customWidth="1"/>
    <col min="3" max="3" width="15.7109375" customWidth="1"/>
    <col min="4" max="4" width="15.140625" style="115" customWidth="1"/>
    <col min="5" max="5" width="2.85546875" customWidth="1"/>
    <col min="6" max="6" width="14.5703125" customWidth="1"/>
    <col min="7" max="7" width="13.5703125" customWidth="1"/>
    <col min="8" max="8" width="16.7109375" customWidth="1"/>
    <col min="9" max="9" width="12.28515625" bestFit="1" customWidth="1"/>
  </cols>
  <sheetData>
    <row r="1" spans="1:9" ht="18">
      <c r="A1" s="1900" t="str">
        <f>+'ATT H-1 '!A3</f>
        <v xml:space="preserve">Puget Sound Energy </v>
      </c>
      <c r="B1" s="1900"/>
      <c r="C1" s="1900"/>
      <c r="D1" s="1900"/>
      <c r="E1" s="2"/>
    </row>
    <row r="2" spans="1:9">
      <c r="A2" s="153"/>
      <c r="E2" s="2"/>
    </row>
    <row r="3" spans="1:9" ht="15.75">
      <c r="A3" s="1903" t="s">
        <v>890</v>
      </c>
      <c r="B3" s="1904"/>
      <c r="C3" s="1904"/>
      <c r="D3" s="1904"/>
      <c r="E3" s="2"/>
    </row>
    <row r="4" spans="1:9" ht="25.5">
      <c r="B4" s="53"/>
      <c r="C4" s="81"/>
      <c r="D4" s="567" t="s">
        <v>569</v>
      </c>
      <c r="E4" s="567"/>
      <c r="F4" s="567" t="s">
        <v>1145</v>
      </c>
      <c r="G4" s="567" t="s">
        <v>530</v>
      </c>
      <c r="H4" s="567" t="s">
        <v>531</v>
      </c>
    </row>
    <row r="5" spans="1:9">
      <c r="B5" s="1266"/>
      <c r="C5" s="176"/>
      <c r="D5" s="117"/>
      <c r="E5" s="176"/>
      <c r="F5" s="2"/>
      <c r="G5" s="2"/>
      <c r="H5" s="2"/>
      <c r="I5" s="2"/>
    </row>
    <row r="6" spans="1:9">
      <c r="A6"/>
      <c r="B6" s="1267" t="s">
        <v>819</v>
      </c>
      <c r="C6" s="2"/>
      <c r="D6" s="117"/>
      <c r="E6" s="2"/>
      <c r="F6" s="2"/>
      <c r="G6" s="2"/>
      <c r="H6" s="2"/>
      <c r="I6" s="2"/>
    </row>
    <row r="7" spans="1:9">
      <c r="A7" s="97">
        <v>1</v>
      </c>
      <c r="B7" s="563" t="s">
        <v>199</v>
      </c>
      <c r="C7" s="113"/>
      <c r="D7" s="459">
        <f>+F7+G7+H7</f>
        <v>3435996.2093387651</v>
      </c>
      <c r="E7" s="184"/>
      <c r="F7" s="1544">
        <f>'WKSHT1 - Rev Credits'!D6</f>
        <v>3435996.2093387651</v>
      </c>
      <c r="G7" s="1544">
        <v>0</v>
      </c>
      <c r="H7" s="1544">
        <v>0</v>
      </c>
      <c r="I7" s="2"/>
    </row>
    <row r="8" spans="1:9">
      <c r="A8" s="97">
        <v>2</v>
      </c>
      <c r="B8" s="188" t="s">
        <v>746</v>
      </c>
      <c r="C8" s="113"/>
      <c r="D8" s="126">
        <f>+F8+G8+H8</f>
        <v>96550.877769709812</v>
      </c>
      <c r="E8" s="184"/>
      <c r="F8" s="1545">
        <f>'WKSHT1 - Rev Credits'!D8</f>
        <v>87432.509487774965</v>
      </c>
      <c r="G8" s="1546">
        <f>'WKSHT1 - Rev Credits'!E8</f>
        <v>3185.603112230659</v>
      </c>
      <c r="H8" s="1546">
        <f>'WKSHT1 - Rev Credits'!F8</f>
        <v>5932.7651697041829</v>
      </c>
      <c r="I8" s="2"/>
    </row>
    <row r="9" spans="1:9">
      <c r="A9" s="97">
        <v>3</v>
      </c>
      <c r="B9" s="188" t="s">
        <v>200</v>
      </c>
      <c r="C9" s="113"/>
      <c r="D9" s="1134">
        <f>+F9+G9+H9</f>
        <v>653606.36992856371</v>
      </c>
      <c r="E9" s="1133"/>
      <c r="F9" s="1547">
        <f>'WKSHT1 - Rev Credits'!D9</f>
        <v>591879.08447972115</v>
      </c>
      <c r="G9" s="1546">
        <f>'WKSHT1 - Rev Credits'!E9</f>
        <v>21565.111931809155</v>
      </c>
      <c r="H9" s="1546">
        <f>'WKSHT1 - Rev Credits'!F9</f>
        <v>40162.173517033421</v>
      </c>
      <c r="I9" s="2"/>
    </row>
    <row r="10" spans="1:9" s="112" customFormat="1">
      <c r="A10" s="114">
        <v>4</v>
      </c>
      <c r="B10" s="113" t="s">
        <v>820</v>
      </c>
      <c r="C10" s="84" t="s">
        <v>201</v>
      </c>
      <c r="D10" s="1132">
        <f>SUM(D7:D9)</f>
        <v>4186153.4570370391</v>
      </c>
      <c r="E10" s="175"/>
      <c r="F10" s="1132">
        <f>SUM(F7:F9)</f>
        <v>4115307.8033062615</v>
      </c>
      <c r="G10" s="458">
        <f>SUM(G7:G9)</f>
        <v>24750.715044039815</v>
      </c>
      <c r="H10" s="458">
        <f>SUM(H7:H9)</f>
        <v>46094.938686737602</v>
      </c>
      <c r="I10" s="459"/>
    </row>
    <row r="11" spans="1:9">
      <c r="A11"/>
      <c r="B11" s="150"/>
      <c r="C11" s="150"/>
      <c r="D11" s="116"/>
      <c r="E11" s="2"/>
      <c r="F11" s="2"/>
      <c r="G11" s="2"/>
      <c r="H11" s="2"/>
      <c r="I11" s="2"/>
    </row>
    <row r="12" spans="1:9">
      <c r="A12" s="2"/>
      <c r="B12" s="1267" t="s">
        <v>490</v>
      </c>
      <c r="C12" s="150"/>
      <c r="D12" s="117"/>
      <c r="E12" s="2"/>
      <c r="F12" s="2"/>
      <c r="G12" s="2"/>
      <c r="H12" s="2"/>
      <c r="I12" s="2"/>
    </row>
    <row r="13" spans="1:9">
      <c r="A13" s="2">
        <v>5</v>
      </c>
      <c r="B13" s="127" t="s">
        <v>758</v>
      </c>
      <c r="C13" s="150"/>
      <c r="D13" s="459">
        <f>+F13+G13+H13</f>
        <v>119349.69645376978</v>
      </c>
      <c r="E13" s="2"/>
      <c r="F13" s="1731">
        <f>'WKSHT1 - Rev Credits'!D20</f>
        <v>119349.69645376978</v>
      </c>
      <c r="G13" s="1731">
        <f>'WKSHT1 - Rev Credits'!E20</f>
        <v>0</v>
      </c>
      <c r="H13" s="1731">
        <f>'WKSHT1 - Rev Credits'!F20</f>
        <v>0</v>
      </c>
      <c r="I13" s="459"/>
    </row>
    <row r="14" spans="1:9">
      <c r="A14" s="2">
        <v>6</v>
      </c>
      <c r="B14" s="127" t="s">
        <v>888</v>
      </c>
      <c r="C14" s="181"/>
      <c r="D14" s="460">
        <v>0</v>
      </c>
      <c r="E14" s="84"/>
      <c r="F14" s="1408"/>
      <c r="G14" s="1408"/>
      <c r="H14" s="1408"/>
      <c r="I14" s="2"/>
    </row>
    <row r="15" spans="1:9" ht="25.5">
      <c r="A15" s="168">
        <v>7</v>
      </c>
      <c r="B15" s="181" t="s">
        <v>889</v>
      </c>
      <c r="C15" s="181"/>
      <c r="D15" s="460">
        <v>0</v>
      </c>
      <c r="E15" s="2"/>
      <c r="F15" s="1408"/>
      <c r="G15" s="1408"/>
      <c r="H15" s="1408"/>
      <c r="I15" s="2"/>
    </row>
    <row r="16" spans="1:9" ht="25.5">
      <c r="A16" s="2">
        <v>8</v>
      </c>
      <c r="B16" s="677" t="s">
        <v>892</v>
      </c>
      <c r="C16" s="181"/>
      <c r="D16" s="461">
        <f>F16+G16+H16</f>
        <v>3537135</v>
      </c>
      <c r="E16" s="110"/>
      <c r="F16" s="1545">
        <f>'WKSHT1 - Rev Credits'!K144</f>
        <v>2910949</v>
      </c>
      <c r="G16" s="1593">
        <f>'WKSHT1 - Rev Credits'!K145</f>
        <v>0</v>
      </c>
      <c r="H16" s="1593">
        <f>'WKSHT1 - Rev Credits'!K146</f>
        <v>626186</v>
      </c>
      <c r="I16" s="2"/>
    </row>
    <row r="17" spans="1:9">
      <c r="A17" s="168">
        <v>9</v>
      </c>
      <c r="B17" s="677" t="s">
        <v>724</v>
      </c>
      <c r="C17" s="181"/>
      <c r="D17" s="461">
        <f>+F17+G17+H17</f>
        <v>13391414</v>
      </c>
      <c r="E17" s="110"/>
      <c r="F17" s="1545">
        <v>13377435</v>
      </c>
      <c r="G17" s="1593">
        <v>0</v>
      </c>
      <c r="H17" s="1593">
        <v>13979</v>
      </c>
      <c r="I17" s="459"/>
    </row>
    <row r="18" spans="1:9">
      <c r="A18" s="2">
        <v>10</v>
      </c>
      <c r="B18" s="677" t="s">
        <v>891</v>
      </c>
      <c r="C18" s="181"/>
      <c r="D18" s="461">
        <f>+F18+G18+H18</f>
        <v>0</v>
      </c>
      <c r="E18" s="110"/>
      <c r="F18" s="2"/>
      <c r="G18" s="2"/>
      <c r="H18" s="2"/>
      <c r="I18" s="2"/>
    </row>
    <row r="19" spans="1:9">
      <c r="A19" s="168">
        <v>11</v>
      </c>
      <c r="B19" s="676" t="s">
        <v>1096</v>
      </c>
      <c r="C19" s="181"/>
      <c r="D19" s="461">
        <f>+F19+G19+H19</f>
        <v>0</v>
      </c>
      <c r="E19" s="110"/>
      <c r="F19" s="2"/>
      <c r="G19" s="2"/>
      <c r="H19" s="2"/>
      <c r="I19" s="2"/>
    </row>
    <row r="20" spans="1:9" ht="25.5">
      <c r="B20" s="676" t="s">
        <v>1097</v>
      </c>
      <c r="C20" s="84"/>
      <c r="D20" s="461">
        <f>+F20+G20+H20</f>
        <v>0</v>
      </c>
      <c r="E20" s="2"/>
      <c r="F20" s="2"/>
      <c r="G20" s="2"/>
      <c r="H20" s="2"/>
      <c r="I20" s="2"/>
    </row>
    <row r="21" spans="1:9">
      <c r="B21" s="676"/>
      <c r="C21" s="84"/>
      <c r="D21" s="460"/>
      <c r="E21" s="2"/>
      <c r="F21" s="2"/>
      <c r="G21" s="2"/>
      <c r="H21" s="2"/>
      <c r="I21" s="2"/>
    </row>
    <row r="22" spans="1:9" ht="13.5" thickBot="1">
      <c r="A22" s="168">
        <v>12</v>
      </c>
      <c r="B22" s="150" t="s">
        <v>884</v>
      </c>
      <c r="C22" s="84" t="s">
        <v>1087</v>
      </c>
      <c r="D22" s="566">
        <f>SUM(D13:D18)+D10</f>
        <v>21234052.153490808</v>
      </c>
      <c r="E22" s="1131"/>
      <c r="F22" s="566">
        <f>SUM(F13:F18)+F10</f>
        <v>20523041.499760032</v>
      </c>
      <c r="G22" s="566">
        <f>SUM(G13:G18)+G10</f>
        <v>24750.715044039815</v>
      </c>
      <c r="H22" s="566">
        <f>SUM(H13:H18)+H10</f>
        <v>686259.93868673756</v>
      </c>
      <c r="I22" s="459"/>
    </row>
    <row r="23" spans="1:9" ht="13.5" thickTop="1">
      <c r="A23"/>
      <c r="B23" s="150"/>
      <c r="C23" s="2"/>
      <c r="D23" s="117"/>
      <c r="E23" s="2"/>
      <c r="F23" s="2"/>
      <c r="G23" s="2"/>
      <c r="H23" s="2"/>
      <c r="I23" s="2"/>
    </row>
    <row r="24" spans="1:9">
      <c r="A24"/>
      <c r="B24" s="150"/>
      <c r="C24" s="2"/>
      <c r="D24" s="117"/>
      <c r="E24" s="2"/>
      <c r="F24" s="2"/>
      <c r="G24" s="2"/>
      <c r="H24" s="2"/>
      <c r="I24" s="2"/>
    </row>
    <row r="25" spans="1:9">
      <c r="A25"/>
      <c r="B25" s="1268"/>
      <c r="C25" s="2"/>
      <c r="D25" s="118"/>
      <c r="E25" s="2"/>
      <c r="F25" s="2"/>
      <c r="G25" s="2"/>
      <c r="H25" s="2"/>
      <c r="I25" s="2"/>
    </row>
    <row r="26" spans="1:9">
      <c r="A26" s="168"/>
      <c r="B26" s="675"/>
      <c r="C26" s="677"/>
      <c r="D26" s="117"/>
      <c r="E26" s="126"/>
      <c r="F26" s="2"/>
      <c r="G26" s="2"/>
      <c r="H26" s="2"/>
      <c r="I26" s="2"/>
    </row>
    <row r="27" spans="1:9">
      <c r="A27" s="156"/>
      <c r="B27" s="150"/>
      <c r="C27" s="2"/>
      <c r="D27" s="117"/>
      <c r="E27" s="2"/>
      <c r="F27" s="2"/>
      <c r="G27" s="2"/>
      <c r="H27" s="2"/>
      <c r="I27" s="2"/>
    </row>
    <row r="28" spans="1:9" ht="51">
      <c r="A28" s="156">
        <f>+A26+1</f>
        <v>1</v>
      </c>
      <c r="B28" s="676" t="s">
        <v>94</v>
      </c>
      <c r="C28" s="2"/>
      <c r="D28" s="86"/>
      <c r="E28" s="2"/>
    </row>
    <row r="29" spans="1:9">
      <c r="A29" s="156"/>
      <c r="B29" s="150"/>
      <c r="C29" s="2"/>
      <c r="E29" s="2"/>
    </row>
    <row r="30" spans="1:9" ht="38.25">
      <c r="A30" s="156">
        <f>+A28+1</f>
        <v>2</v>
      </c>
      <c r="B30" s="676" t="s">
        <v>95</v>
      </c>
      <c r="C30" s="2"/>
      <c r="D30" s="177"/>
      <c r="E30" s="177"/>
    </row>
    <row r="31" spans="1:9">
      <c r="B31" s="84"/>
      <c r="C31" s="2"/>
      <c r="E31" s="2"/>
    </row>
    <row r="32" spans="1:9">
      <c r="A32" s="123">
        <v>3</v>
      </c>
      <c r="B32" s="178" t="s">
        <v>849</v>
      </c>
      <c r="C32" s="2"/>
      <c r="E32" s="2"/>
    </row>
    <row r="33" spans="1:9">
      <c r="A33" s="176"/>
      <c r="B33" s="178"/>
      <c r="E33" s="2"/>
    </row>
    <row r="34" spans="1:9">
      <c r="A34" s="176"/>
      <c r="E34" s="2"/>
    </row>
    <row r="35" spans="1:9">
      <c r="A35" s="182"/>
      <c r="B35" s="2"/>
      <c r="G35" s="2"/>
    </row>
    <row r="36" spans="1:9">
      <c r="A36" s="182"/>
      <c r="B36" s="2"/>
      <c r="I36" s="456"/>
    </row>
  </sheetData>
  <customSheetViews>
    <customSheetView guid="{1155D18F-BFDD-426B-8E78-817CEB25FB23}" scale="75" showPageBreaks="1" fitToPage="1" printArea="1" showRuler="0" topLeftCell="A28">
      <selection activeCell="D41" sqref="D41"/>
      <pageMargins left="0.5" right="0.5" top="1" bottom="1" header="0.5" footer="0.5"/>
      <printOptions horizontalCentered="1"/>
      <pageSetup scale="66" orientation="portrait" r:id="rId1"/>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6" orientation="portrait" r:id="rId2"/>
      <headerFooter alignWithMargins="0">
        <oddHeader>&amp;R&amp;12Page &amp;P of &amp;N</oddHeader>
      </headerFooter>
    </customSheetView>
    <customSheetView guid="{63011E91-4609-4523-98FE-FD252E915668}" scale="60" showPageBreaks="1" fitToPage="1" printArea="1" view="pageBreakPreview" showRuler="0" topLeftCell="A43">
      <selection activeCell="C29" sqref="C29"/>
      <pageMargins left="0.5" right="0.5" top="1" bottom="1" header="0.5" footer="0.5"/>
      <printOptions horizontalCentered="1"/>
      <pageSetup scale="64" orientation="portrait" r:id="rId3"/>
      <headerFooter alignWithMargins="0">
        <oddHeader>&amp;R&amp;12Page &amp;P of &amp;N</oddHeader>
      </headerFooter>
    </customSheetView>
    <customSheetView guid="{B647CB7F-C846-4278-B6B1-1EF7F3C004F5}" scale="75" showPageBreaks="1" fitToPage="1" printArea="1" showRuler="0" topLeftCell="A26">
      <selection activeCell="C29" sqref="C29"/>
      <pageMargins left="0.5" right="0.5" top="1" bottom="1" header="0.5" footer="0.5"/>
      <printOptions horizontalCentered="1"/>
      <pageSetup scale="66" orientation="portrait" r:id="rId4"/>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FAAD9AAC-1337-43AB-BF1F-CCF9DFCF5B78}" scale="75" showPageBreaks="1" fitToPage="1" printArea="1" showRuler="0">
      <selection activeCell="B46" sqref="B46"/>
      <pageMargins left="0.5" right="0.5" top="1" bottom="1" header="0.5" footer="0.5"/>
      <printOptions horizontalCentered="1"/>
      <pageSetup scale="64" orientation="portrait" r:id="rId7"/>
      <headerFooter alignWithMargins="0">
        <oddHeader>&amp;R&amp;12Page &amp;P of &amp;N</oddHeader>
      </headerFooter>
    </customSheetView>
    <customSheetView guid="{44504B44-F20F-4B6F-B585-74D55BA74563}" scale="75" showPageBreaks="1" fitToPage="1" printArea="1" showRuler="0">
      <selection activeCell="D15" sqref="D15"/>
      <pageMargins left="0.5" right="0.5" top="1" bottom="1" header="0.5" footer="0.5"/>
      <printOptions horizontalCentered="1"/>
      <pageSetup scale="66" orientation="portrait" r:id="rId8"/>
      <headerFooter alignWithMargins="0">
        <oddHeader>&amp;R&amp;12Page &amp;P of &amp;N</oddHeader>
      </headerFooter>
    </customSheetView>
    <customSheetView guid="{16940A0E-2B20-4241-BF05-A4686E5A0274}" scale="75" fitToPage="1" showRuler="0">
      <selection activeCell="D15" sqref="D15"/>
      <pageMargins left="0.5" right="0.5" top="1" bottom="1" header="0.5" footer="0.5"/>
      <printOptions horizontalCentered="1"/>
      <pageSetup scale="66" orientation="portrait" r:id="rId9"/>
      <headerFooter alignWithMargins="0">
        <oddHeader>&amp;R&amp;12Page &amp;P of &amp;N</oddHeader>
      </headerFooter>
    </customSheetView>
  </customSheetViews>
  <mergeCells count="2">
    <mergeCell ref="A3:D3"/>
    <mergeCell ref="A1:D1"/>
  </mergeCells>
  <phoneticPr fontId="0" type="noConversion"/>
  <printOptions horizontalCentered="1"/>
  <pageMargins left="0.5" right="0.5" top="1" bottom="1" header="0.5" footer="0.5"/>
  <pageSetup scale="70" orientation="landscape" r:id="rId10"/>
  <headerFooter alignWithMargins="0"/>
  <rowBreaks count="2" manualBreakCount="2">
    <brk id="95" max="16383" man="1"/>
    <brk id="1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80"/>
  <sheetViews>
    <sheetView view="pageBreakPreview" zoomScale="66" zoomScaleNormal="65" zoomScaleSheetLayoutView="66" workbookViewId="0">
      <selection activeCell="C16" sqref="C16"/>
    </sheetView>
  </sheetViews>
  <sheetFormatPr defaultRowHeight="12.75"/>
  <cols>
    <col min="1" max="1" width="9.42578125" style="315" bestFit="1" customWidth="1"/>
    <col min="2" max="2" width="3" style="315" customWidth="1"/>
    <col min="3" max="3" width="53.140625" style="315" customWidth="1"/>
    <col min="4" max="4" width="36.5703125" style="315" customWidth="1"/>
    <col min="5" max="5" width="36.140625" style="315" customWidth="1"/>
    <col min="6" max="6" width="3.85546875" style="315" customWidth="1"/>
    <col min="7" max="7" width="20.42578125" style="315" customWidth="1"/>
    <col min="8" max="16384" width="9.140625" style="315"/>
  </cols>
  <sheetData>
    <row r="1" spans="1:7" ht="18">
      <c r="A1" s="1900" t="str">
        <f>+'ATT H-1 '!A3</f>
        <v xml:space="preserve">Puget Sound Energy </v>
      </c>
      <c r="B1" s="1900"/>
      <c r="C1" s="1900"/>
      <c r="D1" s="1900"/>
      <c r="E1" s="1900"/>
      <c r="F1" s="1900"/>
      <c r="G1" s="1900"/>
    </row>
    <row r="2" spans="1:7">
      <c r="A2" s="153"/>
      <c r="B2"/>
      <c r="C2"/>
      <c r="D2" s="115"/>
    </row>
    <row r="3" spans="1:7" ht="15.75">
      <c r="A3" s="1903" t="s">
        <v>433</v>
      </c>
      <c r="B3" s="1903"/>
      <c r="C3" s="1903"/>
      <c r="D3" s="1903"/>
      <c r="E3" s="1903"/>
      <c r="F3" s="1903"/>
      <c r="G3" s="1903"/>
    </row>
    <row r="9" spans="1:7" s="255" customFormat="1" ht="15">
      <c r="A9" s="254" t="s">
        <v>921</v>
      </c>
      <c r="B9" s="254"/>
      <c r="C9" s="255" t="s">
        <v>759</v>
      </c>
      <c r="E9" s="255" t="str">
        <f>"Line "&amp;A29&amp;" + Line "&amp;A47&amp;""</f>
        <v>Line 12 + Line 23</v>
      </c>
      <c r="G9" s="256">
        <f>+G29+G47</f>
        <v>77132431.546207741</v>
      </c>
    </row>
    <row r="10" spans="1:7" s="255" customFormat="1" ht="15">
      <c r="A10" s="254"/>
      <c r="B10" s="254"/>
    </row>
    <row r="11" spans="1:7" s="255" customFormat="1" ht="15">
      <c r="A11" s="254" t="s">
        <v>1016</v>
      </c>
      <c r="B11" s="254"/>
      <c r="C11" s="255" t="str">
        <f>G11*10000&amp;" Basis Point increase in ROE"</f>
        <v>100 Basis Point increase in ROE</v>
      </c>
      <c r="G11" s="257">
        <v>0.01</v>
      </c>
    </row>
    <row r="12" spans="1:7" s="255" customFormat="1" ht="15">
      <c r="A12" s="254"/>
      <c r="B12" s="254"/>
      <c r="G12" s="257"/>
    </row>
    <row r="13" spans="1:7" s="255" customFormat="1" ht="15.75">
      <c r="A13" s="338" t="s">
        <v>815</v>
      </c>
      <c r="B13" s="258"/>
      <c r="C13" s="258"/>
      <c r="D13" s="258"/>
      <c r="E13" s="258"/>
      <c r="F13" s="258"/>
      <c r="G13" s="258"/>
    </row>
    <row r="14" spans="1:7" s="255" customFormat="1" ht="15">
      <c r="A14" s="254">
        <v>1</v>
      </c>
      <c r="C14" s="259" t="s">
        <v>1002</v>
      </c>
      <c r="E14" s="259" t="str">
        <f>"Attachment H-1, Line "&amp;'ATT H-1 '!A102&amp;""</f>
        <v>Attachment H-1, Line 59</v>
      </c>
      <c r="G14" s="256">
        <f>+'ATT H-1 '!H102</f>
        <v>685119118.3974967</v>
      </c>
    </row>
    <row r="15" spans="1:7" s="255" customFormat="1" ht="15">
      <c r="F15" s="259"/>
      <c r="G15" s="260"/>
    </row>
    <row r="16" spans="1:7" s="255" customFormat="1" ht="15">
      <c r="A16" s="261">
        <f>A14+1</f>
        <v>2</v>
      </c>
      <c r="B16" s="261"/>
      <c r="C16" s="262" t="s">
        <v>1073</v>
      </c>
      <c r="D16" s="197"/>
      <c r="E16" s="263" t="str">
        <f>"Attachment H-1, Line "&amp;'ATT H-1 '!A203&amp;""</f>
        <v>Attachment H-1, Line 126</v>
      </c>
      <c r="F16" s="264"/>
      <c r="G16" s="265">
        <f>+'ATT H-1 '!H203</f>
        <v>0.51532502187366924</v>
      </c>
    </row>
    <row r="17" spans="1:7" s="255" customFormat="1" ht="15">
      <c r="A17" s="261">
        <f>A16+1</f>
        <v>3</v>
      </c>
      <c r="B17" s="261"/>
      <c r="C17" s="262" t="s">
        <v>1080</v>
      </c>
      <c r="D17" s="197"/>
      <c r="E17" s="263" t="str">
        <f>"Attachment H-1, Line "&amp;'ATT H-1 '!A204&amp;""</f>
        <v>Attachment H-1, Line 127</v>
      </c>
      <c r="F17" s="264"/>
      <c r="G17" s="265">
        <f>+'ATT H-1 '!H204</f>
        <v>0</v>
      </c>
    </row>
    <row r="18" spans="1:7" s="255" customFormat="1" ht="15">
      <c r="A18" s="261">
        <f>A17+1</f>
        <v>4</v>
      </c>
      <c r="B18" s="261"/>
      <c r="C18" s="262" t="s">
        <v>1074</v>
      </c>
      <c r="D18" s="197"/>
      <c r="E18" s="263" t="str">
        <f>"Attachment H-1, Line "&amp;'ATT H-1 '!A205&amp;""</f>
        <v>Attachment H-1, Line 128</v>
      </c>
      <c r="F18" s="264"/>
      <c r="G18" s="265">
        <f>+'ATT H-1 '!H205</f>
        <v>0.48467497812633076</v>
      </c>
    </row>
    <row r="19" spans="1:7" s="255" customFormat="1" ht="15">
      <c r="A19" s="261"/>
      <c r="B19" s="261"/>
      <c r="C19" s="266"/>
      <c r="D19" s="264"/>
      <c r="E19" s="263"/>
      <c r="F19" s="264"/>
      <c r="G19" s="267"/>
    </row>
    <row r="20" spans="1:7" s="255" customFormat="1" ht="15">
      <c r="A20" s="261">
        <f>A18+1</f>
        <v>5</v>
      </c>
      <c r="B20" s="261"/>
      <c r="C20" s="266" t="s">
        <v>1075</v>
      </c>
      <c r="D20" s="197"/>
      <c r="E20" s="263" t="str">
        <f>"Attachment H-1, Line "&amp;'ATT H-1 '!A208&amp;""</f>
        <v>Attachment H-1, Line 129</v>
      </c>
      <c r="F20" s="264"/>
      <c r="G20" s="335">
        <f>+'ATT H-1 '!H208</f>
        <v>6.2197446560516068E-2</v>
      </c>
    </row>
    <row r="21" spans="1:7" s="255" customFormat="1" ht="15">
      <c r="A21" s="261">
        <f>A20+1</f>
        <v>6</v>
      </c>
      <c r="B21" s="261"/>
      <c r="C21" s="266" t="s">
        <v>1081</v>
      </c>
      <c r="D21" s="197"/>
      <c r="E21" s="263" t="str">
        <f>"Attachment H-1, Line "&amp;'ATT H-1 '!A209&amp;""</f>
        <v>Attachment H-1, Line 130</v>
      </c>
      <c r="F21" s="264"/>
      <c r="G21" s="335">
        <f>+'ATT H-1 '!H209</f>
        <v>0</v>
      </c>
    </row>
    <row r="22" spans="1:7" s="255" customFormat="1" ht="15">
      <c r="A22" s="261">
        <f>A21+1</f>
        <v>7</v>
      </c>
      <c r="B22" s="261"/>
      <c r="C22" s="266" t="s">
        <v>1076</v>
      </c>
      <c r="D22" s="259" t="s">
        <v>1418</v>
      </c>
      <c r="E22" s="263" t="str">
        <f>"Attachment H-1, Line "&amp;'ATT H-1 '!A210&amp;""</f>
        <v>Attachment H-1, Line 131</v>
      </c>
      <c r="F22" s="264"/>
      <c r="G22" s="335">
        <f>+'ATT H-1 '!H210+0.01</f>
        <v>0.108</v>
      </c>
    </row>
    <row r="23" spans="1:7" s="255" customFormat="1" ht="15">
      <c r="A23" s="261"/>
      <c r="B23" s="261"/>
      <c r="C23" s="266"/>
      <c r="D23" s="268"/>
      <c r="E23" s="264"/>
      <c r="F23" s="264"/>
      <c r="G23" s="269"/>
    </row>
    <row r="24" spans="1:7" s="255" customFormat="1" ht="15">
      <c r="A24" s="261">
        <f>A22+1</f>
        <v>8</v>
      </c>
      <c r="B24" s="261"/>
      <c r="C24" s="262" t="s">
        <v>1077</v>
      </c>
      <c r="D24" s="197"/>
      <c r="E24" s="263" t="str">
        <f>"Attachment H-1, Line "&amp;'ATT H-1 '!A212&amp;""</f>
        <v>Attachment H-1, Line 132</v>
      </c>
      <c r="F24" s="270"/>
      <c r="G24" s="325">
        <f>+'ATT H-1 '!H212</f>
        <v>3.2051900509284317E-2</v>
      </c>
    </row>
    <row r="25" spans="1:7" s="255" customFormat="1" ht="15">
      <c r="A25" s="261">
        <f>A24+1</f>
        <v>9</v>
      </c>
      <c r="B25" s="261"/>
      <c r="C25" s="262" t="s">
        <v>1107</v>
      </c>
      <c r="D25" s="197"/>
      <c r="E25" s="263" t="str">
        <f>"Attachment H-1, Line "&amp;'ATT H-1 '!A213&amp;""</f>
        <v>Attachment H-1, Line 133</v>
      </c>
      <c r="F25" s="271"/>
      <c r="G25" s="326">
        <f>+'ATT H-1 '!H213</f>
        <v>0</v>
      </c>
    </row>
    <row r="26" spans="1:7" s="255" customFormat="1" ht="15">
      <c r="A26" s="261">
        <f>A25+1</f>
        <v>10</v>
      </c>
      <c r="B26" s="272"/>
      <c r="C26" s="273" t="s">
        <v>1078</v>
      </c>
      <c r="D26" s="204"/>
      <c r="E26" s="274" t="str">
        <f>"Line "&amp;A18&amp;" * Line "&amp;A22&amp;""</f>
        <v>Line 4 * Line 7</v>
      </c>
      <c r="F26" s="275"/>
      <c r="G26" s="276">
        <f>G22*G18</f>
        <v>5.2344897637643724E-2</v>
      </c>
    </row>
    <row r="27" spans="1:7" s="255" customFormat="1" ht="15.75">
      <c r="A27" s="261">
        <f>A26+1</f>
        <v>11</v>
      </c>
      <c r="B27" s="277" t="s">
        <v>905</v>
      </c>
      <c r="C27" s="277"/>
      <c r="D27" s="197"/>
      <c r="E27" s="263" t="str">
        <f>"Sum Lines "&amp;A24&amp;" to "&amp;A26&amp;""</f>
        <v>Sum Lines 8 to 10</v>
      </c>
      <c r="F27" s="278"/>
      <c r="G27" s="279">
        <f>SUM(G24:G26)</f>
        <v>8.4396798146928048E-2</v>
      </c>
    </row>
    <row r="28" spans="1:7" s="255" customFormat="1" ht="15.75">
      <c r="A28" s="280"/>
      <c r="B28" s="280"/>
      <c r="C28" s="277"/>
      <c r="D28" s="281"/>
      <c r="E28" s="282"/>
      <c r="F28" s="278"/>
      <c r="G28" s="279"/>
    </row>
    <row r="29" spans="1:7" s="255" customFormat="1" ht="16.5" thickBot="1">
      <c r="A29" s="261">
        <f>A27+1</f>
        <v>12</v>
      </c>
      <c r="B29" s="283" t="s">
        <v>977</v>
      </c>
      <c r="C29" s="284"/>
      <c r="D29" s="285"/>
      <c r="E29" s="284" t="str">
        <f>"Line "&amp;A27&amp;" * Line "&amp;A14&amp;""</f>
        <v>Line 11 * Line 1</v>
      </c>
      <c r="F29" s="286"/>
      <c r="G29" s="285">
        <f>+G27*G14</f>
        <v>57821859.941994831</v>
      </c>
    </row>
    <row r="30" spans="1:7" s="255" customFormat="1" ht="15.75" thickTop="1">
      <c r="A30" s="261"/>
      <c r="B30" s="261"/>
      <c r="C30" s="287"/>
      <c r="D30" s="254"/>
      <c r="E30" s="264"/>
      <c r="F30" s="264"/>
      <c r="G30" s="197"/>
    </row>
    <row r="31" spans="1:7" s="255" customFormat="1" ht="15.75">
      <c r="A31" s="339" t="s">
        <v>762</v>
      </c>
      <c r="B31" s="288"/>
      <c r="C31" s="289"/>
      <c r="D31" s="290"/>
      <c r="E31" s="258"/>
      <c r="F31" s="258"/>
      <c r="G31" s="291"/>
    </row>
    <row r="32" spans="1:7" s="255" customFormat="1" ht="15.75">
      <c r="A32" s="261"/>
      <c r="B32" s="292" t="s">
        <v>978</v>
      </c>
      <c r="C32" s="269"/>
      <c r="D32" s="267"/>
      <c r="E32" s="264"/>
      <c r="F32" s="293"/>
      <c r="G32" s="197"/>
    </row>
    <row r="33" spans="1:7" s="255" customFormat="1" ht="15">
      <c r="A33" s="261">
        <f>A29+1</f>
        <v>13</v>
      </c>
      <c r="B33" s="261"/>
      <c r="C33" s="269" t="s">
        <v>976</v>
      </c>
      <c r="D33" s="254"/>
      <c r="E33" s="255" t="str">
        <f>"Attachment H-1, Line "&amp;'ATT H-1 '!A222&amp;""</f>
        <v>Attachment H-1, Line 137</v>
      </c>
      <c r="F33" s="294"/>
      <c r="G33" s="295">
        <f>+'ATT H-1 '!H222</f>
        <v>0.35</v>
      </c>
    </row>
    <row r="34" spans="1:7" s="255" customFormat="1" ht="15">
      <c r="A34" s="261">
        <f>A33+1</f>
        <v>14</v>
      </c>
      <c r="B34" s="261"/>
      <c r="C34" s="294" t="s">
        <v>975</v>
      </c>
      <c r="D34" s="296"/>
      <c r="E34" s="255" t="str">
        <f>"Attachment H-1, Line "&amp;'ATT H-1 '!A223&amp;""</f>
        <v>Attachment H-1, Line 138</v>
      </c>
      <c r="F34" s="294"/>
      <c r="G34" s="295">
        <f>+'ATT H-1 '!H223</f>
        <v>0</v>
      </c>
    </row>
    <row r="35" spans="1:7" s="255" customFormat="1" ht="15">
      <c r="A35" s="261">
        <f>A34+1</f>
        <v>15</v>
      </c>
      <c r="B35" s="261"/>
      <c r="C35" s="294" t="s">
        <v>356</v>
      </c>
      <c r="D35" s="254"/>
      <c r="E35" s="255" t="str">
        <f>"Attachment H-1, Line "&amp;'ATT H-1 '!A224&amp;""</f>
        <v>Attachment H-1, Line 139</v>
      </c>
      <c r="F35" s="294"/>
      <c r="G35" s="295">
        <f>+'ATT H-1 '!H224</f>
        <v>0</v>
      </c>
    </row>
    <row r="36" spans="1:7" s="255" customFormat="1" ht="15">
      <c r="A36" s="261">
        <f>A35+1</f>
        <v>16</v>
      </c>
      <c r="B36" s="261"/>
      <c r="C36" s="294" t="s">
        <v>357</v>
      </c>
      <c r="D36" s="254"/>
      <c r="E36" s="255" t="str">
        <f>"Attachment H-1, Line "&amp;'ATT H-1 '!A225&amp;""</f>
        <v>Attachment H-1, Line 140</v>
      </c>
      <c r="F36" s="294"/>
      <c r="G36" s="295">
        <f>+'ATT H-1 '!H225</f>
        <v>0.35</v>
      </c>
    </row>
    <row r="37" spans="1:7" s="255" customFormat="1" ht="15">
      <c r="A37" s="261">
        <f>A36+1</f>
        <v>17</v>
      </c>
      <c r="B37" s="261"/>
      <c r="C37" s="294" t="s">
        <v>1051</v>
      </c>
      <c r="D37" s="254"/>
      <c r="E37" s="255" t="str">
        <f>"Attachment H-1, Line "&amp;'ATT H-1 '!A226&amp;""</f>
        <v>Attachment H-1, Line 141</v>
      </c>
      <c r="F37" s="294"/>
      <c r="G37" s="295">
        <f>+'ATT H-1 '!H226</f>
        <v>0.53846153846153844</v>
      </c>
    </row>
    <row r="38" spans="1:7" s="255" customFormat="1" ht="15">
      <c r="A38" s="261"/>
      <c r="B38" s="261"/>
      <c r="C38" s="269"/>
      <c r="D38" s="298"/>
      <c r="E38" s="299"/>
      <c r="F38" s="293"/>
      <c r="G38" s="297"/>
    </row>
    <row r="39" spans="1:7" s="255" customFormat="1" ht="15.75">
      <c r="A39" s="261"/>
      <c r="B39" s="292" t="s">
        <v>973</v>
      </c>
      <c r="C39" s="287"/>
      <c r="D39" s="296"/>
      <c r="E39" s="264"/>
      <c r="F39" s="293"/>
      <c r="G39" s="300"/>
    </row>
    <row r="40" spans="1:7" s="255" customFormat="1" ht="15">
      <c r="A40" s="261">
        <f>A37+1</f>
        <v>18</v>
      </c>
      <c r="B40" s="261"/>
      <c r="C40" s="287" t="s">
        <v>1019</v>
      </c>
      <c r="D40" s="301"/>
      <c r="E40" s="255" t="str">
        <f>"Attachment H-1, Line "&amp;'ATT H-1 '!A229&amp;""</f>
        <v>Attachment H-1, Line 142</v>
      </c>
      <c r="G40" s="323">
        <f>+'ATT H-1 '!H229</f>
        <v>0</v>
      </c>
    </row>
    <row r="41" spans="1:7" s="255" customFormat="1" ht="15">
      <c r="A41" s="261">
        <f>A40+1</f>
        <v>19</v>
      </c>
      <c r="B41" s="261"/>
      <c r="C41" s="287" t="s">
        <v>358</v>
      </c>
      <c r="D41" s="197"/>
      <c r="E41" s="255" t="str">
        <f>"Attachment H-1, Line "&amp;'ATT H-1 '!A230&amp;""</f>
        <v>Attachment H-1, Line 143</v>
      </c>
      <c r="F41" s="293"/>
      <c r="G41" s="324">
        <f>+'ATT H-1 '!H230</f>
        <v>1.5384615384615383</v>
      </c>
    </row>
    <row r="42" spans="1:7" s="255" customFormat="1" ht="15.75">
      <c r="A42" s="261">
        <f>A41+1</f>
        <v>20</v>
      </c>
      <c r="B42" s="302"/>
      <c r="C42" s="303" t="s">
        <v>968</v>
      </c>
      <c r="D42" s="204"/>
      <c r="E42" s="274" t="str">
        <f>"Attachment H-1, Line "&amp;'ATT H-1 '!A231&amp;""</f>
        <v>Attachment H-1, Line 144</v>
      </c>
      <c r="F42" s="304"/>
      <c r="G42" s="324">
        <f>+'ATT H-1 '!H231</f>
        <v>0.15121242645330121</v>
      </c>
    </row>
    <row r="43" spans="1:7" s="255" customFormat="1" ht="15.75">
      <c r="A43" s="261">
        <f>A42+1</f>
        <v>21</v>
      </c>
      <c r="B43" s="261"/>
      <c r="C43" s="305" t="s">
        <v>974</v>
      </c>
      <c r="D43" s="306"/>
      <c r="E43" s="255" t="str">
        <f>"Attachment H-1, Line "&amp;'ATT H-1 '!A232&amp;""</f>
        <v>Attachment H-1, Line 145</v>
      </c>
      <c r="F43" s="307"/>
      <c r="G43" s="308">
        <f>+'ATT H-1 '!H232</f>
        <v>0</v>
      </c>
    </row>
    <row r="44" spans="1:7" s="255" customFormat="1" ht="15.75">
      <c r="A44" s="261"/>
      <c r="B44" s="261"/>
      <c r="C44" s="309"/>
      <c r="D44" s="310"/>
      <c r="E44" s="311"/>
      <c r="F44" s="304"/>
      <c r="G44" s="312"/>
    </row>
    <row r="45" spans="1:7" ht="15.75">
      <c r="A45" s="261">
        <f>A43+1</f>
        <v>22</v>
      </c>
      <c r="B45" s="313" t="s">
        <v>348</v>
      </c>
      <c r="C45" s="255"/>
      <c r="D45" s="269"/>
      <c r="E45" s="197" t="str">
        <f>"Line "&amp;A37&amp;"*Line "&amp;A29&amp;"*(1-(Line "&amp;A24&amp;"/Line "&amp;A27&amp;"))"</f>
        <v>Line 17*Line 12*(1-(Line 8/Line 11))</v>
      </c>
      <c r="F45" s="269"/>
      <c r="G45" s="314">
        <f>+G37*G29*(1-(G24/G27))</f>
        <v>19310571.604212906</v>
      </c>
    </row>
    <row r="46" spans="1:7" ht="15.75">
      <c r="A46" s="261"/>
      <c r="B46" s="261"/>
      <c r="C46" s="262"/>
      <c r="D46" s="302"/>
      <c r="E46" s="304"/>
      <c r="F46" s="304"/>
      <c r="G46" s="316"/>
    </row>
    <row r="47" spans="1:7" ht="16.5" thickBot="1">
      <c r="A47" s="261">
        <f>A45+1</f>
        <v>23</v>
      </c>
      <c r="B47" s="283" t="s">
        <v>895</v>
      </c>
      <c r="C47" s="283"/>
      <c r="D47" s="317"/>
      <c r="E47" s="285" t="str">
        <f>"Line "&amp;A43&amp;" + "&amp;A45&amp;""""</f>
        <v>Line 21 + 22"</v>
      </c>
      <c r="F47" s="318"/>
      <c r="G47" s="319">
        <f>+G45+G43</f>
        <v>19310571.604212906</v>
      </c>
    </row>
    <row r="48" spans="1:7" ht="15.75" thickTop="1">
      <c r="A48" s="261"/>
      <c r="B48" s="261"/>
      <c r="C48" s="299"/>
      <c r="D48" s="254"/>
      <c r="E48" s="320"/>
      <c r="F48" s="321"/>
    </row>
    <row r="49" spans="1:1" ht="15">
      <c r="A49" s="261"/>
    </row>
    <row r="50" spans="1:1" ht="15">
      <c r="A50" s="261"/>
    </row>
    <row r="51" spans="1:1" ht="15">
      <c r="A51" s="261"/>
    </row>
    <row r="52" spans="1:1" ht="15">
      <c r="A52" s="261"/>
    </row>
    <row r="53" spans="1:1" ht="15">
      <c r="A53" s="261"/>
    </row>
    <row r="54" spans="1:1" ht="15">
      <c r="A54" s="261"/>
    </row>
    <row r="55" spans="1:1" ht="15">
      <c r="A55" s="261"/>
    </row>
    <row r="56" spans="1:1" ht="15">
      <c r="A56" s="261"/>
    </row>
    <row r="57" spans="1:1" ht="15">
      <c r="A57" s="261"/>
    </row>
    <row r="58" spans="1:1" ht="15">
      <c r="A58" s="261"/>
    </row>
    <row r="59" spans="1:1" ht="15">
      <c r="A59" s="261"/>
    </row>
    <row r="60" spans="1:1" ht="15">
      <c r="A60" s="261"/>
    </row>
    <row r="61" spans="1:1" ht="15">
      <c r="A61" s="261"/>
    </row>
    <row r="62" spans="1:1" ht="15">
      <c r="A62" s="261"/>
    </row>
    <row r="63" spans="1:1" ht="15">
      <c r="A63" s="261"/>
    </row>
    <row r="64" spans="1:1" ht="15">
      <c r="A64" s="261"/>
    </row>
    <row r="65" spans="1:1" ht="15">
      <c r="A65" s="261"/>
    </row>
    <row r="66" spans="1:1" ht="15">
      <c r="A66" s="261"/>
    </row>
    <row r="272" spans="1:5">
      <c r="A272" s="322"/>
      <c r="B272" s="322"/>
      <c r="C272" s="322"/>
      <c r="D272" s="322"/>
      <c r="E272" s="322"/>
    </row>
    <row r="273" spans="1:5">
      <c r="A273" s="322"/>
      <c r="B273" s="322"/>
      <c r="C273" s="322"/>
      <c r="D273" s="322"/>
      <c r="E273" s="322"/>
    </row>
    <row r="274" spans="1:5">
      <c r="A274" s="322"/>
      <c r="B274" s="322"/>
      <c r="C274" s="322"/>
      <c r="D274" s="322"/>
      <c r="E274" s="322"/>
    </row>
    <row r="275" spans="1:5">
      <c r="A275" s="322"/>
      <c r="B275" s="322"/>
      <c r="C275" s="322"/>
      <c r="D275" s="322"/>
      <c r="E275" s="322"/>
    </row>
    <row r="276" spans="1:5">
      <c r="A276" s="322"/>
      <c r="B276" s="322"/>
      <c r="C276" s="322"/>
      <c r="D276" s="322"/>
      <c r="E276" s="322"/>
    </row>
    <row r="277" spans="1:5">
      <c r="A277" s="322"/>
      <c r="B277" s="322"/>
      <c r="C277" s="322"/>
      <c r="D277" s="322"/>
      <c r="E277" s="322"/>
    </row>
    <row r="278" spans="1:5">
      <c r="A278" s="322"/>
      <c r="B278" s="322"/>
      <c r="C278" s="322"/>
      <c r="D278" s="322"/>
      <c r="E278" s="322"/>
    </row>
    <row r="279" spans="1:5">
      <c r="A279" s="322"/>
      <c r="B279" s="322"/>
      <c r="C279" s="322"/>
      <c r="D279" s="322"/>
      <c r="E279" s="322"/>
    </row>
    <row r="280" spans="1:5">
      <c r="A280" s="322"/>
      <c r="B280" s="322"/>
      <c r="C280" s="322"/>
      <c r="D280" s="322"/>
      <c r="E280" s="322"/>
    </row>
  </sheetData>
  <mergeCells count="2">
    <mergeCell ref="A1:G1"/>
    <mergeCell ref="A3:G3"/>
  </mergeCells>
  <phoneticPr fontId="50" type="noConversion"/>
  <pageMargins left="0.75" right="0.75" top="1" bottom="1" header="0.5" footer="0.5"/>
  <pageSetup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64"/>
  <sheetViews>
    <sheetView topLeftCell="A169" zoomScale="65" zoomScaleNormal="65" zoomScaleSheetLayoutView="75" workbookViewId="0">
      <selection activeCell="D135" sqref="D135"/>
    </sheetView>
  </sheetViews>
  <sheetFormatPr defaultRowHeight="12.75"/>
  <cols>
    <col min="1" max="1" width="6.42578125" style="192" customWidth="1"/>
    <col min="2" max="2" width="4.28515625" style="192" customWidth="1"/>
    <col min="3" max="3" width="52.140625" style="192" customWidth="1"/>
    <col min="4" max="4" width="27.85546875" style="192" customWidth="1"/>
    <col min="5" max="5" width="16" style="192" customWidth="1"/>
    <col min="6" max="6" width="21.28515625" style="192" customWidth="1"/>
    <col min="7" max="7" width="18.140625" style="192" customWidth="1"/>
    <col min="8" max="8" width="18.7109375" style="192" customWidth="1"/>
    <col min="9" max="10" width="17.28515625" style="192" customWidth="1"/>
    <col min="11" max="11" width="18.28515625" style="422" customWidth="1"/>
    <col min="12" max="12" width="18.85546875" style="422" customWidth="1"/>
    <col min="13" max="13" width="16.5703125" style="422" customWidth="1"/>
    <col min="14" max="14" width="15.140625" style="422" customWidth="1"/>
    <col min="15" max="16" width="17.85546875" style="192" customWidth="1"/>
    <col min="17" max="17" width="15.7109375" style="192" customWidth="1"/>
    <col min="18" max="18" width="4.140625" style="192" customWidth="1"/>
    <col min="19" max="19" width="23" style="192" customWidth="1"/>
    <col min="20" max="20" width="9.140625" style="192" customWidth="1"/>
    <col min="21" max="16384" width="9.140625" style="192"/>
  </cols>
  <sheetData>
    <row r="1" spans="1:19" ht="18">
      <c r="A1" s="1900" t="str">
        <f>+'ATT H-1 '!A3</f>
        <v xml:space="preserve">Puget Sound Energy </v>
      </c>
      <c r="B1" s="1900"/>
      <c r="C1" s="1900"/>
      <c r="D1" s="1900"/>
      <c r="E1" s="1900"/>
      <c r="F1" s="1900"/>
      <c r="G1" s="1900"/>
      <c r="H1" s="1900"/>
      <c r="I1" s="1900"/>
      <c r="J1" s="1900"/>
      <c r="K1" s="1900"/>
      <c r="L1" s="1900"/>
      <c r="M1" s="1900"/>
      <c r="N1" s="1900"/>
    </row>
    <row r="2" spans="1:19">
      <c r="A2" s="153"/>
      <c r="B2"/>
      <c r="C2"/>
      <c r="D2" s="115"/>
      <c r="E2" s="315"/>
      <c r="F2" s="315"/>
      <c r="G2" s="315"/>
      <c r="H2" s="315"/>
    </row>
    <row r="3" spans="1:19" ht="15.75">
      <c r="A3" s="1903" t="s">
        <v>434</v>
      </c>
      <c r="B3" s="1903"/>
      <c r="C3" s="1903"/>
      <c r="D3" s="1903"/>
      <c r="E3" s="1903"/>
      <c r="F3" s="1903"/>
      <c r="G3" s="1903"/>
      <c r="H3" s="1903"/>
      <c r="I3" s="1903"/>
      <c r="J3" s="1903"/>
      <c r="K3" s="1903"/>
      <c r="L3" s="1903"/>
      <c r="M3" s="1903"/>
      <c r="N3" s="1903"/>
    </row>
    <row r="6" spans="1:19" s="346" customFormat="1" ht="13.5" thickBot="1">
      <c r="A6" s="372" t="s">
        <v>204</v>
      </c>
      <c r="B6" s="373"/>
      <c r="C6" s="192"/>
      <c r="D6" s="192"/>
      <c r="E6" s="192"/>
      <c r="F6" s="192"/>
      <c r="G6" s="192"/>
      <c r="H6" s="192"/>
      <c r="K6" s="422"/>
      <c r="L6" s="422"/>
      <c r="M6" s="422"/>
      <c r="N6" s="422"/>
    </row>
    <row r="7" spans="1:19" s="346" customFormat="1">
      <c r="A7" s="1914" t="s">
        <v>1419</v>
      </c>
      <c r="B7" s="1915"/>
      <c r="C7" s="1915"/>
      <c r="D7" s="1915"/>
      <c r="E7" s="1915"/>
      <c r="F7" s="1916"/>
      <c r="G7" s="1282"/>
      <c r="H7" s="1283"/>
      <c r="I7" s="1284"/>
      <c r="J7" s="1284"/>
      <c r="K7" s="1911" t="s">
        <v>160</v>
      </c>
      <c r="L7" s="1911"/>
      <c r="M7" s="1911"/>
      <c r="N7" s="1912"/>
      <c r="O7" s="1142"/>
      <c r="P7" s="1913"/>
      <c r="Q7" s="1913"/>
      <c r="R7" s="1142"/>
      <c r="S7" s="1142"/>
    </row>
    <row r="8" spans="1:19" s="346" customFormat="1" ht="31.5">
      <c r="A8" s="356"/>
      <c r="B8" s="193"/>
      <c r="C8" s="1269" t="s">
        <v>754</v>
      </c>
      <c r="D8" s="214" t="s">
        <v>205</v>
      </c>
      <c r="E8" s="253"/>
      <c r="F8" s="1270" t="s">
        <v>569</v>
      </c>
      <c r="G8" s="1271" t="s">
        <v>1139</v>
      </c>
      <c r="H8" s="1270" t="s">
        <v>530</v>
      </c>
      <c r="I8" s="1270" t="s">
        <v>531</v>
      </c>
      <c r="J8" s="1142"/>
      <c r="K8" s="1144"/>
      <c r="L8" s="1142"/>
      <c r="M8" s="1142"/>
      <c r="N8" s="1287"/>
      <c r="O8" s="1142"/>
      <c r="P8" s="95"/>
      <c r="Q8" s="95"/>
      <c r="R8" s="1142"/>
      <c r="S8" s="1142"/>
    </row>
    <row r="9" spans="1:19" s="346" customFormat="1" ht="15">
      <c r="A9" s="199"/>
      <c r="B9" s="193"/>
      <c r="C9" s="205" t="s">
        <v>804</v>
      </c>
      <c r="D9" s="455" t="s">
        <v>529</v>
      </c>
      <c r="E9" s="375">
        <v>2014</v>
      </c>
      <c r="F9" s="441">
        <f>G9+H9+I9</f>
        <v>1150072108</v>
      </c>
      <c r="G9" s="441">
        <f>'WKSHT5 - Plant in Service 13mo '!O59</f>
        <v>974290960</v>
      </c>
      <c r="H9" s="1272">
        <f>'WKSHT5 - Plant in Service 13mo '!O76</f>
        <v>88241226</v>
      </c>
      <c r="I9" s="1273">
        <f>'WKSHT5 - Plant in Service 13mo '!O87</f>
        <v>87539922</v>
      </c>
      <c r="J9" s="1142"/>
      <c r="K9" s="1145"/>
      <c r="L9" s="1142"/>
      <c r="M9" s="1142"/>
      <c r="N9" s="1287"/>
      <c r="O9" s="1142"/>
      <c r="P9" s="1143"/>
      <c r="Q9" s="1144"/>
      <c r="R9" s="1145"/>
      <c r="S9" s="1142"/>
    </row>
    <row r="10" spans="1:19" s="346" customFormat="1">
      <c r="A10" s="199"/>
      <c r="B10" s="212"/>
      <c r="C10" s="201"/>
      <c r="D10" s="214"/>
      <c r="E10" s="212"/>
      <c r="F10" s="900"/>
      <c r="G10" s="201"/>
      <c r="H10" s="465"/>
      <c r="I10" s="745"/>
      <c r="J10" s="745"/>
      <c r="K10" s="1871"/>
      <c r="L10" s="347"/>
      <c r="M10" s="347"/>
      <c r="N10" s="780"/>
      <c r="O10" s="1142"/>
      <c r="P10" s="433"/>
      <c r="Q10" s="1142"/>
      <c r="R10" s="1142"/>
      <c r="S10" s="1142"/>
    </row>
    <row r="11" spans="1:19" s="346" customFormat="1">
      <c r="A11" s="356"/>
      <c r="B11" s="193"/>
      <c r="C11" s="1269" t="s">
        <v>752</v>
      </c>
      <c r="D11" s="214" t="s">
        <v>205</v>
      </c>
      <c r="E11" s="253"/>
      <c r="F11" s="904"/>
      <c r="G11" s="248"/>
      <c r="H11" s="1142"/>
      <c r="I11" s="468"/>
      <c r="J11" s="745"/>
      <c r="K11" s="744"/>
      <c r="L11" s="347"/>
      <c r="M11" s="347"/>
      <c r="N11" s="780"/>
      <c r="O11" s="1142"/>
      <c r="P11" s="735"/>
      <c r="Q11" s="1142"/>
      <c r="R11" s="1142"/>
      <c r="S11" s="1142"/>
    </row>
    <row r="12" spans="1:19" s="346" customFormat="1" ht="15">
      <c r="A12" s="199"/>
      <c r="B12" s="193"/>
      <c r="C12" s="205" t="s">
        <v>207</v>
      </c>
      <c r="D12" s="455" t="s">
        <v>751</v>
      </c>
      <c r="E12" s="375">
        <f>+E$9</f>
        <v>2014</v>
      </c>
      <c r="F12" s="1521">
        <v>3373941850</v>
      </c>
      <c r="G12" s="1656" t="s">
        <v>1044</v>
      </c>
      <c r="H12" s="1142"/>
      <c r="I12" s="1142"/>
      <c r="J12" s="1274"/>
      <c r="K12" s="765"/>
      <c r="L12" s="347"/>
      <c r="M12" s="347"/>
      <c r="N12" s="780"/>
      <c r="O12" s="1142"/>
      <c r="P12" s="1143"/>
      <c r="Q12" s="433"/>
      <c r="R12" s="1143"/>
      <c r="S12" s="1142"/>
    </row>
    <row r="13" spans="1:19" s="346" customFormat="1">
      <c r="A13" s="199"/>
      <c r="B13" s="214"/>
      <c r="C13" s="1142"/>
      <c r="D13" s="214"/>
      <c r="E13" s="235"/>
      <c r="F13" s="442"/>
      <c r="G13" s="213"/>
      <c r="H13" s="213"/>
      <c r="I13" s="468"/>
      <c r="J13" s="468"/>
      <c r="K13" s="744"/>
      <c r="L13" s="347"/>
      <c r="M13" s="347"/>
      <c r="N13" s="780"/>
      <c r="O13" s="1142"/>
      <c r="P13" s="433"/>
      <c r="Q13" s="433"/>
      <c r="R13" s="433"/>
      <c r="S13" s="1142"/>
    </row>
    <row r="14" spans="1:19" s="346" customFormat="1">
      <c r="A14" s="199"/>
      <c r="B14" s="212"/>
      <c r="C14" s="201"/>
      <c r="D14" s="214"/>
      <c r="E14" s="212"/>
      <c r="F14" s="900"/>
      <c r="G14" s="201"/>
      <c r="H14" s="465"/>
      <c r="I14" s="745"/>
      <c r="J14" s="745"/>
      <c r="K14" s="744"/>
      <c r="L14" s="744"/>
      <c r="M14" s="744"/>
      <c r="N14" s="760"/>
      <c r="O14" s="1142"/>
      <c r="P14" s="433"/>
      <c r="Q14" s="433"/>
      <c r="R14" s="433"/>
      <c r="S14" s="340"/>
    </row>
    <row r="15" spans="1:19" s="346" customFormat="1">
      <c r="A15" s="356"/>
      <c r="B15" s="193"/>
      <c r="C15" s="1269" t="s">
        <v>208</v>
      </c>
      <c r="D15" s="214" t="s">
        <v>205</v>
      </c>
      <c r="E15" s="253"/>
      <c r="F15" s="901"/>
      <c r="G15" s="214"/>
      <c r="H15" s="214"/>
      <c r="I15" s="468"/>
      <c r="J15" s="468"/>
      <c r="K15" s="744"/>
      <c r="L15" s="744"/>
      <c r="M15" s="744"/>
      <c r="N15" s="760"/>
      <c r="O15" s="1142"/>
      <c r="P15" s="433"/>
      <c r="Q15" s="433"/>
      <c r="R15" s="433"/>
      <c r="S15" s="466"/>
    </row>
    <row r="16" spans="1:19" s="346" customFormat="1" ht="15">
      <c r="A16" s="199"/>
      <c r="B16" s="193"/>
      <c r="C16" s="205" t="s">
        <v>301</v>
      </c>
      <c r="D16" s="204" t="s">
        <v>739</v>
      </c>
      <c r="E16" s="375">
        <f>+E$9</f>
        <v>2014</v>
      </c>
      <c r="F16" s="1521">
        <v>128274694</v>
      </c>
      <c r="G16" s="213"/>
      <c r="H16" s="340"/>
      <c r="I16" s="745"/>
      <c r="J16" s="468"/>
      <c r="K16" s="765"/>
      <c r="L16" s="492"/>
      <c r="M16" s="492"/>
      <c r="N16" s="769"/>
      <c r="O16" s="1142"/>
      <c r="P16" s="776"/>
      <c r="Q16" s="744"/>
      <c r="R16" s="744"/>
      <c r="S16" s="770"/>
    </row>
    <row r="17" spans="1:19" s="346" customFormat="1">
      <c r="A17" s="199"/>
      <c r="B17" s="214"/>
      <c r="C17" s="1142"/>
      <c r="D17" s="214"/>
      <c r="E17" s="235"/>
      <c r="F17" s="442"/>
      <c r="G17" s="213"/>
      <c r="H17" s="466"/>
      <c r="I17" s="468"/>
      <c r="J17" s="1275"/>
      <c r="K17" s="744"/>
      <c r="L17" s="492"/>
      <c r="M17" s="492"/>
      <c r="N17" s="769"/>
      <c r="O17" s="1142"/>
      <c r="P17" s="464"/>
      <c r="Q17" s="463"/>
      <c r="R17" s="1907"/>
      <c r="S17" s="1907"/>
    </row>
    <row r="18" spans="1:19" s="346" customFormat="1">
      <c r="A18" s="356"/>
      <c r="B18" s="214"/>
      <c r="C18" s="243"/>
      <c r="D18" s="214"/>
      <c r="E18" s="253"/>
      <c r="F18" s="902"/>
      <c r="G18" s="243"/>
      <c r="H18" s="465"/>
      <c r="I18" s="745"/>
      <c r="J18" s="745"/>
      <c r="K18" s="744"/>
      <c r="L18" s="492"/>
      <c r="M18" s="492"/>
      <c r="N18" s="769"/>
      <c r="O18" s="1142"/>
      <c r="P18" s="464"/>
      <c r="Q18" s="463"/>
      <c r="R18" s="1907"/>
      <c r="S18" s="1907"/>
    </row>
    <row r="19" spans="1:19" s="346" customFormat="1">
      <c r="A19" s="356"/>
      <c r="B19" s="193"/>
      <c r="C19" s="1269" t="s">
        <v>302</v>
      </c>
      <c r="D19" s="214" t="s">
        <v>205</v>
      </c>
      <c r="E19" s="253"/>
      <c r="F19" s="901"/>
      <c r="G19" s="214"/>
      <c r="H19" s="214"/>
      <c r="I19" s="468"/>
      <c r="J19" s="468"/>
      <c r="K19" s="744"/>
      <c r="L19" s="744"/>
      <c r="M19" s="744"/>
      <c r="N19" s="760"/>
      <c r="O19" s="1142"/>
      <c r="P19" s="1140"/>
      <c r="Q19" s="463"/>
      <c r="R19" s="1907"/>
      <c r="S19" s="1907"/>
    </row>
    <row r="20" spans="1:19" s="346" customFormat="1" ht="15">
      <c r="A20" s="199"/>
      <c r="B20" s="193"/>
      <c r="C20" s="205" t="s">
        <v>303</v>
      </c>
      <c r="D20" s="204" t="s">
        <v>740</v>
      </c>
      <c r="E20" s="375">
        <f>+E$9</f>
        <v>2014</v>
      </c>
      <c r="F20" s="1521">
        <v>208872528</v>
      </c>
      <c r="G20" s="213"/>
      <c r="H20" s="340"/>
      <c r="I20" s="746"/>
      <c r="J20" s="468"/>
      <c r="K20" s="765"/>
      <c r="L20" s="495"/>
      <c r="M20" s="495"/>
      <c r="N20" s="761"/>
      <c r="O20" s="1142"/>
      <c r="P20" s="1142"/>
      <c r="Q20" s="1142"/>
      <c r="R20" s="1142"/>
      <c r="S20" s="1142"/>
    </row>
    <row r="21" spans="1:19" s="346" customFormat="1">
      <c r="A21" s="199"/>
      <c r="B21" s="214"/>
      <c r="C21" s="1142"/>
      <c r="D21" s="214"/>
      <c r="E21" s="235"/>
      <c r="F21" s="442"/>
      <c r="G21" s="213"/>
      <c r="H21" s="466"/>
      <c r="I21" s="468"/>
      <c r="J21" s="1275"/>
      <c r="K21" s="744"/>
      <c r="L21" s="744"/>
      <c r="M21" s="744"/>
      <c r="N21" s="760"/>
      <c r="O21" s="1142"/>
      <c r="P21" s="1142"/>
      <c r="Q21" s="1142"/>
      <c r="R21" s="1142"/>
      <c r="S21" s="1142"/>
    </row>
    <row r="22" spans="1:19" s="346" customFormat="1">
      <c r="A22" s="199"/>
      <c r="B22" s="193"/>
      <c r="C22" s="201"/>
      <c r="D22" s="376"/>
      <c r="E22" s="235"/>
      <c r="F22" s="903"/>
      <c r="G22" s="747"/>
      <c r="H22" s="214"/>
      <c r="I22" s="468"/>
      <c r="J22" s="468"/>
      <c r="K22" s="765"/>
      <c r="L22" s="495"/>
      <c r="M22" s="495"/>
      <c r="N22" s="761"/>
      <c r="O22" s="1142"/>
      <c r="P22" s="1142"/>
      <c r="Q22" s="1142"/>
      <c r="R22" s="1142"/>
      <c r="S22" s="1142"/>
    </row>
    <row r="23" spans="1:19" s="346" customFormat="1">
      <c r="A23" s="356"/>
      <c r="B23" s="193"/>
      <c r="C23" s="1269" t="s">
        <v>304</v>
      </c>
      <c r="D23" s="214" t="s">
        <v>205</v>
      </c>
      <c r="E23" s="253"/>
      <c r="F23" s="901"/>
      <c r="G23" s="214"/>
      <c r="H23" s="214"/>
      <c r="I23" s="468"/>
      <c r="J23" s="468"/>
      <c r="K23" s="744"/>
      <c r="L23" s="744"/>
      <c r="M23" s="744"/>
      <c r="N23" s="760"/>
      <c r="O23" s="1142"/>
      <c r="P23" s="1142"/>
      <c r="Q23" s="1142"/>
      <c r="R23" s="1142"/>
      <c r="S23" s="1142"/>
    </row>
    <row r="24" spans="1:19" s="346" customFormat="1" ht="15">
      <c r="A24" s="199"/>
      <c r="B24" s="193"/>
      <c r="C24" s="205" t="s">
        <v>305</v>
      </c>
      <c r="D24" s="455" t="s">
        <v>167</v>
      </c>
      <c r="E24" s="375">
        <f>+E$9</f>
        <v>2014</v>
      </c>
      <c r="F24" s="1522">
        <v>3901303557</v>
      </c>
      <c r="G24" s="213"/>
      <c r="H24" s="340"/>
      <c r="I24" s="746"/>
      <c r="J24" s="468"/>
      <c r="K24" s="765"/>
      <c r="L24" s="495"/>
      <c r="M24" s="492"/>
      <c r="N24" s="760"/>
      <c r="O24" s="1142"/>
      <c r="P24" s="1142"/>
      <c r="Q24" s="1142"/>
      <c r="R24" s="1142"/>
      <c r="S24" s="1142"/>
    </row>
    <row r="25" spans="1:19" s="346" customFormat="1">
      <c r="A25" s="199"/>
      <c r="B25" s="214"/>
      <c r="C25" s="1142"/>
      <c r="D25" s="214"/>
      <c r="E25" s="235"/>
      <c r="F25" s="442"/>
      <c r="G25" s="213"/>
      <c r="H25" s="466"/>
      <c r="I25" s="468"/>
      <c r="J25" s="1275"/>
      <c r="K25" s="744"/>
      <c r="L25" s="744"/>
      <c r="M25" s="492"/>
      <c r="N25" s="760"/>
      <c r="O25" s="1142"/>
      <c r="P25" s="1142"/>
      <c r="Q25" s="1142"/>
      <c r="R25" s="1142"/>
      <c r="S25" s="1142"/>
    </row>
    <row r="26" spans="1:19" s="346" customFormat="1">
      <c r="A26" s="199"/>
      <c r="B26" s="214"/>
      <c r="C26" s="201"/>
      <c r="D26" s="214"/>
      <c r="E26" s="212"/>
      <c r="F26" s="905"/>
      <c r="G26" s="748"/>
      <c r="H26" s="465"/>
      <c r="I26" s="745"/>
      <c r="J26" s="1276"/>
      <c r="K26" s="744"/>
      <c r="L26" s="744"/>
      <c r="M26" s="492"/>
      <c r="N26" s="760"/>
      <c r="O26" s="1142"/>
      <c r="P26" s="1142"/>
      <c r="Q26" s="1142"/>
      <c r="R26" s="1142"/>
      <c r="S26" s="1142"/>
    </row>
    <row r="27" spans="1:19" s="346" customFormat="1">
      <c r="A27" s="356"/>
      <c r="B27" s="214"/>
      <c r="C27" s="1135"/>
      <c r="D27" s="1277"/>
      <c r="E27" s="1136"/>
      <c r="F27" s="1278"/>
      <c r="G27" s="213"/>
      <c r="H27" s="213"/>
      <c r="I27" s="213"/>
      <c r="J27" s="213"/>
      <c r="K27" s="762"/>
      <c r="L27" s="744"/>
      <c r="M27" s="492"/>
      <c r="N27" s="760"/>
      <c r="O27" s="1142"/>
      <c r="P27" s="1142"/>
      <c r="Q27" s="1142"/>
      <c r="R27" s="1142"/>
      <c r="S27" s="1142"/>
    </row>
    <row r="28" spans="1:19" s="346" customFormat="1" ht="13.5" thickBot="1">
      <c r="A28" s="199"/>
      <c r="B28" s="193"/>
      <c r="C28" s="1137" t="s">
        <v>964</v>
      </c>
      <c r="D28" s="1138"/>
      <c r="E28" s="1279"/>
      <c r="F28" s="1139">
        <f>F$24+F$20+F$16+F$12+F$9</f>
        <v>8762464737</v>
      </c>
      <c r="G28" s="465"/>
      <c r="H28" s="465"/>
      <c r="I28" s="465"/>
      <c r="J28" s="465"/>
      <c r="K28" s="831"/>
      <c r="L28" s="495"/>
      <c r="M28" s="495"/>
      <c r="N28" s="760"/>
      <c r="O28" s="1142"/>
      <c r="P28" s="1142"/>
      <c r="Q28" s="1142"/>
      <c r="R28" s="1142"/>
      <c r="S28" s="1142"/>
    </row>
    <row r="29" spans="1:19" s="346" customFormat="1" ht="13.5" thickTop="1">
      <c r="A29" s="199"/>
      <c r="B29" s="193"/>
      <c r="C29" s="377"/>
      <c r="D29" s="376"/>
      <c r="E29" s="235"/>
      <c r="F29" s="465"/>
      <c r="G29" s="465"/>
      <c r="H29" s="465"/>
      <c r="I29" s="465"/>
      <c r="J29" s="465"/>
      <c r="K29" s="831"/>
      <c r="L29" s="495"/>
      <c r="M29" s="495"/>
      <c r="N29" s="760"/>
      <c r="O29" s="1142"/>
      <c r="P29" s="1142"/>
      <c r="Q29" s="1142"/>
      <c r="R29" s="1142"/>
      <c r="S29" s="1142"/>
    </row>
    <row r="30" spans="1:19" s="346" customFormat="1" ht="25.5">
      <c r="A30" s="199"/>
      <c r="B30" s="193"/>
      <c r="C30" s="377" t="s">
        <v>702</v>
      </c>
      <c r="D30" s="455" t="s">
        <v>703</v>
      </c>
      <c r="E30" s="375">
        <f>E24</f>
        <v>2014</v>
      </c>
      <c r="F30" s="1280" t="s">
        <v>1138</v>
      </c>
      <c r="G30" s="1281" t="s">
        <v>706</v>
      </c>
      <c r="H30" s="1280" t="s">
        <v>1137</v>
      </c>
      <c r="I30" s="465"/>
      <c r="J30" s="465"/>
      <c r="K30" s="831"/>
      <c r="L30" s="495"/>
      <c r="M30" s="495"/>
      <c r="N30" s="760"/>
      <c r="O30" s="1143"/>
      <c r="P30" s="765"/>
      <c r="Q30" s="1142"/>
      <c r="R30" s="1142"/>
      <c r="S30" s="1142"/>
    </row>
    <row r="31" spans="1:19" s="346" customFormat="1">
      <c r="A31" s="199"/>
      <c r="B31" s="193"/>
      <c r="C31" s="748" t="s">
        <v>704</v>
      </c>
      <c r="D31" s="376"/>
      <c r="E31" s="235"/>
      <c r="F31" s="1522">
        <v>474763851</v>
      </c>
      <c r="G31" s="1548">
        <v>0.67979999999999996</v>
      </c>
      <c r="H31" s="465">
        <f>F31*G31</f>
        <v>322744465.90979999</v>
      </c>
      <c r="I31" s="465"/>
      <c r="J31" s="465"/>
      <c r="K31" s="831"/>
      <c r="L31" s="495"/>
      <c r="M31" s="495"/>
      <c r="N31" s="760"/>
      <c r="O31" s="433"/>
      <c r="P31" s="744"/>
      <c r="Q31" s="1142"/>
      <c r="R31" s="1142"/>
      <c r="S31" s="1142"/>
    </row>
    <row r="32" spans="1:19" s="346" customFormat="1">
      <c r="A32" s="199"/>
      <c r="B32" s="193"/>
      <c r="C32" s="347"/>
      <c r="D32" s="347"/>
      <c r="E32" s="347"/>
      <c r="F32" s="347"/>
      <c r="G32" s="347"/>
      <c r="H32" s="347"/>
      <c r="I32" s="465"/>
      <c r="J32" s="465"/>
      <c r="K32" s="831"/>
      <c r="L32" s="495"/>
      <c r="M32" s="495"/>
      <c r="N32" s="760"/>
      <c r="O32" s="1141"/>
      <c r="P32" s="744"/>
      <c r="Q32" s="1142"/>
      <c r="R32" s="1142"/>
      <c r="S32" s="1142"/>
    </row>
    <row r="33" spans="1:19" s="346" customFormat="1" ht="13.5" thickBot="1">
      <c r="A33" s="208"/>
      <c r="B33" s="209"/>
      <c r="C33" s="210"/>
      <c r="D33" s="379"/>
      <c r="E33" s="238"/>
      <c r="F33" s="210"/>
      <c r="G33" s="210"/>
      <c r="H33" s="467"/>
      <c r="I33" s="749"/>
      <c r="J33" s="354"/>
      <c r="K33" s="763"/>
      <c r="L33" s="763"/>
      <c r="M33" s="763"/>
      <c r="N33" s="764"/>
      <c r="O33" s="351"/>
      <c r="P33" s="744"/>
      <c r="Q33" s="1142"/>
      <c r="R33" s="1142"/>
      <c r="S33" s="1142"/>
    </row>
    <row r="34" spans="1:19" s="346" customFormat="1">
      <c r="A34" s="212"/>
      <c r="B34" s="200"/>
      <c r="C34" s="201"/>
      <c r="D34" s="194"/>
      <c r="E34" s="212"/>
      <c r="F34" s="201"/>
      <c r="G34" s="201"/>
      <c r="H34" s="378"/>
      <c r="I34" s="447"/>
      <c r="J34" s="447"/>
      <c r="K34" s="744"/>
      <c r="L34" s="744"/>
      <c r="M34" s="744"/>
      <c r="N34" s="744"/>
      <c r="O34" s="1142"/>
      <c r="P34" s="1142"/>
      <c r="Q34" s="1142"/>
      <c r="R34" s="1142"/>
      <c r="S34" s="1142"/>
    </row>
    <row r="35" spans="1:19" s="346" customFormat="1" ht="13.5" thickBot="1">
      <c r="A35" s="372" t="s">
        <v>306</v>
      </c>
      <c r="B35" s="192"/>
      <c r="C35" s="192"/>
      <c r="D35" s="192"/>
      <c r="E35" s="192"/>
      <c r="F35" s="192"/>
      <c r="G35" s="192"/>
      <c r="H35" s="192"/>
      <c r="K35" s="422"/>
      <c r="L35" s="422"/>
      <c r="M35" s="422"/>
      <c r="N35" s="422"/>
      <c r="O35" s="1142"/>
      <c r="P35" s="1142"/>
      <c r="Q35" s="1142"/>
      <c r="R35" s="1142"/>
      <c r="S35" s="1142"/>
    </row>
    <row r="36" spans="1:19" s="346" customFormat="1">
      <c r="A36" s="1914" t="s">
        <v>1419</v>
      </c>
      <c r="B36" s="1915"/>
      <c r="C36" s="1915"/>
      <c r="D36" s="1915"/>
      <c r="E36" s="1915"/>
      <c r="F36" s="1916"/>
      <c r="G36" s="1282"/>
      <c r="H36" s="965"/>
      <c r="I36" s="1284"/>
      <c r="J36" s="1284"/>
      <c r="K36" s="1911" t="s">
        <v>160</v>
      </c>
      <c r="L36" s="1911"/>
      <c r="M36" s="1911"/>
      <c r="N36" s="1912"/>
      <c r="O36" s="1142"/>
      <c r="P36" s="1142"/>
      <c r="Q36" s="1142"/>
      <c r="R36" s="1142"/>
      <c r="S36" s="1142"/>
    </row>
    <row r="37" spans="1:19" s="346" customFormat="1" ht="31.5">
      <c r="A37" s="356"/>
      <c r="B37" s="193"/>
      <c r="C37" s="1269" t="s">
        <v>755</v>
      </c>
      <c r="D37" s="214" t="s">
        <v>205</v>
      </c>
      <c r="E37" s="253"/>
      <c r="F37" s="1270" t="s">
        <v>569</v>
      </c>
      <c r="G37" s="1271" t="s">
        <v>1139</v>
      </c>
      <c r="H37" s="1270" t="s">
        <v>530</v>
      </c>
      <c r="I37" s="1270" t="s">
        <v>531</v>
      </c>
      <c r="J37" s="1142"/>
      <c r="K37" s="1142"/>
      <c r="L37" s="744"/>
      <c r="M37" s="744"/>
      <c r="N37" s="760"/>
      <c r="O37" s="1142"/>
      <c r="P37" s="95"/>
      <c r="Q37" s="95"/>
      <c r="R37" s="1142"/>
      <c r="S37" s="1142"/>
    </row>
    <row r="38" spans="1:19" s="346" customFormat="1" ht="15">
      <c r="A38" s="199"/>
      <c r="B38" s="193"/>
      <c r="C38" s="203" t="s">
        <v>206</v>
      </c>
      <c r="D38" s="455" t="s">
        <v>529</v>
      </c>
      <c r="E38" s="375">
        <f>+E$9</f>
        <v>2014</v>
      </c>
      <c r="F38" s="441">
        <f>G38+H38+I38</f>
        <v>354348665</v>
      </c>
      <c r="G38" s="441">
        <f>'WKSHT5 - Plant in Service 13mo '!O143</f>
        <v>257494849</v>
      </c>
      <c r="H38" s="1273">
        <f>'WKSHT5 - Plant in Service 13mo '!O160</f>
        <v>60667087</v>
      </c>
      <c r="I38" s="1273">
        <f>'WKSHT5 - Plant in Service 13mo '!O174</f>
        <v>36186729</v>
      </c>
      <c r="J38" s="1142"/>
      <c r="K38" s="1142"/>
      <c r="L38" s="765"/>
      <c r="M38" s="765"/>
      <c r="N38" s="771"/>
      <c r="O38" s="1142"/>
      <c r="P38" s="1143"/>
      <c r="Q38" s="1143"/>
      <c r="R38" s="1142"/>
      <c r="S38" s="1142"/>
    </row>
    <row r="39" spans="1:19" s="346" customFormat="1">
      <c r="A39" s="199"/>
      <c r="B39" s="214"/>
      <c r="C39" s="205" t="s">
        <v>362</v>
      </c>
      <c r="D39" s="214"/>
      <c r="E39" s="235"/>
      <c r="F39" s="442"/>
      <c r="G39" s="213"/>
      <c r="H39" s="213"/>
      <c r="I39" s="213"/>
      <c r="J39" s="213"/>
      <c r="K39" s="762"/>
      <c r="L39" s="744"/>
      <c r="M39" s="744"/>
      <c r="N39" s="760"/>
      <c r="O39" s="1142"/>
      <c r="P39" s="1146"/>
      <c r="Q39" s="1146"/>
      <c r="R39" s="1142"/>
      <c r="S39" s="1142"/>
    </row>
    <row r="40" spans="1:19" s="346" customFormat="1">
      <c r="A40" s="199"/>
      <c r="B40" s="212"/>
      <c r="C40" s="201"/>
      <c r="D40" s="214"/>
      <c r="E40" s="212"/>
      <c r="F40" s="900"/>
      <c r="G40" s="201"/>
      <c r="H40" s="465"/>
      <c r="I40" s="745"/>
      <c r="J40" s="351"/>
      <c r="K40" s="744"/>
      <c r="L40" s="744"/>
      <c r="M40" s="744"/>
      <c r="N40" s="760"/>
      <c r="O40" s="1142"/>
      <c r="P40" s="1142"/>
      <c r="Q40" s="1142"/>
      <c r="R40" s="1142"/>
      <c r="S40" s="1142"/>
    </row>
    <row r="41" spans="1:19" s="346" customFormat="1" ht="15.75">
      <c r="A41" s="199"/>
      <c r="B41" s="212"/>
      <c r="C41" s="201"/>
      <c r="D41" s="214"/>
      <c r="E41" s="212"/>
      <c r="F41" s="900"/>
      <c r="G41" s="201"/>
      <c r="H41" s="465"/>
      <c r="I41" s="745"/>
      <c r="J41" s="351"/>
      <c r="K41" s="744"/>
      <c r="L41" s="744"/>
      <c r="M41" s="744"/>
      <c r="N41" s="760"/>
      <c r="O41" s="1142"/>
      <c r="P41" s="95"/>
      <c r="Q41" s="95"/>
      <c r="R41" s="1142"/>
      <c r="S41" s="1142"/>
    </row>
    <row r="42" spans="1:19" s="346" customFormat="1">
      <c r="A42" s="356"/>
      <c r="B42" s="193"/>
      <c r="C42" s="1269" t="s">
        <v>757</v>
      </c>
      <c r="D42" s="214" t="s">
        <v>205</v>
      </c>
      <c r="E42" s="253"/>
      <c r="F42" s="904"/>
      <c r="G42" s="248"/>
      <c r="H42" s="248"/>
      <c r="I42" s="468"/>
      <c r="J42" s="351"/>
      <c r="K42" s="744"/>
      <c r="L42" s="744"/>
      <c r="M42" s="744"/>
      <c r="N42" s="760"/>
      <c r="O42" s="1142"/>
      <c r="P42" s="433"/>
      <c r="Q42" s="433"/>
      <c r="R42" s="1142"/>
      <c r="S42" s="1142"/>
    </row>
    <row r="43" spans="1:19" s="346" customFormat="1" ht="15">
      <c r="A43" s="199"/>
      <c r="B43" s="193"/>
      <c r="C43" s="203" t="s">
        <v>206</v>
      </c>
      <c r="D43" s="455" t="s">
        <v>756</v>
      </c>
      <c r="E43" s="375">
        <f>+E$9</f>
        <v>2014</v>
      </c>
      <c r="F43" s="1521">
        <v>1263137437</v>
      </c>
      <c r="G43" s="1656" t="s">
        <v>1045</v>
      </c>
      <c r="H43" s="466"/>
      <c r="I43" s="1142"/>
      <c r="J43" s="468"/>
      <c r="K43" s="765"/>
      <c r="L43" s="765"/>
      <c r="M43" s="765"/>
      <c r="N43" s="771"/>
      <c r="O43" s="1142"/>
      <c r="P43" s="1142"/>
      <c r="Q43" s="1142"/>
      <c r="R43" s="1142"/>
      <c r="S43" s="1143"/>
    </row>
    <row r="44" spans="1:19" s="346" customFormat="1">
      <c r="A44" s="199"/>
      <c r="B44" s="214"/>
      <c r="C44" s="205" t="s">
        <v>307</v>
      </c>
      <c r="D44" s="214"/>
      <c r="E44" s="235"/>
      <c r="F44" s="442"/>
      <c r="G44" s="213"/>
      <c r="H44" s="213"/>
      <c r="I44" s="898"/>
      <c r="J44" s="351"/>
      <c r="K44" s="744"/>
      <c r="L44" s="744"/>
      <c r="M44" s="744"/>
      <c r="N44" s="760"/>
      <c r="O44" s="466"/>
      <c r="P44" s="1142"/>
      <c r="Q44" s="1142"/>
      <c r="R44" s="1145"/>
      <c r="S44" s="1142"/>
    </row>
    <row r="45" spans="1:19" s="346" customFormat="1">
      <c r="A45" s="199"/>
      <c r="B45" s="212"/>
      <c r="C45" s="201"/>
      <c r="D45" s="214"/>
      <c r="E45" s="212"/>
      <c r="F45" s="900"/>
      <c r="G45" s="201"/>
      <c r="H45" s="465"/>
      <c r="I45" s="468"/>
      <c r="J45" s="351"/>
      <c r="K45" s="744"/>
      <c r="L45" s="744"/>
      <c r="M45" s="744"/>
      <c r="N45" s="760"/>
      <c r="O45" s="469"/>
      <c r="P45" s="1142"/>
      <c r="Q45" s="1142"/>
      <c r="R45" s="1142"/>
      <c r="S45" s="1142"/>
    </row>
    <row r="46" spans="1:19" s="346" customFormat="1">
      <c r="A46" s="356"/>
      <c r="B46" s="193"/>
      <c r="C46" s="1269" t="s">
        <v>308</v>
      </c>
      <c r="D46" s="214" t="s">
        <v>205</v>
      </c>
      <c r="E46" s="253"/>
      <c r="F46" s="901"/>
      <c r="G46" s="214"/>
      <c r="H46" s="214"/>
      <c r="I46" s="468"/>
      <c r="J46" s="351"/>
      <c r="K46" s="744"/>
      <c r="L46" s="744"/>
      <c r="M46" s="744"/>
      <c r="N46" s="760"/>
      <c r="O46" s="1142"/>
      <c r="P46" s="1142"/>
      <c r="Q46" s="1142"/>
      <c r="R46" s="1142"/>
      <c r="S46" s="1848"/>
    </row>
    <row r="47" spans="1:19" s="346" customFormat="1" ht="15">
      <c r="A47" s="199"/>
      <c r="B47" s="193"/>
      <c r="C47" s="203" t="s">
        <v>206</v>
      </c>
      <c r="D47" s="204" t="s">
        <v>1062</v>
      </c>
      <c r="E47" s="375">
        <f>+E$9</f>
        <v>2014</v>
      </c>
      <c r="F47" s="1521">
        <v>29672582</v>
      </c>
      <c r="G47" s="213"/>
      <c r="H47" s="466"/>
      <c r="I47" s="468"/>
      <c r="J47" s="468"/>
      <c r="K47" s="765"/>
      <c r="L47" s="765"/>
      <c r="M47" s="765"/>
      <c r="N47" s="771"/>
      <c r="O47" s="1142"/>
      <c r="P47" s="1142"/>
      <c r="Q47" s="1142"/>
      <c r="R47" s="1142"/>
      <c r="S47" s="1848"/>
    </row>
    <row r="48" spans="1:19" s="346" customFormat="1">
      <c r="A48" s="199"/>
      <c r="B48" s="214"/>
      <c r="C48" s="205" t="s">
        <v>359</v>
      </c>
      <c r="D48" s="214"/>
      <c r="E48" s="235"/>
      <c r="F48" s="442"/>
      <c r="G48" s="213"/>
      <c r="H48" s="469"/>
      <c r="I48" s="468"/>
      <c r="J48" s="468"/>
      <c r="K48" s="744"/>
      <c r="L48" s="744"/>
      <c r="M48" s="744"/>
      <c r="N48" s="760"/>
      <c r="O48" s="466"/>
      <c r="P48" s="1142"/>
      <c r="Q48" s="1142"/>
      <c r="R48" s="1142"/>
      <c r="S48" s="1848"/>
    </row>
    <row r="49" spans="1:19" s="346" customFormat="1">
      <c r="A49" s="356"/>
      <c r="B49" s="214"/>
      <c r="C49" s="243"/>
      <c r="D49" s="214"/>
      <c r="E49" s="253"/>
      <c r="F49" s="902"/>
      <c r="G49" s="243"/>
      <c r="H49" s="465"/>
      <c r="I49" s="745"/>
      <c r="J49" s="745"/>
      <c r="K49" s="744"/>
      <c r="L49" s="744"/>
      <c r="M49" s="744"/>
      <c r="N49" s="760"/>
      <c r="O49" s="469"/>
      <c r="P49" s="1142"/>
      <c r="Q49" s="1142"/>
      <c r="R49" s="1142"/>
      <c r="S49" s="1848"/>
    </row>
    <row r="50" spans="1:19" s="346" customFormat="1">
      <c r="A50" s="356"/>
      <c r="B50" s="193"/>
      <c r="C50" s="1269" t="s">
        <v>309</v>
      </c>
      <c r="D50" s="214" t="s">
        <v>205</v>
      </c>
      <c r="E50" s="253"/>
      <c r="F50" s="901"/>
      <c r="G50" s="214"/>
      <c r="H50" s="214"/>
      <c r="I50" s="468"/>
      <c r="J50" s="468"/>
      <c r="K50" s="744"/>
      <c r="L50" s="744"/>
      <c r="M50" s="744"/>
      <c r="N50" s="760"/>
      <c r="O50" s="1142"/>
      <c r="P50" s="1142"/>
      <c r="Q50" s="1142"/>
      <c r="R50" s="1142"/>
      <c r="S50" s="1142"/>
    </row>
    <row r="51" spans="1:19" s="346" customFormat="1" ht="15">
      <c r="A51" s="199"/>
      <c r="B51" s="193"/>
      <c r="C51" s="203" t="s">
        <v>206</v>
      </c>
      <c r="D51" s="204" t="s">
        <v>527</v>
      </c>
      <c r="E51" s="375">
        <f>+E$9</f>
        <v>2014</v>
      </c>
      <c r="F51" s="1521">
        <v>74079863</v>
      </c>
      <c r="G51" s="213"/>
      <c r="H51" s="466"/>
      <c r="I51" s="468"/>
      <c r="J51" s="468"/>
      <c r="K51" s="765"/>
      <c r="L51" s="765"/>
      <c r="M51" s="765"/>
      <c r="N51" s="771"/>
      <c r="O51" s="1142"/>
      <c r="P51" s="1142"/>
      <c r="Q51" s="1142"/>
      <c r="R51" s="1142"/>
      <c r="S51" s="1142"/>
    </row>
    <row r="52" spans="1:19" s="346" customFormat="1" ht="15">
      <c r="A52" s="199"/>
      <c r="B52" s="214"/>
      <c r="C52" s="205" t="s">
        <v>1079</v>
      </c>
      <c r="D52" s="214"/>
      <c r="E52" s="235"/>
      <c r="F52" s="442"/>
      <c r="G52" s="213"/>
      <c r="H52" s="469"/>
      <c r="I52" s="468"/>
      <c r="J52" s="468"/>
      <c r="K52" s="744"/>
      <c r="L52" s="744"/>
      <c r="M52" s="744"/>
      <c r="N52" s="760"/>
      <c r="O52" s="1142"/>
      <c r="P52" s="436"/>
      <c r="Q52" s="1142"/>
      <c r="R52" s="1142"/>
      <c r="S52" s="1142"/>
    </row>
    <row r="53" spans="1:19" s="346" customFormat="1">
      <c r="A53" s="199"/>
      <c r="B53" s="193"/>
      <c r="C53" s="201"/>
      <c r="D53" s="376"/>
      <c r="E53" s="235"/>
      <c r="F53" s="903"/>
      <c r="G53" s="747"/>
      <c r="H53" s="214"/>
      <c r="I53" s="468"/>
      <c r="J53" s="468"/>
      <c r="K53" s="765"/>
      <c r="L53" s="765"/>
      <c r="M53" s="765"/>
      <c r="N53" s="771"/>
      <c r="O53" s="1142"/>
      <c r="P53" s="1142"/>
      <c r="Q53" s="1142"/>
      <c r="R53" s="1142"/>
      <c r="S53" s="1142"/>
    </row>
    <row r="54" spans="1:19" s="346" customFormat="1">
      <c r="A54" s="356"/>
      <c r="B54" s="193"/>
      <c r="C54" s="1269" t="s">
        <v>310</v>
      </c>
      <c r="D54" s="214" t="s">
        <v>205</v>
      </c>
      <c r="E54" s="253"/>
      <c r="F54" s="901"/>
      <c r="G54" s="214"/>
      <c r="H54" s="214"/>
      <c r="I54" s="468"/>
      <c r="J54" s="468"/>
      <c r="K54" s="744"/>
      <c r="L54" s="744"/>
      <c r="M54" s="744"/>
      <c r="N54" s="760"/>
      <c r="O54" s="1142"/>
      <c r="P54" s="1142"/>
      <c r="Q54" s="1142"/>
      <c r="R54" s="1142"/>
      <c r="S54" s="1142"/>
    </row>
    <row r="55" spans="1:19" s="346" customFormat="1" ht="15">
      <c r="A55" s="199"/>
      <c r="B55" s="193"/>
      <c r="C55" s="203" t="s">
        <v>206</v>
      </c>
      <c r="D55" s="455" t="s">
        <v>166</v>
      </c>
      <c r="E55" s="375">
        <f>+E$9</f>
        <v>2014</v>
      </c>
      <c r="F55" s="1524">
        <f>747375065+128231319+638752503</f>
        <v>1514358887</v>
      </c>
      <c r="G55" s="213"/>
      <c r="H55" s="466"/>
      <c r="I55" s="750"/>
      <c r="J55" s="750"/>
      <c r="K55" s="1288"/>
      <c r="L55" s="1288"/>
      <c r="M55" s="770"/>
      <c r="N55" s="766"/>
    </row>
    <row r="56" spans="1:19" s="346" customFormat="1">
      <c r="A56" s="199"/>
      <c r="B56" s="214"/>
      <c r="C56" s="205" t="s">
        <v>311</v>
      </c>
      <c r="D56" s="214"/>
      <c r="E56" s="235"/>
      <c r="F56" s="899"/>
      <c r="G56" s="213"/>
      <c r="H56" s="469"/>
      <c r="I56" s="468"/>
      <c r="J56" s="468"/>
      <c r="K56" s="744"/>
      <c r="L56" s="744"/>
      <c r="M56" s="770"/>
      <c r="N56" s="766"/>
    </row>
    <row r="57" spans="1:19" s="346" customFormat="1">
      <c r="A57" s="199"/>
      <c r="B57" s="214"/>
      <c r="C57" s="201"/>
      <c r="D57" s="214"/>
      <c r="E57" s="212"/>
      <c r="F57" s="900"/>
      <c r="G57" s="201"/>
      <c r="H57" s="465"/>
      <c r="I57" s="745"/>
      <c r="J57" s="1276"/>
      <c r="K57" s="744"/>
      <c r="L57" s="744"/>
      <c r="M57" s="770"/>
      <c r="N57" s="766"/>
    </row>
    <row r="58" spans="1:19" s="346" customFormat="1">
      <c r="A58" s="356"/>
      <c r="B58" s="214"/>
      <c r="C58" s="205"/>
      <c r="D58" s="1142"/>
      <c r="E58" s="235"/>
      <c r="F58" s="1289"/>
      <c r="G58" s="213"/>
      <c r="H58" s="213"/>
      <c r="I58" s="569"/>
      <c r="J58" s="213"/>
      <c r="K58" s="762"/>
      <c r="L58" s="831"/>
      <c r="M58" s="770"/>
      <c r="N58" s="766"/>
    </row>
    <row r="59" spans="1:19" s="346" customFormat="1" ht="13.5" thickBot="1">
      <c r="A59" s="199"/>
      <c r="B59" s="193"/>
      <c r="C59" s="1137" t="s">
        <v>963</v>
      </c>
      <c r="D59" s="1290"/>
      <c r="E59" s="1279"/>
      <c r="F59" s="1139">
        <f>+F$55+F$51+F$47+F$43+F$38</f>
        <v>3235597434</v>
      </c>
      <c r="G59" s="465"/>
      <c r="H59" s="465"/>
      <c r="I59" s="465"/>
      <c r="J59" s="465"/>
      <c r="K59" s="831"/>
      <c r="L59" s="765"/>
      <c r="M59" s="765"/>
      <c r="N59" s="766"/>
    </row>
    <row r="60" spans="1:19" s="346" customFormat="1" ht="13.5" thickTop="1">
      <c r="A60" s="199"/>
      <c r="B60" s="193"/>
      <c r="C60" s="377"/>
      <c r="D60" s="376"/>
      <c r="E60" s="235"/>
      <c r="F60" s="897"/>
      <c r="G60" s="465"/>
      <c r="H60" s="465"/>
      <c r="I60" s="465"/>
      <c r="J60" s="465"/>
      <c r="K60" s="831"/>
      <c r="L60" s="765"/>
      <c r="M60" s="765"/>
      <c r="N60" s="766"/>
    </row>
    <row r="61" spans="1:19" s="346" customFormat="1" ht="25.5">
      <c r="A61" s="199"/>
      <c r="B61" s="193"/>
      <c r="C61" s="377" t="s">
        <v>702</v>
      </c>
      <c r="D61" s="455" t="s">
        <v>703</v>
      </c>
      <c r="E61" s="375">
        <f>E55</f>
        <v>2014</v>
      </c>
      <c r="F61" s="1280" t="s">
        <v>1138</v>
      </c>
      <c r="G61" s="1281" t="s">
        <v>706</v>
      </c>
      <c r="H61" s="1280" t="s">
        <v>1137</v>
      </c>
      <c r="I61" s="465"/>
      <c r="J61" s="465"/>
      <c r="K61" s="831"/>
      <c r="L61" s="765"/>
      <c r="M61" s="765"/>
      <c r="N61" s="766"/>
    </row>
    <row r="62" spans="1:19" s="346" customFormat="1">
      <c r="A62" s="199"/>
      <c r="B62" s="193"/>
      <c r="C62" s="748" t="s">
        <v>705</v>
      </c>
      <c r="D62" s="376"/>
      <c r="E62" s="235"/>
      <c r="F62" s="1523">
        <v>185154169</v>
      </c>
      <c r="G62" s="1548">
        <f>G31</f>
        <v>0.67979999999999996</v>
      </c>
      <c r="H62" s="465">
        <f>F62*G62</f>
        <v>125867804.0862</v>
      </c>
      <c r="I62" s="465"/>
      <c r="J62" s="465"/>
      <c r="K62" s="831"/>
      <c r="L62" s="765"/>
      <c r="M62" s="765"/>
      <c r="N62" s="766"/>
    </row>
    <row r="63" spans="1:19" s="346" customFormat="1" ht="13.5" thickBot="1">
      <c r="A63" s="352"/>
      <c r="B63" s="470"/>
      <c r="C63" s="353"/>
      <c r="D63" s="1291"/>
      <c r="E63" s="470"/>
      <c r="F63" s="353"/>
      <c r="G63" s="353"/>
      <c r="H63" s="471"/>
      <c r="I63" s="749"/>
      <c r="J63" s="749"/>
      <c r="K63" s="763"/>
      <c r="L63" s="763"/>
      <c r="M63" s="763"/>
      <c r="N63" s="764"/>
    </row>
    <row r="64" spans="1:19" s="346" customFormat="1">
      <c r="A64" s="212"/>
      <c r="B64" s="212"/>
      <c r="C64" s="201"/>
      <c r="D64" s="214"/>
      <c r="E64" s="206"/>
      <c r="F64" s="201"/>
      <c r="G64" s="201"/>
      <c r="H64" s="213"/>
      <c r="I64" s="253"/>
      <c r="J64" s="253"/>
      <c r="K64" s="744"/>
      <c r="L64" s="744"/>
      <c r="M64" s="744"/>
      <c r="N64" s="744"/>
    </row>
    <row r="65" spans="1:18" s="346" customFormat="1" ht="13.5" thickBot="1">
      <c r="A65" s="372" t="s">
        <v>808</v>
      </c>
      <c r="B65" s="367"/>
      <c r="C65" s="237"/>
      <c r="D65" s="222"/>
      <c r="E65" s="1292"/>
      <c r="F65" s="1293"/>
      <c r="G65" s="1293"/>
      <c r="H65" s="1294"/>
      <c r="I65" s="1294"/>
      <c r="J65" s="1294"/>
      <c r="K65" s="1294"/>
      <c r="L65" s="1294"/>
      <c r="M65" s="1294"/>
      <c r="N65" s="1294"/>
    </row>
    <row r="66" spans="1:18" s="346" customFormat="1">
      <c r="A66" s="1908" t="s">
        <v>1419</v>
      </c>
      <c r="B66" s="1909"/>
      <c r="C66" s="1909"/>
      <c r="D66" s="1909"/>
      <c r="E66" s="1909"/>
      <c r="F66" s="1910"/>
      <c r="G66" s="964"/>
      <c r="H66" s="1295" t="s">
        <v>186</v>
      </c>
      <c r="I66" s="1296" t="s">
        <v>185</v>
      </c>
      <c r="J66" s="1296" t="s">
        <v>187</v>
      </c>
      <c r="K66" s="1296" t="s">
        <v>160</v>
      </c>
      <c r="L66" s="1296"/>
      <c r="M66" s="1297"/>
      <c r="N66" s="1298"/>
      <c r="P66" s="1142"/>
    </row>
    <row r="67" spans="1:18" s="346" customFormat="1">
      <c r="A67" s="221"/>
      <c r="B67" s="365" t="s">
        <v>1006</v>
      </c>
      <c r="C67" s="222"/>
      <c r="D67" s="220"/>
      <c r="E67" s="369"/>
      <c r="F67" s="1299"/>
      <c r="G67" s="1300"/>
      <c r="H67" s="1300"/>
      <c r="I67" s="220"/>
      <c r="J67" s="220"/>
      <c r="K67" s="548"/>
      <c r="L67" s="548"/>
      <c r="M67" s="549"/>
      <c r="N67" s="550"/>
      <c r="P67" s="1142"/>
    </row>
    <row r="68" spans="1:18" s="346" customFormat="1">
      <c r="A68" s="217"/>
      <c r="B68" s="220"/>
      <c r="C68" s="366" t="s">
        <v>359</v>
      </c>
      <c r="D68" s="222"/>
      <c r="E68" s="367"/>
      <c r="F68" s="368" t="s">
        <v>312</v>
      </c>
      <c r="G68" s="367"/>
      <c r="H68" s="1525">
        <v>120641076</v>
      </c>
      <c r="I68" s="1526">
        <v>29672582</v>
      </c>
      <c r="J68" s="224">
        <f>H68-I68</f>
        <v>90968494</v>
      </c>
      <c r="K68" s="1301"/>
      <c r="L68" s="1301"/>
      <c r="M68" s="1302"/>
      <c r="N68" s="1303"/>
      <c r="P68" s="1142"/>
    </row>
    <row r="69" spans="1:18" s="346" customFormat="1">
      <c r="A69" s="217"/>
      <c r="B69" s="219" t="s">
        <v>952</v>
      </c>
      <c r="C69" s="218"/>
      <c r="D69" s="220"/>
      <c r="E69" s="369"/>
      <c r="F69" s="370"/>
      <c r="G69" s="443"/>
      <c r="H69" s="1300"/>
      <c r="I69" s="220"/>
      <c r="J69" s="220"/>
      <c r="K69" s="225"/>
      <c r="L69" s="225"/>
      <c r="M69" s="1304"/>
      <c r="N69" s="1305"/>
      <c r="O69" s="432"/>
      <c r="P69" s="765"/>
    </row>
    <row r="70" spans="1:18" s="346" customFormat="1">
      <c r="A70" s="221"/>
      <c r="B70" s="220"/>
      <c r="C70" s="218" t="s">
        <v>970</v>
      </c>
      <c r="D70" s="222"/>
      <c r="E70" s="369"/>
      <c r="F70" s="223" t="s">
        <v>313</v>
      </c>
      <c r="G70" s="222"/>
      <c r="H70" s="1525">
        <v>0</v>
      </c>
      <c r="I70" s="1526"/>
      <c r="J70" s="224">
        <f>+H70-I70</f>
        <v>0</v>
      </c>
      <c r="K70" s="1306"/>
      <c r="L70" s="1306"/>
      <c r="M70" s="1302"/>
      <c r="N70" s="1303"/>
      <c r="O70" s="433"/>
      <c r="P70" s="744"/>
    </row>
    <row r="71" spans="1:18" s="346" customFormat="1">
      <c r="A71" s="221"/>
      <c r="B71" s="219" t="s">
        <v>913</v>
      </c>
      <c r="C71" s="218"/>
      <c r="D71" s="222"/>
      <c r="E71" s="369"/>
      <c r="F71" s="223"/>
      <c r="G71" s="222"/>
      <c r="H71" s="1300"/>
      <c r="I71" s="220"/>
      <c r="J71" s="220"/>
      <c r="K71" s="548"/>
      <c r="L71" s="548"/>
      <c r="M71" s="548"/>
      <c r="N71" s="551"/>
      <c r="O71" s="1141"/>
      <c r="P71" s="744"/>
    </row>
    <row r="72" spans="1:18" s="346" customFormat="1" ht="13.5" thickBot="1">
      <c r="A72" s="1307"/>
      <c r="B72" s="1308"/>
      <c r="C72" s="1309" t="s">
        <v>969</v>
      </c>
      <c r="D72" s="371"/>
      <c r="E72" s="1310"/>
      <c r="F72" s="1311" t="s">
        <v>314</v>
      </c>
      <c r="G72" s="1312"/>
      <c r="H72" s="1527">
        <v>8767877</v>
      </c>
      <c r="I72" s="1528">
        <v>8767877</v>
      </c>
      <c r="J72" s="1313">
        <v>0</v>
      </c>
      <c r="K72" s="1314"/>
      <c r="L72" s="1314"/>
      <c r="M72" s="772"/>
      <c r="N72" s="773"/>
      <c r="O72" s="347"/>
      <c r="P72" s="1142"/>
    </row>
    <row r="73" spans="1:18" ht="15.75">
      <c r="A73" s="226"/>
      <c r="B73" s="227"/>
      <c r="C73" s="228"/>
      <c r="D73" s="229"/>
      <c r="E73" s="226"/>
      <c r="F73" s="230"/>
      <c r="G73" s="230"/>
      <c r="H73" s="224"/>
      <c r="I73" s="224"/>
      <c r="J73" s="224"/>
      <c r="K73" s="225"/>
      <c r="L73" s="225"/>
      <c r="M73" s="225"/>
      <c r="N73" s="225"/>
      <c r="P73" s="245"/>
    </row>
    <row r="74" spans="1:18" s="216" customFormat="1" ht="13.5" thickBot="1">
      <c r="A74" s="372" t="s">
        <v>809</v>
      </c>
      <c r="B74" s="237"/>
      <c r="C74" s="237"/>
      <c r="D74" s="237"/>
      <c r="E74" s="237"/>
      <c r="F74" s="237"/>
      <c r="G74" s="237"/>
      <c r="H74" s="237"/>
      <c r="I74" s="237"/>
      <c r="J74" s="237"/>
      <c r="K74" s="421"/>
      <c r="L74" s="421"/>
      <c r="M74" s="421"/>
      <c r="N74" s="421"/>
      <c r="O74" s="215"/>
      <c r="P74" s="215"/>
      <c r="Q74" s="215"/>
      <c r="R74" s="215"/>
    </row>
    <row r="75" spans="1:18" s="216" customFormat="1" ht="39" thickBot="1">
      <c r="A75" s="1921" t="s">
        <v>1419</v>
      </c>
      <c r="B75" s="1922"/>
      <c r="C75" s="1922"/>
      <c r="D75" s="1922"/>
      <c r="E75" s="1922"/>
      <c r="F75" s="1923"/>
      <c r="G75" s="1315"/>
      <c r="H75" s="1316" t="s">
        <v>315</v>
      </c>
      <c r="I75" s="1317" t="s">
        <v>316</v>
      </c>
      <c r="J75" s="1317" t="s">
        <v>317</v>
      </c>
      <c r="K75" s="1924" t="s">
        <v>160</v>
      </c>
      <c r="L75" s="1925"/>
      <c r="M75" s="1925"/>
      <c r="N75" s="1926"/>
    </row>
    <row r="76" spans="1:18" s="346" customFormat="1">
      <c r="A76" s="359">
        <f>'ATT H-1 '!A78</f>
        <v>44</v>
      </c>
      <c r="B76" s="231"/>
      <c r="C76" s="360" t="s">
        <v>108</v>
      </c>
      <c r="D76" s="361"/>
      <c r="E76" s="362" t="s">
        <v>1056</v>
      </c>
      <c r="F76" s="934" t="s">
        <v>1015</v>
      </c>
      <c r="G76" s="1875"/>
      <c r="H76" s="1558">
        <v>23660291</v>
      </c>
      <c r="I76" s="1559">
        <v>49527245</v>
      </c>
      <c r="J76" s="426">
        <f>+(I76+H76)/2</f>
        <v>36593768</v>
      </c>
      <c r="K76" s="552"/>
      <c r="L76" s="1285"/>
      <c r="M76" s="1285"/>
      <c r="N76" s="1286"/>
      <c r="P76" s="1819"/>
    </row>
    <row r="77" spans="1:18" s="216" customFormat="1">
      <c r="A77" s="199"/>
      <c r="B77" s="212"/>
      <c r="C77" s="205" t="s">
        <v>384</v>
      </c>
      <c r="D77" s="214"/>
      <c r="E77" s="201"/>
      <c r="F77" s="935"/>
      <c r="G77" s="249"/>
      <c r="H77" s="1560">
        <v>14420845</v>
      </c>
      <c r="I77" s="1561">
        <v>16384856</v>
      </c>
      <c r="J77" s="665"/>
      <c r="K77" s="423"/>
      <c r="L77" s="744"/>
      <c r="M77" s="744"/>
      <c r="N77" s="760"/>
    </row>
    <row r="78" spans="1:18" s="216" customFormat="1" ht="15.75" customHeight="1" thickBot="1">
      <c r="A78" s="363"/>
      <c r="B78" s="248"/>
      <c r="C78" s="248"/>
      <c r="D78" s="248"/>
      <c r="E78" s="245"/>
      <c r="F78" s="355"/>
      <c r="G78" s="754"/>
      <c r="H78" s="1318">
        <v>0</v>
      </c>
      <c r="I78" s="1319">
        <v>0</v>
      </c>
      <c r="J78" s="665"/>
      <c r="K78" s="1920"/>
      <c r="L78" s="1920"/>
      <c r="M78" s="1920"/>
      <c r="N78" s="760"/>
    </row>
    <row r="79" spans="1:18" s="346" customFormat="1" ht="13.5" thickBot="1">
      <c r="A79" s="336"/>
      <c r="B79" s="239"/>
      <c r="C79" s="239"/>
      <c r="D79" s="239"/>
      <c r="E79" s="239"/>
      <c r="F79" s="364" t="s">
        <v>188</v>
      </c>
      <c r="G79" s="755"/>
      <c r="H79" s="756">
        <f>+H77</f>
        <v>14420845</v>
      </c>
      <c r="I79" s="757">
        <f>I77</f>
        <v>16384856</v>
      </c>
      <c r="J79" s="384">
        <f>+(I79+H79)/2</f>
        <v>15402850.5</v>
      </c>
      <c r="K79" s="767"/>
      <c r="L79" s="767"/>
      <c r="M79" s="767"/>
      <c r="N79" s="768"/>
    </row>
    <row r="80" spans="1:18" s="216" customFormat="1">
      <c r="A80" s="237"/>
      <c r="B80" s="237"/>
      <c r="C80" s="237"/>
      <c r="D80" s="237"/>
      <c r="E80" s="237"/>
      <c r="F80" s="237"/>
      <c r="G80" s="237"/>
      <c r="H80" s="237"/>
      <c r="I80" s="237"/>
      <c r="J80" s="237"/>
      <c r="K80" s="421"/>
      <c r="L80" s="421"/>
      <c r="M80" s="421"/>
      <c r="N80" s="421"/>
      <c r="O80" s="225"/>
      <c r="P80" s="225"/>
      <c r="Q80" s="225"/>
      <c r="R80" s="225"/>
    </row>
    <row r="81" spans="1:16" ht="13.5" thickBot="1">
      <c r="A81" s="372" t="s">
        <v>318</v>
      </c>
      <c r="B81" s="237"/>
      <c r="C81" s="237"/>
      <c r="D81" s="237"/>
      <c r="E81" s="237"/>
      <c r="F81" s="237"/>
      <c r="G81" s="237"/>
      <c r="H81" s="237"/>
      <c r="I81" s="237"/>
      <c r="J81" s="237"/>
      <c r="K81" s="421"/>
      <c r="L81" s="421"/>
      <c r="M81" s="421"/>
      <c r="N81" s="421"/>
    </row>
    <row r="82" spans="1:16" s="346" customFormat="1">
      <c r="A82" s="1908" t="s">
        <v>1419</v>
      </c>
      <c r="B82" s="1909"/>
      <c r="C82" s="1909"/>
      <c r="D82" s="1909"/>
      <c r="E82" s="1909"/>
      <c r="F82" s="1910"/>
      <c r="G82" s="964"/>
      <c r="H82" s="1320" t="s">
        <v>186</v>
      </c>
      <c r="I82" s="552" t="s">
        <v>319</v>
      </c>
      <c r="J82" s="552" t="s">
        <v>320</v>
      </c>
      <c r="K82" s="1917" t="s">
        <v>160</v>
      </c>
      <c r="L82" s="1911"/>
      <c r="M82" s="1911"/>
      <c r="N82" s="1912"/>
      <c r="P82" s="1847"/>
    </row>
    <row r="83" spans="1:16" s="346" customFormat="1">
      <c r="A83" s="199">
        <f>'ATT H-1 '!A115</f>
        <v>66</v>
      </c>
      <c r="B83" s="233" t="s">
        <v>441</v>
      </c>
      <c r="C83" s="214"/>
      <c r="D83" s="214"/>
      <c r="E83" s="235"/>
      <c r="F83" s="236"/>
      <c r="G83" s="214"/>
      <c r="H83" s="249"/>
      <c r="I83" s="245"/>
      <c r="J83" s="245"/>
      <c r="K83" s="770"/>
      <c r="L83" s="770"/>
      <c r="M83" s="770"/>
      <c r="N83" s="1321"/>
    </row>
    <row r="84" spans="1:16" s="346" customFormat="1">
      <c r="A84" s="199"/>
      <c r="B84" s="253"/>
      <c r="C84" s="1849" t="s">
        <v>1354</v>
      </c>
      <c r="D84" s="214"/>
      <c r="E84" s="235"/>
      <c r="F84" s="236"/>
      <c r="G84" s="214"/>
      <c r="H84" s="1632">
        <v>26411077</v>
      </c>
      <c r="I84" s="1634">
        <v>14883022</v>
      </c>
      <c r="J84" s="250">
        <f>+H84-I84</f>
        <v>11528055</v>
      </c>
      <c r="K84" s="770" t="s">
        <v>436</v>
      </c>
      <c r="L84" s="770"/>
      <c r="M84" s="770"/>
      <c r="N84" s="1321"/>
    </row>
    <row r="85" spans="1:16" s="346" customFormat="1">
      <c r="A85" s="199"/>
      <c r="B85" s="253"/>
      <c r="C85" s="193" t="s">
        <v>321</v>
      </c>
      <c r="D85" s="214"/>
      <c r="E85" s="235"/>
      <c r="F85" s="236" t="s">
        <v>772</v>
      </c>
      <c r="G85" s="214"/>
      <c r="H85" s="1633">
        <v>28430720</v>
      </c>
      <c r="I85" s="1636">
        <v>13721990</v>
      </c>
      <c r="J85" s="250">
        <f>+H85-I85</f>
        <v>14708730</v>
      </c>
      <c r="K85" s="765" t="s">
        <v>322</v>
      </c>
      <c r="L85" s="765"/>
      <c r="M85" s="765"/>
      <c r="N85" s="771"/>
    </row>
    <row r="86" spans="1:16" s="346" customFormat="1">
      <c r="A86" s="199"/>
      <c r="B86" s="253"/>
      <c r="C86" s="214" t="s">
        <v>323</v>
      </c>
      <c r="D86" s="245"/>
      <c r="E86" s="235"/>
      <c r="F86" s="236"/>
      <c r="G86" s="214"/>
      <c r="H86" s="752"/>
      <c r="I86" s="753">
        <f>I85-I84</f>
        <v>-1161032</v>
      </c>
      <c r="J86" s="245"/>
      <c r="K86" s="423"/>
      <c r="L86" s="744"/>
      <c r="M86" s="744"/>
      <c r="N86" s="760"/>
    </row>
    <row r="87" spans="1:16" s="346" customFormat="1">
      <c r="A87" s="249"/>
      <c r="B87" s="193"/>
      <c r="C87" s="214"/>
      <c r="D87" s="214"/>
      <c r="E87" s="235"/>
      <c r="F87" s="236"/>
      <c r="G87" s="214"/>
      <c r="H87" s="249"/>
      <c r="I87" s="245"/>
      <c r="J87" s="245"/>
      <c r="K87" s="423"/>
      <c r="L87" s="744"/>
      <c r="M87" s="744"/>
      <c r="N87" s="760"/>
    </row>
    <row r="88" spans="1:16" ht="13.5" thickBot="1">
      <c r="A88" s="208"/>
      <c r="B88" s="238"/>
      <c r="C88" s="210"/>
      <c r="D88" s="239"/>
      <c r="E88" s="238"/>
      <c r="F88" s="240"/>
      <c r="G88" s="444"/>
      <c r="H88" s="425"/>
      <c r="I88" s="241"/>
      <c r="J88" s="242"/>
      <c r="K88" s="772"/>
      <c r="L88" s="772"/>
      <c r="M88" s="772"/>
      <c r="N88" s="773"/>
    </row>
    <row r="89" spans="1:16">
      <c r="A89" s="237"/>
      <c r="B89" s="237"/>
      <c r="C89" s="237"/>
      <c r="D89" s="237"/>
      <c r="E89" s="237"/>
      <c r="F89" s="237"/>
      <c r="G89" s="237"/>
      <c r="H89" s="237"/>
      <c r="I89" s="237"/>
      <c r="J89" s="237"/>
      <c r="K89" s="421"/>
      <c r="L89" s="421"/>
      <c r="M89" s="421"/>
      <c r="N89" s="421"/>
    </row>
    <row r="90" spans="1:16" ht="13.5" thickBot="1">
      <c r="A90" s="372" t="s">
        <v>568</v>
      </c>
      <c r="B90" s="237"/>
      <c r="C90" s="237"/>
      <c r="D90" s="237"/>
      <c r="E90" s="237"/>
      <c r="F90" s="237"/>
      <c r="G90" s="237"/>
      <c r="H90" s="237"/>
      <c r="I90" s="237"/>
      <c r="J90" s="237"/>
      <c r="K90" s="421"/>
      <c r="L90" s="421"/>
      <c r="M90" s="421"/>
      <c r="N90" s="421"/>
    </row>
    <row r="91" spans="1:16" ht="25.5" customHeight="1">
      <c r="A91" s="1908" t="s">
        <v>1419</v>
      </c>
      <c r="B91" s="1909"/>
      <c r="C91" s="1909"/>
      <c r="D91" s="1909"/>
      <c r="E91" s="1909"/>
      <c r="F91" s="1910"/>
      <c r="G91" s="964"/>
      <c r="H91" s="1320" t="s">
        <v>1015</v>
      </c>
      <c r="I91" s="552"/>
      <c r="J91" s="552"/>
      <c r="K91" s="1917" t="s">
        <v>160</v>
      </c>
      <c r="L91" s="1911"/>
      <c r="M91" s="1911"/>
      <c r="N91" s="1912"/>
    </row>
    <row r="92" spans="1:16">
      <c r="A92" s="199"/>
      <c r="B92" s="233" t="s">
        <v>441</v>
      </c>
      <c r="C92" s="214"/>
      <c r="D92" s="214"/>
      <c r="E92" s="235"/>
      <c r="F92" s="236"/>
      <c r="G92" s="214"/>
      <c r="H92" s="356" t="s">
        <v>360</v>
      </c>
      <c r="I92" s="245"/>
      <c r="J92" s="245"/>
      <c r="K92" s="1920"/>
      <c r="L92" s="1907"/>
      <c r="M92" s="1907"/>
      <c r="N92" s="1930"/>
    </row>
    <row r="93" spans="1:16" ht="13.5" thickBot="1">
      <c r="A93" s="208">
        <f>+'ATT H-1 '!A119</f>
        <v>70</v>
      </c>
      <c r="B93" s="238"/>
      <c r="C93" s="210" t="s">
        <v>567</v>
      </c>
      <c r="D93" s="239"/>
      <c r="E93" s="238"/>
      <c r="F93" s="211" t="s">
        <v>1004</v>
      </c>
      <c r="G93" s="210"/>
      <c r="H93" s="1532">
        <v>0</v>
      </c>
      <c r="I93" s="1533">
        <v>0</v>
      </c>
      <c r="J93" s="547"/>
      <c r="K93" s="1928"/>
      <c r="L93" s="1928"/>
      <c r="M93" s="1928"/>
      <c r="N93" s="1929"/>
    </row>
    <row r="94" spans="1:16">
      <c r="A94" s="237"/>
      <c r="B94" s="237"/>
      <c r="C94" s="237"/>
      <c r="D94" s="237"/>
      <c r="E94" s="237"/>
      <c r="F94" s="237"/>
      <c r="G94" s="237"/>
      <c r="H94" s="237"/>
      <c r="I94" s="237"/>
      <c r="J94" s="237"/>
      <c r="K94" s="421"/>
      <c r="L94" s="421"/>
      <c r="M94" s="421"/>
      <c r="N94" s="421"/>
    </row>
    <row r="95" spans="1:16" s="427" customFormat="1" ht="13.5" thickBot="1">
      <c r="A95" s="1413" t="s">
        <v>810</v>
      </c>
      <c r="B95" s="693"/>
      <c r="C95" s="693"/>
      <c r="D95" s="693"/>
      <c r="E95" s="693"/>
      <c r="F95" s="693"/>
      <c r="G95" s="693"/>
      <c r="H95" s="693"/>
      <c r="I95" s="693"/>
      <c r="J95" s="693"/>
      <c r="K95" s="693"/>
      <c r="L95" s="693"/>
      <c r="M95" s="693"/>
      <c r="N95" s="693"/>
    </row>
    <row r="96" spans="1:16" s="427" customFormat="1">
      <c r="A96" s="1414" t="s">
        <v>1419</v>
      </c>
      <c r="B96" s="1415"/>
      <c r="C96" s="1415"/>
      <c r="D96" s="1415"/>
      <c r="E96" s="1415"/>
      <c r="F96" s="1416" t="s">
        <v>186</v>
      </c>
      <c r="G96" s="1417" t="s">
        <v>112</v>
      </c>
      <c r="H96" s="1417" t="s">
        <v>1015</v>
      </c>
      <c r="I96" s="1418" t="s">
        <v>1150</v>
      </c>
      <c r="J96" s="1418" t="s">
        <v>530</v>
      </c>
      <c r="K96" s="1418" t="s">
        <v>1151</v>
      </c>
      <c r="L96" s="1419"/>
      <c r="M96" s="1420" t="s">
        <v>160</v>
      </c>
      <c r="N96" s="1421"/>
    </row>
    <row r="97" spans="1:32" s="427" customFormat="1">
      <c r="A97" s="1422"/>
      <c r="B97" s="1413"/>
      <c r="C97" s="1413"/>
      <c r="D97" s="1413"/>
      <c r="E97" s="1413"/>
      <c r="F97" s="1423"/>
      <c r="G97" s="1424"/>
      <c r="H97" s="1424"/>
      <c r="I97" s="695"/>
      <c r="J97" s="695"/>
      <c r="K97" s="695"/>
      <c r="L97" s="1425"/>
      <c r="M97" s="1426"/>
      <c r="N97" s="1427"/>
    </row>
    <row r="98" spans="1:32" s="427" customFormat="1">
      <c r="A98" s="1422"/>
      <c r="B98" s="1413"/>
      <c r="C98" s="1413" t="s">
        <v>1152</v>
      </c>
      <c r="D98" s="1413"/>
      <c r="E98" s="1413"/>
      <c r="F98" s="1423"/>
      <c r="G98" s="1424"/>
      <c r="H98" s="1428">
        <f>+I98+J98+K98</f>
        <v>71308</v>
      </c>
      <c r="I98" s="1536">
        <f>+'WKSHT4 - Monthly Tx System Peak'!C25</f>
        <v>56452</v>
      </c>
      <c r="J98" s="1537">
        <f>+'WKSHT4 - Monthly Tx System Peak'!C73</f>
        <v>7956</v>
      </c>
      <c r="K98" s="1537">
        <f>+'WKSHT4 - Monthly Tx System Peak'!C50</f>
        <v>6900</v>
      </c>
      <c r="L98" s="697" t="s">
        <v>117</v>
      </c>
      <c r="M98" s="1426"/>
      <c r="N98" s="1427"/>
    </row>
    <row r="99" spans="1:32" s="427" customFormat="1">
      <c r="A99" s="1422"/>
      <c r="B99" s="1413"/>
      <c r="C99" s="1413" t="s">
        <v>1153</v>
      </c>
      <c r="D99" s="1413"/>
      <c r="E99" s="1413"/>
      <c r="F99" s="1423"/>
      <c r="G99" s="1424"/>
      <c r="H99" s="1428">
        <f>+I99+J99+K99</f>
        <v>32151</v>
      </c>
      <c r="I99" s="1536">
        <f>+'WKSHT4 - Monthly Tx System Peak'!C25-'WKSHT4 - Monthly Tx System Peak'!F25</f>
        <v>17295</v>
      </c>
      <c r="J99" s="1536">
        <f>+'WKSHT4 - Monthly Tx System Peak'!H73</f>
        <v>7956</v>
      </c>
      <c r="K99" s="1536">
        <f>+'WKSHT4 - Monthly Tx System Peak'!H50+'WKSHT4 - Monthly Tx System Peak'!I50</f>
        <v>6900</v>
      </c>
      <c r="L99" s="697" t="s">
        <v>117</v>
      </c>
      <c r="M99" s="1426"/>
      <c r="N99" s="1427"/>
    </row>
    <row r="100" spans="1:32" s="427" customFormat="1">
      <c r="A100" s="1422"/>
      <c r="B100" s="1413"/>
      <c r="C100" s="1413" t="s">
        <v>112</v>
      </c>
      <c r="D100" s="1413"/>
      <c r="E100" s="1413"/>
      <c r="F100" s="1423"/>
      <c r="G100" s="1424"/>
      <c r="H100" s="1428"/>
      <c r="I100" s="1538">
        <f>+I98/I99</f>
        <v>3.2640647586007518</v>
      </c>
      <c r="J100" s="1538">
        <f>+J98/J99</f>
        <v>1</v>
      </c>
      <c r="K100" s="1538">
        <f>+K98/K99</f>
        <v>1</v>
      </c>
      <c r="L100" s="697" t="s">
        <v>117</v>
      </c>
      <c r="M100" s="1426"/>
      <c r="N100" s="1427"/>
    </row>
    <row r="101" spans="1:32" s="427" customFormat="1">
      <c r="A101" s="1429"/>
      <c r="B101" s="1430" t="s">
        <v>944</v>
      </c>
      <c r="C101" s="1431"/>
      <c r="D101" s="1432"/>
      <c r="E101" s="1433"/>
      <c r="F101" s="1434"/>
      <c r="G101" s="1435"/>
      <c r="H101" s="1436"/>
      <c r="L101" s="697"/>
      <c r="M101" s="697"/>
      <c r="N101" s="1437"/>
      <c r="Q101" s="1438"/>
    </row>
    <row r="102" spans="1:32" s="427" customFormat="1">
      <c r="A102" s="1323"/>
      <c r="B102" s="889">
        <v>1</v>
      </c>
      <c r="C102" s="890" t="s">
        <v>1088</v>
      </c>
      <c r="D102" s="891"/>
      <c r="E102" s="1324"/>
      <c r="F102" s="1621">
        <v>695452</v>
      </c>
      <c r="G102" s="1439" t="s">
        <v>1154</v>
      </c>
      <c r="H102" s="1624">
        <f>+K102+J102+I102</f>
        <v>1542449.4173120586</v>
      </c>
      <c r="I102" s="1625">
        <f>+I$99/$H$99*$F102*I$100</f>
        <v>1221102.183571273</v>
      </c>
      <c r="J102" s="1625">
        <f t="shared" ref="I102:K103" si="0">+J$99/$H$99*$F102*J$100</f>
        <v>172094.68172063076</v>
      </c>
      <c r="K102" s="1625">
        <f t="shared" si="0"/>
        <v>149252.55202015489</v>
      </c>
      <c r="L102" s="1325" t="s">
        <v>1155</v>
      </c>
      <c r="M102" s="695"/>
      <c r="N102" s="1326"/>
      <c r="O102" s="795"/>
    </row>
    <row r="103" spans="1:32" s="427" customFormat="1">
      <c r="A103" s="1323"/>
      <c r="B103" s="889">
        <v>2</v>
      </c>
      <c r="C103" s="890" t="s">
        <v>113</v>
      </c>
      <c r="D103" s="891"/>
      <c r="E103" s="1324"/>
      <c r="F103" s="1621">
        <v>397865</v>
      </c>
      <c r="G103" s="1439" t="s">
        <v>1154</v>
      </c>
      <c r="H103" s="1624">
        <f>+I103+J103+K103</f>
        <v>882428.46007900219</v>
      </c>
      <c r="I103" s="1625">
        <f t="shared" si="0"/>
        <v>698587.13508133497</v>
      </c>
      <c r="J103" s="1625">
        <f t="shared" si="0"/>
        <v>98454.602967248298</v>
      </c>
      <c r="K103" s="1625">
        <f t="shared" si="0"/>
        <v>85386.722030418954</v>
      </c>
      <c r="L103" s="1143" t="s">
        <v>1156</v>
      </c>
      <c r="M103" s="695"/>
      <c r="N103" s="1326"/>
      <c r="O103" s="795"/>
    </row>
    <row r="104" spans="1:32" s="427" customFormat="1" ht="13.5" customHeight="1">
      <c r="A104" s="1323"/>
      <c r="B104" s="889">
        <v>3</v>
      </c>
      <c r="C104" s="1325" t="s">
        <v>1092</v>
      </c>
      <c r="D104" s="891"/>
      <c r="E104" s="1324"/>
      <c r="F104" s="1622"/>
      <c r="G104" s="1440" t="s">
        <v>1157</v>
      </c>
      <c r="H104" s="1624"/>
      <c r="I104" s="1626"/>
      <c r="J104" s="1626"/>
      <c r="K104" s="1626"/>
      <c r="L104" s="1325" t="s">
        <v>1158</v>
      </c>
      <c r="M104" s="695"/>
      <c r="N104" s="1327"/>
    </row>
    <row r="105" spans="1:32" s="427" customFormat="1">
      <c r="A105" s="1323"/>
      <c r="B105" s="889">
        <v>4</v>
      </c>
      <c r="C105" s="890" t="s">
        <v>1089</v>
      </c>
      <c r="D105" s="891"/>
      <c r="E105" s="1324"/>
      <c r="F105" s="1621"/>
      <c r="G105" s="1440" t="s">
        <v>1157</v>
      </c>
      <c r="H105" s="1624"/>
      <c r="I105" s="1626"/>
      <c r="J105" s="1626"/>
      <c r="K105" s="1627"/>
      <c r="L105" s="1325"/>
      <c r="M105" s="1325"/>
      <c r="N105" s="1328"/>
    </row>
    <row r="106" spans="1:32" s="427" customFormat="1">
      <c r="A106" s="1323"/>
      <c r="B106" s="889">
        <v>5</v>
      </c>
      <c r="C106" s="1325" t="s">
        <v>1090</v>
      </c>
      <c r="D106" s="891"/>
      <c r="E106" s="1324"/>
      <c r="F106" s="1621"/>
      <c r="G106" s="1440" t="s">
        <v>1157</v>
      </c>
      <c r="H106" s="1624"/>
      <c r="I106" s="1626"/>
      <c r="J106" s="1626"/>
      <c r="K106" s="1627"/>
      <c r="L106" s="1325"/>
      <c r="M106" s="1325"/>
      <c r="N106" s="1328"/>
    </row>
    <row r="107" spans="1:32" s="427" customFormat="1">
      <c r="A107" s="1323"/>
      <c r="B107" s="889">
        <v>6</v>
      </c>
      <c r="C107" s="890" t="s">
        <v>1091</v>
      </c>
      <c r="D107" s="891"/>
      <c r="E107" s="1324"/>
      <c r="F107" s="1621"/>
      <c r="G107" s="1440" t="s">
        <v>1157</v>
      </c>
      <c r="H107" s="1624"/>
      <c r="I107" s="1626"/>
      <c r="J107" s="1626"/>
      <c r="K107" s="1627"/>
      <c r="L107" s="1325"/>
      <c r="M107" s="1325"/>
      <c r="N107" s="1328"/>
    </row>
    <row r="108" spans="1:32" s="427" customFormat="1">
      <c r="A108" s="1323"/>
      <c r="B108" s="889">
        <v>7</v>
      </c>
      <c r="C108" s="890" t="s">
        <v>1093</v>
      </c>
      <c r="D108" s="891"/>
      <c r="E108" s="1324"/>
      <c r="F108" s="1623">
        <f>7752917-1093317</f>
        <v>6659600</v>
      </c>
      <c r="G108" s="1440" t="s">
        <v>1159</v>
      </c>
      <c r="H108" s="1628"/>
      <c r="I108" s="1629"/>
      <c r="J108" s="1629"/>
      <c r="K108" s="1630"/>
      <c r="M108" s="1325"/>
      <c r="N108" s="1328"/>
    </row>
    <row r="109" spans="1:32" s="427" customFormat="1" ht="13.5" thickBot="1">
      <c r="A109" s="1329">
        <f>+'ATT H-1 '!A126</f>
        <v>75</v>
      </c>
      <c r="B109" s="893">
        <v>8</v>
      </c>
      <c r="C109" s="894" t="s">
        <v>1069</v>
      </c>
      <c r="D109" s="894" t="s">
        <v>773</v>
      </c>
      <c r="E109" s="895"/>
      <c r="F109" s="1441">
        <f>SUM(F102:F108)</f>
        <v>7752917</v>
      </c>
      <c r="G109" s="1330"/>
      <c r="H109" s="1442">
        <f>SUM(H102:H108)</f>
        <v>2424877.8773910608</v>
      </c>
      <c r="I109" s="1442">
        <f>SUM(I102:I108)</f>
        <v>1919689.318652608</v>
      </c>
      <c r="J109" s="1442">
        <f>SUM(J102:J108)</f>
        <v>270549.28468787903</v>
      </c>
      <c r="K109" s="1442">
        <f>SUM(K102:K108)</f>
        <v>234639.27405057385</v>
      </c>
      <c r="L109" s="1359"/>
      <c r="M109" s="1442"/>
      <c r="N109" s="1443"/>
    </row>
    <row r="110" spans="1:32" s="427" customFormat="1">
      <c r="A110" s="1444"/>
      <c r="B110" s="1445"/>
      <c r="C110" s="1446"/>
      <c r="D110" s="1446"/>
      <c r="E110" s="1444"/>
      <c r="F110" s="1447"/>
      <c r="G110" s="1448"/>
      <c r="H110" s="1449"/>
      <c r="I110" s="1449"/>
      <c r="J110" s="1449"/>
      <c r="K110" s="1449"/>
      <c r="L110" s="1143"/>
      <c r="M110" s="1449"/>
      <c r="N110" s="1449"/>
    </row>
    <row r="111" spans="1:32" ht="13.5" thickBot="1">
      <c r="A111" s="372" t="s">
        <v>811</v>
      </c>
      <c r="B111" s="237"/>
      <c r="C111" s="237"/>
      <c r="D111" s="237"/>
      <c r="E111" s="237"/>
      <c r="F111" s="237"/>
      <c r="G111" s="237"/>
      <c r="H111" s="237"/>
      <c r="I111" s="237"/>
      <c r="J111" s="237"/>
      <c r="K111" s="421"/>
      <c r="L111" s="421"/>
      <c r="M111" s="421"/>
      <c r="N111" s="421"/>
      <c r="AE111" s="427"/>
      <c r="AF111" s="422"/>
    </row>
    <row r="112" spans="1:32" ht="25.5">
      <c r="A112" s="1908" t="s">
        <v>1419</v>
      </c>
      <c r="B112" s="1909"/>
      <c r="C112" s="1909"/>
      <c r="D112" s="1909"/>
      <c r="E112" s="1909"/>
      <c r="F112" s="1910"/>
      <c r="G112" s="964"/>
      <c r="H112" s="1320" t="s">
        <v>186</v>
      </c>
      <c r="I112" s="552" t="s">
        <v>189</v>
      </c>
      <c r="J112" s="552" t="s">
        <v>807</v>
      </c>
      <c r="K112" s="552" t="s">
        <v>190</v>
      </c>
      <c r="L112" s="1917" t="s">
        <v>160</v>
      </c>
      <c r="M112" s="1917"/>
      <c r="N112" s="1927"/>
      <c r="AE112" s="427"/>
      <c r="AF112" s="422"/>
    </row>
    <row r="113" spans="1:16">
      <c r="A113" s="199"/>
      <c r="B113" s="233" t="s">
        <v>944</v>
      </c>
      <c r="C113" s="245"/>
      <c r="D113" s="214"/>
      <c r="E113" s="235"/>
      <c r="F113" s="236"/>
      <c r="G113" s="214"/>
      <c r="H113" s="249"/>
      <c r="I113" s="245"/>
      <c r="J113" s="245"/>
      <c r="K113" s="245"/>
      <c r="L113" s="770"/>
      <c r="M113" s="770"/>
      <c r="N113" s="1321"/>
    </row>
    <row r="114" spans="1:16" ht="13.5" thickBot="1">
      <c r="A114" s="1400" t="s">
        <v>625</v>
      </c>
      <c r="B114" s="244"/>
      <c r="C114" s="210" t="s">
        <v>1070</v>
      </c>
      <c r="D114" s="246"/>
      <c r="E114" s="1331"/>
      <c r="F114" s="211" t="s">
        <v>741</v>
      </c>
      <c r="G114" s="210"/>
      <c r="H114" s="425">
        <v>9269</v>
      </c>
      <c r="I114" s="673">
        <v>0</v>
      </c>
      <c r="J114" s="1866">
        <v>0</v>
      </c>
      <c r="K114" s="547">
        <v>0</v>
      </c>
      <c r="L114" s="1147"/>
      <c r="M114" s="1147" t="s">
        <v>821</v>
      </c>
      <c r="N114" s="1148"/>
      <c r="P114" s="1819"/>
    </row>
    <row r="115" spans="1:16">
      <c r="A115" s="237"/>
      <c r="B115" s="237"/>
      <c r="C115" s="237"/>
      <c r="D115" s="237"/>
      <c r="E115" s="237"/>
      <c r="F115" s="237"/>
      <c r="G115" s="237"/>
      <c r="H115" s="237"/>
      <c r="I115" s="237"/>
      <c r="J115" s="237"/>
      <c r="K115" s="421"/>
      <c r="L115" s="421"/>
      <c r="M115" s="421"/>
      <c r="N115" s="421"/>
    </row>
    <row r="116" spans="1:16">
      <c r="A116" s="237"/>
      <c r="B116" s="237"/>
      <c r="C116" s="237"/>
      <c r="D116" s="237"/>
      <c r="E116" s="237"/>
      <c r="F116" s="237"/>
      <c r="G116" s="237"/>
      <c r="H116" s="237"/>
      <c r="I116" s="237"/>
      <c r="J116" s="237"/>
      <c r="K116" s="421"/>
      <c r="L116" s="421"/>
      <c r="M116" s="421"/>
      <c r="N116" s="421"/>
    </row>
    <row r="117" spans="1:16" ht="13.5" thickBot="1">
      <c r="A117" s="372" t="s">
        <v>812</v>
      </c>
      <c r="B117" s="237"/>
      <c r="C117" s="237"/>
      <c r="D117" s="237"/>
      <c r="E117" s="237"/>
      <c r="F117" s="237"/>
      <c r="G117" s="237"/>
      <c r="H117" s="237"/>
      <c r="I117" s="237"/>
      <c r="J117" s="237"/>
      <c r="K117" s="421"/>
      <c r="L117" s="421"/>
      <c r="M117" s="421"/>
      <c r="N117" s="421"/>
    </row>
    <row r="118" spans="1:16" ht="51">
      <c r="A118" s="1908" t="s">
        <v>1419</v>
      </c>
      <c r="B118" s="1909"/>
      <c r="C118" s="1909"/>
      <c r="D118" s="1909"/>
      <c r="E118" s="1909"/>
      <c r="F118" s="1910"/>
      <c r="G118" s="964"/>
      <c r="H118" s="1320" t="str">
        <f>+C120</f>
        <v>Excluded Transmission Facilities - Colstrip Facilities</v>
      </c>
      <c r="I118" s="1917" t="s">
        <v>193</v>
      </c>
      <c r="J118" s="1918"/>
      <c r="K118" s="1918"/>
      <c r="L118" s="1918"/>
      <c r="M118" s="1918"/>
      <c r="N118" s="1919"/>
    </row>
    <row r="119" spans="1:16">
      <c r="A119" s="337"/>
      <c r="B119" s="205" t="s">
        <v>946</v>
      </c>
      <c r="C119" s="233"/>
      <c r="D119" s="247"/>
      <c r="E119" s="1322"/>
      <c r="F119" s="1332"/>
      <c r="G119" s="1333"/>
      <c r="H119" s="249"/>
      <c r="I119" s="245"/>
      <c r="J119" s="245"/>
      <c r="K119" s="770"/>
      <c r="L119" s="770"/>
      <c r="M119" s="770"/>
      <c r="N119" s="1321"/>
    </row>
    <row r="120" spans="1:16">
      <c r="A120" s="199">
        <f>'ATT H-1 '!A255</f>
        <v>158</v>
      </c>
      <c r="B120" s="212"/>
      <c r="C120" s="201" t="s">
        <v>338</v>
      </c>
      <c r="D120" s="247" t="s">
        <v>1039</v>
      </c>
      <c r="E120" s="206"/>
      <c r="F120" s="207"/>
      <c r="G120" s="201"/>
      <c r="H120" s="1334">
        <f>'WKSHT3 - All GIFs'!C12</f>
        <v>5499539</v>
      </c>
      <c r="I120" s="1920" t="s">
        <v>324</v>
      </c>
      <c r="J120" s="1931"/>
      <c r="K120" s="1931"/>
      <c r="L120" s="1931"/>
      <c r="M120" s="1931"/>
      <c r="N120" s="1932"/>
    </row>
    <row r="121" spans="1:16">
      <c r="A121" s="199"/>
      <c r="B121" s="212"/>
      <c r="C121" s="201" t="s">
        <v>339</v>
      </c>
      <c r="D121" s="247" t="s">
        <v>1039</v>
      </c>
      <c r="E121" s="206"/>
      <c r="F121" s="207"/>
      <c r="G121" s="201"/>
      <c r="H121" s="1334">
        <f>'WKSHT3 - All GIFs'!C89</f>
        <v>150886417</v>
      </c>
      <c r="I121" s="423"/>
      <c r="J121" s="195"/>
      <c r="K121" s="744"/>
      <c r="L121" s="744"/>
      <c r="M121" s="744"/>
      <c r="N121" s="760"/>
    </row>
    <row r="122" spans="1:16">
      <c r="A122" s="199"/>
      <c r="B122" s="212"/>
      <c r="C122" s="748" t="s">
        <v>1162</v>
      </c>
      <c r="D122" s="247" t="s">
        <v>1039</v>
      </c>
      <c r="E122" s="206"/>
      <c r="F122" s="207"/>
      <c r="G122" s="201"/>
      <c r="H122" s="1334">
        <v>0</v>
      </c>
      <c r="I122" s="423"/>
      <c r="J122" s="195"/>
      <c r="K122" s="744"/>
      <c r="L122" s="744"/>
      <c r="M122" s="744"/>
      <c r="N122" s="760"/>
    </row>
    <row r="123" spans="1:16">
      <c r="A123" s="199"/>
      <c r="B123" s="212"/>
      <c r="C123" s="201" t="s">
        <v>1015</v>
      </c>
      <c r="D123" s="247"/>
      <c r="E123" s="206"/>
      <c r="F123" s="207"/>
      <c r="G123" s="201"/>
      <c r="H123" s="1335">
        <f>SUM(H120:H122)</f>
        <v>156385956</v>
      </c>
      <c r="I123" s="423"/>
      <c r="J123" s="195"/>
      <c r="K123" s="744"/>
      <c r="L123" s="744"/>
      <c r="M123" s="744"/>
      <c r="N123" s="760"/>
    </row>
    <row r="124" spans="1:16" ht="13.5" thickBot="1">
      <c r="A124" s="336"/>
      <c r="B124" s="239"/>
      <c r="C124" s="239"/>
      <c r="D124" s="239"/>
      <c r="E124" s="239"/>
      <c r="F124" s="1336"/>
      <c r="G124" s="239"/>
      <c r="H124" s="336"/>
      <c r="I124" s="239"/>
      <c r="J124" s="239"/>
      <c r="K124" s="1337"/>
      <c r="L124" s="1338" t="s">
        <v>194</v>
      </c>
      <c r="M124" s="1337"/>
      <c r="N124" s="1339"/>
    </row>
    <row r="125" spans="1:16">
      <c r="A125" s="245"/>
      <c r="B125" s="245"/>
      <c r="C125" s="245"/>
      <c r="D125" s="245"/>
      <c r="E125" s="245"/>
      <c r="F125" s="245"/>
      <c r="G125" s="245"/>
      <c r="H125" s="245"/>
      <c r="I125" s="245"/>
      <c r="J125" s="245"/>
      <c r="K125" s="770"/>
      <c r="L125" s="1340"/>
      <c r="M125" s="770"/>
      <c r="N125" s="770"/>
    </row>
    <row r="126" spans="1:16" ht="13.5" thickBot="1">
      <c r="A126" s="372" t="s">
        <v>1037</v>
      </c>
      <c r="B126" s="237"/>
      <c r="C126" s="237"/>
      <c r="D126" s="237"/>
      <c r="E126" s="237"/>
      <c r="F126" s="237"/>
      <c r="G126" s="237"/>
      <c r="H126" s="237"/>
      <c r="I126" s="237"/>
      <c r="J126" s="237"/>
      <c r="K126" s="421"/>
      <c r="L126" s="421"/>
      <c r="M126" s="421"/>
      <c r="N126" s="421"/>
    </row>
    <row r="127" spans="1:16" ht="49.5" customHeight="1">
      <c r="A127" s="1908" t="s">
        <v>1419</v>
      </c>
      <c r="B127" s="1909"/>
      <c r="C127" s="1909"/>
      <c r="D127" s="1909"/>
      <c r="E127" s="1909"/>
      <c r="F127" s="1910"/>
      <c r="G127" s="1153"/>
      <c r="H127" s="552" t="s">
        <v>315</v>
      </c>
      <c r="I127" s="552" t="s">
        <v>316</v>
      </c>
      <c r="J127" s="552" t="s">
        <v>317</v>
      </c>
      <c r="K127" s="552" t="s">
        <v>1041</v>
      </c>
      <c r="L127" s="552" t="s">
        <v>361</v>
      </c>
      <c r="M127" s="552" t="s">
        <v>160</v>
      </c>
      <c r="N127" s="1286"/>
    </row>
    <row r="128" spans="1:16">
      <c r="A128" s="337">
        <f>+'ATT H-1 '!A72</f>
        <v>41</v>
      </c>
      <c r="B128" s="233" t="s">
        <v>883</v>
      </c>
      <c r="C128" s="245"/>
      <c r="D128" s="214"/>
      <c r="E128" s="235"/>
      <c r="F128" s="236"/>
      <c r="G128" s="661"/>
      <c r="H128" s="250"/>
      <c r="I128" s="250" t="s">
        <v>192</v>
      </c>
      <c r="J128" s="250"/>
      <c r="K128" s="774"/>
      <c r="L128" s="774"/>
      <c r="M128" s="770"/>
      <c r="N128" s="1321"/>
    </row>
    <row r="129" spans="1:15">
      <c r="A129" s="199"/>
      <c r="B129" s="245" t="s">
        <v>1040</v>
      </c>
      <c r="C129" s="245"/>
      <c r="D129" s="232"/>
      <c r="E129" s="235"/>
      <c r="F129" s="236"/>
      <c r="G129" s="661"/>
      <c r="H129" s="245"/>
      <c r="I129" s="245"/>
      <c r="J129" s="245"/>
      <c r="K129" s="1341"/>
      <c r="L129" s="770"/>
      <c r="M129" s="770"/>
      <c r="N129" s="1321"/>
      <c r="O129" s="421"/>
    </row>
    <row r="130" spans="1:15">
      <c r="A130" s="199"/>
      <c r="B130" s="233"/>
      <c r="C130" s="1732" t="s">
        <v>491</v>
      </c>
      <c r="D130" s="245"/>
      <c r="E130" s="235"/>
      <c r="F130" s="236"/>
      <c r="G130" s="661"/>
      <c r="H130" s="1736">
        <v>4250286.75</v>
      </c>
      <c r="I130" s="1736">
        <v>4158714.24</v>
      </c>
      <c r="J130" s="1733"/>
      <c r="K130" s="1737"/>
      <c r="L130" s="1738"/>
      <c r="M130" s="1738"/>
      <c r="N130" s="1321"/>
      <c r="O130" s="421"/>
    </row>
    <row r="131" spans="1:15">
      <c r="A131" s="199"/>
      <c r="B131" s="233"/>
      <c r="C131" s="1732" t="s">
        <v>524</v>
      </c>
      <c r="D131" s="245"/>
      <c r="E131" s="235"/>
      <c r="F131" s="236"/>
      <c r="G131" s="661"/>
      <c r="H131" s="1736">
        <v>165798.01</v>
      </c>
      <c r="I131" s="1736">
        <v>172250.01</v>
      </c>
      <c r="J131" s="1733"/>
      <c r="K131" s="1737"/>
      <c r="L131" s="1738"/>
      <c r="M131" s="1738"/>
      <c r="N131" s="1321"/>
      <c r="O131" s="421"/>
    </row>
    <row r="132" spans="1:15">
      <c r="A132" s="199"/>
      <c r="B132" s="233"/>
      <c r="C132" s="1733"/>
      <c r="D132" s="232"/>
      <c r="E132" s="235"/>
      <c r="F132" s="236"/>
      <c r="G132" s="661"/>
      <c r="H132" s="1739"/>
      <c r="I132" s="1739"/>
      <c r="J132" s="1739"/>
      <c r="K132" s="1737"/>
      <c r="L132" s="1738"/>
      <c r="M132" s="1738"/>
      <c r="N132" s="1321"/>
      <c r="O132" s="421"/>
    </row>
    <row r="133" spans="1:15">
      <c r="A133" s="199"/>
      <c r="B133" s="233"/>
      <c r="C133" s="1733" t="s">
        <v>1015</v>
      </c>
      <c r="D133" s="214"/>
      <c r="E133" s="214" t="s">
        <v>350</v>
      </c>
      <c r="F133" s="935"/>
      <c r="G133" s="249"/>
      <c r="H133" s="1740">
        <f>SUM(H130:H131)</f>
        <v>4416084.76</v>
      </c>
      <c r="I133" s="1740">
        <f>SUM(I130:I131)</f>
        <v>4330964.25</v>
      </c>
      <c r="J133" s="1741">
        <f>(I133+H133)/2</f>
        <v>4373524.5049999999</v>
      </c>
      <c r="K133" s="1742">
        <v>1</v>
      </c>
      <c r="L133" s="1536">
        <f>+J133*K133</f>
        <v>4373524.5049999999</v>
      </c>
      <c r="M133" s="1738" t="s">
        <v>525</v>
      </c>
      <c r="N133" s="1321"/>
      <c r="O133" s="421"/>
    </row>
    <row r="134" spans="1:15">
      <c r="A134" s="199"/>
      <c r="B134" s="233"/>
      <c r="C134" s="1733"/>
      <c r="D134" s="214"/>
      <c r="E134" s="235"/>
      <c r="F134" s="236"/>
      <c r="G134" s="661"/>
      <c r="H134" s="1740"/>
      <c r="I134" s="1740"/>
      <c r="J134" s="1740"/>
      <c r="K134" s="1737"/>
      <c r="L134" s="1743"/>
      <c r="M134" s="1738"/>
      <c r="N134" s="1321"/>
    </row>
    <row r="135" spans="1:15" ht="16.5" customHeight="1">
      <c r="A135" s="199"/>
      <c r="B135" s="245" t="s">
        <v>445</v>
      </c>
      <c r="C135" s="1733"/>
      <c r="D135" s="232"/>
      <c r="E135" s="235"/>
      <c r="F135" s="236"/>
      <c r="G135" s="661"/>
      <c r="H135" s="1740"/>
      <c r="I135" s="1740"/>
      <c r="J135" s="1740"/>
      <c r="K135" s="1738"/>
      <c r="L135" s="1738"/>
      <c r="M135" s="1738"/>
      <c r="N135" s="1321"/>
    </row>
    <row r="136" spans="1:15">
      <c r="A136" s="199"/>
      <c r="C136" s="1732" t="s">
        <v>340</v>
      </c>
      <c r="D136" s="104"/>
      <c r="E136" s="662"/>
      <c r="F136" s="202"/>
      <c r="G136" s="327"/>
      <c r="H136" s="1736">
        <v>14433089.439999999</v>
      </c>
      <c r="I136" s="1736">
        <v>11420672.109999999</v>
      </c>
      <c r="J136" s="1741">
        <f t="shared" ref="J136:J147" si="1">(I136+H136)/2</f>
        <v>12926880.774999999</v>
      </c>
      <c r="K136" s="1744"/>
      <c r="L136" s="1743"/>
      <c r="M136" s="1738"/>
      <c r="N136" s="769"/>
    </row>
    <row r="137" spans="1:15" ht="16.5" customHeight="1">
      <c r="A137" s="199"/>
      <c r="C137" s="1732" t="s">
        <v>341</v>
      </c>
      <c r="D137" s="104"/>
      <c r="E137" s="662"/>
      <c r="F137" s="202"/>
      <c r="G137" s="327"/>
      <c r="H137" s="1736">
        <v>4988307</v>
      </c>
      <c r="I137" s="1736">
        <v>7182963</v>
      </c>
      <c r="J137" s="1741">
        <f t="shared" si="1"/>
        <v>6085635</v>
      </c>
      <c r="K137" s="1744"/>
      <c r="L137" s="1743"/>
      <c r="M137" s="1738"/>
      <c r="N137" s="769"/>
    </row>
    <row r="138" spans="1:15" ht="16.5" customHeight="1">
      <c r="A138" s="199"/>
      <c r="B138" s="233"/>
      <c r="C138" s="1732" t="s">
        <v>493</v>
      </c>
      <c r="D138" s="214"/>
      <c r="E138" s="235"/>
      <c r="F138" s="202"/>
      <c r="G138" s="327"/>
      <c r="H138" s="1736">
        <v>1868204.1</v>
      </c>
      <c r="I138" s="1736">
        <v>2034864.93</v>
      </c>
      <c r="J138" s="1741">
        <f t="shared" si="1"/>
        <v>1951534.5150000001</v>
      </c>
      <c r="K138" s="1744"/>
      <c r="L138" s="1743"/>
      <c r="M138" s="1738"/>
      <c r="N138" s="769"/>
    </row>
    <row r="139" spans="1:15" ht="16.5" customHeight="1">
      <c r="A139" s="199"/>
      <c r="B139" s="233"/>
      <c r="C139" s="1732" t="s">
        <v>96</v>
      </c>
      <c r="D139" s="736"/>
      <c r="E139" s="235"/>
      <c r="F139" s="202"/>
      <c r="G139" s="327"/>
      <c r="H139" s="1736">
        <v>110000</v>
      </c>
      <c r="I139" s="1736">
        <v>70000</v>
      </c>
      <c r="J139" s="1741">
        <f t="shared" si="1"/>
        <v>90000</v>
      </c>
      <c r="K139" s="1744"/>
      <c r="L139" s="1743"/>
      <c r="M139" s="1738"/>
      <c r="N139" s="769"/>
    </row>
    <row r="140" spans="1:15" ht="16.5" customHeight="1">
      <c r="A140" s="199"/>
      <c r="B140" s="233"/>
      <c r="C140" s="1732" t="s">
        <v>97</v>
      </c>
      <c r="D140" s="736"/>
      <c r="E140" s="235"/>
      <c r="F140" s="202"/>
      <c r="G140" s="327"/>
      <c r="H140" s="1736">
        <v>48720631.189999998</v>
      </c>
      <c r="I140" s="1736">
        <v>57348776.759999998</v>
      </c>
      <c r="J140" s="1741">
        <f t="shared" si="1"/>
        <v>53034703.974999994</v>
      </c>
      <c r="K140" s="1744"/>
      <c r="L140" s="1743"/>
      <c r="M140" s="1738"/>
      <c r="N140" s="769"/>
    </row>
    <row r="141" spans="1:15" ht="16.5" customHeight="1">
      <c r="A141" s="199"/>
      <c r="B141" s="233"/>
      <c r="C141" s="1732" t="s">
        <v>98</v>
      </c>
      <c r="D141" s="737"/>
      <c r="E141" s="235"/>
      <c r="F141" s="202"/>
      <c r="G141" s="327"/>
      <c r="H141" s="1736">
        <v>4722811.43</v>
      </c>
      <c r="I141" s="1736">
        <v>5834188.8499999996</v>
      </c>
      <c r="J141" s="1741">
        <f t="shared" si="1"/>
        <v>5278500.1399999997</v>
      </c>
      <c r="K141" s="1744"/>
      <c r="L141" s="1743"/>
      <c r="M141" s="1738"/>
      <c r="N141" s="769"/>
    </row>
    <row r="142" spans="1:15" ht="16.5" customHeight="1">
      <c r="A142" s="199"/>
      <c r="B142" s="233"/>
      <c r="C142" s="1732" t="s">
        <v>663</v>
      </c>
      <c r="D142" s="737"/>
      <c r="E142" s="235"/>
      <c r="F142" s="202"/>
      <c r="G142" s="327"/>
      <c r="H142" s="1736">
        <v>0</v>
      </c>
      <c r="I142" s="1736">
        <v>64021713</v>
      </c>
      <c r="J142" s="1741">
        <f t="shared" si="1"/>
        <v>32010856.5</v>
      </c>
      <c r="K142" s="1744"/>
      <c r="L142" s="1743"/>
      <c r="M142" s="1738"/>
      <c r="N142" s="769"/>
    </row>
    <row r="143" spans="1:15" ht="16.5" customHeight="1">
      <c r="A143" s="199"/>
      <c r="B143" s="233"/>
      <c r="C143" s="1732" t="s">
        <v>494</v>
      </c>
      <c r="D143" s="737"/>
      <c r="E143" s="235"/>
      <c r="F143" s="202"/>
      <c r="G143" s="327"/>
      <c r="H143" s="1736">
        <v>1038941.64</v>
      </c>
      <c r="I143" s="1736">
        <v>1121966.9099999999</v>
      </c>
      <c r="J143" s="1741">
        <f t="shared" si="1"/>
        <v>1080454.2749999999</v>
      </c>
      <c r="K143" s="1744"/>
      <c r="L143" s="1743"/>
      <c r="M143" s="1738"/>
      <c r="N143" s="769"/>
    </row>
    <row r="144" spans="1:15" ht="16.5" customHeight="1">
      <c r="A144" s="199"/>
      <c r="B144" s="233"/>
      <c r="C144" s="1734" t="s">
        <v>659</v>
      </c>
      <c r="D144" s="214"/>
      <c r="E144" s="235"/>
      <c r="F144" s="202"/>
      <c r="G144" s="327"/>
      <c r="H144" s="1736">
        <v>1033018.74</v>
      </c>
      <c r="I144" s="1736">
        <v>895282.98</v>
      </c>
      <c r="J144" s="1741">
        <f t="shared" si="1"/>
        <v>964150.86</v>
      </c>
      <c r="K144" s="1744"/>
      <c r="L144" s="1743"/>
      <c r="M144" s="1738"/>
      <c r="N144" s="769"/>
    </row>
    <row r="145" spans="1:15" ht="16.5" customHeight="1">
      <c r="A145" s="199"/>
      <c r="B145" s="233"/>
      <c r="C145" s="1734" t="s">
        <v>660</v>
      </c>
      <c r="D145" s="214"/>
      <c r="E145" s="235"/>
      <c r="F145" s="202"/>
      <c r="G145" s="327"/>
      <c r="H145" s="1736">
        <v>318530</v>
      </c>
      <c r="I145" s="1736">
        <v>609978</v>
      </c>
      <c r="J145" s="1741">
        <f t="shared" si="1"/>
        <v>464254</v>
      </c>
      <c r="K145" s="1744"/>
      <c r="L145" s="1743"/>
      <c r="M145" s="1738"/>
      <c r="N145" s="769"/>
    </row>
    <row r="146" spans="1:15" ht="16.5" customHeight="1">
      <c r="A146" s="199"/>
      <c r="B146" s="233"/>
      <c r="C146" s="1734" t="s">
        <v>661</v>
      </c>
      <c r="D146" s="214"/>
      <c r="E146" s="235"/>
      <c r="F146" s="202"/>
      <c r="G146" s="327"/>
      <c r="H146" s="1736">
        <v>173187.56</v>
      </c>
      <c r="I146" s="1736">
        <v>128969.48</v>
      </c>
      <c r="J146" s="1741">
        <f t="shared" si="1"/>
        <v>151078.51999999999</v>
      </c>
      <c r="K146" s="1744"/>
      <c r="L146" s="1743"/>
      <c r="M146" s="1738"/>
      <c r="N146" s="769"/>
    </row>
    <row r="147" spans="1:15" ht="16.5" customHeight="1">
      <c r="A147" s="199"/>
      <c r="B147" s="233"/>
      <c r="C147" s="1734" t="s">
        <v>662</v>
      </c>
      <c r="D147" s="214"/>
      <c r="E147" s="235"/>
      <c r="F147" s="202"/>
      <c r="G147" s="661"/>
      <c r="H147" s="1745">
        <v>100000</v>
      </c>
      <c r="I147" s="1745">
        <v>100000</v>
      </c>
      <c r="J147" s="1741">
        <f t="shared" si="1"/>
        <v>100000</v>
      </c>
      <c r="K147" s="1744"/>
      <c r="L147" s="1743"/>
      <c r="M147" s="1738"/>
      <c r="N147" s="769"/>
    </row>
    <row r="148" spans="1:15" ht="16.5" customHeight="1">
      <c r="A148" s="199"/>
      <c r="B148" s="233"/>
      <c r="C148" s="1735"/>
      <c r="D148" s="214"/>
      <c r="E148" s="202" t="s">
        <v>349</v>
      </c>
      <c r="F148" s="234"/>
      <c r="G148" s="249"/>
      <c r="H148" s="1740">
        <f>SUM(H136:H147)</f>
        <v>77506721.099999994</v>
      </c>
      <c r="I148" s="1740">
        <f>SUM(I136:I147)</f>
        <v>150769376.01999995</v>
      </c>
      <c r="J148" s="1741">
        <f>(I148+H148)/2</f>
        <v>114138048.55999997</v>
      </c>
      <c r="K148" s="1742">
        <f>+'ATT H-1 '!H13</f>
        <v>0.11631299673501208</v>
      </c>
      <c r="L148" s="1743">
        <f>+I148*K148</f>
        <v>17536437.940754063</v>
      </c>
      <c r="M148" s="1738"/>
      <c r="N148" s="769"/>
      <c r="O148" s="422"/>
    </row>
    <row r="149" spans="1:15" ht="16.5" customHeight="1">
      <c r="A149" s="199"/>
      <c r="B149" s="233"/>
      <c r="C149" s="1733"/>
      <c r="D149" s="214"/>
      <c r="E149" s="198"/>
      <c r="F149" s="202"/>
      <c r="G149" s="661"/>
      <c r="H149" s="1740"/>
      <c r="I149" s="1740"/>
      <c r="J149" s="1740"/>
      <c r="K149" s="1742"/>
      <c r="L149" s="1743"/>
      <c r="M149" s="1738"/>
      <c r="N149" s="769"/>
      <c r="O149" s="422"/>
    </row>
    <row r="150" spans="1:15" ht="16.5" customHeight="1">
      <c r="A150" s="199"/>
      <c r="B150" s="245" t="s">
        <v>191</v>
      </c>
      <c r="C150" s="1733"/>
      <c r="D150" s="214"/>
      <c r="E150" s="235"/>
      <c r="F150" s="236"/>
      <c r="G150" s="661"/>
      <c r="H150" s="1740"/>
      <c r="I150" s="1740"/>
      <c r="J150" s="1740"/>
      <c r="K150" s="1738"/>
      <c r="L150" s="1738"/>
      <c r="M150" s="1738"/>
      <c r="N150" s="1321"/>
      <c r="O150" s="422"/>
    </row>
    <row r="151" spans="1:15" ht="16.5" customHeight="1">
      <c r="A151" s="199"/>
      <c r="B151" s="233"/>
      <c r="C151" s="1735" t="s">
        <v>626</v>
      </c>
      <c r="D151" s="214"/>
      <c r="E151" s="235" t="s">
        <v>351</v>
      </c>
      <c r="F151" s="236"/>
      <c r="G151" s="661"/>
      <c r="H151" s="1740">
        <v>60518.78</v>
      </c>
      <c r="I151" s="1740">
        <v>59525.65</v>
      </c>
      <c r="J151" s="1741">
        <f t="shared" ref="J151:J178" si="2">(I151+H151)/2</f>
        <v>60022.214999999997</v>
      </c>
      <c r="K151" s="1738"/>
      <c r="L151" s="1738"/>
      <c r="M151" s="1746"/>
      <c r="N151" s="1321"/>
      <c r="O151" s="422"/>
    </row>
    <row r="152" spans="1:15" ht="16.5" customHeight="1">
      <c r="A152" s="199"/>
      <c r="B152" s="233"/>
      <c r="C152" s="1735" t="s">
        <v>1245</v>
      </c>
      <c r="D152" s="214"/>
      <c r="E152" s="235"/>
      <c r="F152" s="236"/>
      <c r="G152" s="661"/>
      <c r="H152" s="1740">
        <v>1026121.09</v>
      </c>
      <c r="I152" s="1740">
        <v>976066.41</v>
      </c>
      <c r="J152" s="1741">
        <f t="shared" si="2"/>
        <v>1001093.75</v>
      </c>
      <c r="K152" s="1742"/>
      <c r="L152" s="1743"/>
      <c r="M152" s="1746"/>
      <c r="N152" s="1321"/>
    </row>
    <row r="153" spans="1:15" ht="16.5" customHeight="1">
      <c r="A153" s="199"/>
      <c r="B153" s="233"/>
      <c r="C153" s="1735" t="s">
        <v>1246</v>
      </c>
      <c r="D153" s="214"/>
      <c r="E153" s="235"/>
      <c r="F153" s="236"/>
      <c r="G153" s="661"/>
      <c r="H153" s="1740">
        <v>25000</v>
      </c>
      <c r="I153" s="1740">
        <v>25000</v>
      </c>
      <c r="J153" s="1741">
        <f t="shared" si="2"/>
        <v>25000</v>
      </c>
      <c r="K153" s="1742"/>
      <c r="L153" s="1743"/>
      <c r="M153" s="1746"/>
      <c r="N153" s="1321"/>
    </row>
    <row r="154" spans="1:15" ht="16.5" customHeight="1">
      <c r="A154" s="199"/>
      <c r="B154" s="233"/>
      <c r="C154" s="1735" t="s">
        <v>627</v>
      </c>
      <c r="D154" s="214"/>
      <c r="E154" s="235"/>
      <c r="F154" s="236"/>
      <c r="G154" s="661"/>
      <c r="H154" s="1740">
        <v>105432.79</v>
      </c>
      <c r="I154" s="1740">
        <v>62571.24</v>
      </c>
      <c r="J154" s="1741">
        <f t="shared" si="2"/>
        <v>84002.014999999999</v>
      </c>
      <c r="K154" s="1742"/>
      <c r="L154" s="1743"/>
      <c r="M154" s="1746"/>
      <c r="N154" s="1321"/>
    </row>
    <row r="155" spans="1:15" ht="16.5" customHeight="1">
      <c r="A155" s="199"/>
      <c r="B155" s="233"/>
      <c r="C155" s="1735" t="s">
        <v>1247</v>
      </c>
      <c r="D155" s="214"/>
      <c r="E155" s="235"/>
      <c r="F155" s="236"/>
      <c r="G155" s="661"/>
      <c r="H155" s="1740">
        <v>-112097.95</v>
      </c>
      <c r="I155" s="1740">
        <v>376564.96</v>
      </c>
      <c r="J155" s="1741">
        <f t="shared" si="2"/>
        <v>132233.505</v>
      </c>
      <c r="K155" s="1742"/>
      <c r="L155" s="1743"/>
      <c r="M155" s="1746"/>
      <c r="N155" s="1321"/>
    </row>
    <row r="156" spans="1:15" ht="16.5" customHeight="1">
      <c r="A156" s="199"/>
      <c r="B156" s="233"/>
      <c r="C156" s="1735" t="s">
        <v>628</v>
      </c>
      <c r="D156" s="214"/>
      <c r="E156" s="235"/>
      <c r="F156" s="236"/>
      <c r="G156" s="661"/>
      <c r="H156" s="1740">
        <v>238171.74</v>
      </c>
      <c r="I156" s="1740">
        <v>242697.12</v>
      </c>
      <c r="J156" s="1741">
        <f t="shared" si="2"/>
        <v>240434.43</v>
      </c>
      <c r="K156" s="1742"/>
      <c r="L156" s="1743"/>
      <c r="M156" s="1746"/>
      <c r="N156" s="1321"/>
    </row>
    <row r="157" spans="1:15" ht="16.5" customHeight="1">
      <c r="A157" s="199"/>
      <c r="B157" s="233"/>
      <c r="C157" s="1735" t="s">
        <v>629</v>
      </c>
      <c r="D157" s="214"/>
      <c r="E157" s="235"/>
      <c r="F157" s="236"/>
      <c r="G157" s="661"/>
      <c r="H157" s="1740">
        <v>81160.899999999994</v>
      </c>
      <c r="I157" s="1740">
        <v>77786.7</v>
      </c>
      <c r="J157" s="1741">
        <f t="shared" si="2"/>
        <v>79473.799999999988</v>
      </c>
      <c r="K157" s="1742"/>
      <c r="L157" s="1743"/>
      <c r="M157" s="1746"/>
      <c r="N157" s="1321"/>
    </row>
    <row r="158" spans="1:15" ht="16.5" customHeight="1">
      <c r="A158" s="199"/>
      <c r="B158" s="233"/>
      <c r="C158" s="1735" t="s">
        <v>630</v>
      </c>
      <c r="D158" s="214"/>
      <c r="E158" s="235"/>
      <c r="F158" s="236"/>
      <c r="G158" s="661"/>
      <c r="H158" s="1740">
        <v>81160.899999999994</v>
      </c>
      <c r="I158" s="1740">
        <v>77786.7</v>
      </c>
      <c r="J158" s="1741">
        <f t="shared" si="2"/>
        <v>79473.799999999988</v>
      </c>
      <c r="K158" s="1742"/>
      <c r="L158" s="1743"/>
      <c r="M158" s="1746"/>
      <c r="N158" s="1321"/>
    </row>
    <row r="159" spans="1:15" ht="16.5" customHeight="1">
      <c r="A159" s="199"/>
      <c r="B159" s="233"/>
      <c r="C159" s="1735" t="s">
        <v>631</v>
      </c>
      <c r="D159" s="214"/>
      <c r="E159" s="235"/>
      <c r="F159" s="236"/>
      <c r="G159" s="661"/>
      <c r="H159" s="1740">
        <v>14876.3</v>
      </c>
      <c r="I159" s="1740">
        <v>13302</v>
      </c>
      <c r="J159" s="1741">
        <f t="shared" si="2"/>
        <v>14089.15</v>
      </c>
      <c r="K159" s="1742"/>
      <c r="L159" s="1743"/>
      <c r="M159" s="1746"/>
      <c r="N159" s="1321"/>
    </row>
    <row r="160" spans="1:15" ht="16.5" customHeight="1">
      <c r="A160" s="199"/>
      <c r="B160" s="233"/>
      <c r="C160" s="1735" t="s">
        <v>632</v>
      </c>
      <c r="D160" s="214"/>
      <c r="E160" s="235"/>
      <c r="F160" s="236"/>
      <c r="G160" s="661"/>
      <c r="H160" s="1740">
        <v>14876.3</v>
      </c>
      <c r="I160" s="1740">
        <v>13302</v>
      </c>
      <c r="J160" s="1741">
        <f t="shared" si="2"/>
        <v>14089.15</v>
      </c>
      <c r="K160" s="1738"/>
      <c r="L160" s="1743"/>
      <c r="M160" s="1746"/>
      <c r="N160" s="1321"/>
    </row>
    <row r="161" spans="1:14" ht="16.5" customHeight="1">
      <c r="A161" s="199"/>
      <c r="B161" s="233"/>
      <c r="C161" s="1735" t="s">
        <v>633</v>
      </c>
      <c r="D161" s="214"/>
      <c r="E161" s="235"/>
      <c r="F161" s="236"/>
      <c r="G161" s="661"/>
      <c r="H161" s="1740">
        <v>5448.09</v>
      </c>
      <c r="I161" s="1740">
        <v>0</v>
      </c>
      <c r="J161" s="1741">
        <f t="shared" si="2"/>
        <v>2724.0450000000001</v>
      </c>
      <c r="K161" s="1738"/>
      <c r="L161" s="1743"/>
      <c r="M161" s="1746"/>
      <c r="N161" s="1321"/>
    </row>
    <row r="162" spans="1:14" ht="16.5" customHeight="1">
      <c r="A162" s="199"/>
      <c r="B162" s="233"/>
      <c r="C162" s="1735" t="s">
        <v>634</v>
      </c>
      <c r="D162" s="214"/>
      <c r="E162" s="235"/>
      <c r="F162" s="236"/>
      <c r="G162" s="661"/>
      <c r="H162" s="1740">
        <v>2049746</v>
      </c>
      <c r="I162" s="1740">
        <v>2025717.88</v>
      </c>
      <c r="J162" s="1741">
        <f t="shared" si="2"/>
        <v>2037731.94</v>
      </c>
      <c r="K162" s="1738"/>
      <c r="L162" s="1743"/>
      <c r="M162" s="1746"/>
      <c r="N162" s="1321"/>
    </row>
    <row r="163" spans="1:14" ht="16.5" customHeight="1">
      <c r="A163" s="199"/>
      <c r="B163" s="233"/>
      <c r="C163" s="1735" t="s">
        <v>635</v>
      </c>
      <c r="D163" s="214"/>
      <c r="E163" s="235"/>
      <c r="F163" s="236"/>
      <c r="G163" s="661"/>
      <c r="H163" s="1740">
        <v>28500</v>
      </c>
      <c r="I163" s="1740">
        <v>30500</v>
      </c>
      <c r="J163" s="1741">
        <f t="shared" si="2"/>
        <v>29500</v>
      </c>
      <c r="K163" s="1738"/>
      <c r="L163" s="1743"/>
      <c r="M163" s="1746"/>
      <c r="N163" s="1321"/>
    </row>
    <row r="164" spans="1:14" ht="16.5" customHeight="1">
      <c r="A164" s="199"/>
      <c r="B164" s="233"/>
      <c r="C164" s="1735" t="s">
        <v>636</v>
      </c>
      <c r="D164" s="214"/>
      <c r="E164" s="235"/>
      <c r="F164" s="236"/>
      <c r="G164" s="661"/>
      <c r="H164" s="1740">
        <v>302381.19</v>
      </c>
      <c r="I164" s="1740">
        <v>311452.65000000002</v>
      </c>
      <c r="J164" s="1741">
        <f t="shared" si="2"/>
        <v>306916.92000000004</v>
      </c>
      <c r="K164" s="1738"/>
      <c r="L164" s="1743"/>
      <c r="M164" s="1746"/>
      <c r="N164" s="1321"/>
    </row>
    <row r="165" spans="1:14" ht="16.5" customHeight="1">
      <c r="A165" s="199"/>
      <c r="B165" s="233"/>
      <c r="C165" s="1735" t="s">
        <v>637</v>
      </c>
      <c r="D165" s="214"/>
      <c r="E165" s="235"/>
      <c r="F165" s="236"/>
      <c r="G165" s="661"/>
      <c r="H165" s="1740">
        <v>89553.96</v>
      </c>
      <c r="I165" s="1740">
        <v>92240.55</v>
      </c>
      <c r="J165" s="1741">
        <f t="shared" si="2"/>
        <v>90897.255000000005</v>
      </c>
      <c r="K165" s="1738"/>
      <c r="L165" s="1743"/>
      <c r="M165" s="1746"/>
      <c r="N165" s="1321"/>
    </row>
    <row r="166" spans="1:14" ht="16.5" customHeight="1">
      <c r="A166" s="199"/>
      <c r="B166" s="233"/>
      <c r="C166" s="1735" t="s">
        <v>638</v>
      </c>
      <c r="D166" s="214"/>
      <c r="E166" s="235"/>
      <c r="F166" s="236"/>
      <c r="G166" s="661"/>
      <c r="H166" s="1740">
        <v>89553.96</v>
      </c>
      <c r="I166" s="1740">
        <v>92240.55</v>
      </c>
      <c r="J166" s="1741">
        <f t="shared" si="2"/>
        <v>90897.255000000005</v>
      </c>
      <c r="K166" s="1738"/>
      <c r="L166" s="1743"/>
      <c r="M166" s="1746"/>
      <c r="N166" s="1321"/>
    </row>
    <row r="167" spans="1:14" ht="16.5" customHeight="1">
      <c r="A167" s="199"/>
      <c r="B167" s="233"/>
      <c r="C167" s="1735" t="s">
        <v>639</v>
      </c>
      <c r="D167" s="214"/>
      <c r="E167" s="235"/>
      <c r="F167" s="236"/>
      <c r="G167" s="661"/>
      <c r="H167" s="1740">
        <v>127816</v>
      </c>
      <c r="I167" s="1740">
        <v>150302</v>
      </c>
      <c r="J167" s="1741">
        <f t="shared" si="2"/>
        <v>139059</v>
      </c>
      <c r="K167" s="1738"/>
      <c r="L167" s="1743"/>
      <c r="M167" s="1746"/>
      <c r="N167" s="1321"/>
    </row>
    <row r="168" spans="1:14" ht="16.5" customHeight="1">
      <c r="A168" s="199"/>
      <c r="B168" s="233"/>
      <c r="C168" s="1735" t="s">
        <v>640</v>
      </c>
      <c r="D168" s="214"/>
      <c r="E168" s="235"/>
      <c r="F168" s="236"/>
      <c r="G168" s="661"/>
      <c r="H168" s="1740">
        <v>127816</v>
      </c>
      <c r="I168" s="1740">
        <v>150270</v>
      </c>
      <c r="J168" s="1741">
        <f t="shared" si="2"/>
        <v>139043</v>
      </c>
      <c r="K168" s="1738"/>
      <c r="L168" s="1743"/>
      <c r="M168" s="1746"/>
      <c r="N168" s="1321"/>
    </row>
    <row r="169" spans="1:14" ht="16.5" customHeight="1">
      <c r="A169" s="199"/>
      <c r="B169" s="233"/>
      <c r="C169" s="1735" t="s">
        <v>641</v>
      </c>
      <c r="D169" s="214"/>
      <c r="E169" s="235"/>
      <c r="F169" s="236"/>
      <c r="G169" s="661"/>
      <c r="H169" s="1740">
        <v>69140.289999999994</v>
      </c>
      <c r="I169" s="1740">
        <v>76272.2</v>
      </c>
      <c r="J169" s="1741">
        <f t="shared" si="2"/>
        <v>72706.244999999995</v>
      </c>
      <c r="K169" s="1738"/>
      <c r="L169" s="1743"/>
      <c r="M169" s="1746"/>
      <c r="N169" s="1321"/>
    </row>
    <row r="170" spans="1:14" ht="16.5" customHeight="1">
      <c r="A170" s="199"/>
      <c r="B170" s="233"/>
      <c r="C170" s="1735" t="s">
        <v>642</v>
      </c>
      <c r="D170" s="214"/>
      <c r="E170" s="235"/>
      <c r="F170" s="236"/>
      <c r="G170" s="661"/>
      <c r="H170" s="1740">
        <v>316954.90000000002</v>
      </c>
      <c r="I170" s="1740">
        <v>323168.90000000002</v>
      </c>
      <c r="J170" s="1741">
        <f t="shared" si="2"/>
        <v>320061.90000000002</v>
      </c>
      <c r="K170" s="1738"/>
      <c r="L170" s="1743"/>
      <c r="M170" s="1746"/>
      <c r="N170" s="1321"/>
    </row>
    <row r="171" spans="1:14" ht="16.5" customHeight="1">
      <c r="A171" s="199"/>
      <c r="B171" s="233"/>
      <c r="C171" s="1735" t="s">
        <v>643</v>
      </c>
      <c r="D171" s="214"/>
      <c r="E171" s="235"/>
      <c r="F171" s="236"/>
      <c r="G171" s="661"/>
      <c r="H171" s="1740">
        <v>194590</v>
      </c>
      <c r="I171" s="1740">
        <v>250742</v>
      </c>
      <c r="J171" s="1741">
        <f t="shared" si="2"/>
        <v>222666</v>
      </c>
      <c r="K171" s="1738"/>
      <c r="L171" s="1743"/>
      <c r="M171" s="1746"/>
      <c r="N171" s="1321"/>
    </row>
    <row r="172" spans="1:14" ht="16.5" customHeight="1">
      <c r="A172" s="199"/>
      <c r="B172" s="233"/>
      <c r="C172" s="1735" t="s">
        <v>644</v>
      </c>
      <c r="D172" s="214"/>
      <c r="E172" s="235"/>
      <c r="F172" s="236"/>
      <c r="G172" s="661"/>
      <c r="H172" s="1740">
        <v>24</v>
      </c>
      <c r="I172" s="1740">
        <v>0</v>
      </c>
      <c r="J172" s="1741">
        <f t="shared" si="2"/>
        <v>12</v>
      </c>
      <c r="K172" s="1738"/>
      <c r="L172" s="1743"/>
      <c r="M172" s="1746"/>
      <c r="N172" s="1321"/>
    </row>
    <row r="173" spans="1:14" ht="16.5" customHeight="1">
      <c r="A173" s="199"/>
      <c r="B173" s="233"/>
      <c r="C173" s="1735" t="s">
        <v>645</v>
      </c>
      <c r="D173" s="214"/>
      <c r="E173" s="235"/>
      <c r="F173" s="236"/>
      <c r="G173" s="661"/>
      <c r="H173" s="1740">
        <v>93888.49</v>
      </c>
      <c r="I173" s="1740">
        <v>99037.36</v>
      </c>
      <c r="J173" s="1741">
        <f t="shared" si="2"/>
        <v>96462.925000000003</v>
      </c>
      <c r="K173" s="1738"/>
      <c r="L173" s="1743"/>
      <c r="M173" s="1746"/>
      <c r="N173" s="1321"/>
    </row>
    <row r="174" spans="1:14" ht="16.5" customHeight="1">
      <c r="A174" s="199"/>
      <c r="B174" s="233"/>
      <c r="C174" s="1735" t="s">
        <v>646</v>
      </c>
      <c r="D174" s="214"/>
      <c r="E174" s="235"/>
      <c r="F174" s="236"/>
      <c r="G174" s="661"/>
      <c r="H174" s="1740">
        <v>126873</v>
      </c>
      <c r="I174" s="1740">
        <v>194202</v>
      </c>
      <c r="J174" s="1741">
        <f t="shared" si="2"/>
        <v>160537.5</v>
      </c>
      <c r="K174" s="1738"/>
      <c r="L174" s="1743"/>
      <c r="M174" s="1746"/>
      <c r="N174" s="1321"/>
    </row>
    <row r="175" spans="1:14" ht="16.5" customHeight="1">
      <c r="A175" s="199"/>
      <c r="B175" s="233"/>
      <c r="C175" s="1735" t="s">
        <v>647</v>
      </c>
      <c r="D175" s="214"/>
      <c r="E175" s="235"/>
      <c r="F175" s="236"/>
      <c r="G175" s="661"/>
      <c r="H175" s="1740">
        <v>193824.83</v>
      </c>
      <c r="I175" s="1740">
        <v>71651.600000000006</v>
      </c>
      <c r="J175" s="1741">
        <f t="shared" si="2"/>
        <v>132738.215</v>
      </c>
      <c r="K175" s="1738"/>
      <c r="L175" s="1743"/>
      <c r="M175" s="1746"/>
      <c r="N175" s="1321"/>
    </row>
    <row r="176" spans="1:14" ht="16.5" customHeight="1">
      <c r="A176" s="199"/>
      <c r="B176" s="233"/>
      <c r="C176" s="1735" t="s">
        <v>648</v>
      </c>
      <c r="D176" s="214"/>
      <c r="E176" s="235"/>
      <c r="F176" s="236"/>
      <c r="G176" s="661"/>
      <c r="H176" s="1740">
        <v>163481</v>
      </c>
      <c r="I176" s="1740">
        <v>163563</v>
      </c>
      <c r="J176" s="1741">
        <f t="shared" si="2"/>
        <v>163522</v>
      </c>
      <c r="K176" s="1738"/>
      <c r="L176" s="1743"/>
      <c r="M176" s="1746"/>
      <c r="N176" s="1321"/>
    </row>
    <row r="177" spans="1:17" ht="16.5" customHeight="1">
      <c r="A177" s="199"/>
      <c r="B177" s="233"/>
      <c r="C177" s="1735" t="s">
        <v>649</v>
      </c>
      <c r="D177" s="214"/>
      <c r="E177" s="235"/>
      <c r="F177" s="236"/>
      <c r="G177" s="661"/>
      <c r="H177" s="1740">
        <v>13174.46</v>
      </c>
      <c r="I177" s="1740">
        <v>16724.07</v>
      </c>
      <c r="J177" s="1741">
        <f t="shared" si="2"/>
        <v>14949.264999999999</v>
      </c>
      <c r="K177" s="1738"/>
      <c r="L177" s="1743"/>
      <c r="M177" s="1746"/>
      <c r="N177" s="1321"/>
    </row>
    <row r="178" spans="1:17" ht="16.5" customHeight="1">
      <c r="A178" s="199"/>
      <c r="B178" s="233"/>
      <c r="C178" s="1735" t="s">
        <v>650</v>
      </c>
      <c r="D178" s="214"/>
      <c r="E178" s="235"/>
      <c r="F178" s="236"/>
      <c r="G178" s="661"/>
      <c r="H178" s="1740">
        <v>1174238.24</v>
      </c>
      <c r="I178" s="1740">
        <v>2557282.2400000002</v>
      </c>
      <c r="J178" s="1741">
        <f t="shared" si="2"/>
        <v>1865760.2400000002</v>
      </c>
      <c r="K178" s="1738"/>
      <c r="L178" s="1743"/>
      <c r="M178" s="1746"/>
      <c r="N178" s="1321"/>
    </row>
    <row r="179" spans="1:17" ht="16.5" customHeight="1">
      <c r="A179" s="199"/>
      <c r="B179" s="196"/>
      <c r="C179" s="1735" t="s">
        <v>651</v>
      </c>
      <c r="D179" s="104"/>
      <c r="E179" s="662"/>
      <c r="F179" s="236"/>
      <c r="G179" s="661"/>
      <c r="H179" s="1740">
        <v>45066.87</v>
      </c>
      <c r="I179" s="1740">
        <v>346634.07</v>
      </c>
      <c r="J179" s="1741">
        <f t="shared" ref="J179:J187" si="3">(I179+H179)/2</f>
        <v>195850.47</v>
      </c>
      <c r="K179" s="1738"/>
      <c r="L179" s="1743"/>
      <c r="M179" s="1746"/>
      <c r="N179" s="1321"/>
    </row>
    <row r="180" spans="1:17" ht="16.5" customHeight="1">
      <c r="A180" s="199"/>
      <c r="B180" s="196"/>
      <c r="C180" s="1735" t="s">
        <v>652</v>
      </c>
      <c r="D180" s="104"/>
      <c r="E180" s="662"/>
      <c r="F180" s="236"/>
      <c r="G180" s="661"/>
      <c r="H180" s="1740">
        <v>67952</v>
      </c>
      <c r="I180" s="1740">
        <v>67986</v>
      </c>
      <c r="J180" s="1741">
        <f t="shared" si="3"/>
        <v>67969</v>
      </c>
      <c r="K180" s="1738"/>
      <c r="L180" s="1743"/>
      <c r="M180" s="1746"/>
      <c r="N180" s="1321"/>
    </row>
    <row r="181" spans="1:17" ht="16.5" customHeight="1">
      <c r="A181" s="199"/>
      <c r="B181" s="196"/>
      <c r="C181" s="1735" t="s">
        <v>653</v>
      </c>
      <c r="D181" s="104"/>
      <c r="E181" s="662"/>
      <c r="F181" s="236"/>
      <c r="G181" s="661"/>
      <c r="H181" s="1740">
        <v>179296.49</v>
      </c>
      <c r="I181" s="1740">
        <v>201753.7</v>
      </c>
      <c r="J181" s="1741">
        <f t="shared" si="3"/>
        <v>190525.095</v>
      </c>
      <c r="K181" s="1738"/>
      <c r="L181" s="1743"/>
      <c r="M181" s="1746"/>
      <c r="N181" s="1321"/>
    </row>
    <row r="182" spans="1:17" ht="16.5" customHeight="1">
      <c r="A182" s="199"/>
      <c r="B182" s="196"/>
      <c r="C182" s="1735" t="s">
        <v>654</v>
      </c>
      <c r="D182" s="104"/>
      <c r="E182" s="662"/>
      <c r="F182" s="236"/>
      <c r="G182" s="661"/>
      <c r="H182" s="1740">
        <v>2140812.9900000002</v>
      </c>
      <c r="I182" s="1740">
        <v>1820597.39</v>
      </c>
      <c r="J182" s="1741">
        <f t="shared" si="3"/>
        <v>1980705.19</v>
      </c>
      <c r="K182" s="1738"/>
      <c r="L182" s="1743"/>
      <c r="M182" s="1746"/>
      <c r="N182" s="1321"/>
    </row>
    <row r="183" spans="1:17" ht="16.5" customHeight="1">
      <c r="A183" s="199"/>
      <c r="B183" s="196"/>
      <c r="C183" s="1735" t="s">
        <v>655</v>
      </c>
      <c r="D183" s="104"/>
      <c r="E183" s="662"/>
      <c r="F183" s="236"/>
      <c r="G183" s="661"/>
      <c r="H183" s="1740">
        <v>86856.54</v>
      </c>
      <c r="I183" s="1740">
        <v>101346.71</v>
      </c>
      <c r="J183" s="1741">
        <f t="shared" si="3"/>
        <v>94101.625</v>
      </c>
      <c r="K183" s="1738"/>
      <c r="L183" s="1743"/>
      <c r="M183" s="1746"/>
      <c r="N183" s="1321"/>
    </row>
    <row r="184" spans="1:17" ht="16.5" customHeight="1">
      <c r="A184" s="199"/>
      <c r="B184" s="196"/>
      <c r="C184" s="1735" t="s">
        <v>656</v>
      </c>
      <c r="D184" s="104"/>
      <c r="E184" s="662"/>
      <c r="F184" s="236"/>
      <c r="G184" s="661"/>
      <c r="H184" s="1740">
        <v>8175.94</v>
      </c>
      <c r="I184" s="1740">
        <v>2268.33</v>
      </c>
      <c r="J184" s="1741">
        <f t="shared" si="3"/>
        <v>5222.1350000000002</v>
      </c>
      <c r="K184" s="1738"/>
      <c r="L184" s="1743"/>
      <c r="M184" s="1746"/>
      <c r="N184" s="1321"/>
    </row>
    <row r="185" spans="1:17" ht="16.5" customHeight="1">
      <c r="A185" s="199"/>
      <c r="B185" s="196"/>
      <c r="C185" s="1735" t="s">
        <v>657</v>
      </c>
      <c r="D185" s="104"/>
      <c r="E185" s="662"/>
      <c r="F185" s="236"/>
      <c r="G185" s="661"/>
      <c r="H185" s="1740">
        <v>110304.58</v>
      </c>
      <c r="I185" s="1740">
        <v>91356.08</v>
      </c>
      <c r="J185" s="1741">
        <f t="shared" si="3"/>
        <v>100830.33</v>
      </c>
      <c r="K185" s="1738"/>
      <c r="L185" s="1743"/>
      <c r="M185" s="1746"/>
      <c r="N185" s="1321"/>
    </row>
    <row r="186" spans="1:17" ht="16.5" customHeight="1">
      <c r="A186" s="199"/>
      <c r="B186" s="196"/>
      <c r="C186" s="1735" t="s">
        <v>658</v>
      </c>
      <c r="D186" s="104"/>
      <c r="E186" s="662"/>
      <c r="F186" s="236"/>
      <c r="G186" s="661"/>
      <c r="H186" s="1740">
        <v>8456</v>
      </c>
      <c r="I186" s="1740">
        <v>16944</v>
      </c>
      <c r="J186" s="1741">
        <f t="shared" si="3"/>
        <v>12700</v>
      </c>
      <c r="K186" s="1738"/>
      <c r="L186" s="1743"/>
      <c r="M186" s="1746"/>
      <c r="N186" s="1321"/>
    </row>
    <row r="187" spans="1:17" ht="16.5" customHeight="1">
      <c r="A187" s="199"/>
      <c r="B187" s="196"/>
      <c r="C187" s="1735" t="s">
        <v>1396</v>
      </c>
      <c r="D187" s="104"/>
      <c r="E187" s="662"/>
      <c r="F187" s="236"/>
      <c r="G187" s="661"/>
      <c r="H187" s="1736">
        <v>0</v>
      </c>
      <c r="I187" s="1736">
        <v>34267.199999999997</v>
      </c>
      <c r="J187" s="1741">
        <f t="shared" si="3"/>
        <v>17133.599999999999</v>
      </c>
      <c r="K187" s="1738"/>
      <c r="L187" s="1743"/>
      <c r="M187" s="1746"/>
      <c r="N187" s="1321"/>
    </row>
    <row r="188" spans="1:17" ht="16.5" customHeight="1">
      <c r="A188" s="199"/>
      <c r="B188" s="196"/>
      <c r="D188" s="245"/>
      <c r="E188" s="245"/>
      <c r="F188" s="663"/>
      <c r="G188" s="199"/>
      <c r="H188" s="1733"/>
      <c r="I188" s="1733"/>
      <c r="J188" s="1733"/>
      <c r="K188" s="1738"/>
      <c r="L188" s="1747"/>
      <c r="M188" s="1738"/>
      <c r="N188" s="1321"/>
    </row>
    <row r="189" spans="1:17" ht="16.5" customHeight="1">
      <c r="A189" s="439"/>
      <c r="B189" s="196"/>
      <c r="C189" s="245"/>
      <c r="D189" s="245"/>
      <c r="E189" s="245"/>
      <c r="F189" s="1540"/>
      <c r="G189" s="1541"/>
      <c r="H189" s="1748">
        <f>SUM(H151:H187)</f>
        <v>9349146.6699999999</v>
      </c>
      <c r="I189" s="1748">
        <f>SUM(I151:I187)</f>
        <v>11213123.260000002</v>
      </c>
      <c r="J189" s="1749">
        <f>(I189+H189)/2</f>
        <v>10281134.965</v>
      </c>
      <c r="K189" s="1750">
        <v>0</v>
      </c>
      <c r="L189" s="1751">
        <f>+J189*K189</f>
        <v>0</v>
      </c>
      <c r="M189" s="1752"/>
      <c r="N189" s="1542"/>
    </row>
    <row r="190" spans="1:17" ht="16.5" customHeight="1" thickBot="1">
      <c r="A190" s="1343"/>
      <c r="B190" s="1344"/>
      <c r="C190" s="1344"/>
      <c r="D190" s="1344"/>
      <c r="E190" s="1344"/>
      <c r="F190" s="1345"/>
      <c r="G190" s="1773">
        <f>H189+H148+H133</f>
        <v>91271952.530000001</v>
      </c>
      <c r="H190" s="242"/>
      <c r="I190" s="242"/>
      <c r="J190" s="242"/>
      <c r="K190" s="1346"/>
      <c r="L190" s="1535">
        <f>(+L189+L148+L133)</f>
        <v>21909962.445754062</v>
      </c>
      <c r="M190" s="1347"/>
      <c r="N190" s="1348"/>
      <c r="O190" s="237"/>
      <c r="P190" s="237"/>
      <c r="Q190" s="237"/>
    </row>
    <row r="191" spans="1:17" ht="16.5" customHeight="1">
      <c r="A191" s="237"/>
      <c r="B191" s="237"/>
      <c r="C191" s="237"/>
      <c r="D191" s="237"/>
      <c r="E191" s="237"/>
      <c r="F191" s="237"/>
      <c r="G191" s="237"/>
      <c r="H191" s="237"/>
      <c r="I191" s="237"/>
      <c r="J191" s="237"/>
      <c r="K191" s="421"/>
      <c r="L191" s="421"/>
      <c r="M191" s="421"/>
      <c r="N191" s="421"/>
      <c r="O191" s="237"/>
      <c r="P191" s="237"/>
      <c r="Q191" s="237"/>
    </row>
    <row r="192" spans="1:17" ht="16.5" customHeight="1" thickBot="1">
      <c r="A192" s="372" t="s">
        <v>954</v>
      </c>
      <c r="B192" s="176"/>
      <c r="C192" s="2"/>
      <c r="D192" s="662"/>
      <c r="E192" s="662"/>
      <c r="F192" s="237"/>
      <c r="G192" s="237"/>
      <c r="H192" s="237"/>
      <c r="I192" s="237"/>
      <c r="J192" s="237"/>
      <c r="K192" s="421"/>
      <c r="L192" s="421"/>
      <c r="M192" s="421"/>
      <c r="N192" s="421"/>
      <c r="O192" s="237"/>
      <c r="P192" s="237"/>
      <c r="Q192" s="237"/>
    </row>
    <row r="193" spans="1:17" ht="26.25" customHeight="1">
      <c r="A193" s="1349" t="s">
        <v>1419</v>
      </c>
      <c r="B193" s="964"/>
      <c r="C193" s="964"/>
      <c r="D193" s="932"/>
      <c r="E193" s="932"/>
      <c r="F193" s="934"/>
      <c r="G193" s="932"/>
      <c r="H193" s="1320"/>
      <c r="I193" s="552"/>
      <c r="J193" s="552" t="s">
        <v>504</v>
      </c>
      <c r="K193" s="552" t="s">
        <v>1041</v>
      </c>
      <c r="L193" s="552" t="s">
        <v>361</v>
      </c>
      <c r="M193" s="552" t="s">
        <v>160</v>
      </c>
      <c r="N193" s="1286"/>
      <c r="O193" s="237"/>
      <c r="P193" s="237"/>
      <c r="Q193" s="237"/>
    </row>
    <row r="194" spans="1:17" ht="16.5" customHeight="1">
      <c r="A194" s="251">
        <f>+'ATT H-1 '!A75</f>
        <v>42</v>
      </c>
      <c r="B194" s="205" t="s">
        <v>954</v>
      </c>
      <c r="C194" s="247"/>
      <c r="D194" s="245"/>
      <c r="E194" s="245"/>
      <c r="F194" s="935"/>
      <c r="G194" s="245"/>
      <c r="H194" s="1350"/>
      <c r="I194" s="372"/>
      <c r="J194" s="376"/>
      <c r="K194" s="765"/>
      <c r="L194" s="252"/>
      <c r="M194" s="765"/>
      <c r="N194" s="771"/>
      <c r="O194" s="237"/>
      <c r="P194" s="237"/>
      <c r="Q194" s="237"/>
    </row>
    <row r="195" spans="1:17" ht="16.5" customHeight="1">
      <c r="A195" s="199"/>
      <c r="B195" s="212"/>
      <c r="C195" s="214" t="s">
        <v>150</v>
      </c>
      <c r="D195" s="214" t="s">
        <v>1038</v>
      </c>
      <c r="E195" s="245"/>
      <c r="F195" s="935"/>
      <c r="G195" s="245"/>
      <c r="H195" s="879"/>
      <c r="I195" s="880"/>
      <c r="J195" s="1351">
        <f>'WKSHT2 - Prepaid'!W66</f>
        <v>7096870.9069230761</v>
      </c>
      <c r="K195" s="1352">
        <f>+'ATT H-1 '!H13</f>
        <v>0.11631299673501208</v>
      </c>
      <c r="L195" s="775">
        <f>+J195*K195</f>
        <v>825458.32262574602</v>
      </c>
      <c r="M195" s="744"/>
      <c r="N195" s="760"/>
      <c r="O195" s="237"/>
      <c r="P195" s="237"/>
      <c r="Q195" s="237"/>
    </row>
    <row r="196" spans="1:17" ht="16.5" customHeight="1">
      <c r="A196" s="199"/>
      <c r="B196" s="212"/>
      <c r="C196" s="245" t="s">
        <v>147</v>
      </c>
      <c r="D196" s="214" t="s">
        <v>1038</v>
      </c>
      <c r="E196" s="245"/>
      <c r="F196" s="935"/>
      <c r="G196" s="245"/>
      <c r="H196" s="879"/>
      <c r="I196" s="880"/>
      <c r="J196" s="341">
        <f>'WKSHT2 - Prepaid'!V12</f>
        <v>3603407.9051923081</v>
      </c>
      <c r="K196" s="1352">
        <f>+'ATT H-1 '!H26</f>
        <v>0.15121242645330121</v>
      </c>
      <c r="L196" s="775">
        <f>+J196*K196</f>
        <v>544880.05284513603</v>
      </c>
      <c r="M196" s="776"/>
      <c r="N196" s="777"/>
      <c r="O196" s="237"/>
      <c r="P196" s="237"/>
      <c r="Q196" s="237"/>
    </row>
    <row r="197" spans="1:17" ht="16.5" customHeight="1">
      <c r="A197" s="199"/>
      <c r="B197" s="212"/>
      <c r="C197" s="245" t="s">
        <v>352</v>
      </c>
      <c r="D197" s="214" t="s">
        <v>1038</v>
      </c>
      <c r="E197" s="245"/>
      <c r="F197" s="935"/>
      <c r="G197" s="245"/>
      <c r="H197" s="879"/>
      <c r="I197" s="880"/>
      <c r="J197" s="341">
        <f>'WKSHT2 - Prepaid'!U71</f>
        <v>128763.31</v>
      </c>
      <c r="K197" s="1352">
        <v>1</v>
      </c>
      <c r="L197" s="775">
        <f>+J197*K197</f>
        <v>128763.31</v>
      </c>
      <c r="M197" s="776"/>
      <c r="N197" s="777"/>
      <c r="O197" s="237"/>
      <c r="P197" s="237"/>
      <c r="Q197" s="237"/>
    </row>
    <row r="198" spans="1:17">
      <c r="A198" s="199"/>
      <c r="B198" s="212"/>
      <c r="C198" s="245" t="s">
        <v>353</v>
      </c>
      <c r="D198" s="214" t="s">
        <v>1038</v>
      </c>
      <c r="E198" s="245"/>
      <c r="F198" s="935"/>
      <c r="G198" s="245"/>
      <c r="H198" s="879"/>
      <c r="I198" s="880"/>
      <c r="J198" s="341">
        <f>'WKSHT2 - Prepaid'!T106</f>
        <v>11219741.182948716</v>
      </c>
      <c r="K198" s="1352">
        <v>0</v>
      </c>
      <c r="L198" s="775">
        <f>+J198*K198</f>
        <v>0</v>
      </c>
      <c r="M198" s="776"/>
      <c r="N198" s="777"/>
      <c r="O198" s="237"/>
      <c r="P198" s="237"/>
      <c r="Q198" s="237"/>
    </row>
    <row r="199" spans="1:17" customFormat="1">
      <c r="A199" s="199"/>
      <c r="B199" s="212"/>
      <c r="C199" s="245"/>
      <c r="D199" s="245"/>
      <c r="E199" s="245"/>
      <c r="F199" s="935"/>
      <c r="G199" s="245"/>
      <c r="H199" s="249"/>
      <c r="I199" s="245"/>
      <c r="J199" s="1353"/>
      <c r="K199" s="770"/>
      <c r="L199" s="1354"/>
      <c r="M199" s="778"/>
      <c r="N199" s="760"/>
      <c r="O199" s="2"/>
      <c r="P199" s="2"/>
      <c r="Q199" s="2"/>
    </row>
    <row r="200" spans="1:17" customFormat="1" ht="13.5" thickBot="1">
      <c r="A200" s="208"/>
      <c r="B200" s="238"/>
      <c r="C200" s="1355"/>
      <c r="D200" s="239"/>
      <c r="E200" s="239"/>
      <c r="F200" s="1336"/>
      <c r="G200" s="239"/>
      <c r="H200" s="1356"/>
      <c r="I200" s="1357"/>
      <c r="J200" s="1357"/>
      <c r="K200" s="1358"/>
      <c r="L200" s="1359">
        <f>SUM(L195:L198)</f>
        <v>1499101.6854708821</v>
      </c>
      <c r="M200" s="763"/>
      <c r="N200" s="764"/>
      <c r="O200" s="2"/>
      <c r="P200" s="2"/>
      <c r="Q200" s="2"/>
    </row>
    <row r="201" spans="1:17">
      <c r="A201" s="554"/>
      <c r="B201" s="554"/>
      <c r="C201" s="554"/>
      <c r="D201" s="554"/>
      <c r="E201" s="554"/>
      <c r="F201" s="555"/>
      <c r="G201" s="555"/>
      <c r="H201" s="933"/>
      <c r="I201" s="770"/>
      <c r="J201" s="770"/>
      <c r="K201" s="770"/>
      <c r="L201" s="1340"/>
      <c r="M201" s="770"/>
      <c r="N201" s="770"/>
      <c r="O201" s="237"/>
      <c r="P201" s="237"/>
      <c r="Q201" s="237"/>
    </row>
    <row r="202" spans="1:17" ht="13.5" thickBot="1">
      <c r="A202" s="372" t="s">
        <v>325</v>
      </c>
      <c r="B202" s="237"/>
      <c r="C202" s="237"/>
      <c r="D202" s="237"/>
      <c r="E202" s="237"/>
      <c r="F202" s="245"/>
      <c r="G202" s="245"/>
      <c r="H202" s="245"/>
      <c r="I202" s="245"/>
      <c r="J202" s="237"/>
      <c r="K202" s="421"/>
      <c r="L202" s="421"/>
      <c r="M202" s="421"/>
      <c r="N202" s="421"/>
      <c r="O202" s="237"/>
      <c r="P202" s="237"/>
      <c r="Q202" s="237"/>
    </row>
    <row r="203" spans="1:17">
      <c r="A203" s="1349" t="s">
        <v>1419</v>
      </c>
      <c r="B203" s="964"/>
      <c r="C203" s="964"/>
      <c r="D203" s="932"/>
      <c r="E203" s="932"/>
      <c r="F203" s="932"/>
      <c r="G203" s="932"/>
      <c r="H203" s="552"/>
      <c r="I203" s="552"/>
      <c r="J203" s="552"/>
      <c r="K203" s="552"/>
      <c r="L203" s="552"/>
      <c r="M203" s="552"/>
      <c r="N203" s="1285"/>
      <c r="O203" s="932"/>
      <c r="P203" s="932"/>
      <c r="Q203" s="934"/>
    </row>
    <row r="204" spans="1:17">
      <c r="A204" s="251">
        <v>45</v>
      </c>
      <c r="B204" s="205" t="s">
        <v>952</v>
      </c>
      <c r="C204" s="247"/>
      <c r="D204" s="105"/>
      <c r="E204" s="105"/>
      <c r="F204" s="105"/>
      <c r="G204" s="105"/>
      <c r="H204" s="105"/>
      <c r="I204" s="105"/>
      <c r="J204" s="105"/>
      <c r="K204" s="105"/>
      <c r="L204" s="105"/>
      <c r="M204" s="105"/>
      <c r="N204" s="105"/>
      <c r="O204" s="105"/>
      <c r="P204" s="105"/>
      <c r="Q204" s="936" t="s">
        <v>871</v>
      </c>
    </row>
    <row r="205" spans="1:17">
      <c r="A205" s="249"/>
      <c r="B205" s="245"/>
      <c r="C205" s="245"/>
      <c r="D205" s="1360">
        <v>41274</v>
      </c>
      <c r="E205" s="1360">
        <v>41275</v>
      </c>
      <c r="F205" s="1360">
        <v>41307</v>
      </c>
      <c r="G205" s="1360">
        <v>41336</v>
      </c>
      <c r="H205" s="1360">
        <v>41368</v>
      </c>
      <c r="I205" s="1360">
        <v>41399</v>
      </c>
      <c r="J205" s="1360">
        <v>41431</v>
      </c>
      <c r="K205" s="1360">
        <v>41462</v>
      </c>
      <c r="L205" s="1360">
        <v>41494</v>
      </c>
      <c r="M205" s="1360">
        <v>41526</v>
      </c>
      <c r="N205" s="1360">
        <v>41557</v>
      </c>
      <c r="O205" s="1360">
        <v>41589</v>
      </c>
      <c r="P205" s="1360">
        <v>41620</v>
      </c>
      <c r="Q205" s="1361" t="s">
        <v>91</v>
      </c>
    </row>
    <row r="206" spans="1:17" ht="17.25" customHeight="1">
      <c r="A206" s="908" t="s">
        <v>495</v>
      </c>
      <c r="B206" s="770"/>
      <c r="C206" s="245"/>
      <c r="D206" s="1551">
        <v>5422914</v>
      </c>
      <c r="E206" s="1551">
        <v>5402811</v>
      </c>
      <c r="F206" s="1551">
        <v>5484067</v>
      </c>
      <c r="G206" s="1551">
        <v>5500174</v>
      </c>
      <c r="H206" s="1551">
        <v>5480927</v>
      </c>
      <c r="I206" s="1551">
        <v>5392129</v>
      </c>
      <c r="J206" s="1551">
        <v>5421554</v>
      </c>
      <c r="K206" s="1551">
        <v>5305421</v>
      </c>
      <c r="L206" s="1551">
        <v>5241523</v>
      </c>
      <c r="M206" s="1551">
        <v>5126565</v>
      </c>
      <c r="N206" s="1551">
        <v>5134727</v>
      </c>
      <c r="O206" s="1551">
        <v>5196821</v>
      </c>
      <c r="P206" s="1551">
        <v>5098269</v>
      </c>
      <c r="Q206" s="1552">
        <f>AVERAGE(D206:P206)</f>
        <v>5323684.769230769</v>
      </c>
    </row>
    <row r="207" spans="1:17" ht="17.25" customHeight="1">
      <c r="A207" s="909" t="s">
        <v>496</v>
      </c>
      <c r="B207" s="554"/>
      <c r="C207" s="245"/>
      <c r="D207" s="1631">
        <v>1682099</v>
      </c>
      <c r="E207" s="1631">
        <v>836116</v>
      </c>
      <c r="F207" s="1631">
        <v>834783</v>
      </c>
      <c r="G207" s="1631">
        <v>840739</v>
      </c>
      <c r="H207" s="1631">
        <v>830647</v>
      </c>
      <c r="I207" s="1631">
        <v>805478</v>
      </c>
      <c r="J207" s="1631">
        <v>787810</v>
      </c>
      <c r="K207" s="1631">
        <v>765572</v>
      </c>
      <c r="L207" s="1631">
        <v>794234</v>
      </c>
      <c r="M207" s="1631">
        <v>798440</v>
      </c>
      <c r="N207" s="1547">
        <v>795717</v>
      </c>
      <c r="O207" s="1631">
        <v>797552</v>
      </c>
      <c r="P207" s="1631">
        <v>796179</v>
      </c>
      <c r="Q207" s="1552">
        <f>AVERAGE(D207:P207)</f>
        <v>874258.92307692312</v>
      </c>
    </row>
    <row r="208" spans="1:17" ht="17.25" customHeight="1" thickBot="1">
      <c r="A208" s="910" t="s">
        <v>1015</v>
      </c>
      <c r="B208" s="911"/>
      <c r="C208" s="239"/>
      <c r="D208" s="912">
        <f t="shared" ref="D208:N208" si="4">SUM(D206:D207)</f>
        <v>7105013</v>
      </c>
      <c r="E208" s="912">
        <f t="shared" si="4"/>
        <v>6238927</v>
      </c>
      <c r="F208" s="912">
        <f t="shared" si="4"/>
        <v>6318850</v>
      </c>
      <c r="G208" s="912">
        <f t="shared" si="4"/>
        <v>6340913</v>
      </c>
      <c r="H208" s="912">
        <f t="shared" si="4"/>
        <v>6311574</v>
      </c>
      <c r="I208" s="912">
        <f t="shared" si="4"/>
        <v>6197607</v>
      </c>
      <c r="J208" s="912">
        <f t="shared" si="4"/>
        <v>6209364</v>
      </c>
      <c r="K208" s="912">
        <f t="shared" si="4"/>
        <v>6070993</v>
      </c>
      <c r="L208" s="912">
        <f t="shared" si="4"/>
        <v>6035757</v>
      </c>
      <c r="M208" s="912">
        <f t="shared" si="4"/>
        <v>5925005</v>
      </c>
      <c r="N208" s="913">
        <f t="shared" si="4"/>
        <v>5930444</v>
      </c>
      <c r="O208" s="912">
        <f>SUM(O206:O207)</f>
        <v>5994373</v>
      </c>
      <c r="P208" s="912">
        <f>SUM(P206:P207)</f>
        <v>5894448</v>
      </c>
      <c r="Q208" s="1362">
        <f>AVERAGE(D208:P208)</f>
        <v>6197943.692307692</v>
      </c>
    </row>
    <row r="209" spans="1:18">
      <c r="A209" s="212"/>
      <c r="B209" s="212"/>
      <c r="C209" s="247"/>
      <c r="D209" s="245"/>
      <c r="E209" s="245"/>
      <c r="F209" s="245"/>
      <c r="G209" s="245"/>
      <c r="H209" s="1363"/>
      <c r="I209" s="1363"/>
      <c r="J209" s="1353"/>
      <c r="K209" s="1363"/>
      <c r="L209" s="1363"/>
      <c r="M209" s="744"/>
      <c r="N209" s="744"/>
      <c r="O209" s="237"/>
      <c r="P209" s="237"/>
      <c r="Q209" s="237"/>
    </row>
    <row r="210" spans="1:18" ht="13.5" thickBot="1">
      <c r="A210" s="372" t="s">
        <v>813</v>
      </c>
      <c r="B210" s="237"/>
      <c r="C210" s="237"/>
      <c r="D210" s="237"/>
      <c r="E210" s="237"/>
      <c r="F210" s="237"/>
      <c r="G210" s="237"/>
      <c r="H210" s="237"/>
      <c r="I210" s="237"/>
      <c r="J210" s="237"/>
      <c r="K210" s="421"/>
      <c r="L210" s="421"/>
      <c r="M210" s="421"/>
      <c r="N210" s="421"/>
      <c r="O210" s="237"/>
      <c r="P210" s="237"/>
      <c r="Q210" s="237"/>
      <c r="R210" s="196"/>
    </row>
    <row r="211" spans="1:18">
      <c r="A211" s="1908" t="s">
        <v>1419</v>
      </c>
      <c r="B211" s="1909"/>
      <c r="C211" s="1909"/>
      <c r="D211" s="1909"/>
      <c r="E211" s="1909"/>
      <c r="F211" s="1910"/>
      <c r="G211" s="964"/>
      <c r="H211" s="1320"/>
      <c r="I211" s="1917" t="s">
        <v>196</v>
      </c>
      <c r="J211" s="1918"/>
      <c r="K211" s="1918"/>
      <c r="L211" s="1918"/>
      <c r="M211" s="1918"/>
      <c r="N211" s="1919"/>
      <c r="O211" s="237"/>
      <c r="P211" s="237"/>
      <c r="Q211" s="237"/>
      <c r="R211" s="196"/>
    </row>
    <row r="212" spans="1:18" ht="44.25" customHeight="1">
      <c r="A212" s="1167"/>
      <c r="B212" s="205" t="s">
        <v>161</v>
      </c>
      <c r="C212" s="1340"/>
      <c r="D212" s="372"/>
      <c r="E212" s="235"/>
      <c r="F212" s="1364"/>
      <c r="G212" s="376"/>
      <c r="H212" s="1365" t="s">
        <v>315</v>
      </c>
      <c r="I212" s="423" t="s">
        <v>316</v>
      </c>
      <c r="J212" s="423" t="s">
        <v>1140</v>
      </c>
      <c r="K212" s="770"/>
      <c r="L212" s="770"/>
      <c r="M212" s="770"/>
      <c r="N212" s="1321"/>
      <c r="O212" s="237"/>
      <c r="P212" s="237"/>
      <c r="Q212" s="237"/>
      <c r="R212" s="196"/>
    </row>
    <row r="213" spans="1:18" ht="17.25" customHeight="1">
      <c r="A213" s="363">
        <f>+'ATT H-1 '!A96</f>
        <v>55</v>
      </c>
      <c r="B213" s="252"/>
      <c r="C213" s="1340" t="str">
        <f>+'ATT H-1 '!C96</f>
        <v>Outstanding Network Credits</v>
      </c>
      <c r="D213" s="212"/>
      <c r="E213" s="212"/>
      <c r="F213" s="207"/>
      <c r="G213" s="201"/>
      <c r="H213" s="1167"/>
      <c r="I213" s="1920" t="s">
        <v>195</v>
      </c>
      <c r="J213" s="1931"/>
      <c r="K213" s="1931"/>
      <c r="L213" s="1931"/>
      <c r="M213" s="1931"/>
      <c r="N213" s="1932"/>
      <c r="O213" s="237"/>
      <c r="P213" s="237"/>
      <c r="Q213" s="237"/>
      <c r="R213" s="196"/>
    </row>
    <row r="214" spans="1:18" ht="17.25" customHeight="1">
      <c r="A214" s="249"/>
      <c r="B214" s="245"/>
      <c r="C214" s="245" t="s">
        <v>206</v>
      </c>
      <c r="D214" s="197" t="s">
        <v>446</v>
      </c>
      <c r="E214" s="1817" t="s">
        <v>1200</v>
      </c>
      <c r="F214" s="1529">
        <v>30517</v>
      </c>
      <c r="G214" s="213"/>
      <c r="H214" s="1366">
        <f>+F214</f>
        <v>30517</v>
      </c>
      <c r="I214" s="253"/>
      <c r="J214" s="235"/>
      <c r="K214" s="744"/>
      <c r="L214" s="744"/>
      <c r="M214" s="744"/>
      <c r="N214" s="760"/>
      <c r="O214" s="237"/>
      <c r="P214" s="237"/>
      <c r="Q214" s="237"/>
      <c r="R214" s="196"/>
    </row>
    <row r="215" spans="1:18" ht="17.25" customHeight="1">
      <c r="A215" s="199"/>
      <c r="B215" s="193"/>
      <c r="C215" s="203" t="s">
        <v>206</v>
      </c>
      <c r="D215" s="204" t="s">
        <v>446</v>
      </c>
      <c r="E215" s="1818" t="s">
        <v>1248</v>
      </c>
      <c r="F215" s="1530">
        <v>0</v>
      </c>
      <c r="G215" s="213"/>
      <c r="H215" s="661"/>
      <c r="I215" s="340">
        <f>+F215</f>
        <v>0</v>
      </c>
      <c r="J215" s="340"/>
      <c r="K215" s="765"/>
      <c r="L215" s="765"/>
      <c r="M215" s="765"/>
      <c r="N215" s="771"/>
      <c r="O215" s="237"/>
      <c r="P215" s="237"/>
      <c r="Q215" s="245"/>
      <c r="R215" s="196"/>
    </row>
    <row r="216" spans="1:18" ht="17.25" customHeight="1">
      <c r="A216" s="199"/>
      <c r="B216" s="214"/>
      <c r="C216" s="201" t="s">
        <v>354</v>
      </c>
      <c r="D216" s="214"/>
      <c r="E216" s="235"/>
      <c r="F216" s="357">
        <f>AVERAGE(F214:F215)</f>
        <v>15258.5</v>
      </c>
      <c r="G216" s="213"/>
      <c r="H216" s="1367"/>
      <c r="I216" s="340"/>
      <c r="J216" s="340">
        <f>+F216</f>
        <v>15258.5</v>
      </c>
      <c r="K216" s="744"/>
      <c r="L216" s="744"/>
      <c r="M216" s="744"/>
      <c r="N216" s="760"/>
      <c r="O216" s="237"/>
      <c r="P216" s="237"/>
      <c r="Q216" s="237"/>
    </row>
    <row r="217" spans="1:18" ht="17.25" customHeight="1">
      <c r="A217" s="199"/>
      <c r="B217" s="214"/>
      <c r="C217" s="201"/>
      <c r="D217" s="214"/>
      <c r="E217" s="235"/>
      <c r="F217" s="357"/>
      <c r="G217" s="213"/>
      <c r="H217" s="1367"/>
      <c r="I217" s="340"/>
      <c r="J217" s="340"/>
      <c r="K217" s="744"/>
      <c r="L217" s="744"/>
      <c r="M217" s="744"/>
      <c r="N217" s="760"/>
      <c r="O217" s="237"/>
      <c r="P217" s="237"/>
      <c r="Q217" s="237"/>
    </row>
    <row r="218" spans="1:18" ht="17.25" customHeight="1">
      <c r="A218" s="337">
        <f>+'ATT H-1 '!A97</f>
        <v>56</v>
      </c>
      <c r="B218" s="247"/>
      <c r="C218" s="205" t="s">
        <v>355</v>
      </c>
      <c r="D218" s="214"/>
      <c r="E218" s="235"/>
      <c r="F218" s="357"/>
      <c r="G218" s="213"/>
      <c r="H218" s="1367"/>
      <c r="I218" s="340"/>
      <c r="J218" s="340"/>
      <c r="K218" s="744"/>
      <c r="L218" s="744"/>
      <c r="M218" s="744"/>
      <c r="N218" s="760"/>
      <c r="O218" s="237"/>
      <c r="P218" s="237"/>
      <c r="Q218" s="237"/>
    </row>
    <row r="219" spans="1:18" ht="15">
      <c r="A219" s="249"/>
      <c r="B219" s="245"/>
      <c r="C219" s="245" t="s">
        <v>206</v>
      </c>
      <c r="D219" s="197" t="s">
        <v>446</v>
      </c>
      <c r="E219" s="374" t="str">
        <f>+E214</f>
        <v>For 2012</v>
      </c>
      <c r="F219" s="1529">
        <v>396510</v>
      </c>
      <c r="G219" s="213"/>
      <c r="H219" s="1334">
        <f>+F219</f>
        <v>396510</v>
      </c>
      <c r="I219" s="1342"/>
      <c r="J219" s="340"/>
      <c r="K219" s="744"/>
      <c r="L219" s="744"/>
      <c r="M219" s="744"/>
      <c r="N219" s="760"/>
      <c r="O219" s="237"/>
      <c r="P219" s="237"/>
      <c r="Q219" s="237"/>
    </row>
    <row r="220" spans="1:18" ht="15">
      <c r="A220" s="199"/>
      <c r="B220" s="214"/>
      <c r="C220" s="203" t="s">
        <v>206</v>
      </c>
      <c r="D220" s="204" t="s">
        <v>446</v>
      </c>
      <c r="E220" s="375" t="str">
        <f>+E215</f>
        <v>For 2013</v>
      </c>
      <c r="F220" s="1530">
        <v>0</v>
      </c>
      <c r="G220" s="213"/>
      <c r="H220" s="1366"/>
      <c r="I220" s="1319">
        <f>+F220</f>
        <v>0</v>
      </c>
      <c r="J220" s="340"/>
      <c r="K220" s="744"/>
      <c r="L220" s="744"/>
      <c r="M220" s="744"/>
      <c r="N220" s="760"/>
      <c r="O220" s="237"/>
      <c r="P220" s="237"/>
      <c r="Q220" s="1819"/>
    </row>
    <row r="221" spans="1:18">
      <c r="A221" s="249"/>
      <c r="B221" s="212"/>
      <c r="C221" s="201" t="str">
        <f>+C216</f>
        <v>Average Beginning and End of Year</v>
      </c>
      <c r="D221" s="212"/>
      <c r="E221" s="212"/>
      <c r="F221" s="357">
        <f>AVERAGE(F219:F220)</f>
        <v>198255</v>
      </c>
      <c r="G221" s="213"/>
      <c r="H221" s="363"/>
      <c r="I221" s="248"/>
      <c r="J221" s="340">
        <f>+F221</f>
        <v>198255</v>
      </c>
      <c r="K221" s="770"/>
      <c r="L221" s="770"/>
      <c r="M221" s="770"/>
      <c r="N221" s="1321"/>
      <c r="O221" s="237"/>
      <c r="P221" s="237"/>
      <c r="Q221" s="237"/>
    </row>
    <row r="222" spans="1:18" ht="13.5" thickBot="1">
      <c r="A222" s="208"/>
      <c r="B222" s="238"/>
      <c r="C222" s="238"/>
      <c r="D222" s="238"/>
      <c r="E222" s="238"/>
      <c r="F222" s="358"/>
      <c r="G222" s="238"/>
      <c r="H222" s="336"/>
      <c r="I222" s="239"/>
      <c r="J222" s="239"/>
      <c r="K222" s="1337"/>
      <c r="L222" s="1338"/>
      <c r="M222" s="1337"/>
      <c r="N222" s="1339"/>
      <c r="O222" s="237"/>
      <c r="P222" s="237"/>
      <c r="Q222" s="237"/>
    </row>
    <row r="223" spans="1:18">
      <c r="A223" s="212"/>
      <c r="B223" s="212"/>
      <c r="C223" s="212"/>
      <c r="D223" s="212"/>
      <c r="E223" s="212"/>
      <c r="F223" s="212"/>
      <c r="G223" s="212"/>
      <c r="H223" s="245"/>
      <c r="I223" s="245"/>
      <c r="J223" s="245"/>
      <c r="K223" s="770"/>
      <c r="L223" s="1340"/>
      <c r="M223" s="770"/>
      <c r="N223" s="770"/>
      <c r="O223" s="237"/>
      <c r="P223" s="237"/>
      <c r="Q223" s="237"/>
    </row>
    <row r="224" spans="1:18" ht="13.5" thickBot="1">
      <c r="A224" s="372" t="s">
        <v>814</v>
      </c>
      <c r="B224" s="237"/>
      <c r="C224" s="237"/>
      <c r="D224" s="237"/>
      <c r="E224" s="237"/>
      <c r="F224" s="237"/>
      <c r="G224" s="237"/>
      <c r="H224" s="237"/>
      <c r="I224" s="237"/>
      <c r="J224" s="237"/>
      <c r="K224" s="421"/>
      <c r="L224" s="421"/>
      <c r="M224" s="421"/>
      <c r="N224" s="421"/>
      <c r="O224" s="421"/>
      <c r="P224" s="237"/>
      <c r="Q224" s="237"/>
    </row>
    <row r="225" spans="1:17" ht="25.5">
      <c r="A225" s="1908" t="s">
        <v>1419</v>
      </c>
      <c r="B225" s="1909"/>
      <c r="C225" s="1909"/>
      <c r="D225" s="1909"/>
      <c r="E225" s="1909"/>
      <c r="F225" s="1909"/>
      <c r="G225" s="1368"/>
      <c r="H225" s="1320" t="str">
        <f>+C227</f>
        <v>Interest on Network Credits</v>
      </c>
      <c r="I225" s="1917" t="s">
        <v>326</v>
      </c>
      <c r="J225" s="1918"/>
      <c r="K225" s="1918"/>
      <c r="L225" s="1918"/>
      <c r="M225" s="1918"/>
      <c r="N225" s="1919"/>
      <c r="O225" s="237"/>
      <c r="P225" s="237"/>
      <c r="Q225" s="237"/>
    </row>
    <row r="226" spans="1:17">
      <c r="A226" s="199"/>
      <c r="B226" s="205"/>
      <c r="C226" s="212"/>
      <c r="D226" s="212"/>
      <c r="E226" s="212"/>
      <c r="F226" s="212"/>
      <c r="G226" s="1149"/>
      <c r="H226" s="363" t="s">
        <v>327</v>
      </c>
      <c r="I226" s="245"/>
      <c r="J226" s="245"/>
      <c r="K226" s="770"/>
      <c r="L226" s="770"/>
      <c r="M226" s="770"/>
      <c r="N226" s="1321"/>
      <c r="O226" s="237"/>
      <c r="P226" s="237"/>
      <c r="Q226" s="237"/>
    </row>
    <row r="227" spans="1:17">
      <c r="A227" s="252">
        <f>+'ATT H-1 '!A263</f>
        <v>164</v>
      </c>
      <c r="B227" s="252"/>
      <c r="C227" s="205" t="str">
        <f>+'ATT H-1 '!C263</f>
        <v>Interest on Network Credits</v>
      </c>
      <c r="D227" s="212"/>
      <c r="E227" s="212"/>
      <c r="F227" s="201"/>
      <c r="G227" s="1150"/>
      <c r="H227" s="1531">
        <v>0</v>
      </c>
      <c r="I227" s="1920" t="s">
        <v>195</v>
      </c>
      <c r="J227" s="1931"/>
      <c r="K227" s="1931"/>
      <c r="L227" s="1931"/>
      <c r="M227" s="1931"/>
      <c r="N227" s="1932"/>
      <c r="O227" s="237"/>
      <c r="P227" s="237"/>
      <c r="Q227" s="237"/>
    </row>
    <row r="228" spans="1:17">
      <c r="A228" s="199"/>
      <c r="B228" s="212"/>
      <c r="C228" s="212"/>
      <c r="D228" s="212"/>
      <c r="E228" s="212"/>
      <c r="F228" s="212"/>
      <c r="G228" s="1149"/>
      <c r="H228" s="249"/>
      <c r="I228" s="214"/>
      <c r="J228" s="214"/>
      <c r="K228" s="765"/>
      <c r="L228" s="765"/>
      <c r="M228" s="765"/>
      <c r="N228" s="771"/>
      <c r="O228" s="237"/>
      <c r="P228" s="237"/>
      <c r="Q228" s="237"/>
    </row>
    <row r="229" spans="1:17">
      <c r="A229" s="237"/>
      <c r="B229" s="237"/>
      <c r="C229" s="237"/>
      <c r="D229" s="237"/>
      <c r="E229" s="237"/>
      <c r="F229" s="237"/>
      <c r="G229" s="1369"/>
      <c r="H229" s="249"/>
      <c r="I229" s="245"/>
      <c r="J229" s="253"/>
      <c r="K229" s="779"/>
      <c r="L229" s="779"/>
      <c r="M229" s="779"/>
      <c r="N229" s="777"/>
      <c r="O229" s="421"/>
      <c r="P229" s="237"/>
      <c r="Q229" s="237"/>
    </row>
    <row r="230" spans="1:17" ht="13.5" thickBot="1">
      <c r="A230" s="208"/>
      <c r="B230" s="238"/>
      <c r="C230" s="238"/>
      <c r="D230" s="238"/>
      <c r="E230" s="238"/>
      <c r="F230" s="238"/>
      <c r="G230" s="1151"/>
      <c r="H230" s="336"/>
      <c r="I230" s="239"/>
      <c r="J230" s="239"/>
      <c r="K230" s="1337"/>
      <c r="L230" s="1338" t="s">
        <v>194</v>
      </c>
      <c r="M230" s="1337"/>
      <c r="N230" s="1339"/>
      <c r="O230" s="237"/>
      <c r="P230" s="237"/>
      <c r="Q230" s="237"/>
    </row>
    <row r="231" spans="1:17">
      <c r="A231" s="212"/>
      <c r="B231" s="212"/>
      <c r="C231" s="212"/>
      <c r="D231" s="212"/>
      <c r="E231" s="212"/>
      <c r="F231" s="212"/>
      <c r="G231" s="212"/>
      <c r="H231" s="245"/>
      <c r="I231" s="245"/>
      <c r="J231" s="245"/>
      <c r="K231" s="770"/>
      <c r="L231" s="1340"/>
      <c r="M231" s="770"/>
      <c r="N231" s="770"/>
      <c r="O231" s="237"/>
      <c r="P231" s="237"/>
      <c r="Q231" s="237"/>
    </row>
    <row r="233" spans="1:17" ht="16.5" thickBot="1">
      <c r="A233" s="372" t="s">
        <v>328</v>
      </c>
      <c r="B233" s="101"/>
      <c r="C233" s="380"/>
      <c r="D233" s="101"/>
      <c r="E233" s="101"/>
      <c r="F233" s="101"/>
      <c r="G233" s="101"/>
      <c r="H233" s="88"/>
      <c r="I233" s="800"/>
      <c r="J233" s="801"/>
      <c r="K233" s="88"/>
      <c r="L233" s="88"/>
      <c r="M233" s="88"/>
      <c r="N233" s="492"/>
      <c r="P233" s="751"/>
      <c r="Q233" s="245"/>
    </row>
    <row r="234" spans="1:17" ht="31.5">
      <c r="A234" s="1401">
        <f>'ATT H-1 '!A110</f>
        <v>63</v>
      </c>
      <c r="B234" s="1402"/>
      <c r="C234" s="1403" t="s">
        <v>328</v>
      </c>
      <c r="D234" s="914" t="s">
        <v>330</v>
      </c>
      <c r="E234" s="914"/>
      <c r="F234" s="928" t="s">
        <v>331</v>
      </c>
      <c r="G234" s="926" t="s">
        <v>334</v>
      </c>
      <c r="H234" s="926" t="s">
        <v>333</v>
      </c>
      <c r="I234" s="926" t="s">
        <v>335</v>
      </c>
      <c r="J234" s="915"/>
      <c r="K234" s="926" t="s">
        <v>332</v>
      </c>
      <c r="L234" s="916"/>
      <c r="M234" s="915"/>
      <c r="N234" s="917"/>
      <c r="P234" s="751"/>
      <c r="Q234" s="245"/>
    </row>
    <row r="235" spans="1:17" ht="15.75">
      <c r="A235" s="918"/>
      <c r="B235" s="101"/>
      <c r="C235" s="380" t="s">
        <v>528</v>
      </c>
      <c r="D235" s="802">
        <v>102273306</v>
      </c>
      <c r="E235" s="802"/>
      <c r="F235" s="1553">
        <v>7296</v>
      </c>
      <c r="G235" s="1554">
        <v>154956</v>
      </c>
      <c r="H235" s="1554">
        <v>0</v>
      </c>
      <c r="I235" s="1554"/>
      <c r="J235" s="804"/>
      <c r="K235" s="925">
        <f>D235-F235-G235-H235-I235</f>
        <v>102111054</v>
      </c>
      <c r="L235" s="801"/>
      <c r="M235" s="88"/>
      <c r="N235" s="919"/>
      <c r="P235" s="751"/>
      <c r="Q235" s="245"/>
    </row>
    <row r="236" spans="1:17" ht="15.75">
      <c r="A236" s="918"/>
      <c r="B236" s="101"/>
      <c r="C236" s="380" t="s">
        <v>530</v>
      </c>
      <c r="D236" s="803">
        <v>5278987</v>
      </c>
      <c r="E236" s="802"/>
      <c r="F236" s="1553"/>
      <c r="G236" s="1554"/>
      <c r="H236" s="1554"/>
      <c r="I236" s="1554">
        <v>423677</v>
      </c>
      <c r="J236" s="804"/>
      <c r="K236" s="925">
        <f>D236-F236-G236-H236-I236</f>
        <v>4855310</v>
      </c>
      <c r="L236" s="801"/>
      <c r="M236" s="88"/>
      <c r="N236" s="919"/>
      <c r="P236" s="1822"/>
      <c r="Q236" s="245"/>
    </row>
    <row r="237" spans="1:17" ht="15.75">
      <c r="A237" s="918"/>
      <c r="B237" s="101"/>
      <c r="C237" s="380" t="s">
        <v>531</v>
      </c>
      <c r="D237" s="803">
        <v>860480</v>
      </c>
      <c r="E237" s="802"/>
      <c r="F237" s="1553">
        <v>860480</v>
      </c>
      <c r="G237" s="1554"/>
      <c r="H237" s="1554"/>
      <c r="I237" s="1554"/>
      <c r="J237" s="804"/>
      <c r="K237" s="925">
        <f>D237-F237-G237-H237-I237</f>
        <v>0</v>
      </c>
      <c r="L237" s="801"/>
      <c r="M237" s="88"/>
      <c r="N237" s="919"/>
      <c r="P237" s="751"/>
      <c r="Q237" s="245"/>
    </row>
    <row r="238" spans="1:17" ht="15.75">
      <c r="A238" s="918"/>
      <c r="B238" s="101"/>
      <c r="C238" s="380"/>
      <c r="D238" s="803"/>
      <c r="E238" s="802"/>
      <c r="F238" s="927"/>
      <c r="G238" s="927"/>
      <c r="H238" s="927"/>
      <c r="I238" s="927"/>
      <c r="J238" s="1370"/>
      <c r="K238" s="1371"/>
      <c r="L238" s="138"/>
      <c r="M238" s="1245"/>
      <c r="N238" s="1372"/>
      <c r="O238" s="237"/>
      <c r="P238" s="751"/>
      <c r="Q238" s="245"/>
    </row>
    <row r="239" spans="1:17" ht="16.5" thickBot="1">
      <c r="A239" s="920"/>
      <c r="B239" s="921"/>
      <c r="C239" s="922" t="s">
        <v>329</v>
      </c>
      <c r="D239" s="923">
        <f>SUM(D235:D238)</f>
        <v>108412773</v>
      </c>
      <c r="E239" s="924"/>
      <c r="F239" s="929">
        <f>SUM(F235:F238)</f>
        <v>867776</v>
      </c>
      <c r="G239" s="929">
        <f>SUM(G235:G238)</f>
        <v>154956</v>
      </c>
      <c r="H239" s="929">
        <f>SUM(H235:H238)</f>
        <v>0</v>
      </c>
      <c r="I239" s="929">
        <f>SUM(I235:I238)</f>
        <v>423677</v>
      </c>
      <c r="J239" s="1373"/>
      <c r="K239" s="1374">
        <f>SUM(K235:K238)</f>
        <v>106966364</v>
      </c>
      <c r="L239" s="1375"/>
      <c r="M239" s="1376"/>
      <c r="N239" s="1377"/>
      <c r="O239" s="237"/>
      <c r="P239" s="751"/>
      <c r="Q239" s="245"/>
    </row>
    <row r="240" spans="1:17" ht="15.75">
      <c r="A240" s="101"/>
      <c r="B240" s="101"/>
      <c r="C240" s="380"/>
      <c r="D240" s="101"/>
      <c r="E240" s="101"/>
      <c r="F240" s="101"/>
      <c r="G240" s="101"/>
      <c r="H240" s="1245"/>
      <c r="I240" s="1245"/>
      <c r="J240" s="1378"/>
      <c r="K240" s="138"/>
      <c r="L240" s="1245"/>
      <c r="M240" s="1245"/>
      <c r="N240" s="1245"/>
      <c r="O240" s="237"/>
      <c r="P240" s="751"/>
      <c r="Q240" s="245"/>
    </row>
    <row r="241" spans="5:12">
      <c r="E241" s="422"/>
      <c r="F241" s="422"/>
      <c r="G241" s="422"/>
      <c r="I241" s="1774"/>
      <c r="J241" s="1774"/>
      <c r="K241" s="1774"/>
      <c r="L241" s="186"/>
    </row>
    <row r="242" spans="5:12">
      <c r="H242" s="1774"/>
      <c r="I242" s="422"/>
      <c r="J242" s="422"/>
    </row>
    <row r="243" spans="5:12">
      <c r="H243" s="1774"/>
      <c r="I243" s="1774"/>
      <c r="J243" s="1774"/>
      <c r="K243" s="186"/>
      <c r="L243" s="186"/>
    </row>
    <row r="244" spans="5:12">
      <c r="H244" s="1774"/>
      <c r="L244" s="186"/>
    </row>
    <row r="245" spans="5:12">
      <c r="H245" s="1774"/>
      <c r="L245" s="186"/>
    </row>
    <row r="246" spans="5:12">
      <c r="H246" s="1774"/>
      <c r="L246" s="186"/>
    </row>
    <row r="247" spans="5:12">
      <c r="L247" s="186"/>
    </row>
    <row r="248" spans="5:12">
      <c r="J248" s="422"/>
      <c r="L248" s="186"/>
    </row>
    <row r="249" spans="5:12">
      <c r="L249" s="186"/>
    </row>
    <row r="250" spans="5:12">
      <c r="I250" s="1775"/>
      <c r="L250" s="186"/>
    </row>
    <row r="251" spans="5:12">
      <c r="L251" s="186"/>
    </row>
    <row r="252" spans="5:12">
      <c r="L252" s="186"/>
    </row>
    <row r="253" spans="5:12">
      <c r="J253" s="422"/>
      <c r="L253" s="186"/>
    </row>
    <row r="254" spans="5:12">
      <c r="J254" s="422"/>
      <c r="L254" s="186"/>
    </row>
    <row r="255" spans="5:12">
      <c r="L255" s="186"/>
    </row>
    <row r="256" spans="5:12">
      <c r="L256" s="186"/>
    </row>
    <row r="257" spans="10:12">
      <c r="J257" s="422"/>
      <c r="L257" s="186"/>
    </row>
    <row r="258" spans="10:12">
      <c r="J258" s="422"/>
      <c r="L258" s="186"/>
    </row>
    <row r="259" spans="10:12">
      <c r="J259" s="422"/>
      <c r="L259" s="186"/>
    </row>
    <row r="260" spans="10:12">
      <c r="J260" s="422"/>
      <c r="L260" s="186"/>
    </row>
    <row r="261" spans="10:12">
      <c r="J261" s="422"/>
      <c r="L261" s="186"/>
    </row>
    <row r="262" spans="10:12">
      <c r="J262" s="422"/>
      <c r="L262" s="186"/>
    </row>
    <row r="263" spans="10:12">
      <c r="L263" s="186"/>
    </row>
    <row r="264" spans="10:12">
      <c r="K264" s="192"/>
    </row>
  </sheetData>
  <mergeCells count="32">
    <mergeCell ref="I227:N227"/>
    <mergeCell ref="I213:N213"/>
    <mergeCell ref="A225:F225"/>
    <mergeCell ref="I225:N225"/>
    <mergeCell ref="A1:N1"/>
    <mergeCell ref="A3:N3"/>
    <mergeCell ref="A7:F7"/>
    <mergeCell ref="K7:N7"/>
    <mergeCell ref="A211:F211"/>
    <mergeCell ref="A127:F127"/>
    <mergeCell ref="I211:N211"/>
    <mergeCell ref="I120:N120"/>
    <mergeCell ref="P7:Q7"/>
    <mergeCell ref="A36:F36"/>
    <mergeCell ref="A118:F118"/>
    <mergeCell ref="I118:N118"/>
    <mergeCell ref="A82:F82"/>
    <mergeCell ref="A112:F112"/>
    <mergeCell ref="K78:M78"/>
    <mergeCell ref="K91:N91"/>
    <mergeCell ref="A75:F75"/>
    <mergeCell ref="K75:N75"/>
    <mergeCell ref="L112:N112"/>
    <mergeCell ref="K93:N93"/>
    <mergeCell ref="K82:N82"/>
    <mergeCell ref="A91:F91"/>
    <mergeCell ref="K92:N92"/>
    <mergeCell ref="R17:S17"/>
    <mergeCell ref="A66:F66"/>
    <mergeCell ref="K36:N36"/>
    <mergeCell ref="R18:S18"/>
    <mergeCell ref="R19:S19"/>
  </mergeCells>
  <phoneticPr fontId="50" type="noConversion"/>
  <pageMargins left="0.25" right="0.25" top="1" bottom="0.65" header="0.5" footer="0.5"/>
  <pageSetup scale="42" fitToHeight="7" orientation="landscape" r:id="rId1"/>
  <headerFooter alignWithMargins="0"/>
  <rowBreaks count="4" manualBreakCount="4">
    <brk id="33" max="16" man="1"/>
    <brk id="73" max="16383" man="1"/>
    <brk id="125" max="16" man="1"/>
    <brk id="19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21"/>
  <sheetViews>
    <sheetView topLeftCell="A120" zoomScale="75" zoomScaleNormal="75" zoomScaleSheetLayoutView="75" workbookViewId="0">
      <selection activeCell="F128" sqref="F128"/>
    </sheetView>
  </sheetViews>
  <sheetFormatPr defaultRowHeight="12.75"/>
  <cols>
    <col min="1" max="1" width="18.140625" customWidth="1"/>
    <col min="3" max="3" width="18.28515625" customWidth="1"/>
    <col min="4" max="4" width="22.5703125" customWidth="1"/>
    <col min="5" max="5" width="23.140625" customWidth="1"/>
    <col min="6" max="6" width="15.28515625" customWidth="1"/>
    <col min="7" max="7" width="33" customWidth="1"/>
    <col min="8" max="8" width="12.42578125" customWidth="1"/>
    <col min="9" max="9" width="13.28515625" customWidth="1"/>
    <col min="10" max="10" width="12.7109375" customWidth="1"/>
    <col min="11" max="11" width="12.140625" customWidth="1"/>
    <col min="12" max="12" width="15.42578125" customWidth="1"/>
    <col min="13" max="13" width="11.7109375" customWidth="1"/>
    <col min="14" max="14" width="21.5703125" customWidth="1"/>
    <col min="15" max="15" width="23.5703125" customWidth="1"/>
    <col min="16" max="16" width="14" bestFit="1" customWidth="1"/>
  </cols>
  <sheetData>
    <row r="2" spans="1:20" ht="15">
      <c r="J2" s="12" t="s">
        <v>540</v>
      </c>
    </row>
    <row r="3" spans="1:20" ht="18">
      <c r="A3" s="1495" t="s">
        <v>435</v>
      </c>
      <c r="B3" s="594"/>
      <c r="C3" s="594"/>
      <c r="D3" s="594"/>
      <c r="E3" s="594"/>
      <c r="F3" s="594"/>
      <c r="G3" s="594"/>
      <c r="H3" s="594"/>
      <c r="I3" s="595"/>
      <c r="J3" s="595"/>
      <c r="K3" s="431"/>
      <c r="L3" s="431"/>
      <c r="M3" s="431"/>
      <c r="N3" s="431"/>
      <c r="O3" s="431"/>
    </row>
    <row r="4" spans="1:20">
      <c r="A4" s="431"/>
      <c r="B4" s="431"/>
      <c r="C4" s="431"/>
      <c r="D4" s="431"/>
      <c r="E4" s="1956" t="s">
        <v>1438</v>
      </c>
      <c r="F4" s="1957">
        <v>2013</v>
      </c>
      <c r="G4" s="431"/>
      <c r="H4" s="431"/>
      <c r="I4" s="431"/>
      <c r="J4" s="431"/>
      <c r="K4" s="431"/>
      <c r="L4" s="431"/>
      <c r="M4" s="431"/>
      <c r="N4" s="431"/>
      <c r="O4" s="431"/>
    </row>
    <row r="5" spans="1:20" ht="16.5">
      <c r="A5" s="430"/>
      <c r="B5" s="430"/>
      <c r="C5" s="430"/>
      <c r="D5" s="429"/>
      <c r="E5" s="1956" t="s">
        <v>1439</v>
      </c>
      <c r="F5" s="1958">
        <v>2014</v>
      </c>
      <c r="G5" s="429"/>
      <c r="H5" s="429"/>
      <c r="I5" s="429"/>
      <c r="J5" s="596"/>
      <c r="K5" s="429"/>
      <c r="L5" s="429"/>
      <c r="M5" s="429"/>
      <c r="N5" s="429"/>
      <c r="O5" s="429"/>
    </row>
    <row r="6" spans="1:20" ht="13.5">
      <c r="A6" s="597" t="s">
        <v>780</v>
      </c>
      <c r="B6" s="597" t="s">
        <v>781</v>
      </c>
      <c r="C6" s="597" t="s">
        <v>782</v>
      </c>
      <c r="D6" s="597" t="s">
        <v>783</v>
      </c>
      <c r="E6" s="1956" t="s">
        <v>1440</v>
      </c>
      <c r="F6" s="1958">
        <v>2015</v>
      </c>
      <c r="G6" s="598"/>
      <c r="H6" s="598"/>
      <c r="I6" s="598"/>
      <c r="J6" s="598"/>
      <c r="K6" s="598"/>
      <c r="L6" s="598"/>
      <c r="M6" s="598"/>
      <c r="N6" s="598"/>
      <c r="O6" s="598"/>
      <c r="P6" s="598"/>
      <c r="Q6" s="598"/>
      <c r="R6" s="598"/>
      <c r="S6" s="598"/>
    </row>
    <row r="7" spans="1:20" ht="13.5">
      <c r="A7" s="430"/>
      <c r="B7" s="597"/>
      <c r="C7" s="597"/>
      <c r="D7" s="598"/>
      <c r="E7" s="598"/>
      <c r="F7" s="598"/>
      <c r="G7" s="598"/>
      <c r="H7" s="598"/>
      <c r="I7" s="598"/>
      <c r="J7" s="598"/>
      <c r="K7" s="598"/>
      <c r="L7" s="598"/>
      <c r="M7" s="598"/>
      <c r="N7" s="598"/>
      <c r="O7" s="598"/>
      <c r="P7" s="602"/>
      <c r="Q7" s="602"/>
      <c r="R7" s="602"/>
      <c r="S7" s="602"/>
    </row>
    <row r="8" spans="1:20" ht="13.5">
      <c r="A8" s="599" t="s">
        <v>784</v>
      </c>
      <c r="B8" s="597"/>
      <c r="C8" s="597"/>
      <c r="D8" s="598"/>
      <c r="E8" s="598"/>
      <c r="F8" s="598"/>
      <c r="G8" s="598"/>
      <c r="H8" s="598"/>
      <c r="I8" s="598"/>
      <c r="J8" s="598"/>
      <c r="K8" s="598"/>
      <c r="L8" s="598"/>
      <c r="M8" s="598"/>
      <c r="N8" s="598"/>
      <c r="P8" s="602"/>
      <c r="Q8" s="602"/>
      <c r="R8" s="602"/>
      <c r="S8" s="602"/>
    </row>
    <row r="9" spans="1:20" ht="13.5">
      <c r="A9" s="600">
        <v>1</v>
      </c>
      <c r="B9" s="600" t="s">
        <v>785</v>
      </c>
      <c r="C9" s="600" t="s">
        <v>760</v>
      </c>
      <c r="D9" s="601" t="s">
        <v>1424</v>
      </c>
      <c r="E9" s="602"/>
      <c r="F9" s="602"/>
      <c r="G9" s="602"/>
      <c r="H9" s="602"/>
      <c r="I9" s="602"/>
      <c r="J9" s="602"/>
      <c r="K9" s="602"/>
      <c r="L9" s="602"/>
      <c r="M9" s="602"/>
      <c r="N9" s="602"/>
      <c r="P9" s="602"/>
      <c r="Q9" s="650"/>
      <c r="R9" s="650"/>
      <c r="S9" s="634"/>
    </row>
    <row r="10" spans="1:20" ht="13.5">
      <c r="A10" s="600">
        <v>2</v>
      </c>
      <c r="B10" s="600" t="s">
        <v>785</v>
      </c>
      <c r="C10" s="600" t="s">
        <v>760</v>
      </c>
      <c r="D10" s="601" t="s">
        <v>1425</v>
      </c>
      <c r="E10" s="602"/>
      <c r="F10" s="602"/>
      <c r="G10" s="602"/>
      <c r="H10" s="602"/>
      <c r="I10" s="602"/>
      <c r="J10" s="602"/>
      <c r="K10" s="602"/>
      <c r="L10" s="602"/>
      <c r="M10" s="602"/>
      <c r="N10" s="602"/>
      <c r="P10" s="602"/>
      <c r="Q10" s="650"/>
      <c r="R10" s="650"/>
      <c r="S10" s="634"/>
    </row>
    <row r="11" spans="1:20" ht="13.5">
      <c r="A11" s="600">
        <v>3</v>
      </c>
      <c r="B11" s="600" t="s">
        <v>785</v>
      </c>
      <c r="C11" s="600" t="s">
        <v>760</v>
      </c>
      <c r="D11" s="601" t="s">
        <v>1426</v>
      </c>
      <c r="E11" s="602"/>
      <c r="F11" s="602"/>
      <c r="G11" s="602"/>
      <c r="H11" s="602"/>
      <c r="I11" s="602"/>
      <c r="J11" s="602"/>
      <c r="K11" s="602"/>
      <c r="L11" s="602"/>
      <c r="M11" s="602"/>
      <c r="N11" s="602"/>
      <c r="P11" s="602"/>
      <c r="Q11" s="650"/>
      <c r="R11" s="650"/>
      <c r="S11" s="634"/>
    </row>
    <row r="12" spans="1:20" ht="13.5">
      <c r="A12" s="600">
        <v>4</v>
      </c>
      <c r="B12" s="600" t="s">
        <v>786</v>
      </c>
      <c r="C12" s="600" t="s">
        <v>760</v>
      </c>
      <c r="D12" s="601" t="s">
        <v>1127</v>
      </c>
      <c r="E12" s="602"/>
      <c r="F12" s="602"/>
      <c r="G12" s="602"/>
      <c r="H12" s="602"/>
      <c r="I12" s="602"/>
      <c r="J12" s="602"/>
      <c r="K12" s="602"/>
      <c r="L12" s="602"/>
      <c r="M12" s="602"/>
      <c r="N12" s="602"/>
      <c r="P12" s="598"/>
      <c r="Q12" s="651"/>
      <c r="R12" s="651"/>
      <c r="S12" s="634"/>
    </row>
    <row r="13" spans="1:20" ht="13.5">
      <c r="A13" s="600">
        <v>5</v>
      </c>
      <c r="B13" s="603" t="s">
        <v>787</v>
      </c>
      <c r="C13" s="600" t="s">
        <v>760</v>
      </c>
      <c r="D13" s="601" t="s">
        <v>1427</v>
      </c>
      <c r="E13" s="602"/>
      <c r="F13" s="602"/>
      <c r="G13" s="602"/>
      <c r="H13" s="602"/>
      <c r="I13" s="602"/>
      <c r="J13" s="602"/>
      <c r="K13" s="602"/>
      <c r="L13" s="602"/>
      <c r="M13" s="602"/>
      <c r="N13" s="602"/>
      <c r="P13" s="598"/>
      <c r="Q13" s="651"/>
      <c r="R13" s="651"/>
      <c r="S13" s="634"/>
    </row>
    <row r="14" spans="1:20" ht="13.5">
      <c r="A14" s="597">
        <v>6</v>
      </c>
      <c r="B14" s="597" t="s">
        <v>785</v>
      </c>
      <c r="C14" s="600" t="s">
        <v>761</v>
      </c>
      <c r="D14" s="604" t="s">
        <v>1428</v>
      </c>
      <c r="E14" s="598"/>
      <c r="F14" s="598"/>
      <c r="G14" s="598"/>
      <c r="H14" s="598"/>
      <c r="I14" s="598"/>
      <c r="J14" s="598"/>
      <c r="K14" s="598"/>
      <c r="L14" s="598"/>
      <c r="M14" s="598"/>
      <c r="N14" s="598"/>
      <c r="P14" s="598"/>
      <c r="Q14" s="651"/>
      <c r="R14" s="651"/>
      <c r="S14" s="634"/>
    </row>
    <row r="15" spans="1:20" ht="13.5">
      <c r="A15" s="597">
        <v>7</v>
      </c>
      <c r="B15" s="597" t="s">
        <v>785</v>
      </c>
      <c r="C15" s="600" t="s">
        <v>761</v>
      </c>
      <c r="D15" s="604" t="str">
        <f>+D65</f>
        <v>Reconciliation</v>
      </c>
      <c r="E15" s="605"/>
      <c r="F15" s="605"/>
      <c r="G15" s="605"/>
      <c r="H15" s="605"/>
      <c r="I15" s="605"/>
      <c r="J15" s="605"/>
      <c r="K15" s="598"/>
      <c r="L15" s="598"/>
      <c r="M15" s="598"/>
      <c r="N15" s="598"/>
      <c r="P15" s="598"/>
      <c r="Q15" s="651"/>
      <c r="R15" s="651"/>
      <c r="S15" s="634"/>
    </row>
    <row r="16" spans="1:20" ht="13.5">
      <c r="A16" s="597">
        <v>8</v>
      </c>
      <c r="B16" s="597" t="s">
        <v>785</v>
      </c>
      <c r="C16" s="600" t="s">
        <v>761</v>
      </c>
      <c r="D16" s="604" t="str">
        <f>+D75</f>
        <v>True-Up Adjustment</v>
      </c>
      <c r="E16" s="598"/>
      <c r="F16" s="598"/>
      <c r="G16" s="598"/>
      <c r="H16" s="598"/>
      <c r="I16" s="598"/>
      <c r="J16" s="598"/>
      <c r="K16" s="598"/>
      <c r="L16" s="598"/>
      <c r="M16" s="598"/>
      <c r="N16" s="598"/>
      <c r="P16" s="598"/>
      <c r="Q16" s="887"/>
      <c r="R16" s="887"/>
      <c r="S16" s="886"/>
      <c r="T16" s="97"/>
    </row>
    <row r="17" spans="1:20" ht="13.5">
      <c r="A17" s="597">
        <v>9</v>
      </c>
      <c r="B17" s="597" t="s">
        <v>785</v>
      </c>
      <c r="C17" s="600" t="s">
        <v>761</v>
      </c>
      <c r="D17" s="604" t="s">
        <v>1429</v>
      </c>
      <c r="E17" s="598"/>
      <c r="F17" s="598"/>
      <c r="G17" s="598"/>
      <c r="H17" s="598"/>
      <c r="I17" s="598"/>
      <c r="J17" s="598"/>
      <c r="K17" s="598"/>
      <c r="L17" s="598"/>
      <c r="M17" s="598"/>
      <c r="N17" s="598"/>
      <c r="P17" s="598"/>
      <c r="Q17" s="887"/>
      <c r="R17" s="887"/>
      <c r="S17" s="886"/>
      <c r="T17" s="97"/>
    </row>
    <row r="18" spans="1:20" ht="13.5">
      <c r="A18" s="597">
        <v>10</v>
      </c>
      <c r="B18" s="597" t="s">
        <v>786</v>
      </c>
      <c r="C18" s="600" t="s">
        <v>761</v>
      </c>
      <c r="D18" s="604" t="s">
        <v>555</v>
      </c>
      <c r="E18" s="598"/>
      <c r="F18" s="598"/>
      <c r="G18" s="598"/>
      <c r="H18" s="598"/>
      <c r="I18" s="598"/>
      <c r="J18" s="598"/>
      <c r="K18" s="598"/>
      <c r="L18" s="598"/>
      <c r="M18" s="598"/>
      <c r="N18" s="598"/>
      <c r="P18" s="598"/>
      <c r="Q18" s="887"/>
      <c r="R18" s="887"/>
      <c r="S18" s="886"/>
      <c r="T18" s="97"/>
    </row>
    <row r="19" spans="1:20" ht="13.5">
      <c r="A19" s="597">
        <v>11</v>
      </c>
      <c r="B19" s="606" t="s">
        <v>787</v>
      </c>
      <c r="C19" s="600" t="s">
        <v>761</v>
      </c>
      <c r="D19" s="601" t="s">
        <v>1430</v>
      </c>
      <c r="E19" s="602"/>
      <c r="F19" s="602"/>
      <c r="G19" s="602"/>
      <c r="H19" s="602"/>
      <c r="I19" s="602"/>
      <c r="J19" s="602"/>
      <c r="K19" s="598"/>
      <c r="L19" s="598"/>
      <c r="M19" s="598"/>
      <c r="N19" s="598"/>
      <c r="P19" s="598"/>
      <c r="Q19" s="887"/>
      <c r="R19" s="887"/>
      <c r="S19" s="887"/>
      <c r="T19" s="97"/>
    </row>
    <row r="20" spans="1:20" ht="13.5">
      <c r="A20" s="597"/>
      <c r="B20" s="606"/>
      <c r="C20" s="597"/>
      <c r="D20" s="604"/>
      <c r="E20" s="598"/>
      <c r="F20" s="598"/>
      <c r="G20" s="598"/>
      <c r="H20" s="598"/>
      <c r="I20" s="598"/>
      <c r="J20" s="598"/>
      <c r="K20" s="598"/>
      <c r="L20" s="598"/>
      <c r="M20" s="598"/>
      <c r="N20" s="598"/>
      <c r="P20" s="598"/>
      <c r="Q20" s="622"/>
      <c r="R20" s="622"/>
      <c r="S20" s="622"/>
      <c r="T20" s="97"/>
    </row>
    <row r="21" spans="1:20" ht="13.5">
      <c r="A21" s="607"/>
      <c r="B21" s="600"/>
      <c r="C21" s="597"/>
      <c r="D21" s="608"/>
      <c r="E21" s="598"/>
      <c r="F21" s="598"/>
      <c r="G21" s="598"/>
      <c r="H21" s="598"/>
      <c r="I21" s="1858"/>
      <c r="J21" s="598"/>
      <c r="K21" s="598"/>
      <c r="L21" s="598"/>
      <c r="M21" s="598"/>
      <c r="N21" s="598"/>
      <c r="P21" s="598"/>
      <c r="Q21" s="622"/>
      <c r="R21" s="622"/>
      <c r="S21" s="622"/>
      <c r="T21" s="97"/>
    </row>
    <row r="22" spans="1:20" ht="13.5">
      <c r="A22" s="597">
        <v>1</v>
      </c>
      <c r="B22" s="597" t="s">
        <v>785</v>
      </c>
      <c r="C22" s="597" t="s">
        <v>760</v>
      </c>
      <c r="D22" s="598" t="s">
        <v>1431</v>
      </c>
      <c r="E22" s="598"/>
      <c r="F22" s="598"/>
      <c r="G22" s="598"/>
      <c r="H22" s="598"/>
      <c r="I22" s="598"/>
      <c r="J22" s="429"/>
      <c r="K22" s="598"/>
      <c r="L22" s="598"/>
      <c r="M22" s="598"/>
      <c r="N22" s="598"/>
      <c r="Q22" s="97"/>
      <c r="R22" s="97"/>
      <c r="S22" s="97"/>
      <c r="T22" s="97"/>
    </row>
    <row r="23" spans="1:20" ht="13.5">
      <c r="A23" s="597"/>
      <c r="B23" s="597"/>
      <c r="C23" s="597"/>
      <c r="D23" s="609"/>
      <c r="E23" s="598" t="s">
        <v>448</v>
      </c>
      <c r="F23" s="598"/>
      <c r="G23" s="610" t="s">
        <v>1421</v>
      </c>
      <c r="H23" s="598"/>
      <c r="I23" s="598"/>
      <c r="J23" s="598"/>
      <c r="L23" s="598"/>
      <c r="M23" s="598"/>
      <c r="N23" s="598"/>
      <c r="Q23" s="97"/>
      <c r="R23" s="97"/>
      <c r="S23" s="97"/>
      <c r="T23" s="97"/>
    </row>
    <row r="24" spans="1:20" ht="13.5">
      <c r="A24" s="597"/>
      <c r="B24" s="597"/>
      <c r="C24" s="597"/>
      <c r="D24" s="611"/>
      <c r="E24" s="598"/>
      <c r="F24" s="598"/>
      <c r="G24" s="598"/>
      <c r="H24" s="598"/>
      <c r="I24" s="598"/>
      <c r="J24" s="598"/>
      <c r="K24" s="598"/>
      <c r="L24" s="598"/>
      <c r="M24" s="598"/>
      <c r="N24" s="598"/>
      <c r="O24" s="598"/>
    </row>
    <row r="25" spans="1:20" ht="13.5">
      <c r="A25" s="597">
        <v>2</v>
      </c>
      <c r="B25" s="597" t="s">
        <v>785</v>
      </c>
      <c r="C25" s="597" t="s">
        <v>760</v>
      </c>
      <c r="D25" s="604" t="s">
        <v>1425</v>
      </c>
      <c r="E25" s="598"/>
      <c r="F25" s="598"/>
      <c r="G25" s="598"/>
      <c r="H25" s="598"/>
      <c r="I25" s="598"/>
      <c r="J25" s="429"/>
      <c r="K25" s="598"/>
      <c r="L25" s="598"/>
      <c r="M25" s="598"/>
      <c r="N25" s="598"/>
      <c r="O25" s="598"/>
    </row>
    <row r="26" spans="1:20" ht="13.5">
      <c r="A26" s="597"/>
      <c r="C26" s="597"/>
      <c r="D26" s="604"/>
      <c r="E26" s="598"/>
      <c r="F26" s="598"/>
      <c r="G26" s="598"/>
      <c r="H26" s="598"/>
      <c r="I26" s="598"/>
      <c r="J26" s="429"/>
      <c r="K26" s="598"/>
      <c r="L26" s="598"/>
      <c r="M26" s="598"/>
      <c r="N26" s="598"/>
      <c r="O26" s="598"/>
    </row>
    <row r="27" spans="1:20" ht="13.5">
      <c r="A27" s="597"/>
      <c r="B27" s="429"/>
      <c r="C27" s="490" t="s">
        <v>344</v>
      </c>
      <c r="D27" s="490" t="s">
        <v>345</v>
      </c>
      <c r="E27" s="490" t="s">
        <v>438</v>
      </c>
      <c r="F27" s="490" t="s">
        <v>346</v>
      </c>
      <c r="G27" s="490" t="s">
        <v>347</v>
      </c>
      <c r="I27" s="490" t="s">
        <v>343</v>
      </c>
      <c r="J27" s="490" t="s">
        <v>437</v>
      </c>
      <c r="K27" s="490" t="s">
        <v>719</v>
      </c>
      <c r="L27" s="490" t="s">
        <v>720</v>
      </c>
      <c r="M27" s="490" t="s">
        <v>1128</v>
      </c>
      <c r="O27" s="600"/>
    </row>
    <row r="28" spans="1:20" ht="13.5">
      <c r="A28" s="597"/>
      <c r="B28" s="429"/>
      <c r="C28" s="597" t="s">
        <v>300</v>
      </c>
      <c r="D28" s="597" t="s">
        <v>300</v>
      </c>
      <c r="E28" s="597" t="s">
        <v>300</v>
      </c>
      <c r="F28" s="597" t="s">
        <v>300</v>
      </c>
      <c r="G28" s="597" t="s">
        <v>300</v>
      </c>
      <c r="H28" s="597"/>
      <c r="I28" s="597" t="s">
        <v>84</v>
      </c>
      <c r="J28" s="597" t="s">
        <v>84</v>
      </c>
      <c r="K28" s="597" t="s">
        <v>84</v>
      </c>
      <c r="L28" s="597" t="s">
        <v>84</v>
      </c>
      <c r="M28" s="597" t="s">
        <v>84</v>
      </c>
      <c r="O28" s="597"/>
    </row>
    <row r="29" spans="1:20" ht="13.5">
      <c r="A29" s="597"/>
      <c r="B29" s="598"/>
      <c r="C29" s="597" t="s">
        <v>80</v>
      </c>
      <c r="D29" s="597" t="s">
        <v>80</v>
      </c>
      <c r="E29" s="597" t="s">
        <v>80</v>
      </c>
      <c r="F29" s="648"/>
      <c r="G29" s="648"/>
      <c r="H29" s="597"/>
      <c r="I29" s="597" t="s">
        <v>85</v>
      </c>
      <c r="J29" s="597" t="s">
        <v>87</v>
      </c>
      <c r="K29" s="597" t="s">
        <v>88</v>
      </c>
      <c r="L29" s="597" t="s">
        <v>89</v>
      </c>
      <c r="M29" s="597" t="s">
        <v>90</v>
      </c>
      <c r="O29" s="597"/>
    </row>
    <row r="30" spans="1:20" ht="13.5">
      <c r="A30" s="597"/>
      <c r="B30" s="598"/>
      <c r="C30" s="597" t="s">
        <v>718</v>
      </c>
      <c r="D30" s="597"/>
      <c r="E30" s="597"/>
      <c r="F30" s="597" t="s">
        <v>81</v>
      </c>
      <c r="G30" s="597" t="s">
        <v>82</v>
      </c>
      <c r="H30" s="597"/>
      <c r="I30" s="597"/>
      <c r="J30" s="597"/>
      <c r="K30" s="597"/>
      <c r="L30" s="597"/>
      <c r="M30" s="597"/>
    </row>
    <row r="31" spans="1:20" ht="13.5">
      <c r="A31" s="597"/>
      <c r="B31" s="598"/>
      <c r="C31" s="597"/>
      <c r="D31" s="612"/>
      <c r="E31" s="612"/>
      <c r="F31" s="597"/>
      <c r="G31" s="597"/>
      <c r="H31" s="647"/>
      <c r="I31" s="597"/>
      <c r="J31" s="613"/>
      <c r="K31" s="597"/>
      <c r="L31" s="597"/>
      <c r="M31" s="608"/>
    </row>
    <row r="32" spans="1:20" ht="13.5">
      <c r="A32" s="597"/>
      <c r="B32" s="598" t="s">
        <v>788</v>
      </c>
      <c r="C32" s="1152"/>
      <c r="D32" s="614"/>
      <c r="E32" s="614"/>
      <c r="F32" s="614"/>
      <c r="G32" s="614"/>
      <c r="H32" s="647"/>
      <c r="I32" s="613">
        <f>C32</f>
        <v>0</v>
      </c>
      <c r="J32" s="613">
        <f>D32</f>
        <v>0</v>
      </c>
      <c r="K32" s="613">
        <f>E32</f>
        <v>0</v>
      </c>
      <c r="L32" s="613">
        <f>F32</f>
        <v>0</v>
      </c>
      <c r="M32" s="613">
        <f>G32</f>
        <v>0</v>
      </c>
      <c r="O32" s="613"/>
    </row>
    <row r="33" spans="1:15" ht="13.5">
      <c r="A33" s="597"/>
      <c r="B33" s="598" t="s">
        <v>789</v>
      </c>
      <c r="C33" s="1152"/>
      <c r="D33" s="614"/>
      <c r="E33" s="614"/>
      <c r="F33" s="614"/>
      <c r="G33" s="614"/>
      <c r="H33" s="647"/>
      <c r="I33" s="613">
        <f t="shared" ref="I33:I43" si="0">I32+C33</f>
        <v>0</v>
      </c>
      <c r="J33" s="613">
        <f t="shared" ref="J33:J43" si="1">J32+D33</f>
        <v>0</v>
      </c>
      <c r="K33" s="613">
        <f t="shared" ref="K33:K43" si="2">K32+E33</f>
        <v>0</v>
      </c>
      <c r="L33" s="613">
        <f t="shared" ref="L33:L43" si="3">L32+F33</f>
        <v>0</v>
      </c>
      <c r="M33" s="613">
        <f t="shared" ref="M33:M43" si="4">M32+G33</f>
        <v>0</v>
      </c>
      <c r="O33" s="613"/>
    </row>
    <row r="34" spans="1:15" ht="13.5">
      <c r="A34" s="597"/>
      <c r="B34" s="598" t="s">
        <v>790</v>
      </c>
      <c r="C34" s="1152"/>
      <c r="D34" s="614"/>
      <c r="E34" s="614"/>
      <c r="F34" s="614"/>
      <c r="G34" s="614"/>
      <c r="H34" s="647"/>
      <c r="I34" s="613">
        <f t="shared" si="0"/>
        <v>0</v>
      </c>
      <c r="J34" s="613">
        <f t="shared" si="1"/>
        <v>0</v>
      </c>
      <c r="K34" s="613">
        <f t="shared" si="2"/>
        <v>0</v>
      </c>
      <c r="L34" s="613">
        <f t="shared" si="3"/>
        <v>0</v>
      </c>
      <c r="M34" s="613">
        <f t="shared" si="4"/>
        <v>0</v>
      </c>
      <c r="O34" s="613"/>
    </row>
    <row r="35" spans="1:15" ht="13.5">
      <c r="A35" s="597"/>
      <c r="B35" s="598" t="s">
        <v>791</v>
      </c>
      <c r="C35" s="1152"/>
      <c r="D35" s="614"/>
      <c r="E35" s="614"/>
      <c r="F35" s="614"/>
      <c r="G35" s="614"/>
      <c r="H35" s="647"/>
      <c r="I35" s="613">
        <f t="shared" si="0"/>
        <v>0</v>
      </c>
      <c r="J35" s="613">
        <f t="shared" si="1"/>
        <v>0</v>
      </c>
      <c r="K35" s="613">
        <f t="shared" si="2"/>
        <v>0</v>
      </c>
      <c r="L35" s="613">
        <f t="shared" si="3"/>
        <v>0</v>
      </c>
      <c r="M35" s="613">
        <f t="shared" si="4"/>
        <v>0</v>
      </c>
      <c r="O35" s="613"/>
    </row>
    <row r="36" spans="1:15" ht="13.5">
      <c r="A36" s="597"/>
      <c r="B36" s="598" t="s">
        <v>786</v>
      </c>
      <c r="C36" s="1152"/>
      <c r="D36" s="614"/>
      <c r="E36" s="614"/>
      <c r="F36" s="614"/>
      <c r="G36" s="614"/>
      <c r="H36" s="647"/>
      <c r="I36" s="613">
        <f t="shared" si="0"/>
        <v>0</v>
      </c>
      <c r="J36" s="613">
        <f t="shared" si="1"/>
        <v>0</v>
      </c>
      <c r="K36" s="613">
        <f t="shared" si="2"/>
        <v>0</v>
      </c>
      <c r="L36" s="613">
        <f t="shared" si="3"/>
        <v>0</v>
      </c>
      <c r="M36" s="613">
        <f t="shared" si="4"/>
        <v>0</v>
      </c>
      <c r="O36" s="613"/>
    </row>
    <row r="37" spans="1:15" ht="13.5">
      <c r="A37" s="597"/>
      <c r="B37" s="598" t="s">
        <v>792</v>
      </c>
      <c r="C37" s="1152"/>
      <c r="D37" s="614"/>
      <c r="E37" s="614"/>
      <c r="F37" s="614"/>
      <c r="G37" s="614"/>
      <c r="H37" s="647"/>
      <c r="I37" s="613">
        <f t="shared" si="0"/>
        <v>0</v>
      </c>
      <c r="J37" s="613">
        <f t="shared" si="1"/>
        <v>0</v>
      </c>
      <c r="K37" s="613">
        <f t="shared" si="2"/>
        <v>0</v>
      </c>
      <c r="L37" s="613">
        <f t="shared" si="3"/>
        <v>0</v>
      </c>
      <c r="M37" s="613">
        <f t="shared" si="4"/>
        <v>0</v>
      </c>
      <c r="O37" s="613"/>
    </row>
    <row r="38" spans="1:15" ht="13.5">
      <c r="A38" s="597"/>
      <c r="B38" s="598" t="s">
        <v>793</v>
      </c>
      <c r="C38" s="1152"/>
      <c r="D38" s="614"/>
      <c r="E38" s="614"/>
      <c r="F38" s="614"/>
      <c r="G38" s="614"/>
      <c r="H38" s="647"/>
      <c r="I38" s="613">
        <f t="shared" si="0"/>
        <v>0</v>
      </c>
      <c r="J38" s="613">
        <f t="shared" si="1"/>
        <v>0</v>
      </c>
      <c r="K38" s="613">
        <f t="shared" si="2"/>
        <v>0</v>
      </c>
      <c r="L38" s="613">
        <f t="shared" si="3"/>
        <v>0</v>
      </c>
      <c r="M38" s="613">
        <f t="shared" si="4"/>
        <v>0</v>
      </c>
      <c r="O38" s="613"/>
    </row>
    <row r="39" spans="1:15" ht="13.5">
      <c r="A39" s="597"/>
      <c r="B39" s="598" t="s">
        <v>794</v>
      </c>
      <c r="C39" s="1152"/>
      <c r="D39" s="614"/>
      <c r="E39" s="614"/>
      <c r="F39" s="614"/>
      <c r="G39" s="614"/>
      <c r="H39" s="647"/>
      <c r="I39" s="613">
        <f t="shared" si="0"/>
        <v>0</v>
      </c>
      <c r="J39" s="613">
        <f t="shared" si="1"/>
        <v>0</v>
      </c>
      <c r="K39" s="613">
        <f t="shared" si="2"/>
        <v>0</v>
      </c>
      <c r="L39" s="613">
        <f t="shared" si="3"/>
        <v>0</v>
      </c>
      <c r="M39" s="613">
        <f t="shared" si="4"/>
        <v>0</v>
      </c>
      <c r="O39" s="613"/>
    </row>
    <row r="40" spans="1:15" ht="13.5">
      <c r="A40" s="597"/>
      <c r="B40" s="598" t="s">
        <v>795</v>
      </c>
      <c r="C40" s="1152"/>
      <c r="D40" s="614"/>
      <c r="E40" s="614"/>
      <c r="F40" s="614"/>
      <c r="G40" s="614"/>
      <c r="H40" s="647"/>
      <c r="I40" s="613">
        <f t="shared" si="0"/>
        <v>0</v>
      </c>
      <c r="J40" s="613">
        <f t="shared" si="1"/>
        <v>0</v>
      </c>
      <c r="K40" s="613">
        <f t="shared" si="2"/>
        <v>0</v>
      </c>
      <c r="L40" s="613">
        <f t="shared" si="3"/>
        <v>0</v>
      </c>
      <c r="M40" s="613">
        <f t="shared" si="4"/>
        <v>0</v>
      </c>
      <c r="O40" s="613"/>
    </row>
    <row r="41" spans="1:15" ht="13.5">
      <c r="A41" s="597"/>
      <c r="B41" s="598" t="s">
        <v>796</v>
      </c>
      <c r="C41" s="1152"/>
      <c r="D41" s="614"/>
      <c r="E41" s="614"/>
      <c r="F41" s="614"/>
      <c r="G41" s="614"/>
      <c r="H41" s="647"/>
      <c r="I41" s="613">
        <f t="shared" si="0"/>
        <v>0</v>
      </c>
      <c r="J41" s="613">
        <f t="shared" si="1"/>
        <v>0</v>
      </c>
      <c r="K41" s="613">
        <f t="shared" si="2"/>
        <v>0</v>
      </c>
      <c r="L41" s="613">
        <f t="shared" si="3"/>
        <v>0</v>
      </c>
      <c r="M41" s="613">
        <f t="shared" si="4"/>
        <v>0</v>
      </c>
      <c r="O41" s="613"/>
    </row>
    <row r="42" spans="1:15" ht="13.5">
      <c r="A42" s="597"/>
      <c r="B42" s="598" t="s">
        <v>797</v>
      </c>
      <c r="C42" s="1152"/>
      <c r="D42" s="614"/>
      <c r="E42" s="614"/>
      <c r="F42" s="614"/>
      <c r="G42" s="614"/>
      <c r="H42" s="647"/>
      <c r="I42" s="613">
        <f t="shared" si="0"/>
        <v>0</v>
      </c>
      <c r="J42" s="613">
        <f t="shared" si="1"/>
        <v>0</v>
      </c>
      <c r="K42" s="613">
        <f t="shared" si="2"/>
        <v>0</v>
      </c>
      <c r="L42" s="613">
        <f t="shared" si="3"/>
        <v>0</v>
      </c>
      <c r="M42" s="613">
        <f t="shared" si="4"/>
        <v>0</v>
      </c>
      <c r="O42" s="613"/>
    </row>
    <row r="43" spans="1:15" ht="13.5">
      <c r="A43" s="597"/>
      <c r="B43" s="598" t="s">
        <v>798</v>
      </c>
      <c r="C43" s="1152"/>
      <c r="D43" s="614"/>
      <c r="E43" s="614"/>
      <c r="F43" s="614"/>
      <c r="G43" s="614"/>
      <c r="H43" s="647"/>
      <c r="I43" s="613">
        <f t="shared" si="0"/>
        <v>0</v>
      </c>
      <c r="J43" s="613">
        <f t="shared" si="1"/>
        <v>0</v>
      </c>
      <c r="K43" s="613">
        <f t="shared" si="2"/>
        <v>0</v>
      </c>
      <c r="L43" s="613">
        <f t="shared" si="3"/>
        <v>0</v>
      </c>
      <c r="M43" s="613">
        <f t="shared" si="4"/>
        <v>0</v>
      </c>
      <c r="O43" s="613"/>
    </row>
    <row r="44" spans="1:15" ht="13.5">
      <c r="A44" s="597"/>
      <c r="B44" s="598" t="s">
        <v>1015</v>
      </c>
      <c r="C44" s="613">
        <f>SUM(C32:C43)</f>
        <v>0</v>
      </c>
      <c r="D44" s="613">
        <v>0</v>
      </c>
      <c r="E44" s="613">
        <v>0</v>
      </c>
      <c r="F44" s="613">
        <v>0</v>
      </c>
      <c r="G44" s="613">
        <v>0</v>
      </c>
      <c r="H44" s="613" t="s">
        <v>91</v>
      </c>
      <c r="I44" s="613">
        <f>AVERAGE(I32:I43)</f>
        <v>0</v>
      </c>
      <c r="J44" s="613">
        <f>AVERAGE(J32:J43)</f>
        <v>0</v>
      </c>
      <c r="K44" s="613">
        <f>AVERAGE(K32:K43)</f>
        <v>0</v>
      </c>
      <c r="L44" s="613">
        <f>AVERAGE(L32:L43)</f>
        <v>0</v>
      </c>
      <c r="M44" s="613">
        <f>AVERAGE(M32:M43)</f>
        <v>0</v>
      </c>
      <c r="O44" s="613"/>
    </row>
    <row r="45" spans="1:15" ht="13.5">
      <c r="A45" s="597"/>
      <c r="C45" s="598"/>
      <c r="D45" s="429"/>
      <c r="E45" s="429"/>
      <c r="F45" s="429"/>
      <c r="G45" s="429"/>
      <c r="H45" s="429"/>
      <c r="I45" s="429"/>
      <c r="J45" s="429"/>
      <c r="K45" s="615"/>
      <c r="L45" s="598"/>
      <c r="M45" s="598"/>
      <c r="N45" s="598"/>
    </row>
    <row r="46" spans="1:15" ht="13.5">
      <c r="A46" s="597"/>
      <c r="B46" s="598" t="s">
        <v>93</v>
      </c>
      <c r="C46" s="598"/>
      <c r="D46" s="429"/>
      <c r="E46" s="429"/>
      <c r="F46" s="429"/>
      <c r="G46" s="429"/>
      <c r="H46" s="429"/>
      <c r="I46" s="429"/>
      <c r="K46" s="1450" t="s">
        <v>92</v>
      </c>
      <c r="L46" s="613">
        <f>SUM(I44:M44)</f>
        <v>0</v>
      </c>
      <c r="M46" s="613"/>
      <c r="N46" s="613"/>
    </row>
    <row r="47" spans="1:15" ht="13.5">
      <c r="A47" s="1852"/>
      <c r="B47" s="598"/>
      <c r="C47" s="598"/>
      <c r="D47" s="429"/>
      <c r="E47" s="429"/>
      <c r="F47" s="429"/>
      <c r="G47" s="429"/>
      <c r="H47" s="429"/>
      <c r="I47" s="429"/>
      <c r="J47" s="598"/>
      <c r="K47" s="598"/>
      <c r="L47" s="429"/>
      <c r="M47" s="613"/>
      <c r="N47" s="598"/>
      <c r="O47" s="613"/>
    </row>
    <row r="48" spans="1:15" ht="13.5">
      <c r="A48" s="597"/>
      <c r="B48" s="597"/>
      <c r="C48" s="597"/>
      <c r="D48" s="598"/>
      <c r="E48" s="598"/>
      <c r="F48" s="429"/>
      <c r="G48" s="429"/>
      <c r="H48" s="429"/>
      <c r="I48" s="429"/>
      <c r="J48" s="598"/>
      <c r="L48" s="429"/>
      <c r="M48" s="616"/>
      <c r="N48" s="616"/>
      <c r="O48" s="617"/>
    </row>
    <row r="49" spans="1:15" ht="13.5">
      <c r="A49" s="597">
        <v>3</v>
      </c>
      <c r="B49" s="597" t="s">
        <v>785</v>
      </c>
      <c r="C49" s="597" t="s">
        <v>760</v>
      </c>
      <c r="D49" s="604" t="s">
        <v>1426</v>
      </c>
      <c r="E49" s="598"/>
      <c r="F49" s="598"/>
      <c r="G49" s="598"/>
      <c r="H49" s="598"/>
      <c r="I49" s="598"/>
      <c r="J49" s="598"/>
      <c r="K49" s="598"/>
      <c r="L49" s="613"/>
      <c r="M49" s="598"/>
      <c r="N49" s="598"/>
      <c r="O49" s="598"/>
    </row>
    <row r="50" spans="1:15" ht="13.5">
      <c r="A50" s="597"/>
      <c r="B50" s="597"/>
      <c r="C50" s="597"/>
      <c r="D50" s="618">
        <v>85064533</v>
      </c>
      <c r="E50" s="611"/>
      <c r="F50" s="613"/>
      <c r="G50" s="610" t="s">
        <v>1420</v>
      </c>
      <c r="H50" s="613"/>
      <c r="I50" s="598"/>
      <c r="J50" s="598"/>
      <c r="L50" s="613"/>
      <c r="M50" s="1858"/>
      <c r="N50" s="602"/>
      <c r="O50" s="616"/>
    </row>
    <row r="51" spans="1:15" ht="13.5">
      <c r="A51" s="597"/>
      <c r="B51" s="597"/>
      <c r="C51" s="597"/>
      <c r="D51" s="619"/>
      <c r="E51" s="597"/>
      <c r="F51" s="613"/>
      <c r="G51" s="1614"/>
      <c r="H51" s="613"/>
      <c r="I51" s="598"/>
      <c r="J51" s="598"/>
      <c r="K51" s="598"/>
      <c r="L51" s="598"/>
      <c r="M51" s="598"/>
      <c r="N51" s="598"/>
      <c r="O51" s="598"/>
    </row>
    <row r="52" spans="1:15" ht="13.5">
      <c r="A52" s="597">
        <v>4</v>
      </c>
      <c r="B52" s="597" t="s">
        <v>786</v>
      </c>
      <c r="C52" s="597" t="s">
        <v>760</v>
      </c>
      <c r="D52" s="598" t="s">
        <v>1127</v>
      </c>
      <c r="E52" s="598"/>
      <c r="F52" s="598"/>
      <c r="G52" s="1615"/>
      <c r="H52" s="598"/>
      <c r="I52" s="598"/>
      <c r="J52" s="598"/>
      <c r="K52" s="598"/>
      <c r="L52" s="598"/>
      <c r="M52" s="598"/>
      <c r="N52" s="598"/>
      <c r="O52" s="598"/>
    </row>
    <row r="53" spans="1:15" ht="13.5">
      <c r="A53" s="597"/>
      <c r="B53" s="597"/>
      <c r="C53" s="597"/>
      <c r="D53" s="609">
        <v>85064533</v>
      </c>
      <c r="E53" s="429"/>
      <c r="F53" s="619"/>
      <c r="G53" s="610" t="s">
        <v>1420</v>
      </c>
      <c r="H53" s="598"/>
      <c r="I53" s="598"/>
      <c r="J53" s="598"/>
      <c r="K53" s="598"/>
      <c r="L53" s="598"/>
      <c r="M53" s="598"/>
      <c r="N53" s="598"/>
      <c r="O53" s="598"/>
    </row>
    <row r="54" spans="1:15" ht="13.5">
      <c r="A54" s="597"/>
      <c r="B54" s="597"/>
      <c r="C54" s="597"/>
      <c r="D54" s="620"/>
      <c r="E54" s="598"/>
      <c r="F54" s="598"/>
      <c r="G54" s="598"/>
      <c r="H54" s="598"/>
      <c r="I54" s="598"/>
      <c r="J54" s="598"/>
      <c r="K54" s="598"/>
      <c r="L54" s="598"/>
      <c r="M54" s="598"/>
      <c r="N54" s="598"/>
      <c r="O54" s="598"/>
    </row>
    <row r="55" spans="1:15" ht="13.5">
      <c r="A55" s="597">
        <v>5</v>
      </c>
      <c r="B55" s="597" t="s">
        <v>787</v>
      </c>
      <c r="C55" s="597" t="s">
        <v>760</v>
      </c>
      <c r="D55" s="604" t="s">
        <v>1427</v>
      </c>
      <c r="E55" s="598"/>
      <c r="F55" s="598"/>
      <c r="G55" s="598"/>
      <c r="H55" s="598"/>
      <c r="I55" s="598"/>
      <c r="J55" s="598"/>
      <c r="K55" s="598"/>
      <c r="L55" s="598"/>
      <c r="M55" s="598"/>
      <c r="N55" s="598"/>
      <c r="O55" s="598"/>
    </row>
    <row r="56" spans="1:15" ht="13.5">
      <c r="A56" s="597"/>
      <c r="B56" s="597"/>
      <c r="C56" s="597"/>
      <c r="D56" s="618">
        <f>D53</f>
        <v>85064533</v>
      </c>
      <c r="E56" s="598"/>
      <c r="F56" s="598"/>
      <c r="G56" s="598"/>
      <c r="H56" s="598"/>
      <c r="I56" s="598"/>
      <c r="J56" s="598"/>
      <c r="K56" s="598"/>
      <c r="L56" s="598"/>
      <c r="M56" s="598"/>
      <c r="N56" s="598"/>
      <c r="O56" s="598"/>
    </row>
    <row r="57" spans="1:15" ht="13.5">
      <c r="A57" s="621"/>
      <c r="B57" s="621"/>
      <c r="C57" s="621"/>
      <c r="D57" s="622"/>
      <c r="E57" s="622"/>
      <c r="F57" s="622"/>
      <c r="G57" s="622"/>
      <c r="H57" s="622"/>
      <c r="I57" s="622"/>
      <c r="J57" s="622"/>
      <c r="K57" s="622"/>
      <c r="L57" s="598"/>
      <c r="M57" s="598"/>
      <c r="N57" s="598"/>
      <c r="O57" s="598"/>
    </row>
    <row r="58" spans="1:15" ht="15.75">
      <c r="A58" s="621"/>
      <c r="B58" s="621"/>
      <c r="C58" s="621"/>
      <c r="D58" s="622"/>
      <c r="E58" s="622"/>
      <c r="F58" s="622"/>
      <c r="G58" s="622"/>
      <c r="H58" s="622"/>
      <c r="I58" s="622"/>
      <c r="J58" s="623"/>
      <c r="K58" s="622"/>
      <c r="L58" s="598"/>
      <c r="M58" s="598"/>
      <c r="N58" s="598"/>
      <c r="O58" s="598"/>
    </row>
    <row r="59" spans="1:15" ht="15.75">
      <c r="A59" s="621"/>
      <c r="B59" s="621"/>
      <c r="C59" s="621"/>
      <c r="D59" s="622"/>
      <c r="E59" s="622"/>
      <c r="F59" s="622"/>
      <c r="G59" s="622"/>
      <c r="H59" s="622"/>
      <c r="I59" s="622"/>
      <c r="J59" s="623"/>
      <c r="K59" s="622"/>
      <c r="L59" s="598"/>
      <c r="M59" s="602"/>
      <c r="N59" s="598"/>
      <c r="O59" s="598"/>
    </row>
    <row r="60" spans="1:15" ht="13.5">
      <c r="A60" s="597">
        <v>6</v>
      </c>
      <c r="B60" s="597" t="s">
        <v>785</v>
      </c>
      <c r="C60" s="597" t="s">
        <v>761</v>
      </c>
      <c r="D60" s="604" t="s">
        <v>1428</v>
      </c>
      <c r="E60" s="598"/>
      <c r="F60" s="598"/>
      <c r="G60" s="598"/>
      <c r="H60" s="598"/>
      <c r="I60" s="598"/>
      <c r="J60" s="598"/>
      <c r="K60" s="598"/>
      <c r="L60" s="598"/>
      <c r="M60" s="602"/>
      <c r="N60" s="598"/>
      <c r="O60" s="598"/>
    </row>
    <row r="61" spans="1:15" ht="13.5">
      <c r="A61" s="597"/>
      <c r="B61" s="597"/>
      <c r="C61" s="597"/>
      <c r="D61" s="624">
        <v>92840668</v>
      </c>
      <c r="E61" s="598" t="s">
        <v>816</v>
      </c>
      <c r="F61" s="598"/>
      <c r="G61" s="610" t="s">
        <v>1422</v>
      </c>
      <c r="H61" s="598"/>
      <c r="I61" s="598"/>
      <c r="J61" s="429"/>
      <c r="K61" s="598"/>
      <c r="L61" s="598"/>
      <c r="M61" s="602"/>
      <c r="N61" s="598"/>
      <c r="O61" s="598"/>
    </row>
    <row r="62" spans="1:15" ht="13.5">
      <c r="A62" s="597"/>
      <c r="B62" s="597"/>
      <c r="C62" s="597"/>
      <c r="D62" s="625"/>
      <c r="E62" s="651"/>
      <c r="F62" s="650"/>
      <c r="G62" s="651"/>
      <c r="H62" s="651"/>
      <c r="J62" s="598"/>
      <c r="K62" s="598"/>
      <c r="L62" s="598"/>
      <c r="M62" s="1858"/>
      <c r="N62" s="598"/>
      <c r="O62" s="598"/>
    </row>
    <row r="63" spans="1:15" ht="13.5">
      <c r="A63" s="597"/>
      <c r="B63" s="597"/>
      <c r="C63" s="597"/>
      <c r="D63" s="626"/>
      <c r="E63" s="598"/>
      <c r="F63" s="598"/>
      <c r="G63" s="598"/>
      <c r="H63" s="598"/>
      <c r="I63" s="598"/>
      <c r="J63" s="598"/>
      <c r="K63" s="598"/>
      <c r="L63" s="598"/>
      <c r="M63" s="602"/>
      <c r="N63" s="598"/>
      <c r="O63" s="598"/>
    </row>
    <row r="64" spans="1:15" ht="13.5">
      <c r="A64" s="597"/>
      <c r="B64" s="597"/>
      <c r="C64" s="597"/>
      <c r="D64" s="598"/>
      <c r="E64" s="598"/>
      <c r="F64" s="598"/>
      <c r="G64" s="598"/>
      <c r="H64" s="613"/>
      <c r="I64" s="598"/>
      <c r="J64" s="598"/>
      <c r="K64" s="598"/>
      <c r="L64" s="598"/>
      <c r="M64" s="602"/>
      <c r="N64" s="651"/>
      <c r="O64" s="651"/>
    </row>
    <row r="65" spans="1:15" ht="13.5">
      <c r="A65" s="597">
        <v>7</v>
      </c>
      <c r="B65" s="597" t="s">
        <v>785</v>
      </c>
      <c r="C65" s="597" t="s">
        <v>761</v>
      </c>
      <c r="D65" s="604" t="s">
        <v>1161</v>
      </c>
      <c r="E65" s="605"/>
      <c r="F65" s="605"/>
      <c r="G65" s="605"/>
      <c r="H65" s="605"/>
      <c r="I65" s="605"/>
      <c r="J65" s="605"/>
      <c r="K65" s="598"/>
      <c r="L65" s="598"/>
      <c r="M65" s="602"/>
      <c r="N65" s="651"/>
      <c r="O65" s="651"/>
    </row>
    <row r="66" spans="1:15" ht="13.5">
      <c r="A66" s="597"/>
      <c r="B66" s="597"/>
      <c r="C66" s="597"/>
      <c r="D66" s="627"/>
      <c r="E66" s="628"/>
      <c r="F66" s="628"/>
      <c r="G66" s="628"/>
      <c r="H66" s="605"/>
      <c r="I66" s="605"/>
      <c r="J66" s="605"/>
      <c r="K66" s="598"/>
      <c r="L66" s="598"/>
      <c r="M66" s="602"/>
      <c r="N66" s="651"/>
      <c r="O66" s="651"/>
    </row>
    <row r="67" spans="1:15" ht="13.5">
      <c r="A67" s="597"/>
      <c r="B67" s="597"/>
      <c r="C67" s="597"/>
      <c r="D67" s="629"/>
      <c r="E67" s="629"/>
      <c r="F67" s="629"/>
      <c r="G67" s="629"/>
      <c r="H67" s="629"/>
      <c r="I67" s="629"/>
      <c r="J67" s="629"/>
      <c r="K67" s="598"/>
      <c r="L67" s="619"/>
      <c r="M67" s="602"/>
      <c r="N67" s="651"/>
      <c r="O67" s="651"/>
    </row>
    <row r="68" spans="1:15" ht="13.5">
      <c r="A68" s="597"/>
      <c r="B68" s="598"/>
      <c r="C68" s="598"/>
      <c r="D68" s="429"/>
      <c r="E68" s="429"/>
      <c r="F68" s="429"/>
      <c r="G68" s="429"/>
      <c r="H68" s="429"/>
      <c r="I68" s="429"/>
      <c r="J68" s="598"/>
      <c r="K68" s="598"/>
      <c r="L68" s="613"/>
      <c r="M68" s="602"/>
      <c r="N68" s="1766"/>
      <c r="O68" s="651"/>
    </row>
    <row r="69" spans="1:15" ht="13.5">
      <c r="A69" s="597"/>
      <c r="B69" s="597"/>
      <c r="C69" s="597"/>
      <c r="D69" s="1635">
        <f>D61</f>
        <v>92840668</v>
      </c>
      <c r="E69" s="630" t="s">
        <v>1146</v>
      </c>
      <c r="F69" s="598"/>
      <c r="G69" s="610" t="s">
        <v>1423</v>
      </c>
      <c r="H69" s="598"/>
      <c r="I69" s="598"/>
      <c r="J69" s="598"/>
      <c r="K69" s="598"/>
      <c r="L69" s="613"/>
      <c r="M69" s="602"/>
      <c r="N69" s="1766"/>
      <c r="O69" s="1767"/>
    </row>
    <row r="70" spans="1:15" ht="13.5">
      <c r="A70" s="430"/>
      <c r="B70" s="597"/>
      <c r="C70" s="597"/>
      <c r="D70" s="429"/>
      <c r="E70" s="598" t="s">
        <v>1166</v>
      </c>
      <c r="F70" s="598"/>
      <c r="G70" s="602"/>
      <c r="H70" s="634"/>
      <c r="I70" s="602"/>
      <c r="J70" s="598"/>
      <c r="K70" s="598"/>
      <c r="L70" s="598"/>
      <c r="M70" s="602"/>
      <c r="N70" s="598"/>
      <c r="O70" s="598"/>
    </row>
    <row r="71" spans="1:15" ht="13.5">
      <c r="A71" s="597"/>
      <c r="B71" s="597"/>
      <c r="C71" s="597"/>
      <c r="D71" s="630"/>
      <c r="E71" s="598"/>
      <c r="F71" s="598"/>
      <c r="G71" s="602"/>
      <c r="H71" s="634"/>
      <c r="I71" s="602"/>
      <c r="J71" s="598"/>
      <c r="K71" s="598"/>
      <c r="L71" s="598"/>
      <c r="M71" s="1858"/>
      <c r="N71" s="651"/>
      <c r="O71" s="651"/>
    </row>
    <row r="72" spans="1:15" ht="13.5">
      <c r="A72" s="430"/>
      <c r="B72" s="597"/>
      <c r="C72" s="597"/>
      <c r="D72" s="1635">
        <v>4015529</v>
      </c>
      <c r="E72" s="598" t="s">
        <v>509</v>
      </c>
      <c r="F72" s="598"/>
      <c r="G72" s="602"/>
      <c r="H72" s="634"/>
      <c r="I72" s="602"/>
      <c r="J72" s="598"/>
      <c r="K72" s="598"/>
      <c r="L72" s="598"/>
      <c r="M72" s="602"/>
      <c r="N72" s="651"/>
      <c r="O72" s="651"/>
    </row>
    <row r="73" spans="1:15" ht="13.5">
      <c r="A73" s="430"/>
      <c r="B73" s="597"/>
      <c r="C73" s="597"/>
      <c r="D73" s="429"/>
      <c r="E73" s="692"/>
      <c r="F73" s="598"/>
      <c r="G73" s="602"/>
      <c r="H73" s="634"/>
      <c r="I73" s="602"/>
      <c r="J73" s="598"/>
      <c r="K73" s="598"/>
      <c r="L73" s="598"/>
      <c r="M73" s="598"/>
      <c r="N73" s="613"/>
      <c r="O73" s="598"/>
    </row>
    <row r="74" spans="1:15" ht="13.5">
      <c r="A74" s="597"/>
      <c r="B74" s="597"/>
      <c r="C74" s="597"/>
      <c r="D74" s="630"/>
      <c r="E74" s="598"/>
      <c r="F74" s="598"/>
      <c r="G74" s="602"/>
      <c r="H74" s="634"/>
      <c r="I74" s="602"/>
      <c r="J74" s="598"/>
      <c r="K74" s="598"/>
      <c r="L74" s="598"/>
      <c r="M74" s="598"/>
      <c r="N74" s="598"/>
      <c r="O74" s="598"/>
    </row>
    <row r="75" spans="1:15" ht="13.5">
      <c r="A75" s="597">
        <v>8</v>
      </c>
      <c r="B75" s="597" t="s">
        <v>785</v>
      </c>
      <c r="C75" s="597" t="s">
        <v>761</v>
      </c>
      <c r="D75" s="604" t="s">
        <v>1147</v>
      </c>
      <c r="E75" s="598"/>
      <c r="F75" s="598"/>
      <c r="G75" s="598"/>
      <c r="H75" s="598"/>
      <c r="I75" s="598"/>
      <c r="J75" s="1858"/>
      <c r="K75" s="598"/>
      <c r="L75" s="598"/>
      <c r="M75" s="598"/>
      <c r="N75" s="598"/>
      <c r="O75" s="598"/>
    </row>
    <row r="76" spans="1:15" ht="13.5">
      <c r="A76" s="597"/>
      <c r="B76" s="597"/>
      <c r="C76" s="597"/>
      <c r="D76" s="604"/>
      <c r="E76" s="598"/>
      <c r="F76" s="598"/>
      <c r="G76" s="598"/>
      <c r="H76" s="598"/>
      <c r="I76" s="598"/>
      <c r="J76" s="598"/>
      <c r="K76" s="598"/>
      <c r="L76" s="598"/>
      <c r="M76" s="598"/>
      <c r="N76" s="598"/>
      <c r="O76" s="598"/>
    </row>
    <row r="77" spans="1:15" ht="13.5">
      <c r="A77" s="600"/>
      <c r="B77" s="600"/>
      <c r="C77" s="597"/>
      <c r="D77" s="427" t="s">
        <v>1108</v>
      </c>
      <c r="E77" s="429"/>
      <c r="F77" s="429"/>
      <c r="G77" s="429"/>
      <c r="H77" s="429"/>
      <c r="I77" s="429"/>
      <c r="K77" s="429"/>
      <c r="L77" s="598"/>
      <c r="M77" s="598"/>
      <c r="N77" s="598"/>
      <c r="O77" s="598"/>
    </row>
    <row r="78" spans="1:15" ht="13.5">
      <c r="A78" s="600"/>
      <c r="B78" s="600"/>
      <c r="C78" s="597"/>
      <c r="D78" s="429"/>
      <c r="E78" s="598" t="s">
        <v>1167</v>
      </c>
      <c r="F78" s="598"/>
      <c r="G78" s="598"/>
      <c r="H78" s="598"/>
      <c r="I78" s="598"/>
      <c r="J78" s="598"/>
      <c r="K78" s="429"/>
      <c r="L78" s="598"/>
      <c r="M78" s="598"/>
      <c r="N78" s="598"/>
      <c r="O78" s="598"/>
    </row>
    <row r="79" spans="1:15" ht="27">
      <c r="A79" s="600"/>
      <c r="B79" s="600"/>
      <c r="C79" s="597"/>
      <c r="D79" s="429"/>
      <c r="E79" s="864" t="s">
        <v>781</v>
      </c>
      <c r="F79" s="864" t="s">
        <v>1168</v>
      </c>
      <c r="G79" s="864" t="s">
        <v>1169</v>
      </c>
      <c r="H79" s="864" t="s">
        <v>1170</v>
      </c>
      <c r="I79" s="864" t="s">
        <v>1171</v>
      </c>
      <c r="J79" s="864" t="s">
        <v>1172</v>
      </c>
      <c r="K79" s="629"/>
      <c r="L79" s="598"/>
      <c r="M79" s="1947" t="s">
        <v>1432</v>
      </c>
      <c r="N79" s="650"/>
      <c r="O79" s="598"/>
    </row>
    <row r="80" spans="1:15" ht="13.5">
      <c r="A80" s="1863"/>
      <c r="B80" s="600"/>
      <c r="C80" s="597"/>
      <c r="D80" s="429"/>
      <c r="E80" s="598" t="s">
        <v>788</v>
      </c>
      <c r="F80" s="882">
        <v>1.4630000000000001</v>
      </c>
      <c r="G80" s="1411">
        <f>'WKSHT4 - Monthly Tx System Peak'!C9</f>
        <v>5119</v>
      </c>
      <c r="H80" s="651">
        <f>+F80*G80*1000</f>
        <v>7489097.0000000009</v>
      </c>
      <c r="I80" s="636">
        <v>0</v>
      </c>
      <c r="J80" s="651">
        <f>+H80-I80</f>
        <v>7489097.0000000009</v>
      </c>
      <c r="K80" s="429"/>
      <c r="L80" s="598"/>
      <c r="M80" s="1411">
        <v>356410</v>
      </c>
      <c r="N80" s="636" t="s">
        <v>1434</v>
      </c>
      <c r="O80" s="598"/>
    </row>
    <row r="81" spans="1:15" ht="13.5">
      <c r="A81" s="600"/>
      <c r="B81" s="600"/>
      <c r="C81" s="597"/>
      <c r="D81" s="429"/>
      <c r="E81" s="598" t="s">
        <v>789</v>
      </c>
      <c r="F81" s="882">
        <f>F80</f>
        <v>1.4630000000000001</v>
      </c>
      <c r="G81" s="1411">
        <f>'WKSHT4 - Monthly Tx System Peak'!C10</f>
        <v>5752</v>
      </c>
      <c r="H81" s="651">
        <f t="shared" ref="H81:H91" si="5">+F81*G81*1000</f>
        <v>8415176.0000000019</v>
      </c>
      <c r="I81" s="636">
        <v>0</v>
      </c>
      <c r="J81" s="651">
        <f t="shared" ref="J81:J91" si="6">+H81-I81</f>
        <v>8415176.0000000019</v>
      </c>
      <c r="K81" s="429"/>
      <c r="L81" s="598"/>
      <c r="M81" s="636"/>
      <c r="N81" s="636"/>
      <c r="O81" s="598"/>
    </row>
    <row r="82" spans="1:15" ht="13.5">
      <c r="A82" s="600"/>
      <c r="B82" s="600"/>
      <c r="C82" s="597"/>
      <c r="D82" s="429"/>
      <c r="E82" s="598" t="s">
        <v>790</v>
      </c>
      <c r="F82" s="882">
        <f>F81</f>
        <v>1.4630000000000001</v>
      </c>
      <c r="G82" s="1411">
        <f>'WKSHT4 - Monthly Tx System Peak'!C11</f>
        <v>4651</v>
      </c>
      <c r="H82" s="651">
        <f t="shared" si="5"/>
        <v>6804413</v>
      </c>
      <c r="I82" s="636">
        <v>0</v>
      </c>
      <c r="J82" s="651">
        <f t="shared" si="6"/>
        <v>6804413</v>
      </c>
      <c r="K82" s="429"/>
      <c r="L82" s="598"/>
      <c r="M82" s="636"/>
      <c r="N82" s="636"/>
      <c r="O82" s="598"/>
    </row>
    <row r="83" spans="1:15" ht="13.5">
      <c r="A83" s="600"/>
      <c r="B83" s="600"/>
      <c r="C83" s="597"/>
      <c r="D83" s="429"/>
      <c r="E83" s="598" t="s">
        <v>791</v>
      </c>
      <c r="F83" s="882">
        <f>F82</f>
        <v>1.4630000000000001</v>
      </c>
      <c r="G83" s="1411">
        <f>'WKSHT4 - Monthly Tx System Peak'!C13</f>
        <v>4211</v>
      </c>
      <c r="H83" s="651">
        <f t="shared" si="5"/>
        <v>6160693</v>
      </c>
      <c r="I83" s="636">
        <v>0</v>
      </c>
      <c r="J83" s="651">
        <f t="shared" si="6"/>
        <v>6160693</v>
      </c>
      <c r="K83" s="429"/>
      <c r="L83" s="598"/>
      <c r="M83" s="636"/>
      <c r="N83" s="636"/>
      <c r="O83" s="598"/>
    </row>
    <row r="84" spans="1:15" ht="13.5">
      <c r="A84" s="600"/>
      <c r="B84" s="600"/>
      <c r="C84" s="597"/>
      <c r="D84" s="429"/>
      <c r="E84" s="598" t="s">
        <v>786</v>
      </c>
      <c r="F84" s="882">
        <f>F83</f>
        <v>1.4630000000000001</v>
      </c>
      <c r="G84" s="1411">
        <f>'WKSHT4 - Monthly Tx System Peak'!C14</f>
        <v>3885</v>
      </c>
      <c r="H84" s="651">
        <f>+F84*G84*1000</f>
        <v>5683755</v>
      </c>
      <c r="I84" s="636">
        <v>0</v>
      </c>
      <c r="J84" s="651">
        <f t="shared" si="6"/>
        <v>5683755</v>
      </c>
      <c r="K84" s="429"/>
      <c r="L84" s="598"/>
      <c r="M84" s="636"/>
      <c r="N84" s="636"/>
      <c r="O84" s="598"/>
    </row>
    <row r="85" spans="1:15" ht="15.75">
      <c r="A85" s="600"/>
      <c r="B85" s="600"/>
      <c r="C85" s="597"/>
      <c r="D85" s="429"/>
      <c r="E85" s="598" t="s">
        <v>792</v>
      </c>
      <c r="F85" s="882">
        <v>1.6059000000000001</v>
      </c>
      <c r="G85" s="1411">
        <f>'WKSHT4 - Monthly Tx System Peak'!C15</f>
        <v>4144</v>
      </c>
      <c r="H85" s="651">
        <f t="shared" si="5"/>
        <v>6654849.6000000006</v>
      </c>
      <c r="I85" s="636">
        <v>0</v>
      </c>
      <c r="J85" s="651">
        <f t="shared" si="6"/>
        <v>6654849.6000000006</v>
      </c>
      <c r="K85" s="429"/>
      <c r="L85" s="598"/>
      <c r="M85" s="1948">
        <f>SUM(M80:M84)</f>
        <v>356410</v>
      </c>
      <c r="N85" s="602" t="s">
        <v>1433</v>
      </c>
      <c r="O85" s="598"/>
    </row>
    <row r="86" spans="1:15" ht="13.5">
      <c r="A86" s="600"/>
      <c r="B86" s="600"/>
      <c r="C86" s="597"/>
      <c r="D86" s="429"/>
      <c r="E86" s="598" t="s">
        <v>793</v>
      </c>
      <c r="F86" s="882">
        <f>F85</f>
        <v>1.6059000000000001</v>
      </c>
      <c r="G86" s="1411">
        <f>'WKSHT4 - Monthly Tx System Peak'!C17</f>
        <v>4574</v>
      </c>
      <c r="H86" s="651">
        <f t="shared" si="5"/>
        <v>7345386.6000000006</v>
      </c>
      <c r="I86" s="636">
        <v>0</v>
      </c>
      <c r="J86" s="651">
        <f t="shared" si="6"/>
        <v>7345386.6000000006</v>
      </c>
      <c r="K86" s="429"/>
      <c r="L86" s="598"/>
      <c r="M86" s="651"/>
      <c r="N86" s="598"/>
      <c r="O86" s="598"/>
    </row>
    <row r="87" spans="1:15" ht="13.5">
      <c r="A87" s="600"/>
      <c r="B87" s="600"/>
      <c r="C87" s="597"/>
      <c r="D87" s="429"/>
      <c r="E87" s="598" t="s">
        <v>794</v>
      </c>
      <c r="F87" s="882">
        <f>F86</f>
        <v>1.6059000000000001</v>
      </c>
      <c r="G87" s="1411">
        <f>'WKSHT4 - Monthly Tx System Peak'!C18</f>
        <v>4719</v>
      </c>
      <c r="H87" s="651">
        <f t="shared" si="5"/>
        <v>7578242.1000000006</v>
      </c>
      <c r="I87" s="636">
        <v>0</v>
      </c>
      <c r="J87" s="651">
        <f t="shared" si="6"/>
        <v>7578242.1000000006</v>
      </c>
      <c r="K87" s="429"/>
      <c r="L87" s="598"/>
      <c r="M87" s="651"/>
      <c r="N87" s="598"/>
      <c r="O87" s="598"/>
    </row>
    <row r="88" spans="1:15" ht="13.5">
      <c r="A88" s="1863"/>
      <c r="B88" s="600"/>
      <c r="C88" s="597"/>
      <c r="D88" s="429"/>
      <c r="E88" s="598" t="s">
        <v>795</v>
      </c>
      <c r="F88" s="882">
        <f t="shared" ref="F88:F91" si="7">F87</f>
        <v>1.6059000000000001</v>
      </c>
      <c r="G88" s="1411">
        <f>'WKSHT4 - Monthly Tx System Peak'!C19</f>
        <v>4454</v>
      </c>
      <c r="H88" s="651">
        <f t="shared" si="5"/>
        <v>7152678.6000000006</v>
      </c>
      <c r="I88" s="636">
        <v>0</v>
      </c>
      <c r="J88" s="651">
        <f t="shared" si="6"/>
        <v>7152678.6000000006</v>
      </c>
      <c r="K88" s="429"/>
      <c r="L88" s="598"/>
      <c r="M88" s="651"/>
      <c r="N88" s="598"/>
      <c r="O88" s="598"/>
    </row>
    <row r="89" spans="1:15" ht="13.5">
      <c r="A89" s="600"/>
      <c r="B89" s="600"/>
      <c r="C89" s="597"/>
      <c r="D89" s="429"/>
      <c r="E89" s="598" t="s">
        <v>796</v>
      </c>
      <c r="F89" s="882">
        <f t="shared" si="7"/>
        <v>1.6059000000000001</v>
      </c>
      <c r="G89" s="1411">
        <f>'WKSHT4 - Monthly Tx System Peak'!C21</f>
        <v>4162</v>
      </c>
      <c r="H89" s="651">
        <f t="shared" si="5"/>
        <v>6683755.8000000007</v>
      </c>
      <c r="I89" s="636">
        <v>0</v>
      </c>
      <c r="J89" s="651">
        <f t="shared" si="6"/>
        <v>6683755.8000000007</v>
      </c>
      <c r="K89" s="429"/>
      <c r="L89" s="598"/>
      <c r="M89" s="651"/>
      <c r="N89" s="598"/>
      <c r="O89" s="598"/>
    </row>
    <row r="90" spans="1:15" ht="13.5">
      <c r="A90" s="600"/>
      <c r="B90" s="600"/>
      <c r="C90" s="597"/>
      <c r="D90" s="429"/>
      <c r="E90" s="598" t="s">
        <v>797</v>
      </c>
      <c r="F90" s="882">
        <f t="shared" si="7"/>
        <v>1.6059000000000001</v>
      </c>
      <c r="G90" s="1411">
        <f>'WKSHT4 - Monthly Tx System Peak'!C22</f>
        <v>5178</v>
      </c>
      <c r="H90" s="651">
        <f t="shared" si="5"/>
        <v>8315350.2000000011</v>
      </c>
      <c r="I90" s="636">
        <v>0</v>
      </c>
      <c r="J90" s="651">
        <f t="shared" si="6"/>
        <v>8315350.2000000011</v>
      </c>
      <c r="K90" s="429"/>
      <c r="L90" s="598"/>
      <c r="M90" s="651"/>
      <c r="N90" s="598"/>
      <c r="O90" s="598"/>
    </row>
    <row r="91" spans="1:15" ht="13.5">
      <c r="A91" s="600"/>
      <c r="B91" s="600"/>
      <c r="C91" s="597"/>
      <c r="D91" s="429"/>
      <c r="E91" s="598" t="s">
        <v>798</v>
      </c>
      <c r="F91" s="882">
        <f t="shared" si="7"/>
        <v>1.6059000000000001</v>
      </c>
      <c r="G91" s="1411">
        <f>'WKSHT4 - Monthly Tx System Peak'!C23</f>
        <v>5603</v>
      </c>
      <c r="H91" s="651">
        <f t="shared" si="5"/>
        <v>8997857.7000000011</v>
      </c>
      <c r="I91" s="1411">
        <v>1989273</v>
      </c>
      <c r="J91" s="651">
        <f t="shared" si="6"/>
        <v>7008584.7000000011</v>
      </c>
      <c r="K91" s="1864"/>
      <c r="L91" s="598"/>
      <c r="N91" s="598"/>
      <c r="O91" s="598"/>
    </row>
    <row r="92" spans="1:15" ht="13.5">
      <c r="A92" s="600"/>
      <c r="B92" s="600"/>
      <c r="C92" s="597"/>
      <c r="D92" s="598"/>
      <c r="E92" s="598" t="s">
        <v>1173</v>
      </c>
      <c r="F92" s="637"/>
      <c r="G92" s="637"/>
      <c r="H92" s="637"/>
      <c r="I92" s="637"/>
      <c r="J92" s="651">
        <f>SUM(J80:J91)</f>
        <v>85291981.600000009</v>
      </c>
      <c r="K92" s="429"/>
      <c r="L92" s="598"/>
      <c r="N92" s="598"/>
      <c r="O92" s="598"/>
    </row>
    <row r="93" spans="1:15" ht="13.5">
      <c r="A93" s="600"/>
      <c r="B93" s="600"/>
      <c r="C93" s="597"/>
      <c r="D93" s="598"/>
      <c r="E93" s="637"/>
      <c r="F93" s="637"/>
      <c r="G93" s="637"/>
      <c r="H93" s="637"/>
      <c r="I93" s="637"/>
      <c r="J93" s="429"/>
      <c r="K93" s="429"/>
      <c r="L93" s="598"/>
      <c r="N93" s="598"/>
      <c r="O93" s="598"/>
    </row>
    <row r="94" spans="1:15" ht="13.5">
      <c r="A94" s="600"/>
      <c r="B94" s="600"/>
      <c r="C94" s="597"/>
      <c r="D94" s="598" t="s">
        <v>453</v>
      </c>
      <c r="E94" s="637"/>
      <c r="F94" s="637"/>
      <c r="G94" s="637"/>
      <c r="H94" s="637"/>
      <c r="I94" s="637"/>
      <c r="J94" s="429"/>
      <c r="K94" s="429"/>
      <c r="L94" s="598"/>
      <c r="M94" s="651"/>
      <c r="N94" s="598"/>
      <c r="O94" s="598"/>
    </row>
    <row r="95" spans="1:15" ht="13.5">
      <c r="A95" s="600"/>
      <c r="B95" s="600"/>
      <c r="C95" s="597"/>
      <c r="D95" s="598"/>
      <c r="E95" s="598" t="s">
        <v>1167</v>
      </c>
      <c r="F95" s="598"/>
      <c r="G95" s="598"/>
      <c r="H95" s="598"/>
      <c r="I95" s="598"/>
      <c r="J95" s="598"/>
      <c r="K95" s="429"/>
      <c r="L95" s="598"/>
      <c r="M95" s="598"/>
      <c r="N95" s="598"/>
      <c r="O95" s="598"/>
    </row>
    <row r="96" spans="1:15" ht="27">
      <c r="A96" s="600"/>
      <c r="B96" s="600"/>
      <c r="C96" s="597"/>
      <c r="D96" s="598"/>
      <c r="E96" s="864" t="s">
        <v>781</v>
      </c>
      <c r="F96" s="864" t="s">
        <v>1168</v>
      </c>
      <c r="G96" s="864" t="s">
        <v>1169</v>
      </c>
      <c r="H96" s="864" t="s">
        <v>1170</v>
      </c>
      <c r="I96" s="864" t="s">
        <v>1171</v>
      </c>
      <c r="J96" s="864" t="s">
        <v>1172</v>
      </c>
      <c r="K96" s="629"/>
      <c r="L96" s="598"/>
      <c r="M96" s="598"/>
      <c r="N96" s="598"/>
      <c r="O96" s="598"/>
    </row>
    <row r="97" spans="1:16" ht="13.5">
      <c r="A97" s="600"/>
      <c r="B97" s="600"/>
      <c r="C97" s="597"/>
      <c r="D97" s="598"/>
      <c r="E97" s="598" t="s">
        <v>788</v>
      </c>
      <c r="F97" s="882">
        <v>7.6999999999999999E-2</v>
      </c>
      <c r="G97" s="1411">
        <f>G80</f>
        <v>5119</v>
      </c>
      <c r="H97" s="651">
        <f>+F97*G97*1000</f>
        <v>394163</v>
      </c>
      <c r="I97" s="636">
        <v>0</v>
      </c>
      <c r="J97" s="651">
        <f>+H97-I97</f>
        <v>394163</v>
      </c>
      <c r="K97" s="429"/>
      <c r="L97" s="598"/>
      <c r="M97" s="598"/>
      <c r="N97" s="598"/>
      <c r="O97" s="598"/>
    </row>
    <row r="98" spans="1:16" ht="13.5">
      <c r="A98" s="600"/>
      <c r="B98" s="600"/>
      <c r="C98" s="597"/>
      <c r="D98" s="598"/>
      <c r="E98" s="598" t="s">
        <v>789</v>
      </c>
      <c r="F98" s="882">
        <f>F97</f>
        <v>7.6999999999999999E-2</v>
      </c>
      <c r="G98" s="1411">
        <f>'WKSHT4 - Monthly Tx System Peak'!C10</f>
        <v>5752</v>
      </c>
      <c r="H98" s="651">
        <f t="shared" ref="H98:H108" si="8">+F98*G98*1000</f>
        <v>442904</v>
      </c>
      <c r="I98" s="636">
        <v>0</v>
      </c>
      <c r="J98" s="651">
        <f t="shared" ref="J98:J108" si="9">+H98-I98</f>
        <v>442904</v>
      </c>
      <c r="K98" s="429"/>
      <c r="L98" s="598"/>
      <c r="M98" s="598"/>
      <c r="N98" s="598"/>
      <c r="O98" s="598"/>
    </row>
    <row r="99" spans="1:16" ht="13.5">
      <c r="A99" s="1863"/>
      <c r="B99" s="600"/>
      <c r="C99" s="597"/>
      <c r="D99" s="598"/>
      <c r="E99" s="598" t="s">
        <v>790</v>
      </c>
      <c r="F99" s="882">
        <f>F98</f>
        <v>7.6999999999999999E-2</v>
      </c>
      <c r="G99" s="1411">
        <f>'WKSHT4 - Monthly Tx System Peak'!C11</f>
        <v>4651</v>
      </c>
      <c r="H99" s="651">
        <f t="shared" si="8"/>
        <v>358127</v>
      </c>
      <c r="I99" s="636">
        <v>0</v>
      </c>
      <c r="J99" s="651">
        <f t="shared" si="9"/>
        <v>358127</v>
      </c>
      <c r="K99" s="429"/>
      <c r="L99" s="598"/>
      <c r="M99" s="598"/>
      <c r="N99" s="598"/>
      <c r="O99" s="598"/>
    </row>
    <row r="100" spans="1:16" ht="13.5">
      <c r="A100" s="600"/>
      <c r="B100" s="600"/>
      <c r="C100" s="597"/>
      <c r="D100" s="598"/>
      <c r="E100" s="598" t="s">
        <v>791</v>
      </c>
      <c r="F100" s="882">
        <f>F99</f>
        <v>7.6999999999999999E-2</v>
      </c>
      <c r="G100" s="1411">
        <f>'WKSHT4 - Monthly Tx System Peak'!C12</f>
        <v>15522</v>
      </c>
      <c r="H100" s="651">
        <f t="shared" si="8"/>
        <v>1195194</v>
      </c>
      <c r="I100" s="636">
        <v>0</v>
      </c>
      <c r="J100" s="651">
        <f t="shared" si="9"/>
        <v>1195194</v>
      </c>
      <c r="K100" s="429"/>
      <c r="L100" s="598"/>
      <c r="M100" s="598"/>
      <c r="N100" s="598"/>
      <c r="O100" s="598"/>
    </row>
    <row r="101" spans="1:16" ht="13.5">
      <c r="A101" s="600"/>
      <c r="B101" s="600"/>
      <c r="C101" s="597"/>
      <c r="D101" s="598"/>
      <c r="E101" s="598" t="s">
        <v>786</v>
      </c>
      <c r="F101" s="882">
        <f>F100</f>
        <v>7.6999999999999999E-2</v>
      </c>
      <c r="G101" s="1411">
        <f>'WKSHT4 - Monthly Tx System Peak'!C13</f>
        <v>4211</v>
      </c>
      <c r="H101" s="651">
        <f t="shared" si="8"/>
        <v>324247</v>
      </c>
      <c r="I101" s="636">
        <v>0</v>
      </c>
      <c r="J101" s="651">
        <f t="shared" si="9"/>
        <v>324247</v>
      </c>
      <c r="K101" s="429"/>
      <c r="L101" s="598"/>
      <c r="M101" s="598"/>
      <c r="N101" s="598"/>
      <c r="O101" s="598"/>
    </row>
    <row r="102" spans="1:16" ht="13.5">
      <c r="A102" s="600"/>
      <c r="B102" s="600"/>
      <c r="C102" s="597"/>
      <c r="D102" s="598"/>
      <c r="E102" s="598" t="s">
        <v>792</v>
      </c>
      <c r="F102" s="882">
        <v>6.5466448785162612E-2</v>
      </c>
      <c r="G102" s="1411">
        <f>'WKSHT4 - Monthly Tx System Peak'!C14</f>
        <v>3885</v>
      </c>
      <c r="H102" s="651">
        <f t="shared" si="8"/>
        <v>254337.15353035674</v>
      </c>
      <c r="I102" s="636">
        <v>0</v>
      </c>
      <c r="J102" s="651">
        <f t="shared" si="9"/>
        <v>254337.15353035674</v>
      </c>
      <c r="K102" s="429"/>
      <c r="L102" s="598"/>
      <c r="M102" s="598"/>
      <c r="N102" s="598"/>
      <c r="O102" s="598"/>
    </row>
    <row r="103" spans="1:16" ht="13.5">
      <c r="A103" s="600"/>
      <c r="B103" s="600"/>
      <c r="C103" s="597"/>
      <c r="D103" s="598"/>
      <c r="E103" s="598" t="s">
        <v>793</v>
      </c>
      <c r="F103" s="882">
        <f t="shared" ref="F103:F108" si="10">F102</f>
        <v>6.5466448785162612E-2</v>
      </c>
      <c r="G103" s="1411">
        <f>'WKSHT4 - Monthly Tx System Peak'!C15</f>
        <v>4144</v>
      </c>
      <c r="H103" s="651">
        <f t="shared" si="8"/>
        <v>271292.96376571385</v>
      </c>
      <c r="I103" s="636">
        <v>0</v>
      </c>
      <c r="J103" s="651">
        <f t="shared" si="9"/>
        <v>271292.96376571385</v>
      </c>
      <c r="K103" s="429"/>
      <c r="L103" s="598"/>
      <c r="M103" s="598"/>
      <c r="N103" s="598"/>
      <c r="O103" s="598"/>
    </row>
    <row r="104" spans="1:16" ht="13.5">
      <c r="A104" s="600"/>
      <c r="B104" s="600"/>
      <c r="C104" s="597"/>
      <c r="D104" s="598"/>
      <c r="E104" s="598" t="s">
        <v>794</v>
      </c>
      <c r="F104" s="882">
        <f t="shared" si="10"/>
        <v>6.5466448785162612E-2</v>
      </c>
      <c r="G104" s="1411">
        <f>'WKSHT4 - Monthly Tx System Peak'!C16</f>
        <v>12240</v>
      </c>
      <c r="H104" s="651">
        <f t="shared" si="8"/>
        <v>801309.33313039027</v>
      </c>
      <c r="I104" s="636">
        <v>0</v>
      </c>
      <c r="J104" s="651">
        <f t="shared" si="9"/>
        <v>801309.33313039027</v>
      </c>
      <c r="K104" s="429"/>
      <c r="L104" s="598"/>
      <c r="M104" s="598"/>
      <c r="N104" s="598"/>
      <c r="O104" s="598"/>
    </row>
    <row r="105" spans="1:16" ht="13.5">
      <c r="A105" s="1863"/>
      <c r="B105" s="600"/>
      <c r="C105" s="597"/>
      <c r="D105" s="598"/>
      <c r="E105" s="598" t="s">
        <v>795</v>
      </c>
      <c r="F105" s="882">
        <f t="shared" si="10"/>
        <v>6.5466448785162612E-2</v>
      </c>
      <c r="G105" s="1411">
        <f>'WKSHT4 - Monthly Tx System Peak'!C17</f>
        <v>4574</v>
      </c>
      <c r="H105" s="651">
        <f t="shared" si="8"/>
        <v>299443.53674333374</v>
      </c>
      <c r="I105" s="636">
        <v>0</v>
      </c>
      <c r="J105" s="651">
        <f t="shared" si="9"/>
        <v>299443.53674333374</v>
      </c>
      <c r="K105" s="429"/>
      <c r="L105" s="598"/>
      <c r="M105" s="598"/>
      <c r="N105" s="598"/>
      <c r="O105" s="598"/>
    </row>
    <row r="106" spans="1:16" ht="13.5">
      <c r="A106" s="600"/>
      <c r="B106" s="600"/>
      <c r="C106" s="597"/>
      <c r="D106" s="598"/>
      <c r="E106" s="598" t="s">
        <v>796</v>
      </c>
      <c r="F106" s="882">
        <f t="shared" si="10"/>
        <v>6.5466448785162612E-2</v>
      </c>
      <c r="G106" s="1411">
        <f>'WKSHT4 - Monthly Tx System Peak'!C18</f>
        <v>4719</v>
      </c>
      <c r="H106" s="651">
        <f t="shared" si="8"/>
        <v>308936.17181718233</v>
      </c>
      <c r="I106" s="636">
        <v>0</v>
      </c>
      <c r="J106" s="651">
        <f t="shared" si="9"/>
        <v>308936.17181718233</v>
      </c>
      <c r="K106" s="429"/>
      <c r="L106" s="598"/>
      <c r="M106" s="598"/>
      <c r="N106" s="598"/>
      <c r="O106" s="598"/>
    </row>
    <row r="107" spans="1:16" ht="13.5">
      <c r="A107" s="600"/>
      <c r="B107" s="600"/>
      <c r="C107" s="597"/>
      <c r="D107" s="598"/>
      <c r="E107" s="598" t="s">
        <v>797</v>
      </c>
      <c r="F107" s="882">
        <f t="shared" si="10"/>
        <v>6.5466448785162612E-2</v>
      </c>
      <c r="G107" s="1655">
        <f>G90</f>
        <v>5178</v>
      </c>
      <c r="H107" s="651">
        <f t="shared" si="8"/>
        <v>338985.271809572</v>
      </c>
      <c r="I107" s="636">
        <v>0</v>
      </c>
      <c r="J107" s="651">
        <f t="shared" si="9"/>
        <v>338985.271809572</v>
      </c>
      <c r="K107" s="429"/>
      <c r="L107" s="598"/>
      <c r="M107" s="598"/>
      <c r="N107" s="598"/>
      <c r="O107" s="598"/>
    </row>
    <row r="108" spans="1:16" ht="13.5">
      <c r="A108" s="600"/>
      <c r="B108" s="600"/>
      <c r="C108" s="597"/>
      <c r="D108" s="598"/>
      <c r="E108" s="598" t="s">
        <v>798</v>
      </c>
      <c r="F108" s="882">
        <f t="shared" si="10"/>
        <v>6.5466448785162612E-2</v>
      </c>
      <c r="G108" s="1411">
        <f>G91</f>
        <v>5603</v>
      </c>
      <c r="H108" s="651">
        <f t="shared" si="8"/>
        <v>366808.51254326612</v>
      </c>
      <c r="I108" s="1411">
        <v>750482.13796981319</v>
      </c>
      <c r="J108" s="651">
        <f t="shared" si="9"/>
        <v>-383673.62542654708</v>
      </c>
      <c r="K108" s="429"/>
      <c r="L108" s="598"/>
      <c r="M108" s="598"/>
      <c r="N108" s="598"/>
      <c r="O108" s="598"/>
    </row>
    <row r="109" spans="1:16" ht="13.5">
      <c r="A109" s="600"/>
      <c r="B109" s="600"/>
      <c r="C109" s="597"/>
      <c r="D109" s="598"/>
      <c r="E109" s="598" t="s">
        <v>1173</v>
      </c>
      <c r="F109" s="637"/>
      <c r="G109" s="637"/>
      <c r="H109" s="637"/>
      <c r="I109" s="637"/>
      <c r="J109" s="651">
        <f>SUM(J97:J108)</f>
        <v>4605265.805370003</v>
      </c>
      <c r="K109" s="429"/>
      <c r="L109" s="598"/>
      <c r="M109" s="598"/>
      <c r="N109" s="598"/>
      <c r="O109" s="598"/>
    </row>
    <row r="110" spans="1:16" ht="13.5">
      <c r="A110" s="600"/>
      <c r="B110" s="600"/>
      <c r="C110" s="597"/>
      <c r="D110" s="598"/>
      <c r="E110" s="637"/>
      <c r="F110" s="637"/>
      <c r="G110" s="637"/>
      <c r="H110" s="637"/>
      <c r="I110" s="637"/>
      <c r="J110" s="429"/>
      <c r="K110" s="429"/>
      <c r="L110" s="598"/>
      <c r="M110" s="598"/>
      <c r="N110" s="598"/>
      <c r="O110" s="598"/>
    </row>
    <row r="111" spans="1:16" ht="13.5">
      <c r="A111" s="600"/>
      <c r="B111" s="600"/>
      <c r="C111" s="597"/>
      <c r="D111" s="604"/>
      <c r="E111" s="598"/>
      <c r="F111" s="429"/>
      <c r="G111" s="598"/>
      <c r="H111" s="598"/>
      <c r="I111" s="598"/>
      <c r="J111" s="598"/>
      <c r="K111" s="598"/>
      <c r="L111" s="598"/>
      <c r="M111" s="598"/>
      <c r="N111" s="598"/>
      <c r="O111" s="598"/>
      <c r="P111" s="501"/>
    </row>
    <row r="112" spans="1:16" ht="31.5">
      <c r="A112" s="600"/>
      <c r="B112" s="600"/>
      <c r="C112" s="597"/>
      <c r="D112" s="599" t="s">
        <v>1174</v>
      </c>
      <c r="E112" s="1950"/>
      <c r="F112" s="1950" t="s">
        <v>1149</v>
      </c>
      <c r="G112" s="598"/>
      <c r="H112" s="1951" t="s">
        <v>1435</v>
      </c>
      <c r="I112" s="598"/>
      <c r="J112" s="1952" t="s">
        <v>1436</v>
      </c>
      <c r="K112" s="188"/>
      <c r="L112" s="1953" t="s">
        <v>1437</v>
      </c>
      <c r="M112" s="598"/>
      <c r="N112" s="598"/>
      <c r="O112" s="598"/>
    </row>
    <row r="113" spans="1:15" ht="15.75">
      <c r="A113" s="600"/>
      <c r="B113" s="600"/>
      <c r="C113" s="1949" t="s">
        <v>1175</v>
      </c>
      <c r="D113" s="634">
        <f>+D69</f>
        <v>92840668</v>
      </c>
      <c r="E113" s="597" t="s">
        <v>510</v>
      </c>
      <c r="F113" s="634">
        <f>+J92</f>
        <v>85291981.600000009</v>
      </c>
      <c r="G113" s="597" t="s">
        <v>511</v>
      </c>
      <c r="H113" s="613">
        <f>+D113-F113</f>
        <v>7548686.3999999911</v>
      </c>
      <c r="I113" s="1954" t="s">
        <v>510</v>
      </c>
      <c r="J113" s="1862">
        <f>M85</f>
        <v>356410</v>
      </c>
      <c r="K113" s="1954" t="s">
        <v>511</v>
      </c>
      <c r="L113" s="634">
        <f>H113-J113</f>
        <v>7192276.3999999911</v>
      </c>
      <c r="M113" s="634"/>
      <c r="N113" s="634"/>
      <c r="O113" s="1955"/>
    </row>
    <row r="114" spans="1:15" ht="15.75">
      <c r="A114" s="600"/>
      <c r="B114" s="600"/>
      <c r="C114" s="1949" t="s">
        <v>453</v>
      </c>
      <c r="D114" s="638">
        <f>+D72</f>
        <v>4015529</v>
      </c>
      <c r="E114" s="597" t="s">
        <v>510</v>
      </c>
      <c r="F114" s="613">
        <f>+J109</f>
        <v>4605265.805370003</v>
      </c>
      <c r="G114" s="597" t="s">
        <v>511</v>
      </c>
      <c r="H114" s="613">
        <f>+D114-F114</f>
        <v>-589736.80537000299</v>
      </c>
      <c r="I114" s="1954" t="s">
        <v>510</v>
      </c>
      <c r="J114" s="1862">
        <v>0</v>
      </c>
      <c r="K114" s="1954" t="s">
        <v>511</v>
      </c>
      <c r="L114" s="634">
        <f t="shared" ref="L114" si="11">H114-J114</f>
        <v>-589736.80537000299</v>
      </c>
      <c r="M114" s="634"/>
      <c r="N114" s="634"/>
      <c r="O114" s="602"/>
    </row>
    <row r="115" spans="1:15" ht="15.75">
      <c r="A115" s="600"/>
      <c r="B115" s="600"/>
      <c r="C115" s="1949" t="s">
        <v>1015</v>
      </c>
      <c r="D115" s="638">
        <f>+D113+D114</f>
        <v>96856197</v>
      </c>
      <c r="E115" s="597" t="s">
        <v>510</v>
      </c>
      <c r="F115" s="613">
        <f>+F113+F114</f>
        <v>89897247.405370012</v>
      </c>
      <c r="G115" s="597" t="s">
        <v>511</v>
      </c>
      <c r="H115" s="613">
        <f>+H113+H114</f>
        <v>6958949.5946299881</v>
      </c>
      <c r="I115" s="1954" t="s">
        <v>510</v>
      </c>
      <c r="J115" s="1862">
        <f>+J113+J114</f>
        <v>356410</v>
      </c>
      <c r="K115" s="1954" t="s">
        <v>511</v>
      </c>
      <c r="L115" s="634">
        <f>H115-J115</f>
        <v>6602539.5946299881</v>
      </c>
      <c r="M115" s="634"/>
      <c r="N115" s="634"/>
      <c r="O115" s="602"/>
    </row>
    <row r="116" spans="1:15" ht="15.75">
      <c r="A116" s="597"/>
      <c r="B116" s="597"/>
      <c r="C116" s="597"/>
      <c r="D116" s="638"/>
      <c r="E116" s="597"/>
      <c r="F116" s="613"/>
      <c r="G116" s="597"/>
      <c r="H116" s="613"/>
      <c r="I116" s="598"/>
      <c r="J116" s="178"/>
      <c r="K116" s="15"/>
      <c r="L116" s="15"/>
      <c r="M116" s="178"/>
      <c r="N116" s="602"/>
      <c r="O116" s="602"/>
    </row>
    <row r="117" spans="1:15" ht="15.75">
      <c r="A117" s="597"/>
      <c r="B117" s="597"/>
      <c r="C117" s="597"/>
      <c r="D117" s="638"/>
      <c r="E117" s="597"/>
      <c r="F117" s="613"/>
      <c r="G117" s="597"/>
      <c r="H117" s="613"/>
      <c r="I117" s="598"/>
      <c r="J117" s="178"/>
      <c r="K117" s="12"/>
      <c r="L117" s="12"/>
      <c r="M117" s="185"/>
      <c r="N117" s="598"/>
      <c r="O117" s="598"/>
    </row>
    <row r="118" spans="1:15" ht="15.75">
      <c r="A118" s="597"/>
      <c r="B118" s="597"/>
      <c r="C118" s="597"/>
      <c r="D118" s="1379" t="s">
        <v>799</v>
      </c>
      <c r="E118" s="600"/>
      <c r="F118" s="634"/>
      <c r="G118" s="597"/>
      <c r="H118" s="613"/>
      <c r="I118" s="598"/>
      <c r="J118" s="178"/>
      <c r="K118" s="12"/>
      <c r="L118" s="12"/>
      <c r="M118" s="185"/>
      <c r="N118" s="598"/>
      <c r="O118" s="598"/>
    </row>
    <row r="119" spans="1:15" ht="15.75">
      <c r="A119" s="1851"/>
      <c r="B119" s="600"/>
      <c r="C119" s="597"/>
      <c r="D119" s="1933" t="s">
        <v>1176</v>
      </c>
      <c r="E119" s="1933"/>
      <c r="F119" s="1854">
        <v>2.7000000000000001E-3</v>
      </c>
      <c r="G119" s="597"/>
      <c r="H119" s="613"/>
      <c r="I119" s="598"/>
      <c r="J119" s="178"/>
      <c r="K119" s="12"/>
      <c r="L119" s="12"/>
      <c r="M119" s="185"/>
      <c r="N119" s="598"/>
      <c r="O119" s="598"/>
    </row>
    <row r="120" spans="1:15" ht="13.5">
      <c r="A120" s="597"/>
      <c r="B120" s="597"/>
      <c r="C120" s="597"/>
      <c r="D120" s="631" t="s">
        <v>781</v>
      </c>
      <c r="E120" s="597" t="s">
        <v>800</v>
      </c>
      <c r="G120" s="631" t="s">
        <v>1178</v>
      </c>
      <c r="H120" s="597"/>
      <c r="I120" s="631" t="s">
        <v>801</v>
      </c>
      <c r="J120" s="601" t="s">
        <v>1179</v>
      </c>
      <c r="K120" s="598"/>
      <c r="L120" s="598"/>
      <c r="M120" s="598"/>
      <c r="N120" s="598"/>
      <c r="O120" s="598"/>
    </row>
    <row r="121" spans="1:15" ht="13.5">
      <c r="A121" s="597"/>
      <c r="B121" s="597"/>
      <c r="C121" s="597"/>
      <c r="D121" s="597"/>
      <c r="E121" s="597"/>
      <c r="F121" s="597" t="s">
        <v>1180</v>
      </c>
      <c r="G121" s="597" t="s">
        <v>1181</v>
      </c>
      <c r="H121" s="597" t="s">
        <v>802</v>
      </c>
      <c r="I121" s="597"/>
      <c r="J121" s="597"/>
      <c r="K121" s="598" t="s">
        <v>1182</v>
      </c>
      <c r="L121" s="598"/>
      <c r="M121" s="598"/>
      <c r="N121" s="598"/>
      <c r="O121" s="598"/>
    </row>
    <row r="122" spans="1:15" ht="13.5">
      <c r="A122" s="597"/>
      <c r="B122" s="597"/>
      <c r="C122" s="597"/>
      <c r="D122" s="598" t="s">
        <v>788</v>
      </c>
      <c r="E122" s="598" t="s">
        <v>449</v>
      </c>
      <c r="F122" s="608">
        <f>+L115/12</f>
        <v>550211.63288583234</v>
      </c>
      <c r="G122" s="1855">
        <f>F119</f>
        <v>2.7000000000000001E-3</v>
      </c>
      <c r="H122" s="602">
        <v>12</v>
      </c>
      <c r="I122" s="608">
        <f>+F122*G122*H122</f>
        <v>17826.856905500968</v>
      </c>
      <c r="J122" s="608">
        <f>+F122+I122</f>
        <v>568038.48979133333</v>
      </c>
      <c r="K122" s="598" t="s">
        <v>1183</v>
      </c>
      <c r="L122" s="598"/>
      <c r="M122" s="598"/>
      <c r="N122" s="598"/>
      <c r="O122" s="598"/>
    </row>
    <row r="123" spans="1:15" ht="13.5">
      <c r="A123" s="597"/>
      <c r="B123" s="597"/>
      <c r="C123" s="597"/>
      <c r="D123" s="598" t="s">
        <v>789</v>
      </c>
      <c r="E123" s="598" t="s">
        <v>449</v>
      </c>
      <c r="F123" s="613">
        <f t="shared" ref="F123:F133" si="12">+F122</f>
        <v>550211.63288583234</v>
      </c>
      <c r="G123" s="1856">
        <f>G122</f>
        <v>2.7000000000000001E-3</v>
      </c>
      <c r="H123" s="602">
        <v>11</v>
      </c>
      <c r="I123" s="608">
        <f t="shared" ref="I123:I133" si="13">+F123*G123*H123</f>
        <v>16341.285496709223</v>
      </c>
      <c r="J123" s="608">
        <f t="shared" ref="J123:J133" si="14">+F123+I123</f>
        <v>566552.91838254151</v>
      </c>
      <c r="K123" s="598" t="s">
        <v>1184</v>
      </c>
      <c r="L123" s="598"/>
      <c r="M123" s="598"/>
      <c r="N123" s="598"/>
      <c r="O123" s="598"/>
    </row>
    <row r="124" spans="1:15" ht="13.5">
      <c r="A124" s="597"/>
      <c r="B124" s="597"/>
      <c r="C124" s="597"/>
      <c r="D124" s="598" t="s">
        <v>790</v>
      </c>
      <c r="E124" s="598" t="s">
        <v>449</v>
      </c>
      <c r="F124" s="613">
        <f t="shared" si="12"/>
        <v>550211.63288583234</v>
      </c>
      <c r="G124" s="1856">
        <f t="shared" ref="G124:G133" si="15">G123</f>
        <v>2.7000000000000001E-3</v>
      </c>
      <c r="H124" s="602">
        <v>10</v>
      </c>
      <c r="I124" s="608">
        <f t="shared" si="13"/>
        <v>14855.714087917475</v>
      </c>
      <c r="J124" s="608">
        <f t="shared" si="14"/>
        <v>565067.34697374981</v>
      </c>
      <c r="K124" s="598"/>
      <c r="L124" s="598"/>
      <c r="M124" s="598"/>
      <c r="N124" s="598"/>
      <c r="O124" s="598"/>
    </row>
    <row r="125" spans="1:15" ht="13.5">
      <c r="A125" s="597"/>
      <c r="B125" s="597"/>
      <c r="C125" s="597"/>
      <c r="D125" s="598" t="s">
        <v>791</v>
      </c>
      <c r="E125" s="598" t="s">
        <v>449</v>
      </c>
      <c r="F125" s="613">
        <f t="shared" si="12"/>
        <v>550211.63288583234</v>
      </c>
      <c r="G125" s="1856">
        <f t="shared" si="15"/>
        <v>2.7000000000000001E-3</v>
      </c>
      <c r="H125" s="602">
        <v>9</v>
      </c>
      <c r="I125" s="608">
        <f t="shared" si="13"/>
        <v>13370.142679125727</v>
      </c>
      <c r="J125" s="608">
        <f t="shared" si="14"/>
        <v>563581.77556495811</v>
      </c>
      <c r="K125" s="598"/>
      <c r="L125" s="598"/>
      <c r="M125" s="598"/>
      <c r="N125" s="598"/>
      <c r="O125" s="598"/>
    </row>
    <row r="126" spans="1:15" ht="13.5">
      <c r="A126" s="597"/>
      <c r="B126" s="597"/>
      <c r="C126" s="597"/>
      <c r="D126" s="598" t="s">
        <v>786</v>
      </c>
      <c r="E126" s="598" t="s">
        <v>449</v>
      </c>
      <c r="F126" s="613">
        <f t="shared" si="12"/>
        <v>550211.63288583234</v>
      </c>
      <c r="G126" s="1856">
        <f t="shared" si="15"/>
        <v>2.7000000000000001E-3</v>
      </c>
      <c r="H126" s="602">
        <v>8</v>
      </c>
      <c r="I126" s="608">
        <f t="shared" si="13"/>
        <v>11884.57127033398</v>
      </c>
      <c r="J126" s="608">
        <f t="shared" si="14"/>
        <v>562096.20415616629</v>
      </c>
      <c r="K126" s="598"/>
      <c r="L126" s="598"/>
      <c r="M126" s="598"/>
      <c r="N126" s="598"/>
      <c r="O126" s="598"/>
    </row>
    <row r="127" spans="1:15" ht="13.5">
      <c r="A127" s="597"/>
      <c r="B127" s="597"/>
      <c r="C127" s="597"/>
      <c r="D127" s="598" t="s">
        <v>792</v>
      </c>
      <c r="E127" s="598" t="s">
        <v>449</v>
      </c>
      <c r="F127" s="613">
        <f t="shared" si="12"/>
        <v>550211.63288583234</v>
      </c>
      <c r="G127" s="1856">
        <f t="shared" si="15"/>
        <v>2.7000000000000001E-3</v>
      </c>
      <c r="H127" s="602">
        <v>7</v>
      </c>
      <c r="I127" s="608">
        <f t="shared" si="13"/>
        <v>10398.999861542232</v>
      </c>
      <c r="J127" s="608">
        <f t="shared" si="14"/>
        <v>560610.63274737459</v>
      </c>
      <c r="K127" s="598"/>
      <c r="L127" s="598"/>
      <c r="M127" s="598"/>
      <c r="N127" s="598"/>
      <c r="O127" s="598"/>
    </row>
    <row r="128" spans="1:15" ht="13.5">
      <c r="A128" s="597"/>
      <c r="B128" s="597"/>
      <c r="C128" s="597"/>
      <c r="D128" s="598" t="s">
        <v>793</v>
      </c>
      <c r="E128" s="598" t="s">
        <v>449</v>
      </c>
      <c r="F128" s="613">
        <f t="shared" si="12"/>
        <v>550211.63288583234</v>
      </c>
      <c r="G128" s="1856">
        <f t="shared" si="15"/>
        <v>2.7000000000000001E-3</v>
      </c>
      <c r="H128" s="602">
        <v>6</v>
      </c>
      <c r="I128" s="608">
        <f t="shared" si="13"/>
        <v>8913.4284527504842</v>
      </c>
      <c r="J128" s="608">
        <f t="shared" si="14"/>
        <v>559125.06133858277</v>
      </c>
      <c r="K128" s="598"/>
      <c r="L128" s="598"/>
      <c r="M128" s="598"/>
      <c r="N128" s="598"/>
      <c r="O128" s="598"/>
    </row>
    <row r="129" spans="1:15" ht="13.5">
      <c r="A129" s="597"/>
      <c r="B129" s="597"/>
      <c r="C129" s="597"/>
      <c r="D129" s="598" t="s">
        <v>794</v>
      </c>
      <c r="E129" s="598" t="s">
        <v>760</v>
      </c>
      <c r="F129" s="613">
        <f t="shared" si="12"/>
        <v>550211.63288583234</v>
      </c>
      <c r="G129" s="1856">
        <f t="shared" si="15"/>
        <v>2.7000000000000001E-3</v>
      </c>
      <c r="H129" s="602">
        <v>5</v>
      </c>
      <c r="I129" s="608">
        <f t="shared" si="13"/>
        <v>7427.8570439587374</v>
      </c>
      <c r="J129" s="608">
        <f t="shared" si="14"/>
        <v>557639.48992979107</v>
      </c>
      <c r="K129" s="598"/>
      <c r="L129" s="598"/>
      <c r="M129" s="598"/>
      <c r="N129" s="598"/>
      <c r="O129" s="598"/>
    </row>
    <row r="130" spans="1:15" ht="13.5">
      <c r="A130" s="597"/>
      <c r="B130" s="597"/>
      <c r="C130" s="597"/>
      <c r="D130" s="598" t="s">
        <v>795</v>
      </c>
      <c r="E130" s="598" t="s">
        <v>760</v>
      </c>
      <c r="F130" s="613">
        <f t="shared" si="12"/>
        <v>550211.63288583234</v>
      </c>
      <c r="G130" s="1856">
        <f t="shared" si="15"/>
        <v>2.7000000000000001E-3</v>
      </c>
      <c r="H130" s="602">
        <v>4</v>
      </c>
      <c r="I130" s="608">
        <f t="shared" si="13"/>
        <v>5942.2856351669898</v>
      </c>
      <c r="J130" s="608">
        <f t="shared" si="14"/>
        <v>556153.91852099937</v>
      </c>
      <c r="K130" s="598"/>
      <c r="L130" s="598"/>
      <c r="M130" s="598"/>
      <c r="N130" s="598"/>
      <c r="O130" s="598"/>
    </row>
    <row r="131" spans="1:15" ht="13.5">
      <c r="A131" s="597"/>
      <c r="B131" s="597"/>
      <c r="C131" s="597"/>
      <c r="D131" s="598" t="s">
        <v>796</v>
      </c>
      <c r="E131" s="598" t="s">
        <v>760</v>
      </c>
      <c r="F131" s="613">
        <f t="shared" si="12"/>
        <v>550211.63288583234</v>
      </c>
      <c r="G131" s="1856">
        <f t="shared" si="15"/>
        <v>2.7000000000000001E-3</v>
      </c>
      <c r="H131" s="602">
        <v>3</v>
      </c>
      <c r="I131" s="608">
        <f t="shared" si="13"/>
        <v>4456.7142263752421</v>
      </c>
      <c r="J131" s="608">
        <f t="shared" si="14"/>
        <v>554668.34711220756</v>
      </c>
      <c r="K131" s="598"/>
      <c r="L131" s="598"/>
      <c r="M131" s="598"/>
      <c r="N131" s="598"/>
      <c r="O131" s="598"/>
    </row>
    <row r="132" spans="1:15" ht="13.5">
      <c r="A132" s="597"/>
      <c r="B132" s="597"/>
      <c r="C132" s="597"/>
      <c r="D132" s="598" t="s">
        <v>797</v>
      </c>
      <c r="E132" s="598" t="s">
        <v>760</v>
      </c>
      <c r="F132" s="613">
        <f t="shared" si="12"/>
        <v>550211.63288583234</v>
      </c>
      <c r="G132" s="1856">
        <f t="shared" si="15"/>
        <v>2.7000000000000001E-3</v>
      </c>
      <c r="H132" s="602">
        <v>2</v>
      </c>
      <c r="I132" s="608">
        <f t="shared" si="13"/>
        <v>2971.1428175834949</v>
      </c>
      <c r="J132" s="608">
        <f t="shared" si="14"/>
        <v>553182.77570341586</v>
      </c>
      <c r="K132" s="598"/>
      <c r="L132" s="598"/>
      <c r="M132" s="598"/>
      <c r="N132" s="598"/>
      <c r="O132" s="598"/>
    </row>
    <row r="133" spans="1:15" ht="13.5">
      <c r="A133" s="597"/>
      <c r="B133" s="597"/>
      <c r="C133" s="597"/>
      <c r="D133" s="598" t="s">
        <v>798</v>
      </c>
      <c r="E133" s="598" t="s">
        <v>760</v>
      </c>
      <c r="F133" s="613">
        <f t="shared" si="12"/>
        <v>550211.63288583234</v>
      </c>
      <c r="G133" s="1856">
        <f t="shared" si="15"/>
        <v>2.7000000000000001E-3</v>
      </c>
      <c r="H133" s="602">
        <v>1</v>
      </c>
      <c r="I133" s="608">
        <f t="shared" si="13"/>
        <v>1485.5714087917474</v>
      </c>
      <c r="J133" s="608">
        <f t="shared" si="14"/>
        <v>551697.20429462404</v>
      </c>
      <c r="K133" s="598"/>
      <c r="L133" s="598"/>
      <c r="M133" s="598"/>
      <c r="N133" s="598"/>
      <c r="O133" s="598"/>
    </row>
    <row r="134" spans="1:15" ht="13.5">
      <c r="A134" s="597"/>
      <c r="B134" s="597"/>
      <c r="C134" s="597"/>
      <c r="D134" s="598" t="s">
        <v>1015</v>
      </c>
      <c r="E134" s="598"/>
      <c r="F134" s="613">
        <v>0</v>
      </c>
      <c r="G134" s="602"/>
      <c r="H134" s="602"/>
      <c r="I134" s="598"/>
      <c r="J134" s="608">
        <f>SUM(J122:J133)</f>
        <v>6718414.164515744</v>
      </c>
      <c r="K134" s="598"/>
      <c r="L134" s="598"/>
      <c r="M134" s="598"/>
      <c r="N134" s="598"/>
      <c r="O134" s="598"/>
    </row>
    <row r="135" spans="1:15" ht="27">
      <c r="A135" s="597"/>
      <c r="B135" s="597"/>
      <c r="C135" s="597"/>
      <c r="D135" s="598"/>
      <c r="E135" s="598"/>
      <c r="F135" s="631" t="s">
        <v>803</v>
      </c>
      <c r="G135" s="1857" t="s">
        <v>1185</v>
      </c>
      <c r="H135" s="1857" t="s">
        <v>1186</v>
      </c>
      <c r="I135" s="631" t="s">
        <v>801</v>
      </c>
      <c r="J135" s="608" t="str">
        <f>+J120</f>
        <v>Surcharge (Refund) Owed</v>
      </c>
      <c r="K135" s="598"/>
      <c r="L135" s="598"/>
      <c r="M135" s="598"/>
      <c r="N135" s="598"/>
      <c r="O135" s="598"/>
    </row>
    <row r="136" spans="1:15" ht="13.5">
      <c r="A136" s="597"/>
      <c r="B136" s="597"/>
      <c r="C136" s="597"/>
      <c r="D136" s="598" t="s">
        <v>788</v>
      </c>
      <c r="E136" s="598" t="s">
        <v>760</v>
      </c>
      <c r="F136" s="613">
        <f>+J134</f>
        <v>6718414.164515744</v>
      </c>
      <c r="G136" s="1856">
        <f>+G133</f>
        <v>2.7000000000000001E-3</v>
      </c>
      <c r="H136" s="615">
        <v>0</v>
      </c>
      <c r="I136" s="608">
        <f>+F136*G136</f>
        <v>18139.718244192511</v>
      </c>
      <c r="J136" s="608">
        <f>+F136+I136-H136</f>
        <v>6736553.8827599362</v>
      </c>
      <c r="K136" s="598"/>
      <c r="L136" s="598"/>
      <c r="M136" s="1858"/>
      <c r="N136" s="598"/>
      <c r="O136" s="598"/>
    </row>
    <row r="137" spans="1:15" ht="13.5">
      <c r="A137" s="597"/>
      <c r="B137" s="597"/>
      <c r="C137" s="597"/>
      <c r="D137" s="598" t="s">
        <v>789</v>
      </c>
      <c r="E137" s="598" t="s">
        <v>760</v>
      </c>
      <c r="F137" s="613">
        <f>+J136</f>
        <v>6736553.8827599362</v>
      </c>
      <c r="G137" s="1856">
        <f>+G136</f>
        <v>2.7000000000000001E-3</v>
      </c>
      <c r="H137" s="634">
        <v>0</v>
      </c>
      <c r="I137" s="608">
        <f t="shared" ref="I137:I141" si="16">+F137*G137</f>
        <v>18188.695483451829</v>
      </c>
      <c r="J137" s="608">
        <f t="shared" ref="J137:J151" si="17">+F137+I137-H137</f>
        <v>6754742.5782433879</v>
      </c>
      <c r="K137" s="598"/>
      <c r="L137" s="598"/>
      <c r="M137" s="602"/>
      <c r="N137" s="602"/>
      <c r="O137" s="602"/>
    </row>
    <row r="138" spans="1:15" ht="13.5">
      <c r="A138" s="597"/>
      <c r="B138" s="597"/>
      <c r="C138" s="597"/>
      <c r="D138" s="598" t="s">
        <v>790</v>
      </c>
      <c r="E138" s="598" t="s">
        <v>760</v>
      </c>
      <c r="F138" s="613">
        <f t="shared" ref="F138:F152" si="18">+J137</f>
        <v>6754742.5782433879</v>
      </c>
      <c r="G138" s="1856">
        <f t="shared" ref="G138:G152" si="19">+G137</f>
        <v>2.7000000000000001E-3</v>
      </c>
      <c r="H138" s="634">
        <v>0</v>
      </c>
      <c r="I138" s="608">
        <f t="shared" si="16"/>
        <v>18237.804961257149</v>
      </c>
      <c r="J138" s="608">
        <f t="shared" si="17"/>
        <v>6772980.3832046445</v>
      </c>
      <c r="K138" s="598"/>
      <c r="L138" s="598"/>
      <c r="M138" s="598"/>
      <c r="N138" s="598"/>
      <c r="O138" s="598"/>
    </row>
    <row r="139" spans="1:15" ht="13.5">
      <c r="A139" s="597"/>
      <c r="B139" s="597"/>
      <c r="C139" s="597"/>
      <c r="D139" s="598" t="s">
        <v>791</v>
      </c>
      <c r="E139" s="598" t="s">
        <v>760</v>
      </c>
      <c r="F139" s="613">
        <f t="shared" si="18"/>
        <v>6772980.3832046445</v>
      </c>
      <c r="G139" s="1856">
        <f t="shared" si="19"/>
        <v>2.7000000000000001E-3</v>
      </c>
      <c r="H139" s="634">
        <v>0</v>
      </c>
      <c r="I139" s="608">
        <f t="shared" si="16"/>
        <v>18287.04703465254</v>
      </c>
      <c r="J139" s="608">
        <f t="shared" si="17"/>
        <v>6791267.4302392974</v>
      </c>
      <c r="K139" s="641"/>
      <c r="L139" s="598"/>
      <c r="M139" s="598"/>
      <c r="N139" s="598"/>
      <c r="O139" s="598"/>
    </row>
    <row r="140" spans="1:15" ht="13.5">
      <c r="A140" s="597"/>
      <c r="B140" s="597"/>
      <c r="C140" s="597"/>
      <c r="D140" s="598" t="s">
        <v>786</v>
      </c>
      <c r="E140" s="598" t="s">
        <v>760</v>
      </c>
      <c r="F140" s="613">
        <f t="shared" si="18"/>
        <v>6791267.4302392974</v>
      </c>
      <c r="G140" s="1856">
        <f t="shared" si="19"/>
        <v>2.7000000000000001E-3</v>
      </c>
      <c r="H140" s="634">
        <v>0</v>
      </c>
      <c r="I140" s="608">
        <f t="shared" si="16"/>
        <v>18336.422061646103</v>
      </c>
      <c r="J140" s="608">
        <f t="shared" si="17"/>
        <v>6809603.8523009438</v>
      </c>
      <c r="K140" s="640"/>
      <c r="L140" s="598"/>
      <c r="M140" s="598"/>
      <c r="N140" s="598"/>
      <c r="O140" s="598"/>
    </row>
    <row r="141" spans="1:15" ht="13.5">
      <c r="A141" s="597"/>
      <c r="B141" s="597"/>
      <c r="C141" s="597"/>
      <c r="D141" s="598" t="s">
        <v>792</v>
      </c>
      <c r="E141" s="598" t="s">
        <v>760</v>
      </c>
      <c r="F141" s="613">
        <f t="shared" si="18"/>
        <v>6809603.8523009438</v>
      </c>
      <c r="G141" s="1856">
        <f t="shared" si="19"/>
        <v>2.7000000000000001E-3</v>
      </c>
      <c r="H141" s="615">
        <f>-PMT(G141,12,J140)</f>
        <v>577475.26330488478</v>
      </c>
      <c r="I141" s="608">
        <f t="shared" si="16"/>
        <v>18385.93040121255</v>
      </c>
      <c r="J141" s="608">
        <f>+F141+I141-H141</f>
        <v>6250514.5193972718</v>
      </c>
      <c r="K141" s="598"/>
      <c r="L141" s="598"/>
      <c r="M141" s="598"/>
      <c r="N141" s="598"/>
      <c r="O141" s="598"/>
    </row>
    <row r="142" spans="1:15" ht="13.5">
      <c r="A142" s="597"/>
      <c r="B142" s="597"/>
      <c r="C142" s="597"/>
      <c r="D142" s="598" t="s">
        <v>793</v>
      </c>
      <c r="E142" s="598" t="s">
        <v>760</v>
      </c>
      <c r="F142" s="613">
        <f t="shared" si="18"/>
        <v>6250514.5193972718</v>
      </c>
      <c r="G142" s="1856">
        <f t="shared" si="19"/>
        <v>2.7000000000000001E-3</v>
      </c>
      <c r="H142" s="634">
        <f t="shared" ref="H142:H152" si="20">H141</f>
        <v>577475.26330488478</v>
      </c>
      <c r="I142" s="608">
        <f t="shared" ref="I142:I152" si="21">+F142*G142</f>
        <v>16876.389202372633</v>
      </c>
      <c r="J142" s="608">
        <f t="shared" si="17"/>
        <v>5689915.6452947594</v>
      </c>
      <c r="K142" s="598"/>
      <c r="L142" s="598"/>
      <c r="M142" s="598"/>
      <c r="N142" s="598"/>
      <c r="O142" s="598"/>
    </row>
    <row r="143" spans="1:15" ht="13.5">
      <c r="A143" s="597"/>
      <c r="B143" s="597"/>
      <c r="C143" s="597"/>
      <c r="D143" s="598" t="s">
        <v>794</v>
      </c>
      <c r="E143" s="598" t="s">
        <v>760</v>
      </c>
      <c r="F143" s="613">
        <f t="shared" si="18"/>
        <v>5689915.6452947594</v>
      </c>
      <c r="G143" s="1856">
        <f t="shared" si="19"/>
        <v>2.7000000000000001E-3</v>
      </c>
      <c r="H143" s="634">
        <f t="shared" si="20"/>
        <v>577475.26330488478</v>
      </c>
      <c r="I143" s="608">
        <f t="shared" si="21"/>
        <v>15362.77224229585</v>
      </c>
      <c r="J143" s="608">
        <f t="shared" si="17"/>
        <v>5127803.1542321704</v>
      </c>
      <c r="K143" s="598"/>
      <c r="L143" s="598"/>
      <c r="M143" s="598"/>
      <c r="N143" s="598"/>
      <c r="O143" s="598"/>
    </row>
    <row r="144" spans="1:15" ht="13.5">
      <c r="A144" s="597"/>
      <c r="B144" s="597"/>
      <c r="C144" s="597"/>
      <c r="D144" s="598" t="s">
        <v>795</v>
      </c>
      <c r="E144" s="598" t="s">
        <v>760</v>
      </c>
      <c r="F144" s="613">
        <f t="shared" si="18"/>
        <v>5127803.1542321704</v>
      </c>
      <c r="G144" s="1856">
        <f t="shared" si="19"/>
        <v>2.7000000000000001E-3</v>
      </c>
      <c r="H144" s="634">
        <f t="shared" si="20"/>
        <v>577475.26330488478</v>
      </c>
      <c r="I144" s="608">
        <f t="shared" si="21"/>
        <v>13845.068516426862</v>
      </c>
      <c r="J144" s="608">
        <f t="shared" si="17"/>
        <v>4564172.9594437126</v>
      </c>
      <c r="K144" s="598"/>
      <c r="L144" s="598"/>
      <c r="M144" s="598"/>
      <c r="N144" s="598"/>
      <c r="O144" s="598"/>
    </row>
    <row r="145" spans="1:15" ht="13.5">
      <c r="A145" s="597"/>
      <c r="B145" s="597"/>
      <c r="C145" s="597"/>
      <c r="D145" s="598" t="s">
        <v>796</v>
      </c>
      <c r="E145" s="598" t="s">
        <v>760</v>
      </c>
      <c r="F145" s="613">
        <f t="shared" si="18"/>
        <v>4564172.9594437126</v>
      </c>
      <c r="G145" s="1856">
        <f t="shared" si="19"/>
        <v>2.7000000000000001E-3</v>
      </c>
      <c r="H145" s="634">
        <f t="shared" si="20"/>
        <v>577475.26330488478</v>
      </c>
      <c r="I145" s="608">
        <f t="shared" si="21"/>
        <v>12323.266990498025</v>
      </c>
      <c r="J145" s="608">
        <f>+F145+I145-H145</f>
        <v>3999020.9631293258</v>
      </c>
      <c r="K145" s="598"/>
      <c r="L145" s="598"/>
      <c r="M145" s="598"/>
      <c r="N145" s="598"/>
      <c r="O145" s="598"/>
    </row>
    <row r="146" spans="1:15" ht="13.5">
      <c r="A146" s="597"/>
      <c r="B146" s="597"/>
      <c r="C146" s="597"/>
      <c r="D146" s="598" t="s">
        <v>797</v>
      </c>
      <c r="E146" s="598" t="s">
        <v>760</v>
      </c>
      <c r="F146" s="613">
        <f t="shared" si="18"/>
        <v>3999020.9631293258</v>
      </c>
      <c r="G146" s="1856">
        <f t="shared" si="19"/>
        <v>2.7000000000000001E-3</v>
      </c>
      <c r="H146" s="634">
        <f t="shared" si="20"/>
        <v>577475.26330488478</v>
      </c>
      <c r="I146" s="608">
        <f t="shared" si="21"/>
        <v>10797.35660044918</v>
      </c>
      <c r="J146" s="608">
        <f t="shared" si="17"/>
        <v>3432343.0564248897</v>
      </c>
      <c r="K146" s="598"/>
      <c r="L146" s="598"/>
      <c r="M146" s="598"/>
      <c r="N146" s="598"/>
      <c r="O146" s="598"/>
    </row>
    <row r="147" spans="1:15" ht="13.5">
      <c r="A147" s="597"/>
      <c r="B147" s="597"/>
      <c r="C147" s="597"/>
      <c r="D147" s="598" t="s">
        <v>798</v>
      </c>
      <c r="E147" s="598" t="s">
        <v>760</v>
      </c>
      <c r="F147" s="613">
        <f t="shared" si="18"/>
        <v>3432343.0564248897</v>
      </c>
      <c r="G147" s="1856">
        <f t="shared" si="19"/>
        <v>2.7000000000000001E-3</v>
      </c>
      <c r="H147" s="634">
        <f t="shared" si="20"/>
        <v>577475.26330488478</v>
      </c>
      <c r="I147" s="608">
        <f t="shared" si="21"/>
        <v>9267.3262523472022</v>
      </c>
      <c r="J147" s="608">
        <f t="shared" si="17"/>
        <v>2864135.119372352</v>
      </c>
      <c r="K147" s="598"/>
      <c r="L147" s="598"/>
      <c r="M147" s="598"/>
      <c r="N147" s="598"/>
      <c r="O147" s="598"/>
    </row>
    <row r="148" spans="1:15" ht="13.5">
      <c r="A148" s="597"/>
      <c r="B148" s="597"/>
      <c r="C148" s="597"/>
      <c r="D148" s="598" t="s">
        <v>788</v>
      </c>
      <c r="E148" s="598" t="s">
        <v>761</v>
      </c>
      <c r="F148" s="613">
        <f t="shared" si="18"/>
        <v>2864135.119372352</v>
      </c>
      <c r="G148" s="1856">
        <f t="shared" si="19"/>
        <v>2.7000000000000001E-3</v>
      </c>
      <c r="H148" s="634">
        <f t="shared" si="20"/>
        <v>577475.26330488478</v>
      </c>
      <c r="I148" s="608">
        <f t="shared" si="21"/>
        <v>7733.1648223053508</v>
      </c>
      <c r="J148" s="608">
        <f t="shared" si="17"/>
        <v>2294393.020889773</v>
      </c>
      <c r="K148" s="598"/>
      <c r="L148" s="598"/>
      <c r="M148" s="598"/>
      <c r="N148" s="598"/>
      <c r="O148" s="598"/>
    </row>
    <row r="149" spans="1:15" ht="13.5">
      <c r="A149" s="597"/>
      <c r="B149" s="597"/>
      <c r="C149" s="597"/>
      <c r="D149" s="598" t="s">
        <v>789</v>
      </c>
      <c r="E149" s="598" t="s">
        <v>761</v>
      </c>
      <c r="F149" s="613">
        <f t="shared" si="18"/>
        <v>2294393.020889773</v>
      </c>
      <c r="G149" s="1856">
        <f t="shared" si="19"/>
        <v>2.7000000000000001E-3</v>
      </c>
      <c r="H149" s="634">
        <f t="shared" si="20"/>
        <v>577475.26330488478</v>
      </c>
      <c r="I149" s="608">
        <f t="shared" si="21"/>
        <v>6194.8611564023877</v>
      </c>
      <c r="J149" s="608">
        <f t="shared" si="17"/>
        <v>1723112.6187412904</v>
      </c>
      <c r="K149" s="598"/>
      <c r="L149" s="598"/>
      <c r="M149" s="598"/>
      <c r="N149" s="598"/>
      <c r="O149" s="598"/>
    </row>
    <row r="150" spans="1:15" ht="13.5">
      <c r="A150" s="597"/>
      <c r="B150" s="597"/>
      <c r="C150" s="597"/>
      <c r="D150" s="598" t="s">
        <v>790</v>
      </c>
      <c r="E150" s="598" t="s">
        <v>761</v>
      </c>
      <c r="F150" s="613">
        <f t="shared" si="18"/>
        <v>1723112.6187412904</v>
      </c>
      <c r="G150" s="1856">
        <f t="shared" si="19"/>
        <v>2.7000000000000001E-3</v>
      </c>
      <c r="H150" s="634">
        <f t="shared" si="20"/>
        <v>577475.26330488478</v>
      </c>
      <c r="I150" s="608">
        <f>+F150*G150</f>
        <v>4652.4040706014839</v>
      </c>
      <c r="J150" s="608">
        <f t="shared" si="17"/>
        <v>1150289.7595070072</v>
      </c>
      <c r="K150" s="598"/>
      <c r="L150" s="598"/>
      <c r="M150" s="598"/>
      <c r="N150" s="598"/>
      <c r="O150" s="598"/>
    </row>
    <row r="151" spans="1:15" ht="13.5">
      <c r="A151" s="597"/>
      <c r="B151" s="597"/>
      <c r="C151" s="597"/>
      <c r="D151" s="598" t="s">
        <v>791</v>
      </c>
      <c r="E151" s="598" t="s">
        <v>761</v>
      </c>
      <c r="F151" s="613">
        <f t="shared" si="18"/>
        <v>1150289.7595070072</v>
      </c>
      <c r="G151" s="1856">
        <f t="shared" si="19"/>
        <v>2.7000000000000001E-3</v>
      </c>
      <c r="H151" s="634">
        <f t="shared" si="20"/>
        <v>577475.26330488478</v>
      </c>
      <c r="I151" s="608">
        <f t="shared" si="21"/>
        <v>3105.7823506689197</v>
      </c>
      <c r="J151" s="608">
        <f t="shared" si="17"/>
        <v>575920.27855279134</v>
      </c>
      <c r="K151" s="598"/>
      <c r="L151" s="598"/>
      <c r="M151" s="598"/>
      <c r="N151" s="598"/>
      <c r="O151" s="598"/>
    </row>
    <row r="152" spans="1:15" ht="13.5">
      <c r="A152" s="597"/>
      <c r="B152" s="597"/>
      <c r="C152" s="597"/>
      <c r="D152" s="598" t="s">
        <v>786</v>
      </c>
      <c r="E152" s="598" t="s">
        <v>761</v>
      </c>
      <c r="F152" s="613">
        <f t="shared" si="18"/>
        <v>575920.27855279134</v>
      </c>
      <c r="G152" s="1856">
        <f t="shared" si="19"/>
        <v>2.7000000000000001E-3</v>
      </c>
      <c r="H152" s="634">
        <f t="shared" si="20"/>
        <v>577475.26330488478</v>
      </c>
      <c r="I152" s="608">
        <f t="shared" si="21"/>
        <v>1554.9847520925366</v>
      </c>
      <c r="J152" s="608">
        <f t="shared" ref="J152" si="22">+F152-H152+I152</f>
        <v>-9.0517460193950683E-10</v>
      </c>
      <c r="K152" s="598"/>
      <c r="L152" s="598"/>
      <c r="N152" s="598"/>
      <c r="O152" s="598"/>
    </row>
    <row r="153" spans="1:15" ht="13.5">
      <c r="A153" s="597"/>
      <c r="B153" s="597"/>
      <c r="C153" s="597"/>
      <c r="D153" s="598" t="s">
        <v>817</v>
      </c>
      <c r="E153" s="598"/>
      <c r="F153" s="598"/>
      <c r="G153" s="598"/>
      <c r="H153" s="613">
        <f>SUM(H136:H152)</f>
        <v>6929703.1596586155</v>
      </c>
      <c r="I153" s="598"/>
      <c r="J153" s="598"/>
      <c r="K153" s="598"/>
      <c r="L153" s="598"/>
      <c r="M153" s="598"/>
      <c r="N153" s="598"/>
      <c r="O153" s="598"/>
    </row>
    <row r="154" spans="1:15" ht="13.5">
      <c r="B154" s="597"/>
      <c r="C154" s="597"/>
      <c r="D154" s="598"/>
      <c r="E154" s="598"/>
      <c r="F154" s="598"/>
      <c r="G154" s="598"/>
      <c r="H154" s="598"/>
      <c r="I154" s="598"/>
      <c r="J154" s="598"/>
      <c r="K154" s="598"/>
      <c r="L154" s="598"/>
      <c r="M154" s="598"/>
      <c r="N154" s="598"/>
      <c r="O154" s="598"/>
    </row>
    <row r="155" spans="1:15" ht="13.5">
      <c r="A155" s="430"/>
      <c r="B155" s="597"/>
      <c r="C155" s="597"/>
      <c r="D155" s="639" t="s">
        <v>1148</v>
      </c>
      <c r="E155" s="597"/>
      <c r="F155" s="429"/>
      <c r="G155" s="597"/>
      <c r="H155" s="613">
        <f>+H153</f>
        <v>6929703.1596586155</v>
      </c>
      <c r="I155" s="1850">
        <f>H155*L113/L115</f>
        <v>7548662.1140075307</v>
      </c>
      <c r="J155" s="1850">
        <f>H155*L114/L115</f>
        <v>-618958.95434891514</v>
      </c>
      <c r="K155" s="613"/>
      <c r="L155" s="598"/>
      <c r="M155" s="598"/>
      <c r="N155" s="598"/>
      <c r="O155" s="598"/>
    </row>
    <row r="156" spans="1:15" ht="13.5">
      <c r="A156" s="430"/>
      <c r="B156" s="597"/>
      <c r="C156" s="597"/>
      <c r="D156" s="639" t="s">
        <v>78</v>
      </c>
      <c r="E156" s="597"/>
      <c r="F156" s="429"/>
      <c r="G156" s="597"/>
      <c r="I156" s="642">
        <f>'ATT H-1 '!J282</f>
        <v>94028899.678604454</v>
      </c>
      <c r="J156" s="1620">
        <f>'Sch 1'!E16</f>
        <v>4015529</v>
      </c>
      <c r="K156" s="598"/>
      <c r="L156" s="598"/>
      <c r="M156" s="1852"/>
      <c r="N156" s="602"/>
      <c r="O156" s="598"/>
    </row>
    <row r="157" spans="1:15" ht="13.5">
      <c r="A157" s="430"/>
      <c r="B157" s="597"/>
      <c r="C157" s="597"/>
      <c r="D157" s="639" t="s">
        <v>79</v>
      </c>
      <c r="E157" s="597"/>
      <c r="F157" s="429"/>
      <c r="G157" s="597"/>
      <c r="I157" s="613">
        <f>+I155+I156</f>
        <v>101577561.79261199</v>
      </c>
      <c r="J157" s="1620">
        <f>SUM(J155:J156)</f>
        <v>3396570.0456510847</v>
      </c>
      <c r="K157" s="598"/>
      <c r="L157" s="598"/>
      <c r="M157" s="598"/>
      <c r="N157" s="598"/>
      <c r="O157" s="598"/>
    </row>
    <row r="158" spans="1:15" ht="13.5">
      <c r="A158" s="597"/>
      <c r="B158" s="597"/>
      <c r="C158" s="597"/>
      <c r="D158" s="630"/>
      <c r="E158" s="598"/>
      <c r="F158" s="598"/>
      <c r="G158" s="602"/>
      <c r="H158" s="634"/>
      <c r="I158" s="602"/>
      <c r="J158" s="598"/>
      <c r="K158" s="598"/>
      <c r="L158" s="598"/>
      <c r="M158" s="598"/>
      <c r="N158" s="598"/>
      <c r="O158" s="598"/>
    </row>
    <row r="159" spans="1:15" ht="13.5">
      <c r="A159" s="597">
        <v>9</v>
      </c>
      <c r="B159" s="597" t="s">
        <v>785</v>
      </c>
      <c r="C159" s="597" t="s">
        <v>761</v>
      </c>
      <c r="D159" s="604" t="s">
        <v>1441</v>
      </c>
      <c r="E159" s="598"/>
      <c r="F159" s="598"/>
      <c r="G159" s="598"/>
      <c r="H159" s="598"/>
      <c r="I159" s="598"/>
      <c r="J159" s="429"/>
      <c r="K159" s="598"/>
      <c r="L159" s="598"/>
      <c r="M159" s="598"/>
      <c r="N159" s="598"/>
      <c r="O159" s="598"/>
    </row>
    <row r="160" spans="1:15" ht="13.5">
      <c r="A160" s="597"/>
      <c r="B160" s="597"/>
      <c r="C160" s="597"/>
      <c r="D160" s="604"/>
      <c r="E160" s="598"/>
      <c r="F160" s="598"/>
      <c r="G160" s="598"/>
      <c r="H160" s="598"/>
      <c r="I160" s="598"/>
      <c r="J160" s="429"/>
      <c r="K160" s="598"/>
      <c r="L160" s="598"/>
      <c r="M160" s="598"/>
      <c r="N160" s="598"/>
      <c r="O160" s="598"/>
    </row>
    <row r="161" spans="1:15" ht="13.5">
      <c r="A161" s="597"/>
      <c r="B161" s="429"/>
      <c r="C161" s="490" t="s">
        <v>344</v>
      </c>
      <c r="D161" s="490" t="s">
        <v>345</v>
      </c>
      <c r="E161" s="490" t="s">
        <v>438</v>
      </c>
      <c r="F161" s="490" t="s">
        <v>346</v>
      </c>
      <c r="G161" s="490" t="s">
        <v>347</v>
      </c>
      <c r="H161" s="490" t="s">
        <v>343</v>
      </c>
      <c r="I161" s="490"/>
      <c r="J161" s="490" t="s">
        <v>719</v>
      </c>
      <c r="K161" s="490" t="s">
        <v>720</v>
      </c>
      <c r="L161" s="490" t="s">
        <v>1128</v>
      </c>
      <c r="M161" s="600" t="s">
        <v>1129</v>
      </c>
      <c r="N161" s="597" t="s">
        <v>1130</v>
      </c>
      <c r="O161" s="597" t="s">
        <v>1131</v>
      </c>
    </row>
    <row r="162" spans="1:15" ht="13.5">
      <c r="A162" s="597"/>
      <c r="B162" s="429"/>
      <c r="C162" s="597" t="s">
        <v>300</v>
      </c>
      <c r="D162" s="597" t="s">
        <v>300</v>
      </c>
      <c r="E162" s="597" t="s">
        <v>300</v>
      </c>
      <c r="F162" s="597" t="s">
        <v>300</v>
      </c>
      <c r="G162" s="597" t="s">
        <v>300</v>
      </c>
      <c r="H162" s="597" t="s">
        <v>300</v>
      </c>
      <c r="I162" s="597"/>
      <c r="J162" s="597" t="s">
        <v>84</v>
      </c>
      <c r="K162" s="597" t="s">
        <v>84</v>
      </c>
      <c r="L162" s="597" t="s">
        <v>84</v>
      </c>
      <c r="M162" s="597" t="s">
        <v>84</v>
      </c>
      <c r="N162" s="597" t="s">
        <v>84</v>
      </c>
      <c r="O162" s="597" t="s">
        <v>84</v>
      </c>
    </row>
    <row r="163" spans="1:15" ht="13.5">
      <c r="A163" s="597"/>
      <c r="B163" s="598"/>
      <c r="C163" s="597" t="s">
        <v>80</v>
      </c>
      <c r="D163" s="597" t="s">
        <v>80</v>
      </c>
      <c r="E163" s="597" t="s">
        <v>80</v>
      </c>
      <c r="F163" s="648"/>
      <c r="G163" s="648"/>
      <c r="H163" s="648"/>
      <c r="I163" s="597"/>
      <c r="J163" s="597" t="s">
        <v>85</v>
      </c>
      <c r="K163" s="597" t="s">
        <v>86</v>
      </c>
      <c r="L163" s="597" t="s">
        <v>87</v>
      </c>
      <c r="M163" s="597" t="s">
        <v>88</v>
      </c>
      <c r="N163" s="597" t="s">
        <v>89</v>
      </c>
      <c r="O163" s="597" t="s">
        <v>90</v>
      </c>
    </row>
    <row r="164" spans="1:15" ht="13.5">
      <c r="A164" s="1934"/>
      <c r="B164" s="598"/>
      <c r="C164" s="597" t="s">
        <v>718</v>
      </c>
      <c r="D164" s="597"/>
      <c r="E164" s="597"/>
      <c r="F164" s="597" t="s">
        <v>81</v>
      </c>
      <c r="G164" s="597" t="s">
        <v>82</v>
      </c>
      <c r="H164" s="597" t="s">
        <v>83</v>
      </c>
      <c r="I164" s="597"/>
      <c r="J164" s="597"/>
      <c r="K164" s="597"/>
      <c r="L164" s="597"/>
      <c r="M164" s="597"/>
      <c r="N164" s="597"/>
      <c r="O164" s="597"/>
    </row>
    <row r="165" spans="1:15" ht="13.5">
      <c r="A165" s="1934"/>
      <c r="B165" s="598"/>
      <c r="C165" s="597"/>
      <c r="D165" s="612"/>
      <c r="E165" s="612"/>
      <c r="F165" s="612"/>
      <c r="G165" s="597"/>
      <c r="H165" s="597"/>
      <c r="I165" s="647"/>
      <c r="J165" s="597"/>
      <c r="K165" s="597"/>
      <c r="L165" s="613"/>
      <c r="M165" s="597"/>
      <c r="N165" s="597"/>
      <c r="O165" s="608"/>
    </row>
    <row r="166" spans="1:15" ht="13.5">
      <c r="A166" s="1934"/>
      <c r="B166" s="598" t="s">
        <v>788</v>
      </c>
      <c r="C166" s="614">
        <v>1112768</v>
      </c>
      <c r="D166" s="614"/>
      <c r="E166" s="614"/>
      <c r="F166" s="614"/>
      <c r="G166" s="614"/>
      <c r="H166" s="614"/>
      <c r="I166" s="647"/>
      <c r="J166" s="613">
        <f>C166</f>
        <v>1112768</v>
      </c>
      <c r="K166" s="613">
        <f>E166</f>
        <v>0</v>
      </c>
      <c r="L166" s="613">
        <f>F166</f>
        <v>0</v>
      </c>
      <c r="M166" s="613">
        <f>G166</f>
        <v>0</v>
      </c>
      <c r="N166" s="613">
        <f>H166</f>
        <v>0</v>
      </c>
      <c r="O166" s="613">
        <f>I166</f>
        <v>0</v>
      </c>
    </row>
    <row r="167" spans="1:15" ht="13.5">
      <c r="A167" s="1934"/>
      <c r="B167" s="598" t="s">
        <v>789</v>
      </c>
      <c r="C167" s="614">
        <v>1982879</v>
      </c>
      <c r="D167" s="614"/>
      <c r="E167" s="614"/>
      <c r="F167" s="614"/>
      <c r="G167" s="614"/>
      <c r="H167" s="614"/>
      <c r="I167" s="647"/>
      <c r="J167" s="613">
        <f>J166+C167</f>
        <v>3095647</v>
      </c>
      <c r="K167" s="613">
        <f t="shared" ref="K167:K177" si="23">K166+E167</f>
        <v>0</v>
      </c>
      <c r="L167" s="613">
        <f t="shared" ref="L167:L177" si="24">L166+F167</f>
        <v>0</v>
      </c>
      <c r="M167" s="613">
        <f t="shared" ref="M167:M177" si="25">M166+G167</f>
        <v>0</v>
      </c>
      <c r="N167" s="613">
        <f t="shared" ref="N167:N177" si="26">N166+H167</f>
        <v>0</v>
      </c>
      <c r="O167" s="613">
        <f t="shared" ref="O167:O177" si="27">O166+I167</f>
        <v>0</v>
      </c>
    </row>
    <row r="168" spans="1:15" ht="13.5">
      <c r="A168" s="1934"/>
      <c r="B168" s="598" t="s">
        <v>790</v>
      </c>
      <c r="C168" s="614">
        <v>4472350</v>
      </c>
      <c r="D168" s="614"/>
      <c r="E168" s="614"/>
      <c r="F168" s="614"/>
      <c r="G168" s="614"/>
      <c r="H168" s="614"/>
      <c r="I168" s="647"/>
      <c r="J168" s="613">
        <f t="shared" ref="J168:J177" si="28">J167+C168</f>
        <v>7567997</v>
      </c>
      <c r="K168" s="613">
        <f t="shared" si="23"/>
        <v>0</v>
      </c>
      <c r="L168" s="613">
        <f t="shared" si="24"/>
        <v>0</v>
      </c>
      <c r="M168" s="613">
        <f t="shared" si="25"/>
        <v>0</v>
      </c>
      <c r="N168" s="613">
        <f t="shared" si="26"/>
        <v>0</v>
      </c>
      <c r="O168" s="613">
        <f t="shared" si="27"/>
        <v>0</v>
      </c>
    </row>
    <row r="169" spans="1:15" ht="13.5">
      <c r="A169" s="1934"/>
      <c r="B169" s="598" t="s">
        <v>791</v>
      </c>
      <c r="C169" s="614">
        <v>1636764</v>
      </c>
      <c r="D169" s="614"/>
      <c r="E169" s="614"/>
      <c r="F169" s="614"/>
      <c r="G169" s="614"/>
      <c r="H169" s="614"/>
      <c r="I169" s="647"/>
      <c r="J169" s="613">
        <f t="shared" si="28"/>
        <v>9204761</v>
      </c>
      <c r="K169" s="613">
        <f t="shared" si="23"/>
        <v>0</v>
      </c>
      <c r="L169" s="613">
        <f t="shared" si="24"/>
        <v>0</v>
      </c>
      <c r="M169" s="613">
        <f t="shared" si="25"/>
        <v>0</v>
      </c>
      <c r="N169" s="613">
        <f t="shared" si="26"/>
        <v>0</v>
      </c>
      <c r="O169" s="613">
        <f t="shared" si="27"/>
        <v>0</v>
      </c>
    </row>
    <row r="170" spans="1:15" ht="13.5">
      <c r="A170" s="1934"/>
      <c r="B170" s="598" t="s">
        <v>786</v>
      </c>
      <c r="C170" s="614">
        <v>4653943</v>
      </c>
      <c r="D170" s="614"/>
      <c r="E170" s="614"/>
      <c r="F170" s="614"/>
      <c r="G170" s="614"/>
      <c r="H170" s="614"/>
      <c r="I170" s="647"/>
      <c r="J170" s="613">
        <f t="shared" si="28"/>
        <v>13858704</v>
      </c>
      <c r="K170" s="613">
        <f t="shared" si="23"/>
        <v>0</v>
      </c>
      <c r="L170" s="613">
        <f t="shared" si="24"/>
        <v>0</v>
      </c>
      <c r="M170" s="613">
        <f t="shared" si="25"/>
        <v>0</v>
      </c>
      <c r="N170" s="613">
        <f t="shared" si="26"/>
        <v>0</v>
      </c>
      <c r="O170" s="613">
        <f t="shared" si="27"/>
        <v>0</v>
      </c>
    </row>
    <row r="171" spans="1:15" ht="13.5">
      <c r="A171" s="1934"/>
      <c r="B171" s="598" t="s">
        <v>792</v>
      </c>
      <c r="C171" s="614">
        <v>2126830</v>
      </c>
      <c r="D171" s="614"/>
      <c r="E171" s="614"/>
      <c r="F171" s="614"/>
      <c r="G171" s="614"/>
      <c r="H171" s="614"/>
      <c r="I171" s="647"/>
      <c r="J171" s="613">
        <f t="shared" si="28"/>
        <v>15985534</v>
      </c>
      <c r="K171" s="613">
        <f t="shared" si="23"/>
        <v>0</v>
      </c>
      <c r="L171" s="613">
        <f t="shared" si="24"/>
        <v>0</v>
      </c>
      <c r="M171" s="613">
        <f t="shared" si="25"/>
        <v>0</v>
      </c>
      <c r="N171" s="613">
        <f t="shared" si="26"/>
        <v>0</v>
      </c>
      <c r="O171" s="613">
        <f t="shared" si="27"/>
        <v>0</v>
      </c>
    </row>
    <row r="172" spans="1:15" ht="13.5">
      <c r="A172" s="1934"/>
      <c r="B172" s="598" t="s">
        <v>793</v>
      </c>
      <c r="C172" s="614">
        <v>788369</v>
      </c>
      <c r="D172" s="614"/>
      <c r="E172" s="614"/>
      <c r="F172" s="614"/>
      <c r="G172" s="614"/>
      <c r="H172" s="614"/>
      <c r="I172" s="647"/>
      <c r="J172" s="613">
        <f t="shared" si="28"/>
        <v>16773903</v>
      </c>
      <c r="K172" s="613">
        <f t="shared" si="23"/>
        <v>0</v>
      </c>
      <c r="L172" s="613">
        <f t="shared" si="24"/>
        <v>0</v>
      </c>
      <c r="M172" s="613">
        <f t="shared" si="25"/>
        <v>0</v>
      </c>
      <c r="N172" s="613">
        <f t="shared" si="26"/>
        <v>0</v>
      </c>
      <c r="O172" s="613">
        <f t="shared" si="27"/>
        <v>0</v>
      </c>
    </row>
    <row r="173" spans="1:15" ht="13.5">
      <c r="A173" s="1934"/>
      <c r="B173" s="598" t="s">
        <v>794</v>
      </c>
      <c r="C173" s="614">
        <v>2515221</v>
      </c>
      <c r="D173" s="614"/>
      <c r="E173" s="614"/>
      <c r="F173" s="614"/>
      <c r="G173" s="614"/>
      <c r="H173" s="614"/>
      <c r="I173" s="647"/>
      <c r="J173" s="613">
        <f t="shared" si="28"/>
        <v>19289124</v>
      </c>
      <c r="K173" s="613">
        <f t="shared" si="23"/>
        <v>0</v>
      </c>
      <c r="L173" s="613">
        <f t="shared" si="24"/>
        <v>0</v>
      </c>
      <c r="M173" s="613">
        <f t="shared" si="25"/>
        <v>0</v>
      </c>
      <c r="N173" s="613">
        <f t="shared" si="26"/>
        <v>0</v>
      </c>
      <c r="O173" s="613">
        <f t="shared" si="27"/>
        <v>0</v>
      </c>
    </row>
    <row r="174" spans="1:15" ht="13.5">
      <c r="A174" s="1934"/>
      <c r="B174" s="598" t="s">
        <v>795</v>
      </c>
      <c r="C174" s="614">
        <v>765050</v>
      </c>
      <c r="D174" s="614"/>
      <c r="E174" s="614"/>
      <c r="F174" s="614"/>
      <c r="G174" s="614"/>
      <c r="H174" s="614"/>
      <c r="I174" s="647"/>
      <c r="J174" s="613">
        <f t="shared" si="28"/>
        <v>20054174</v>
      </c>
      <c r="K174" s="613">
        <f t="shared" si="23"/>
        <v>0</v>
      </c>
      <c r="L174" s="613">
        <f t="shared" si="24"/>
        <v>0</v>
      </c>
      <c r="M174" s="613">
        <f t="shared" si="25"/>
        <v>0</v>
      </c>
      <c r="N174" s="613">
        <f t="shared" si="26"/>
        <v>0</v>
      </c>
      <c r="O174" s="613">
        <f t="shared" si="27"/>
        <v>0</v>
      </c>
    </row>
    <row r="175" spans="1:15" ht="13.5">
      <c r="A175" s="1934"/>
      <c r="B175" s="598" t="s">
        <v>796</v>
      </c>
      <c r="C175" s="614">
        <v>2308704</v>
      </c>
      <c r="D175" s="614"/>
      <c r="E175" s="614"/>
      <c r="F175" s="614"/>
      <c r="G175" s="614"/>
      <c r="H175" s="614"/>
      <c r="I175" s="647"/>
      <c r="J175" s="613">
        <f t="shared" si="28"/>
        <v>22362878</v>
      </c>
      <c r="K175" s="613">
        <f t="shared" si="23"/>
        <v>0</v>
      </c>
      <c r="L175" s="613">
        <f t="shared" si="24"/>
        <v>0</v>
      </c>
      <c r="M175" s="613">
        <f t="shared" si="25"/>
        <v>0</v>
      </c>
      <c r="N175" s="613">
        <f t="shared" si="26"/>
        <v>0</v>
      </c>
      <c r="O175" s="613">
        <f t="shared" si="27"/>
        <v>0</v>
      </c>
    </row>
    <row r="176" spans="1:15" ht="13.5">
      <c r="A176" s="1934"/>
      <c r="B176" s="598" t="s">
        <v>797</v>
      </c>
      <c r="C176" s="614">
        <v>6105461</v>
      </c>
      <c r="D176" s="614"/>
      <c r="E176" s="614"/>
      <c r="F176" s="614"/>
      <c r="G176" s="614"/>
      <c r="H176" s="614"/>
      <c r="I176" s="647"/>
      <c r="J176" s="613">
        <f t="shared" si="28"/>
        <v>28468339</v>
      </c>
      <c r="K176" s="613">
        <f t="shared" si="23"/>
        <v>0</v>
      </c>
      <c r="L176" s="613">
        <f t="shared" si="24"/>
        <v>0</v>
      </c>
      <c r="M176" s="613">
        <f t="shared" si="25"/>
        <v>0</v>
      </c>
      <c r="N176" s="613">
        <f t="shared" si="26"/>
        <v>0</v>
      </c>
      <c r="O176" s="613">
        <f t="shared" si="27"/>
        <v>0</v>
      </c>
    </row>
    <row r="177" spans="1:15" ht="13.5">
      <c r="A177" s="597"/>
      <c r="B177" s="598" t="s">
        <v>798</v>
      </c>
      <c r="C177" s="614">
        <v>2244969</v>
      </c>
      <c r="D177" s="614"/>
      <c r="E177" s="614"/>
      <c r="F177" s="614"/>
      <c r="G177" s="614"/>
      <c r="H177" s="614"/>
      <c r="I177" s="647"/>
      <c r="J177" s="613">
        <f t="shared" si="28"/>
        <v>30713308</v>
      </c>
      <c r="K177" s="613">
        <f t="shared" si="23"/>
        <v>0</v>
      </c>
      <c r="L177" s="613">
        <f t="shared" si="24"/>
        <v>0</v>
      </c>
      <c r="M177" s="613">
        <f t="shared" si="25"/>
        <v>0</v>
      </c>
      <c r="N177" s="613">
        <f t="shared" si="26"/>
        <v>0</v>
      </c>
      <c r="O177" s="613">
        <f t="shared" si="27"/>
        <v>0</v>
      </c>
    </row>
    <row r="178" spans="1:15" ht="13.5">
      <c r="A178" s="597"/>
      <c r="B178" s="598" t="s">
        <v>1015</v>
      </c>
      <c r="C178" s="613">
        <f t="shared" ref="C178:H178" si="29">SUM(C166:C177)</f>
        <v>30713308</v>
      </c>
      <c r="D178" s="613">
        <f t="shared" si="29"/>
        <v>0</v>
      </c>
      <c r="E178" s="613">
        <f t="shared" si="29"/>
        <v>0</v>
      </c>
      <c r="F178" s="613">
        <f t="shared" si="29"/>
        <v>0</v>
      </c>
      <c r="G178" s="613">
        <f t="shared" si="29"/>
        <v>0</v>
      </c>
      <c r="H178" s="613">
        <f t="shared" si="29"/>
        <v>0</v>
      </c>
      <c r="I178" s="613" t="s">
        <v>91</v>
      </c>
      <c r="J178" s="613">
        <f t="shared" ref="J178:O178" si="30">AVERAGE(J166:J177)</f>
        <v>15707261.416666666</v>
      </c>
      <c r="K178" s="613">
        <f t="shared" si="30"/>
        <v>0</v>
      </c>
      <c r="L178" s="613">
        <f t="shared" si="30"/>
        <v>0</v>
      </c>
      <c r="M178" s="613">
        <f t="shared" si="30"/>
        <v>0</v>
      </c>
      <c r="N178" s="613">
        <f t="shared" si="30"/>
        <v>0</v>
      </c>
      <c r="O178" s="613">
        <f t="shared" si="30"/>
        <v>0</v>
      </c>
    </row>
    <row r="179" spans="1:15" ht="13.5">
      <c r="A179" s="597"/>
      <c r="C179" s="598"/>
      <c r="D179" s="429"/>
      <c r="E179" s="429"/>
      <c r="F179" s="429"/>
      <c r="G179" s="429"/>
      <c r="H179" s="429"/>
      <c r="I179" s="429"/>
      <c r="J179" s="429"/>
      <c r="K179" s="429"/>
      <c r="L179" s="615"/>
      <c r="M179" s="598"/>
      <c r="N179" s="598"/>
      <c r="O179" s="598"/>
    </row>
    <row r="180" spans="1:15" ht="15.75">
      <c r="A180" s="597" t="s">
        <v>919</v>
      </c>
      <c r="B180" s="598" t="s">
        <v>93</v>
      </c>
      <c r="C180" s="598"/>
      <c r="D180" s="429"/>
      <c r="E180" s="429"/>
      <c r="F180" s="429"/>
      <c r="G180" s="429"/>
      <c r="H180" s="429"/>
      <c r="I180" s="429"/>
      <c r="J180" s="598"/>
      <c r="K180" s="649" t="s">
        <v>92</v>
      </c>
      <c r="L180" s="429"/>
      <c r="M180" s="613">
        <f>SUM(J178:O178)</f>
        <v>15707261.416666666</v>
      </c>
      <c r="N180" s="1959" t="s">
        <v>1442</v>
      </c>
      <c r="O180" s="634"/>
    </row>
    <row r="181" spans="1:15" ht="13.5">
      <c r="A181" s="597"/>
      <c r="B181" s="598"/>
      <c r="C181" s="598"/>
      <c r="D181" s="429"/>
      <c r="E181" s="429"/>
      <c r="F181" s="429"/>
      <c r="G181" s="429"/>
      <c r="H181" s="429"/>
      <c r="I181" s="429"/>
      <c r="J181" s="598"/>
      <c r="K181" s="598"/>
      <c r="L181" s="613"/>
      <c r="M181" s="598"/>
      <c r="N181" s="429"/>
      <c r="O181" s="598"/>
    </row>
    <row r="182" spans="1:15" ht="13.5">
      <c r="A182" s="597"/>
      <c r="B182" s="597"/>
      <c r="C182" s="597"/>
      <c r="D182" s="598"/>
      <c r="E182" s="598"/>
      <c r="F182" s="429"/>
      <c r="G182" s="598"/>
      <c r="H182" s="598"/>
      <c r="I182" s="613"/>
      <c r="J182" s="598"/>
      <c r="K182" s="429"/>
      <c r="L182" s="598"/>
      <c r="M182" s="598"/>
      <c r="N182" s="616"/>
      <c r="O182" s="616"/>
    </row>
    <row r="183" spans="1:15" ht="13.5">
      <c r="A183" s="597"/>
      <c r="B183" s="597"/>
      <c r="C183" s="597"/>
      <c r="D183" s="619"/>
      <c r="E183" s="597"/>
      <c r="F183" s="613"/>
      <c r="G183" s="597"/>
      <c r="H183" s="613"/>
      <c r="I183" s="601"/>
      <c r="J183" s="634"/>
      <c r="K183" s="598"/>
      <c r="L183" s="598"/>
      <c r="M183" s="598"/>
      <c r="N183" s="598"/>
      <c r="O183" s="598"/>
    </row>
    <row r="184" spans="1:15" ht="13.5">
      <c r="A184" s="597">
        <v>10</v>
      </c>
      <c r="B184" s="597" t="s">
        <v>786</v>
      </c>
      <c r="C184" s="597" t="s">
        <v>761</v>
      </c>
      <c r="D184" s="604" t="s">
        <v>555</v>
      </c>
      <c r="E184" s="598"/>
      <c r="F184" s="598"/>
      <c r="G184" s="598"/>
      <c r="H184" s="598"/>
      <c r="I184" s="601"/>
      <c r="J184" s="602"/>
      <c r="K184" s="598"/>
      <c r="L184" s="598"/>
      <c r="M184" s="598"/>
      <c r="N184" s="598"/>
      <c r="O184" s="598"/>
    </row>
    <row r="185" spans="1:15" ht="13.5">
      <c r="A185" s="597"/>
      <c r="B185" s="597"/>
      <c r="C185" s="1644">
        <f>I157</f>
        <v>101577561.79261199</v>
      </c>
      <c r="D185" s="620"/>
      <c r="E185" s="598" t="s">
        <v>1127</v>
      </c>
      <c r="F185" s="598"/>
      <c r="G185" s="598"/>
      <c r="H185" s="598"/>
      <c r="I185" s="602"/>
      <c r="J185" s="602"/>
      <c r="K185" s="598"/>
      <c r="L185" s="598"/>
      <c r="M185" s="598"/>
      <c r="N185" s="598"/>
      <c r="O185" s="598"/>
    </row>
    <row r="186" spans="1:15" ht="13.5">
      <c r="A186" s="597"/>
      <c r="B186" s="597"/>
      <c r="C186" s="597"/>
      <c r="D186" s="626"/>
      <c r="E186" s="619"/>
      <c r="F186" s="598"/>
      <c r="G186" s="598"/>
      <c r="H186" s="598"/>
      <c r="I186" s="602"/>
      <c r="J186" s="602"/>
      <c r="K186" s="598"/>
      <c r="L186" s="598"/>
      <c r="M186" s="598"/>
      <c r="N186" s="598"/>
      <c r="O186" s="598"/>
    </row>
    <row r="187" spans="1:15" ht="13.5">
      <c r="A187" s="597"/>
      <c r="B187" s="597"/>
      <c r="C187" s="597"/>
      <c r="D187" s="620"/>
      <c r="E187" s="598"/>
      <c r="F187" s="598"/>
      <c r="G187" s="598"/>
      <c r="H187" s="598"/>
      <c r="I187" s="602"/>
      <c r="J187" s="602"/>
      <c r="K187" s="598"/>
      <c r="L187" s="598"/>
      <c r="M187" s="598"/>
      <c r="N187" s="598"/>
      <c r="O187" s="598"/>
    </row>
    <row r="188" spans="1:15" ht="13.5">
      <c r="A188" s="597">
        <v>11</v>
      </c>
      <c r="B188" s="597" t="s">
        <v>787</v>
      </c>
      <c r="C188" s="597" t="s">
        <v>761</v>
      </c>
      <c r="D188" s="627" t="s">
        <v>1430</v>
      </c>
      <c r="E188" s="602"/>
      <c r="F188" s="602"/>
      <c r="G188" s="602"/>
      <c r="H188" s="602"/>
      <c r="I188" s="602"/>
      <c r="J188" s="602"/>
      <c r="K188" s="602"/>
      <c r="L188" s="602"/>
      <c r="M188" s="598"/>
      <c r="N188" s="598"/>
      <c r="O188" s="598"/>
    </row>
    <row r="189" spans="1:15" ht="13.5">
      <c r="A189" s="597"/>
      <c r="B189" s="597"/>
      <c r="C189" s="597"/>
      <c r="D189" s="1645">
        <f>C185</f>
        <v>101577561.79261199</v>
      </c>
      <c r="E189" s="598"/>
      <c r="F189" s="598"/>
      <c r="G189" s="598"/>
      <c r="H189" s="598"/>
      <c r="I189" s="598"/>
      <c r="J189" s="598"/>
      <c r="K189" s="598"/>
      <c r="L189" s="598"/>
      <c r="M189" s="598"/>
      <c r="N189" s="598"/>
      <c r="O189" s="598"/>
    </row>
    <row r="190" spans="1:15" ht="13.5">
      <c r="A190" s="597"/>
      <c r="B190" s="597"/>
      <c r="C190" s="597"/>
      <c r="D190" s="598"/>
      <c r="E190" s="598"/>
      <c r="F190" s="598"/>
      <c r="G190" s="598"/>
      <c r="H190" s="598"/>
      <c r="I190" s="598"/>
      <c r="J190" s="598"/>
      <c r="K190" s="598"/>
      <c r="L190" s="598"/>
      <c r="M190" s="598"/>
      <c r="N190" s="598"/>
      <c r="O190" s="598"/>
    </row>
    <row r="191" spans="1:15" ht="13.5">
      <c r="A191" s="597"/>
      <c r="B191" s="598"/>
      <c r="C191" s="597"/>
      <c r="D191" s="619"/>
      <c r="E191" s="598"/>
      <c r="F191" s="598"/>
      <c r="G191" s="598"/>
      <c r="H191" s="598"/>
      <c r="I191" s="598"/>
      <c r="J191" s="598"/>
      <c r="K191" s="598"/>
      <c r="L191" s="598"/>
      <c r="M191" s="598"/>
      <c r="N191" s="598"/>
      <c r="O191" s="598"/>
    </row>
    <row r="192" spans="1:15" ht="13.5">
      <c r="A192" s="597"/>
      <c r="B192" s="597"/>
      <c r="C192" s="597"/>
      <c r="D192" s="598"/>
      <c r="E192" s="598"/>
      <c r="F192" s="598"/>
      <c r="G192" s="598"/>
      <c r="H192" s="598"/>
      <c r="I192" s="598"/>
      <c r="J192" s="598"/>
      <c r="K192" s="598"/>
      <c r="L192" s="598"/>
      <c r="M192" s="598"/>
      <c r="N192" s="598"/>
      <c r="O192" s="598"/>
    </row>
    <row r="193" spans="1:15" ht="13.5">
      <c r="A193" s="597"/>
      <c r="B193" s="597"/>
      <c r="C193" s="597"/>
      <c r="D193" s="598"/>
      <c r="E193" s="598"/>
      <c r="F193" s="598"/>
      <c r="G193" s="598"/>
      <c r="H193" s="598"/>
      <c r="I193" s="598"/>
      <c r="J193" s="598"/>
      <c r="K193" s="598"/>
      <c r="L193" s="598"/>
      <c r="M193" s="598"/>
      <c r="N193" s="598"/>
      <c r="O193" s="598"/>
    </row>
    <row r="194" spans="1:15" ht="13.5">
      <c r="A194" s="597"/>
      <c r="B194" s="597"/>
      <c r="C194" s="597"/>
      <c r="D194" s="598"/>
      <c r="E194" s="598"/>
      <c r="F194" s="598"/>
      <c r="G194" s="598"/>
      <c r="H194" s="598"/>
      <c r="I194" s="598"/>
      <c r="J194" s="598"/>
      <c r="K194" s="598"/>
      <c r="L194" s="598"/>
      <c r="M194" s="598"/>
      <c r="N194" s="598"/>
      <c r="O194" s="598"/>
    </row>
    <row r="195" spans="1:15" ht="13.5">
      <c r="A195" s="597"/>
      <c r="B195" s="597"/>
      <c r="C195" s="597"/>
      <c r="D195" s="598"/>
      <c r="E195" s="598"/>
      <c r="F195" s="598"/>
      <c r="G195" s="598"/>
      <c r="H195" s="598"/>
      <c r="I195" s="598"/>
      <c r="J195" s="598"/>
      <c r="K195" s="598"/>
      <c r="L195" s="598"/>
      <c r="M195" s="598"/>
      <c r="N195" s="598"/>
      <c r="O195" s="598"/>
    </row>
    <row r="196" spans="1:15" ht="13.5">
      <c r="A196" s="597"/>
      <c r="B196" s="597"/>
      <c r="C196" s="597"/>
      <c r="D196" s="598"/>
      <c r="E196" s="598"/>
      <c r="F196" s="598"/>
      <c r="G196" s="598"/>
      <c r="H196" s="598"/>
      <c r="I196" s="598"/>
      <c r="J196" s="598"/>
      <c r="K196" s="598"/>
      <c r="L196" s="598"/>
      <c r="M196" s="598"/>
      <c r="N196" s="598"/>
      <c r="O196" s="598"/>
    </row>
    <row r="197" spans="1:15" ht="13.5">
      <c r="A197" s="597"/>
      <c r="B197" s="597"/>
      <c r="C197" s="597"/>
      <c r="D197" s="598"/>
      <c r="E197" s="598"/>
      <c r="F197" s="598"/>
      <c r="G197" s="598"/>
      <c r="H197" s="598"/>
      <c r="I197" s="598"/>
      <c r="J197" s="598"/>
      <c r="K197" s="598"/>
      <c r="L197" s="598"/>
      <c r="M197" s="598"/>
      <c r="N197" s="598"/>
      <c r="O197" s="598"/>
    </row>
    <row r="198" spans="1:15" ht="13.5">
      <c r="A198" s="597"/>
      <c r="B198" s="597"/>
      <c r="C198" s="597"/>
      <c r="D198" s="598"/>
      <c r="E198" s="598"/>
      <c r="F198" s="598"/>
      <c r="G198" s="598"/>
      <c r="H198" s="598"/>
      <c r="I198" s="598"/>
      <c r="J198" s="598"/>
      <c r="K198" s="598"/>
      <c r="L198" s="598"/>
      <c r="M198" s="598"/>
      <c r="N198" s="598"/>
      <c r="O198" s="598"/>
    </row>
    <row r="199" spans="1:15" ht="13.5">
      <c r="A199" s="597"/>
      <c r="B199" s="597"/>
      <c r="C199" s="597"/>
      <c r="D199" s="598"/>
      <c r="E199" s="598"/>
      <c r="F199" s="598"/>
      <c r="G199" s="598"/>
      <c r="H199" s="598"/>
      <c r="I199" s="598"/>
      <c r="J199" s="598"/>
      <c r="K199" s="598"/>
      <c r="L199" s="598"/>
      <c r="M199" s="598"/>
      <c r="N199" s="598"/>
      <c r="O199" s="598"/>
    </row>
    <row r="200" spans="1:15" ht="13.5">
      <c r="A200" s="597"/>
      <c r="B200" s="597"/>
      <c r="C200" s="597"/>
      <c r="D200" s="598"/>
      <c r="E200" s="598"/>
      <c r="F200" s="598"/>
      <c r="G200" s="598"/>
      <c r="H200" s="598"/>
      <c r="I200" s="598"/>
      <c r="J200" s="598"/>
      <c r="K200" s="598"/>
      <c r="L200" s="598"/>
      <c r="M200" s="598"/>
      <c r="N200" s="598"/>
      <c r="O200" s="598"/>
    </row>
    <row r="201" spans="1:15" ht="13.5">
      <c r="A201" s="597"/>
      <c r="B201" s="597"/>
      <c r="C201" s="597"/>
      <c r="D201" s="598"/>
      <c r="E201" s="598"/>
      <c r="F201" s="598"/>
      <c r="G201" s="598"/>
      <c r="H201" s="598"/>
      <c r="I201" s="598"/>
      <c r="J201" s="598"/>
      <c r="K201" s="598"/>
      <c r="L201" s="598"/>
      <c r="M201" s="598"/>
      <c r="N201" s="598"/>
      <c r="O201" s="598"/>
    </row>
    <row r="202" spans="1:15" ht="13.5">
      <c r="A202" s="597"/>
      <c r="B202" s="597"/>
      <c r="C202" s="597"/>
      <c r="D202" s="598"/>
      <c r="E202" s="598"/>
      <c r="F202" s="598"/>
      <c r="G202" s="598"/>
      <c r="H202" s="598"/>
      <c r="I202" s="598"/>
      <c r="J202" s="598"/>
      <c r="K202" s="598"/>
      <c r="L202" s="598"/>
      <c r="M202" s="598"/>
      <c r="N202" s="598"/>
      <c r="O202" s="598"/>
    </row>
    <row r="203" spans="1:15" ht="13.5">
      <c r="A203" s="597"/>
      <c r="B203" s="597"/>
      <c r="C203" s="597"/>
      <c r="D203" s="598"/>
      <c r="E203" s="598"/>
      <c r="F203" s="598"/>
      <c r="G203" s="598"/>
      <c r="H203" s="598"/>
      <c r="I203" s="598"/>
      <c r="J203" s="598"/>
      <c r="K203" s="598"/>
      <c r="L203" s="598"/>
      <c r="M203" s="598"/>
      <c r="N203" s="598"/>
      <c r="O203" s="598"/>
    </row>
    <row r="204" spans="1:15" ht="13.5">
      <c r="A204" s="597"/>
      <c r="B204" s="597"/>
      <c r="C204" s="597"/>
      <c r="D204" s="598"/>
      <c r="E204" s="598"/>
      <c r="F204" s="598"/>
      <c r="G204" s="598"/>
      <c r="H204" s="598"/>
      <c r="I204" s="598"/>
      <c r="J204" s="598"/>
      <c r="K204" s="598"/>
      <c r="L204" s="598"/>
      <c r="M204" s="598"/>
      <c r="N204" s="598"/>
      <c r="O204" s="598"/>
    </row>
    <row r="205" spans="1:15" ht="13.5">
      <c r="A205" s="597"/>
      <c r="B205" s="597"/>
      <c r="C205" s="597"/>
      <c r="D205" s="598"/>
      <c r="E205" s="598"/>
      <c r="F205" s="598"/>
      <c r="G205" s="598"/>
      <c r="H205" s="598"/>
      <c r="I205" s="598"/>
      <c r="J205" s="598"/>
      <c r="K205" s="598"/>
      <c r="L205" s="598"/>
      <c r="M205" s="598"/>
      <c r="N205" s="598"/>
      <c r="O205" s="598"/>
    </row>
    <row r="206" spans="1:15" ht="13.5">
      <c r="A206" s="597"/>
      <c r="B206" s="597"/>
      <c r="C206" s="597"/>
      <c r="D206" s="598"/>
      <c r="E206" s="598"/>
      <c r="F206" s="598"/>
      <c r="G206" s="598"/>
      <c r="H206" s="598"/>
      <c r="I206" s="598"/>
      <c r="J206" s="598"/>
      <c r="K206" s="598"/>
      <c r="L206" s="598"/>
      <c r="M206" s="598"/>
      <c r="N206" s="598"/>
      <c r="O206" s="598"/>
    </row>
    <row r="207" spans="1:15" ht="15.75">
      <c r="A207" s="645"/>
      <c r="B207" s="597"/>
      <c r="C207" s="597"/>
      <c r="D207" s="598"/>
      <c r="E207" s="598"/>
      <c r="F207" s="598"/>
      <c r="G207" s="598"/>
      <c r="H207" s="598"/>
      <c r="I207" s="598"/>
      <c r="J207" s="598"/>
      <c r="K207" s="598"/>
      <c r="L207" s="598"/>
      <c r="M207" s="598"/>
      <c r="N207" s="598"/>
      <c r="O207" s="598"/>
    </row>
    <row r="208" spans="1:15" ht="15.75">
      <c r="A208" s="645"/>
      <c r="B208" s="597"/>
      <c r="C208" s="597"/>
      <c r="D208" s="598"/>
      <c r="E208" s="598"/>
      <c r="F208" s="598"/>
      <c r="G208" s="598"/>
      <c r="H208" s="598"/>
      <c r="I208" s="598"/>
      <c r="J208" s="598"/>
      <c r="K208" s="598"/>
      <c r="L208" s="598"/>
      <c r="M208" s="598"/>
      <c r="N208" s="598"/>
      <c r="O208" s="598"/>
    </row>
    <row r="209" spans="1:15" ht="15.75">
      <c r="A209" s="645"/>
      <c r="B209" s="645"/>
      <c r="C209" s="645"/>
      <c r="D209" s="646"/>
      <c r="E209" s="646"/>
      <c r="F209" s="646"/>
      <c r="G209" s="646"/>
      <c r="H209" s="646"/>
      <c r="I209" s="646"/>
      <c r="J209" s="646"/>
      <c r="K209" s="646"/>
      <c r="L209" s="646"/>
      <c r="M209" s="646"/>
      <c r="N209" s="646"/>
      <c r="O209" s="646"/>
    </row>
    <row r="210" spans="1:15" ht="15.75">
      <c r="A210" s="645"/>
      <c r="B210" s="645"/>
      <c r="C210" s="645"/>
      <c r="D210" s="646"/>
      <c r="E210" s="646"/>
      <c r="F210" s="646"/>
      <c r="G210" s="646"/>
      <c r="H210" s="646"/>
      <c r="I210" s="646"/>
      <c r="J210" s="646"/>
      <c r="K210" s="646"/>
      <c r="L210" s="646"/>
      <c r="M210" s="646"/>
      <c r="N210" s="646"/>
      <c r="O210" s="646"/>
    </row>
    <row r="211" spans="1:15" ht="13.5">
      <c r="J211" s="598"/>
      <c r="K211" s="598"/>
    </row>
    <row r="212" spans="1:15" ht="13.5">
      <c r="J212" s="598"/>
      <c r="K212" s="598"/>
    </row>
    <row r="213" spans="1:15" ht="13.5">
      <c r="J213" s="598"/>
      <c r="K213" s="598"/>
    </row>
    <row r="214" spans="1:15" ht="13.5">
      <c r="J214" s="598"/>
      <c r="K214" s="598"/>
    </row>
    <row r="215" spans="1:15" ht="13.5">
      <c r="J215" s="598"/>
      <c r="K215" s="598"/>
    </row>
    <row r="216" spans="1:15" ht="13.5">
      <c r="J216" s="598"/>
      <c r="K216" s="598"/>
    </row>
    <row r="217" spans="1:15" ht="13.5">
      <c r="J217" s="598"/>
      <c r="K217" s="598"/>
    </row>
    <row r="218" spans="1:15" ht="13.5">
      <c r="J218" s="598"/>
      <c r="K218" s="598"/>
    </row>
    <row r="219" spans="1:15" ht="13.5">
      <c r="J219" s="598"/>
      <c r="K219" s="598"/>
    </row>
    <row r="220" spans="1:15" ht="13.5">
      <c r="J220" s="598"/>
      <c r="K220" s="598"/>
    </row>
    <row r="221" spans="1:15" ht="13.5">
      <c r="J221" s="598"/>
      <c r="K221" s="598"/>
    </row>
  </sheetData>
  <mergeCells count="2">
    <mergeCell ref="D119:E119"/>
    <mergeCell ref="A164:A176"/>
  </mergeCells>
  <phoneticPr fontId="77" type="noConversion"/>
  <printOptions gridLines="1"/>
  <pageMargins left="0.78" right="0.7" top="0.32" bottom="0.5" header="0.3" footer="0.3"/>
  <pageSetup scale="47" fitToHeight="0" orientation="landscape" r:id="rId1"/>
  <rowBreaks count="2" manualBreakCount="2">
    <brk id="74" max="15" man="1"/>
    <brk id="158"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89"/>
  <sheetViews>
    <sheetView zoomScale="75" zoomScaleNormal="75" workbookViewId="0">
      <selection activeCell="K8" sqref="K8"/>
    </sheetView>
  </sheetViews>
  <sheetFormatPr defaultRowHeight="12.75"/>
  <cols>
    <col min="3" max="3" width="17.5703125" customWidth="1"/>
    <col min="4" max="4" width="17.140625" customWidth="1"/>
    <col min="5" max="5" width="30.7109375" customWidth="1"/>
    <col min="6" max="6" width="16.5703125" customWidth="1"/>
    <col min="7" max="7" width="19" customWidth="1"/>
    <col min="8" max="8" width="17.140625" customWidth="1"/>
    <col min="9" max="9" width="9.7109375" customWidth="1"/>
    <col min="10" max="10" width="15.140625" customWidth="1"/>
    <col min="12" max="12" width="14.140625" customWidth="1"/>
    <col min="13" max="13" width="15.42578125" customWidth="1"/>
    <col min="14" max="14" width="17.85546875" customWidth="1"/>
    <col min="17" max="17" width="15.28515625" customWidth="1"/>
  </cols>
  <sheetData>
    <row r="2" spans="1:29" ht="15">
      <c r="A2" s="1904" t="s">
        <v>540</v>
      </c>
      <c r="B2" s="1904"/>
      <c r="C2" s="1904"/>
      <c r="D2" s="1904"/>
      <c r="E2" s="1904"/>
      <c r="F2" s="1904"/>
      <c r="G2" s="1904"/>
      <c r="H2" s="1904"/>
      <c r="I2" s="1904"/>
      <c r="J2" s="1904"/>
      <c r="K2" s="1904"/>
      <c r="L2" s="1904"/>
      <c r="M2" s="1904"/>
      <c r="N2" s="1904"/>
      <c r="O2" s="1904"/>
      <c r="P2" s="1904"/>
      <c r="Q2" s="1904"/>
    </row>
    <row r="3" spans="1:29" ht="18">
      <c r="A3" s="1935" t="s">
        <v>506</v>
      </c>
      <c r="B3" s="1935"/>
      <c r="C3" s="1935"/>
      <c r="D3" s="1935"/>
      <c r="E3" s="1935"/>
      <c r="F3" s="1935"/>
      <c r="G3" s="1935"/>
      <c r="H3" s="1935"/>
      <c r="I3" s="1935"/>
      <c r="J3" s="1935"/>
      <c r="K3" s="1935"/>
      <c r="L3" s="1935"/>
      <c r="M3" s="1935"/>
      <c r="N3" s="1935"/>
      <c r="O3" s="1935"/>
      <c r="P3" s="1935"/>
      <c r="Q3" s="1935"/>
      <c r="R3" s="431"/>
      <c r="S3" s="431"/>
    </row>
    <row r="4" spans="1:29">
      <c r="A4" s="431"/>
      <c r="B4" s="431"/>
      <c r="C4" s="431"/>
      <c r="D4" s="431"/>
      <c r="E4" s="1956" t="s">
        <v>1438</v>
      </c>
      <c r="F4" s="1957">
        <f>'6 - Est and True up'!F4</f>
        <v>2013</v>
      </c>
      <c r="G4" s="431"/>
      <c r="H4" s="431"/>
      <c r="I4" s="431"/>
      <c r="J4" s="431"/>
      <c r="K4" s="431"/>
      <c r="L4" s="431"/>
      <c r="M4" s="431"/>
      <c r="N4" s="431"/>
      <c r="O4" s="431"/>
      <c r="P4" s="431"/>
      <c r="Q4" s="431"/>
      <c r="R4" s="431"/>
      <c r="S4" s="431"/>
    </row>
    <row r="5" spans="1:29" ht="16.5">
      <c r="A5" s="430"/>
      <c r="B5" s="430"/>
      <c r="C5" s="430"/>
      <c r="D5" s="429"/>
      <c r="E5" s="1956" t="s">
        <v>1439</v>
      </c>
      <c r="F5" s="1957">
        <f>'6 - Est and True up'!F5</f>
        <v>2014</v>
      </c>
      <c r="G5" s="429"/>
      <c r="H5" s="429"/>
      <c r="I5" s="429"/>
      <c r="J5" s="596"/>
      <c r="K5" s="429"/>
      <c r="L5" s="429"/>
      <c r="M5" s="429"/>
      <c r="N5" s="429"/>
      <c r="O5" s="429"/>
      <c r="P5" s="429"/>
      <c r="Q5" s="429"/>
      <c r="R5" s="429"/>
      <c r="S5" s="429"/>
      <c r="Y5" s="97"/>
      <c r="Z5" s="97"/>
      <c r="AA5" s="97"/>
      <c r="AB5" s="97"/>
      <c r="AC5" s="97"/>
    </row>
    <row r="6" spans="1:29" ht="13.5">
      <c r="A6" s="597" t="s">
        <v>780</v>
      </c>
      <c r="B6" s="597" t="s">
        <v>781</v>
      </c>
      <c r="C6" s="597" t="s">
        <v>782</v>
      </c>
      <c r="D6" s="597" t="s">
        <v>783</v>
      </c>
      <c r="E6" s="1956" t="s">
        <v>1440</v>
      </c>
      <c r="F6" s="1957">
        <f>'6 - Est and True up'!F6</f>
        <v>2015</v>
      </c>
      <c r="G6" s="598"/>
      <c r="H6" s="598"/>
      <c r="I6" s="598"/>
      <c r="J6" s="598"/>
      <c r="K6" s="598"/>
      <c r="L6" s="598"/>
      <c r="M6" s="598"/>
      <c r="N6" s="598"/>
      <c r="O6" s="598"/>
      <c r="P6" s="598"/>
      <c r="Q6" s="598"/>
      <c r="R6" s="598"/>
      <c r="S6" s="598"/>
      <c r="Y6" s="622"/>
      <c r="Z6" s="622"/>
      <c r="AA6" s="622"/>
      <c r="AB6" s="622"/>
      <c r="AC6" s="97"/>
    </row>
    <row r="7" spans="1:29" ht="13.5">
      <c r="A7" s="430"/>
      <c r="B7" s="597"/>
      <c r="C7" s="597"/>
      <c r="D7" s="598"/>
      <c r="E7" s="598"/>
      <c r="F7" s="598"/>
      <c r="G7" s="598"/>
      <c r="H7" s="598"/>
      <c r="I7" s="598"/>
      <c r="J7" s="598"/>
      <c r="K7" s="598"/>
      <c r="L7" s="598"/>
      <c r="M7" s="598"/>
      <c r="N7" s="598"/>
      <c r="O7" s="598"/>
      <c r="P7" s="598"/>
      <c r="Q7" s="598"/>
      <c r="R7" s="598"/>
      <c r="S7" s="598"/>
      <c r="Y7" s="884"/>
      <c r="Z7" s="884"/>
      <c r="AA7" s="884"/>
      <c r="AB7" s="884"/>
      <c r="AC7" s="97"/>
    </row>
    <row r="8" spans="1:29" ht="13.5">
      <c r="A8" s="599" t="s">
        <v>784</v>
      </c>
      <c r="B8" s="597"/>
      <c r="C8" s="597"/>
      <c r="D8" s="598"/>
      <c r="E8" s="598"/>
      <c r="F8" s="598"/>
      <c r="G8" s="598"/>
      <c r="H8" s="598"/>
      <c r="I8" s="598"/>
      <c r="J8" s="598"/>
      <c r="K8" s="598"/>
      <c r="L8" s="598"/>
      <c r="M8" s="598"/>
      <c r="N8" s="598"/>
      <c r="S8" s="598"/>
      <c r="Y8" s="884"/>
      <c r="Z8" s="884"/>
      <c r="AA8" s="884"/>
      <c r="AB8" s="884"/>
      <c r="AC8" s="97"/>
    </row>
    <row r="9" spans="1:29" ht="15.75">
      <c r="A9" s="600">
        <v>1</v>
      </c>
      <c r="B9" s="600" t="s">
        <v>785</v>
      </c>
      <c r="C9" s="600" t="s">
        <v>760</v>
      </c>
      <c r="D9" s="1970" t="s">
        <v>1424</v>
      </c>
      <c r="E9" s="602"/>
      <c r="F9" s="602"/>
      <c r="G9" s="602"/>
      <c r="H9" s="602"/>
      <c r="I9" s="602"/>
      <c r="J9" s="602"/>
      <c r="K9" s="602"/>
      <c r="L9" s="602"/>
      <c r="M9" s="602"/>
      <c r="N9" s="602"/>
      <c r="S9" s="602"/>
      <c r="Y9" s="884"/>
      <c r="Z9" s="885"/>
      <c r="AA9" s="885"/>
      <c r="AB9" s="886"/>
      <c r="AC9" s="97"/>
    </row>
    <row r="10" spans="1:29" ht="13.5">
      <c r="A10" s="600">
        <v>2</v>
      </c>
      <c r="B10" s="600" t="s">
        <v>785</v>
      </c>
      <c r="C10" s="600" t="s">
        <v>760</v>
      </c>
      <c r="D10" t="s">
        <v>1425</v>
      </c>
      <c r="E10" s="602"/>
      <c r="F10" s="602"/>
      <c r="G10" s="602"/>
      <c r="H10" s="602"/>
      <c r="I10" s="602"/>
      <c r="J10" s="602"/>
      <c r="K10" s="602"/>
      <c r="L10" s="602"/>
      <c r="M10" s="602"/>
      <c r="N10" s="602"/>
      <c r="S10" s="602"/>
      <c r="Y10" s="884"/>
      <c r="Z10" s="885"/>
      <c r="AA10" s="885"/>
      <c r="AB10" s="886"/>
      <c r="AC10" s="97"/>
    </row>
    <row r="11" spans="1:29" ht="13.5">
      <c r="A11" s="600">
        <v>3</v>
      </c>
      <c r="B11" s="600" t="s">
        <v>785</v>
      </c>
      <c r="C11" s="600" t="s">
        <v>760</v>
      </c>
      <c r="D11" t="s">
        <v>1426</v>
      </c>
      <c r="E11" s="602"/>
      <c r="F11" s="602"/>
      <c r="G11" s="602"/>
      <c r="H11" s="602"/>
      <c r="I11" s="602"/>
      <c r="J11" s="602"/>
      <c r="K11" s="602"/>
      <c r="L11" s="602"/>
      <c r="M11" s="602"/>
      <c r="N11" s="602"/>
      <c r="S11" s="602"/>
      <c r="Y11" s="884"/>
      <c r="Z11" s="885"/>
      <c r="AA11" s="885"/>
      <c r="AB11" s="886"/>
      <c r="AC11" s="97"/>
    </row>
    <row r="12" spans="1:29" ht="13.5">
      <c r="A12" s="600">
        <v>4</v>
      </c>
      <c r="B12" s="600" t="s">
        <v>786</v>
      </c>
      <c r="C12" s="600" t="s">
        <v>760</v>
      </c>
      <c r="D12" t="s">
        <v>1127</v>
      </c>
      <c r="E12" s="602"/>
      <c r="F12" s="602"/>
      <c r="G12" s="602"/>
      <c r="H12" s="602"/>
      <c r="I12" s="602"/>
      <c r="J12" s="602"/>
      <c r="K12" s="602"/>
      <c r="L12" s="602"/>
      <c r="M12" s="602"/>
      <c r="N12" s="602"/>
      <c r="S12" s="602"/>
      <c r="Y12" s="622"/>
      <c r="Z12" s="887"/>
      <c r="AA12" s="887"/>
      <c r="AB12" s="886"/>
      <c r="AC12" s="97"/>
    </row>
    <row r="13" spans="1:29" ht="13.5">
      <c r="A13" s="600">
        <v>5</v>
      </c>
      <c r="B13" s="603" t="s">
        <v>787</v>
      </c>
      <c r="C13" s="600" t="s">
        <v>760</v>
      </c>
      <c r="D13" t="s">
        <v>1427</v>
      </c>
      <c r="E13" s="602"/>
      <c r="F13" s="602"/>
      <c r="G13" s="602"/>
      <c r="H13" s="602"/>
      <c r="I13" s="602"/>
      <c r="J13" s="602"/>
      <c r="K13" s="602"/>
      <c r="L13" s="602"/>
      <c r="M13" s="602"/>
      <c r="N13" s="602"/>
      <c r="S13" s="602"/>
      <c r="Y13" s="622"/>
      <c r="Z13" s="887"/>
      <c r="AA13" s="887"/>
      <c r="AB13" s="886"/>
      <c r="AC13" s="97"/>
    </row>
    <row r="14" spans="1:29" ht="13.5">
      <c r="A14" s="597">
        <v>6</v>
      </c>
      <c r="B14" s="597" t="s">
        <v>785</v>
      </c>
      <c r="C14" s="600" t="s">
        <v>761</v>
      </c>
      <c r="D14" t="s">
        <v>1428</v>
      </c>
      <c r="E14" s="598"/>
      <c r="F14" s="598"/>
      <c r="G14" s="598"/>
      <c r="H14" s="598"/>
      <c r="I14" s="598"/>
      <c r="J14" s="598"/>
      <c r="K14" s="598"/>
      <c r="L14" s="598"/>
      <c r="M14" s="598"/>
      <c r="N14" s="598"/>
      <c r="S14" s="598"/>
      <c r="Y14" s="622"/>
      <c r="Z14" s="887"/>
      <c r="AA14" s="887"/>
      <c r="AB14" s="886"/>
      <c r="AC14" s="97"/>
    </row>
    <row r="15" spans="1:29" ht="13.5">
      <c r="A15" s="597">
        <v>7</v>
      </c>
      <c r="B15" s="597" t="s">
        <v>785</v>
      </c>
      <c r="C15" s="600" t="s">
        <v>761</v>
      </c>
      <c r="D15" t="s">
        <v>1161</v>
      </c>
      <c r="E15" s="605"/>
      <c r="F15" s="605"/>
      <c r="G15" s="605"/>
      <c r="H15" s="605"/>
      <c r="I15" s="605"/>
      <c r="J15" s="605"/>
      <c r="K15" s="598"/>
      <c r="L15" s="598"/>
      <c r="M15" s="598"/>
      <c r="N15" s="598"/>
      <c r="S15" s="598"/>
      <c r="Y15" s="622"/>
      <c r="Z15" s="887"/>
      <c r="AA15" s="887"/>
      <c r="AB15" s="886"/>
      <c r="AC15" s="97"/>
    </row>
    <row r="16" spans="1:29" ht="13.5">
      <c r="A16" s="597">
        <v>8</v>
      </c>
      <c r="B16" s="597" t="s">
        <v>785</v>
      </c>
      <c r="C16" s="600" t="s">
        <v>761</v>
      </c>
      <c r="D16" t="s">
        <v>1147</v>
      </c>
      <c r="E16" s="598"/>
      <c r="F16" s="598"/>
      <c r="G16" s="598"/>
      <c r="H16" s="598"/>
      <c r="I16" s="598"/>
      <c r="J16" s="598"/>
      <c r="K16" s="598"/>
      <c r="L16" s="598"/>
      <c r="M16" s="598"/>
      <c r="N16" s="598"/>
      <c r="S16" s="598"/>
      <c r="Y16" s="622"/>
      <c r="Z16" s="887"/>
      <c r="AA16" s="887"/>
      <c r="AB16" s="886"/>
      <c r="AC16" s="97"/>
    </row>
    <row r="17" spans="1:29" ht="13.5">
      <c r="A17" s="597">
        <v>9</v>
      </c>
      <c r="B17" s="597" t="s">
        <v>785</v>
      </c>
      <c r="C17" s="600" t="s">
        <v>761</v>
      </c>
      <c r="D17" t="s">
        <v>1429</v>
      </c>
      <c r="E17" s="598"/>
      <c r="F17" s="598"/>
      <c r="G17" s="598"/>
      <c r="H17" s="598"/>
      <c r="I17" s="598"/>
      <c r="J17" s="598"/>
      <c r="K17" s="598"/>
      <c r="L17" s="598"/>
      <c r="M17" s="598"/>
      <c r="N17" s="598"/>
      <c r="S17" s="598"/>
      <c r="Y17" s="622"/>
      <c r="Z17" s="887"/>
      <c r="AA17" s="887"/>
      <c r="AB17" s="886"/>
      <c r="AC17" s="97"/>
    </row>
    <row r="18" spans="1:29" ht="13.5">
      <c r="A18" s="597">
        <v>10</v>
      </c>
      <c r="B18" s="597" t="s">
        <v>786</v>
      </c>
      <c r="C18" s="600" t="s">
        <v>761</v>
      </c>
      <c r="D18" t="s">
        <v>555</v>
      </c>
      <c r="E18" s="598"/>
      <c r="F18" s="598"/>
      <c r="G18" s="598"/>
      <c r="H18" s="598"/>
      <c r="I18" s="598"/>
      <c r="J18" s="598"/>
      <c r="K18" s="598"/>
      <c r="L18" s="598"/>
      <c r="M18" s="598"/>
      <c r="N18" s="598"/>
      <c r="S18" s="598"/>
      <c r="Y18" s="622"/>
      <c r="Z18" s="887"/>
      <c r="AA18" s="887"/>
      <c r="AB18" s="886"/>
      <c r="AC18" s="97"/>
    </row>
    <row r="19" spans="1:29" ht="13.5">
      <c r="A19" s="597">
        <v>11</v>
      </c>
      <c r="B19" s="606" t="s">
        <v>787</v>
      </c>
      <c r="C19" s="600" t="s">
        <v>761</v>
      </c>
      <c r="D19" t="s">
        <v>1430</v>
      </c>
      <c r="E19" s="598"/>
      <c r="F19" s="598"/>
      <c r="G19" s="598"/>
      <c r="H19" s="598"/>
      <c r="I19" s="598"/>
      <c r="J19" s="598"/>
      <c r="K19" s="598"/>
      <c r="L19" s="598"/>
      <c r="M19" s="598"/>
      <c r="N19" s="598"/>
      <c r="S19" s="598"/>
      <c r="Y19" s="622"/>
      <c r="Z19" s="887"/>
      <c r="AA19" s="887"/>
      <c r="AB19" s="887"/>
      <c r="AC19" s="97"/>
    </row>
    <row r="20" spans="1:29" ht="13.5">
      <c r="A20" s="597"/>
      <c r="B20" s="606"/>
      <c r="C20" s="597"/>
      <c r="D20" s="604"/>
      <c r="E20" s="598"/>
      <c r="F20" s="598"/>
      <c r="G20" s="598"/>
      <c r="H20" s="598"/>
      <c r="I20" s="598"/>
      <c r="J20" s="598"/>
      <c r="K20" s="598"/>
      <c r="L20" s="598"/>
      <c r="M20" s="598"/>
      <c r="N20" s="598"/>
      <c r="S20" s="598"/>
      <c r="Y20" s="622"/>
      <c r="Z20" s="622"/>
      <c r="AA20" s="622"/>
      <c r="AB20" s="622"/>
      <c r="AC20" s="97"/>
    </row>
    <row r="21" spans="1:29" ht="13.5">
      <c r="A21" s="607"/>
      <c r="B21" s="600"/>
      <c r="C21" s="597"/>
      <c r="D21" s="608"/>
      <c r="E21" s="598"/>
      <c r="F21" s="598"/>
      <c r="G21" s="598"/>
      <c r="H21" s="598"/>
      <c r="I21" s="598"/>
      <c r="J21" s="598"/>
      <c r="K21" s="598"/>
      <c r="L21" s="598"/>
      <c r="M21" s="598"/>
      <c r="N21" s="598"/>
      <c r="S21" s="598"/>
      <c r="Y21" s="598"/>
      <c r="Z21" s="598"/>
      <c r="AA21" s="598"/>
      <c r="AB21" s="598"/>
    </row>
    <row r="22" spans="1:29" ht="13.5">
      <c r="A22" s="597">
        <v>1</v>
      </c>
      <c r="B22" s="597" t="s">
        <v>785</v>
      </c>
      <c r="C22" s="597" t="s">
        <v>760</v>
      </c>
      <c r="D22" s="598" t="s">
        <v>1125</v>
      </c>
      <c r="E22" s="598"/>
      <c r="F22" s="598"/>
      <c r="G22" s="598"/>
      <c r="H22" s="598"/>
      <c r="I22" s="598"/>
      <c r="J22" s="429"/>
      <c r="K22" s="598"/>
      <c r="L22" s="598"/>
      <c r="M22" s="598"/>
      <c r="N22" s="598"/>
      <c r="S22" s="598"/>
    </row>
    <row r="23" spans="1:29" ht="13.5">
      <c r="A23" s="597"/>
      <c r="B23" s="597"/>
      <c r="C23" s="597"/>
      <c r="D23" s="609">
        <f>'ATT H-1 '!K265-'ATT H-1 '!K32</f>
        <v>13195202.578993147</v>
      </c>
      <c r="E23" s="598" t="s">
        <v>448</v>
      </c>
      <c r="F23" s="598"/>
      <c r="G23" s="1971" t="s">
        <v>1421</v>
      </c>
      <c r="H23" s="1589"/>
      <c r="I23" s="1589"/>
      <c r="J23" s="1589"/>
      <c r="K23" s="1589"/>
      <c r="L23" s="598"/>
      <c r="M23" s="598"/>
      <c r="N23" s="598"/>
      <c r="S23" s="598"/>
    </row>
    <row r="24" spans="1:29" ht="13.5">
      <c r="A24" s="597"/>
      <c r="B24" s="597"/>
      <c r="C24" s="597"/>
      <c r="D24" s="611"/>
      <c r="E24" s="598"/>
      <c r="F24" s="598"/>
      <c r="G24" s="598"/>
      <c r="H24" s="598"/>
      <c r="I24" s="598"/>
      <c r="J24" s="598"/>
      <c r="K24" s="598"/>
      <c r="L24" s="598"/>
      <c r="M24" s="598"/>
      <c r="N24" s="598"/>
      <c r="O24" s="598"/>
      <c r="P24" s="598"/>
      <c r="Q24" s="598"/>
      <c r="R24" s="598"/>
      <c r="S24" s="598"/>
    </row>
    <row r="25" spans="1:29" ht="13.5">
      <c r="A25" s="597">
        <v>2</v>
      </c>
      <c r="B25" s="597" t="s">
        <v>785</v>
      </c>
      <c r="C25" s="597" t="s">
        <v>760</v>
      </c>
      <c r="D25" s="604" t="s">
        <v>1126</v>
      </c>
      <c r="E25" s="598"/>
      <c r="F25" s="598"/>
      <c r="G25" s="598"/>
      <c r="H25" s="598"/>
      <c r="I25" s="598"/>
      <c r="J25" s="429"/>
      <c r="K25" s="598"/>
      <c r="L25" s="598"/>
      <c r="M25" s="598"/>
      <c r="N25" s="598"/>
      <c r="O25" s="598"/>
      <c r="P25" s="598"/>
      <c r="Q25" s="598"/>
      <c r="R25" s="598"/>
      <c r="S25" s="598"/>
    </row>
    <row r="26" spans="1:29" ht="13.5">
      <c r="A26" s="597"/>
      <c r="C26" s="597"/>
      <c r="D26" s="604"/>
      <c r="E26" s="598"/>
      <c r="F26" s="598"/>
      <c r="G26" s="598"/>
      <c r="H26" s="598"/>
      <c r="I26" s="598"/>
      <c r="J26" s="429"/>
      <c r="K26" s="598"/>
      <c r="L26" s="598"/>
      <c r="M26" s="598"/>
      <c r="N26" s="598"/>
      <c r="O26" s="598"/>
      <c r="P26" s="598"/>
      <c r="Q26" s="598"/>
      <c r="R26" s="598"/>
      <c r="S26" s="598"/>
    </row>
    <row r="27" spans="1:29" ht="13.5">
      <c r="A27" s="597"/>
      <c r="B27" s="429"/>
      <c r="C27" s="490" t="s">
        <v>344</v>
      </c>
      <c r="D27" s="490" t="s">
        <v>345</v>
      </c>
      <c r="E27" s="490" t="s">
        <v>438</v>
      </c>
      <c r="F27" s="490" t="s">
        <v>346</v>
      </c>
      <c r="G27" s="490" t="s">
        <v>347</v>
      </c>
      <c r="H27" s="490" t="s">
        <v>343</v>
      </c>
      <c r="I27" s="490"/>
      <c r="J27" s="490" t="s">
        <v>719</v>
      </c>
      <c r="K27" s="490" t="s">
        <v>720</v>
      </c>
      <c r="L27" s="490" t="s">
        <v>1128</v>
      </c>
      <c r="M27" s="600" t="s">
        <v>1129</v>
      </c>
      <c r="N27" s="597" t="s">
        <v>1130</v>
      </c>
      <c r="O27" s="597" t="s">
        <v>1131</v>
      </c>
      <c r="P27" s="597"/>
      <c r="Q27" s="600"/>
      <c r="R27" s="600"/>
      <c r="S27" s="597"/>
    </row>
    <row r="28" spans="1:29" ht="13.5">
      <c r="A28" s="597"/>
      <c r="B28" s="429"/>
      <c r="C28" s="597" t="s">
        <v>300</v>
      </c>
      <c r="D28" s="597" t="s">
        <v>300</v>
      </c>
      <c r="E28" s="597" t="s">
        <v>300</v>
      </c>
      <c r="F28" s="597" t="s">
        <v>300</v>
      </c>
      <c r="G28" s="597" t="s">
        <v>300</v>
      </c>
      <c r="H28" s="597" t="s">
        <v>300</v>
      </c>
      <c r="I28" s="597"/>
      <c r="J28" s="597" t="s">
        <v>84</v>
      </c>
      <c r="K28" s="597" t="s">
        <v>84</v>
      </c>
      <c r="L28" s="597" t="s">
        <v>84</v>
      </c>
      <c r="M28" s="597" t="s">
        <v>84</v>
      </c>
      <c r="N28" s="597" t="s">
        <v>84</v>
      </c>
      <c r="O28" s="597" t="s">
        <v>84</v>
      </c>
      <c r="P28" s="597"/>
      <c r="Q28" s="600"/>
      <c r="R28" s="2"/>
    </row>
    <row r="29" spans="1:29" ht="13.5">
      <c r="A29" s="597"/>
      <c r="B29" s="598"/>
      <c r="C29" s="597" t="s">
        <v>80</v>
      </c>
      <c r="D29" s="597" t="s">
        <v>80</v>
      </c>
      <c r="E29" s="597" t="s">
        <v>80</v>
      </c>
      <c r="F29" s="597" t="s">
        <v>80</v>
      </c>
      <c r="G29" s="648"/>
      <c r="H29" s="648"/>
      <c r="I29" s="597"/>
      <c r="J29" s="597" t="s">
        <v>85</v>
      </c>
      <c r="K29" s="597" t="s">
        <v>86</v>
      </c>
      <c r="L29" s="597" t="s">
        <v>87</v>
      </c>
      <c r="M29" s="597" t="s">
        <v>88</v>
      </c>
      <c r="N29" s="597" t="s">
        <v>89</v>
      </c>
      <c r="O29" s="597" t="s">
        <v>90</v>
      </c>
      <c r="P29" s="597"/>
      <c r="Q29" s="602"/>
      <c r="R29" s="2"/>
    </row>
    <row r="30" spans="1:29" ht="13.5">
      <c r="A30" s="597"/>
      <c r="B30" s="598"/>
      <c r="C30" s="597"/>
      <c r="D30" s="597"/>
      <c r="E30" s="597"/>
      <c r="F30" s="597"/>
      <c r="G30" s="597" t="s">
        <v>81</v>
      </c>
      <c r="H30" s="597" t="s">
        <v>82</v>
      </c>
      <c r="I30" s="597"/>
      <c r="J30" s="597"/>
      <c r="K30" s="597"/>
      <c r="L30" s="597"/>
      <c r="M30" s="597"/>
      <c r="N30" s="597"/>
      <c r="O30" s="597"/>
      <c r="Q30" s="602"/>
      <c r="R30" s="2"/>
    </row>
    <row r="31" spans="1:29" ht="13.5">
      <c r="A31" s="597"/>
      <c r="B31" s="598"/>
      <c r="C31" s="597"/>
      <c r="D31" s="612"/>
      <c r="E31" s="612"/>
      <c r="F31" s="612"/>
      <c r="G31" s="597"/>
      <c r="H31" s="597"/>
      <c r="I31" s="647"/>
      <c r="J31" s="597"/>
      <c r="K31" s="597"/>
      <c r="L31" s="613"/>
      <c r="M31" s="597"/>
      <c r="N31" s="597"/>
      <c r="O31" s="608"/>
      <c r="Q31" s="602"/>
      <c r="R31" s="2"/>
    </row>
    <row r="32" spans="1:29" ht="13.5">
      <c r="A32" s="597"/>
      <c r="B32" s="598" t="s">
        <v>788</v>
      </c>
      <c r="C32" s="883"/>
      <c r="D32" s="614"/>
      <c r="E32" s="614"/>
      <c r="F32" s="614"/>
      <c r="G32" s="614"/>
      <c r="H32" s="614"/>
      <c r="I32" s="647"/>
      <c r="J32" s="613">
        <f t="shared" ref="J32:O32" si="0">C32</f>
        <v>0</v>
      </c>
      <c r="K32" s="613">
        <f t="shared" si="0"/>
        <v>0</v>
      </c>
      <c r="L32" s="613">
        <f t="shared" si="0"/>
        <v>0</v>
      </c>
      <c r="M32" s="613">
        <f t="shared" si="0"/>
        <v>0</v>
      </c>
      <c r="N32" s="613">
        <f t="shared" si="0"/>
        <v>0</v>
      </c>
      <c r="O32" s="613">
        <f t="shared" si="0"/>
        <v>0</v>
      </c>
      <c r="P32" s="613"/>
      <c r="Q32" s="602"/>
      <c r="R32" s="2"/>
    </row>
    <row r="33" spans="1:18" ht="13.5">
      <c r="A33" s="597"/>
      <c r="B33" s="598" t="s">
        <v>789</v>
      </c>
      <c r="C33" s="883"/>
      <c r="D33" s="614"/>
      <c r="E33" s="614"/>
      <c r="F33" s="614"/>
      <c r="G33" s="614"/>
      <c r="H33" s="614"/>
      <c r="I33" s="647"/>
      <c r="J33" s="613">
        <f>J32+C33</f>
        <v>0</v>
      </c>
      <c r="K33" s="613">
        <f t="shared" ref="K33:O43" si="1">K32+D33</f>
        <v>0</v>
      </c>
      <c r="L33" s="613">
        <f t="shared" si="1"/>
        <v>0</v>
      </c>
      <c r="M33" s="613">
        <f t="shared" si="1"/>
        <v>0</v>
      </c>
      <c r="N33" s="613">
        <f t="shared" si="1"/>
        <v>0</v>
      </c>
      <c r="O33" s="613">
        <f t="shared" si="1"/>
        <v>0</v>
      </c>
      <c r="P33" s="613"/>
      <c r="Q33" s="602"/>
      <c r="R33" s="2"/>
    </row>
    <row r="34" spans="1:18" ht="13.5">
      <c r="A34" s="597"/>
      <c r="B34" s="598" t="s">
        <v>790</v>
      </c>
      <c r="C34" s="883"/>
      <c r="D34" s="614"/>
      <c r="E34" s="614"/>
      <c r="F34" s="614"/>
      <c r="G34" s="614"/>
      <c r="H34" s="614"/>
      <c r="I34" s="647"/>
      <c r="J34" s="613">
        <f t="shared" ref="J34:J43" si="2">J33+C34</f>
        <v>0</v>
      </c>
      <c r="K34" s="613">
        <f t="shared" si="1"/>
        <v>0</v>
      </c>
      <c r="L34" s="613">
        <f t="shared" si="1"/>
        <v>0</v>
      </c>
      <c r="M34" s="613">
        <f t="shared" si="1"/>
        <v>0</v>
      </c>
      <c r="N34" s="613">
        <f t="shared" si="1"/>
        <v>0</v>
      </c>
      <c r="O34" s="613">
        <f t="shared" si="1"/>
        <v>0</v>
      </c>
      <c r="P34" s="613"/>
      <c r="Q34" s="602"/>
      <c r="R34" s="2"/>
    </row>
    <row r="35" spans="1:18" ht="13.5">
      <c r="A35" s="597"/>
      <c r="B35" s="598" t="s">
        <v>791</v>
      </c>
      <c r="C35" s="883"/>
      <c r="D35" s="614"/>
      <c r="E35" s="614"/>
      <c r="F35" s="614"/>
      <c r="G35" s="614"/>
      <c r="H35" s="614"/>
      <c r="I35" s="647"/>
      <c r="J35" s="613">
        <f t="shared" si="2"/>
        <v>0</v>
      </c>
      <c r="K35" s="613">
        <f t="shared" si="1"/>
        <v>0</v>
      </c>
      <c r="L35" s="613">
        <f t="shared" si="1"/>
        <v>0</v>
      </c>
      <c r="M35" s="613">
        <f t="shared" si="1"/>
        <v>0</v>
      </c>
      <c r="N35" s="613">
        <f t="shared" si="1"/>
        <v>0</v>
      </c>
      <c r="O35" s="613">
        <f t="shared" si="1"/>
        <v>0</v>
      </c>
      <c r="P35" s="613"/>
      <c r="Q35" s="602"/>
      <c r="R35" s="2"/>
    </row>
    <row r="36" spans="1:18" ht="13.5">
      <c r="A36" s="597"/>
      <c r="B36" s="598" t="s">
        <v>786</v>
      </c>
      <c r="C36" s="883"/>
      <c r="D36" s="614"/>
      <c r="E36" s="614"/>
      <c r="F36" s="614"/>
      <c r="G36" s="614"/>
      <c r="H36" s="614"/>
      <c r="I36" s="647"/>
      <c r="J36" s="613">
        <f t="shared" si="2"/>
        <v>0</v>
      </c>
      <c r="K36" s="613">
        <f t="shared" si="1"/>
        <v>0</v>
      </c>
      <c r="L36" s="613">
        <f t="shared" si="1"/>
        <v>0</v>
      </c>
      <c r="M36" s="613">
        <f t="shared" si="1"/>
        <v>0</v>
      </c>
      <c r="N36" s="613">
        <f t="shared" si="1"/>
        <v>0</v>
      </c>
      <c r="O36" s="613">
        <f t="shared" si="1"/>
        <v>0</v>
      </c>
      <c r="P36" s="613"/>
      <c r="Q36" s="602"/>
      <c r="R36" s="2"/>
    </row>
    <row r="37" spans="1:18" ht="13.5">
      <c r="A37" s="597"/>
      <c r="B37" s="598" t="s">
        <v>792</v>
      </c>
      <c r="C37" s="883"/>
      <c r="D37" s="614"/>
      <c r="E37" s="614"/>
      <c r="F37" s="614"/>
      <c r="G37" s="614"/>
      <c r="H37" s="614"/>
      <c r="I37" s="647"/>
      <c r="J37" s="613">
        <f t="shared" si="2"/>
        <v>0</v>
      </c>
      <c r="K37" s="613">
        <f t="shared" si="1"/>
        <v>0</v>
      </c>
      <c r="L37" s="613">
        <f t="shared" si="1"/>
        <v>0</v>
      </c>
      <c r="M37" s="613">
        <f t="shared" si="1"/>
        <v>0</v>
      </c>
      <c r="N37" s="613">
        <f t="shared" si="1"/>
        <v>0</v>
      </c>
      <c r="O37" s="613">
        <f t="shared" si="1"/>
        <v>0</v>
      </c>
      <c r="P37" s="613"/>
      <c r="Q37" s="602"/>
      <c r="R37" s="2"/>
    </row>
    <row r="38" spans="1:18" ht="13.5">
      <c r="A38" s="597"/>
      <c r="B38" s="598" t="s">
        <v>793</v>
      </c>
      <c r="C38" s="883"/>
      <c r="D38" s="614"/>
      <c r="E38" s="614"/>
      <c r="F38" s="614"/>
      <c r="G38" s="614"/>
      <c r="H38" s="614"/>
      <c r="I38" s="647"/>
      <c r="J38" s="613">
        <f t="shared" si="2"/>
        <v>0</v>
      </c>
      <c r="K38" s="613">
        <f t="shared" si="1"/>
        <v>0</v>
      </c>
      <c r="L38" s="613">
        <f t="shared" si="1"/>
        <v>0</v>
      </c>
      <c r="M38" s="613">
        <f t="shared" si="1"/>
        <v>0</v>
      </c>
      <c r="N38" s="613">
        <f t="shared" si="1"/>
        <v>0</v>
      </c>
      <c r="O38" s="613">
        <f t="shared" si="1"/>
        <v>0</v>
      </c>
      <c r="P38" s="613"/>
      <c r="Q38" s="602"/>
      <c r="R38" s="2"/>
    </row>
    <row r="39" spans="1:18" ht="13.5">
      <c r="A39" s="597"/>
      <c r="B39" s="598" t="s">
        <v>794</v>
      </c>
      <c r="C39" s="883"/>
      <c r="D39" s="614"/>
      <c r="E39" s="614"/>
      <c r="F39" s="614"/>
      <c r="G39" s="614"/>
      <c r="H39" s="614"/>
      <c r="I39" s="647"/>
      <c r="J39" s="613">
        <f t="shared" si="2"/>
        <v>0</v>
      </c>
      <c r="K39" s="613">
        <f t="shared" si="1"/>
        <v>0</v>
      </c>
      <c r="L39" s="613">
        <f t="shared" si="1"/>
        <v>0</v>
      </c>
      <c r="M39" s="613">
        <f t="shared" si="1"/>
        <v>0</v>
      </c>
      <c r="N39" s="613">
        <f t="shared" si="1"/>
        <v>0</v>
      </c>
      <c r="O39" s="613">
        <f t="shared" si="1"/>
        <v>0</v>
      </c>
      <c r="P39" s="613"/>
      <c r="Q39" s="602"/>
      <c r="R39" s="2"/>
    </row>
    <row r="40" spans="1:18" ht="13.5">
      <c r="A40" s="597"/>
      <c r="B40" s="598" t="s">
        <v>795</v>
      </c>
      <c r="C40" s="883"/>
      <c r="D40" s="614"/>
      <c r="E40" s="614"/>
      <c r="F40" s="614"/>
      <c r="G40" s="614"/>
      <c r="H40" s="614"/>
      <c r="I40" s="647"/>
      <c r="J40" s="613">
        <f t="shared" si="2"/>
        <v>0</v>
      </c>
      <c r="K40" s="613">
        <f t="shared" si="1"/>
        <v>0</v>
      </c>
      <c r="L40" s="613">
        <f t="shared" si="1"/>
        <v>0</v>
      </c>
      <c r="M40" s="613">
        <f t="shared" si="1"/>
        <v>0</v>
      </c>
      <c r="N40" s="613">
        <f t="shared" si="1"/>
        <v>0</v>
      </c>
      <c r="O40" s="613">
        <f t="shared" si="1"/>
        <v>0</v>
      </c>
      <c r="P40" s="613"/>
      <c r="Q40" s="602"/>
      <c r="R40" s="2"/>
    </row>
    <row r="41" spans="1:18" ht="13.5">
      <c r="A41" s="597"/>
      <c r="B41" s="598" t="s">
        <v>796</v>
      </c>
      <c r="C41" s="883"/>
      <c r="D41" s="614"/>
      <c r="E41" s="614"/>
      <c r="F41" s="614"/>
      <c r="G41" s="614"/>
      <c r="H41" s="614"/>
      <c r="I41" s="647"/>
      <c r="J41" s="613">
        <f t="shared" si="2"/>
        <v>0</v>
      </c>
      <c r="K41" s="613">
        <f t="shared" si="1"/>
        <v>0</v>
      </c>
      <c r="L41" s="613">
        <f t="shared" si="1"/>
        <v>0</v>
      </c>
      <c r="M41" s="613">
        <f t="shared" si="1"/>
        <v>0</v>
      </c>
      <c r="N41" s="613">
        <f t="shared" si="1"/>
        <v>0</v>
      </c>
      <c r="O41" s="613">
        <f t="shared" si="1"/>
        <v>0</v>
      </c>
      <c r="P41" s="613"/>
      <c r="Q41" s="602"/>
      <c r="R41" s="2"/>
    </row>
    <row r="42" spans="1:18" ht="13.5">
      <c r="A42" s="597"/>
      <c r="B42" s="598" t="s">
        <v>797</v>
      </c>
      <c r="C42" s="883"/>
      <c r="D42" s="614"/>
      <c r="E42" s="614"/>
      <c r="F42" s="614"/>
      <c r="G42" s="614"/>
      <c r="H42" s="614"/>
      <c r="I42" s="647"/>
      <c r="J42" s="613">
        <f t="shared" si="2"/>
        <v>0</v>
      </c>
      <c r="K42" s="613">
        <f t="shared" si="1"/>
        <v>0</v>
      </c>
      <c r="L42" s="613">
        <f t="shared" si="1"/>
        <v>0</v>
      </c>
      <c r="M42" s="613">
        <f t="shared" si="1"/>
        <v>0</v>
      </c>
      <c r="N42" s="613">
        <f t="shared" si="1"/>
        <v>0</v>
      </c>
      <c r="O42" s="613">
        <f t="shared" si="1"/>
        <v>0</v>
      </c>
      <c r="P42" s="613"/>
      <c r="Q42" s="602"/>
      <c r="R42" s="2"/>
    </row>
    <row r="43" spans="1:18" ht="13.5">
      <c r="A43" s="597"/>
      <c r="B43" s="598" t="s">
        <v>798</v>
      </c>
      <c r="C43" s="883"/>
      <c r="D43" s="614"/>
      <c r="E43" s="614"/>
      <c r="F43" s="614"/>
      <c r="G43" s="614"/>
      <c r="H43" s="614"/>
      <c r="I43" s="647"/>
      <c r="J43" s="613">
        <f t="shared" si="2"/>
        <v>0</v>
      </c>
      <c r="K43" s="613">
        <f t="shared" si="1"/>
        <v>0</v>
      </c>
      <c r="L43" s="613">
        <f t="shared" si="1"/>
        <v>0</v>
      </c>
      <c r="M43" s="613">
        <f t="shared" si="1"/>
        <v>0</v>
      </c>
      <c r="N43" s="613">
        <f t="shared" si="1"/>
        <v>0</v>
      </c>
      <c r="O43" s="613">
        <f t="shared" si="1"/>
        <v>0</v>
      </c>
      <c r="P43" s="613"/>
      <c r="Q43" s="602"/>
      <c r="R43" s="2"/>
    </row>
    <row r="44" spans="1:18" ht="13.5">
      <c r="A44" s="597"/>
      <c r="B44" s="598" t="s">
        <v>1015</v>
      </c>
      <c r="C44" s="613">
        <f t="shared" ref="C44:H44" si="3">SUM(C32:C43)</f>
        <v>0</v>
      </c>
      <c r="D44" s="613">
        <f t="shared" si="3"/>
        <v>0</v>
      </c>
      <c r="E44" s="613">
        <f t="shared" si="3"/>
        <v>0</v>
      </c>
      <c r="F44" s="613">
        <f t="shared" si="3"/>
        <v>0</v>
      </c>
      <c r="G44" s="613">
        <f t="shared" si="3"/>
        <v>0</v>
      </c>
      <c r="H44" s="613">
        <f t="shared" si="3"/>
        <v>0</v>
      </c>
      <c r="I44" s="613" t="s">
        <v>91</v>
      </c>
      <c r="J44" s="613">
        <f t="shared" ref="J44:O44" si="4">AVERAGE(J32:J43)</f>
        <v>0</v>
      </c>
      <c r="K44" s="613">
        <f t="shared" si="4"/>
        <v>0</v>
      </c>
      <c r="L44" s="613">
        <f t="shared" si="4"/>
        <v>0</v>
      </c>
      <c r="M44" s="613">
        <f t="shared" si="4"/>
        <v>0</v>
      </c>
      <c r="N44" s="613">
        <f t="shared" si="4"/>
        <v>0</v>
      </c>
      <c r="O44" s="613">
        <f t="shared" si="4"/>
        <v>0</v>
      </c>
      <c r="P44" s="613"/>
      <c r="Q44" s="634"/>
      <c r="R44" s="2"/>
    </row>
    <row r="45" spans="1:18" ht="13.5">
      <c r="A45" s="597"/>
      <c r="C45" s="598"/>
      <c r="D45" s="429"/>
      <c r="E45" s="429"/>
      <c r="F45" s="429"/>
      <c r="G45" s="429"/>
      <c r="H45" s="429"/>
      <c r="I45" s="429"/>
      <c r="J45" s="429"/>
      <c r="K45" s="429"/>
      <c r="L45" s="615"/>
      <c r="M45" s="598"/>
      <c r="N45" s="598"/>
      <c r="O45" s="598"/>
      <c r="Q45" s="602"/>
      <c r="R45" s="2"/>
    </row>
    <row r="46" spans="1:18" ht="13.5">
      <c r="A46" s="597"/>
      <c r="B46" s="598" t="s">
        <v>93</v>
      </c>
      <c r="C46" s="598"/>
      <c r="D46" s="429"/>
      <c r="E46" s="429"/>
      <c r="F46" s="429"/>
      <c r="G46" s="429"/>
      <c r="H46" s="429"/>
      <c r="I46" s="429"/>
      <c r="J46" s="598"/>
      <c r="K46" s="649" t="s">
        <v>92</v>
      </c>
      <c r="L46" s="429"/>
      <c r="M46" s="613">
        <f>SUM(J44:O44)</f>
        <v>0</v>
      </c>
      <c r="N46" s="613"/>
      <c r="O46" s="613"/>
      <c r="Q46" s="634"/>
      <c r="R46" s="2"/>
    </row>
    <row r="47" spans="1:18" ht="13.5">
      <c r="A47" s="597"/>
      <c r="B47" s="598"/>
      <c r="C47" s="598"/>
      <c r="D47" s="429"/>
      <c r="E47" s="429"/>
      <c r="F47" s="429"/>
      <c r="G47" s="429"/>
      <c r="H47" s="429"/>
      <c r="I47" s="429"/>
      <c r="J47" s="598"/>
      <c r="K47" s="598"/>
      <c r="L47" s="429"/>
      <c r="M47" s="613"/>
      <c r="N47" s="598"/>
      <c r="O47" s="613"/>
      <c r="Q47" s="634"/>
      <c r="R47" s="2"/>
    </row>
    <row r="48" spans="1:18" ht="13.5">
      <c r="A48" s="597"/>
      <c r="B48" s="597"/>
      <c r="C48" s="597"/>
      <c r="D48" s="598"/>
      <c r="E48" s="598"/>
      <c r="F48" s="429"/>
      <c r="G48" s="429"/>
      <c r="H48" s="429"/>
      <c r="I48" s="429"/>
      <c r="J48" s="598"/>
      <c r="L48" s="429"/>
      <c r="M48" s="616"/>
      <c r="N48" s="616"/>
      <c r="O48" s="617"/>
      <c r="Q48" s="602"/>
      <c r="R48" s="2"/>
    </row>
    <row r="49" spans="1:19" ht="13.5">
      <c r="A49" s="597">
        <v>3</v>
      </c>
      <c r="B49" s="597" t="s">
        <v>785</v>
      </c>
      <c r="C49" s="597" t="s">
        <v>760</v>
      </c>
      <c r="D49" s="604" t="s">
        <v>1426</v>
      </c>
      <c r="E49" s="598"/>
      <c r="F49" s="598"/>
      <c r="G49" s="598"/>
      <c r="H49" s="598"/>
      <c r="I49" s="598"/>
      <c r="J49" s="598"/>
      <c r="K49" s="598"/>
      <c r="L49" s="613"/>
      <c r="M49" s="598"/>
      <c r="N49" s="598"/>
      <c r="O49" s="598"/>
      <c r="P49" s="598"/>
      <c r="Q49" s="598"/>
      <c r="R49" s="598"/>
      <c r="S49" s="598"/>
    </row>
    <row r="50" spans="1:19" ht="13.5">
      <c r="A50" s="597"/>
      <c r="B50" s="597"/>
      <c r="C50" s="597"/>
      <c r="D50" s="618">
        <v>7470788</v>
      </c>
      <c r="E50" s="1587"/>
      <c r="F50" s="1588"/>
      <c r="G50" s="1960" t="s">
        <v>1420</v>
      </c>
      <c r="H50" s="1588"/>
      <c r="I50" s="1589"/>
      <c r="J50" s="1589"/>
      <c r="K50" s="1589"/>
      <c r="L50" s="1588"/>
      <c r="M50" s="598"/>
      <c r="N50" s="598"/>
      <c r="O50" s="598"/>
      <c r="P50" s="598"/>
      <c r="Q50" s="598"/>
      <c r="R50" s="598"/>
      <c r="S50" s="598"/>
    </row>
    <row r="51" spans="1:19" ht="13.5">
      <c r="A51" s="597"/>
      <c r="B51" s="597"/>
      <c r="C51" s="597"/>
      <c r="D51" s="619"/>
      <c r="E51" s="1590"/>
      <c r="F51" s="1588"/>
      <c r="G51" s="1961"/>
      <c r="H51" s="1588"/>
      <c r="I51" s="1589"/>
      <c r="J51" s="1589"/>
      <c r="K51" s="1589"/>
      <c r="L51" s="1589"/>
      <c r="M51" s="598"/>
      <c r="N51" s="598"/>
      <c r="O51" s="598"/>
      <c r="P51" s="598"/>
      <c r="Q51" s="598"/>
      <c r="R51" s="598"/>
      <c r="S51" s="598"/>
    </row>
    <row r="52" spans="1:19" ht="13.5">
      <c r="A52" s="597">
        <v>4</v>
      </c>
      <c r="B52" s="597" t="s">
        <v>786</v>
      </c>
      <c r="C52" s="597" t="s">
        <v>760</v>
      </c>
      <c r="D52" s="598" t="s">
        <v>1127</v>
      </c>
      <c r="E52" s="1589"/>
      <c r="F52" s="1589"/>
      <c r="G52" s="1962"/>
      <c r="H52" s="1589"/>
      <c r="I52" s="1589"/>
      <c r="J52" s="1589"/>
      <c r="K52" s="1589"/>
      <c r="L52" s="1589"/>
      <c r="M52" s="598"/>
      <c r="N52" s="598"/>
      <c r="O52" s="598"/>
      <c r="P52" s="598"/>
      <c r="Q52" s="598"/>
      <c r="R52" s="598"/>
      <c r="S52" s="598"/>
    </row>
    <row r="53" spans="1:19" ht="13.5">
      <c r="A53" s="597"/>
      <c r="B53" s="597"/>
      <c r="C53" s="597"/>
      <c r="D53" s="609">
        <v>7470788</v>
      </c>
      <c r="E53" s="1591"/>
      <c r="F53" s="1592"/>
      <c r="G53" s="1960" t="s">
        <v>1420</v>
      </c>
      <c r="H53" s="1589"/>
      <c r="I53" s="1589"/>
      <c r="J53" s="1589"/>
      <c r="K53" s="1589"/>
      <c r="L53" s="1589"/>
      <c r="M53" s="598"/>
      <c r="N53" s="598"/>
      <c r="O53" s="598"/>
      <c r="P53" s="598"/>
      <c r="Q53" s="598"/>
      <c r="R53" s="598"/>
      <c r="S53" s="598"/>
    </row>
    <row r="54" spans="1:19" ht="13.5">
      <c r="A54" s="597"/>
      <c r="B54" s="597"/>
      <c r="C54" s="597"/>
      <c r="D54" s="620"/>
      <c r="E54" s="1589"/>
      <c r="F54" s="1589"/>
      <c r="G54" s="1962"/>
      <c r="H54" s="1589"/>
      <c r="I54" s="1589"/>
      <c r="J54" s="1589"/>
      <c r="K54" s="1589"/>
      <c r="L54" s="1589"/>
      <c r="M54" s="598"/>
      <c r="N54" s="598"/>
      <c r="O54" s="598"/>
      <c r="P54" s="598"/>
      <c r="Q54" s="598"/>
      <c r="R54" s="598"/>
      <c r="S54" s="598"/>
    </row>
    <row r="55" spans="1:19" ht="13.5">
      <c r="A55" s="597">
        <v>5</v>
      </c>
      <c r="B55" s="597" t="s">
        <v>787</v>
      </c>
      <c r="C55" s="597" t="s">
        <v>760</v>
      </c>
      <c r="D55" s="601" t="s">
        <v>1427</v>
      </c>
      <c r="E55" s="1589"/>
      <c r="F55" s="1589"/>
      <c r="G55" s="1962"/>
      <c r="H55" s="1589"/>
      <c r="I55" s="1589"/>
      <c r="J55" s="1589"/>
      <c r="K55" s="1589"/>
      <c r="L55" s="1589"/>
      <c r="M55" s="598"/>
      <c r="N55" s="598"/>
      <c r="O55" s="598"/>
      <c r="P55" s="598"/>
      <c r="Q55" s="598"/>
      <c r="R55" s="598"/>
      <c r="S55" s="598"/>
    </row>
    <row r="56" spans="1:19" ht="13.5">
      <c r="A56" s="597"/>
      <c r="B56" s="597"/>
      <c r="C56" s="597"/>
      <c r="D56" s="618">
        <f>D53</f>
        <v>7470788</v>
      </c>
      <c r="E56" s="598"/>
      <c r="F56" s="598"/>
      <c r="G56" s="1962"/>
      <c r="H56" s="598"/>
      <c r="I56" s="598"/>
      <c r="J56" s="598"/>
      <c r="K56" s="598"/>
      <c r="L56" s="598"/>
      <c r="M56" s="598"/>
      <c r="N56" s="598"/>
      <c r="O56" s="598"/>
      <c r="P56" s="598"/>
      <c r="Q56" s="598"/>
      <c r="R56" s="598"/>
      <c r="S56" s="598"/>
    </row>
    <row r="57" spans="1:19" ht="13.5">
      <c r="A57" s="621"/>
      <c r="B57" s="621"/>
      <c r="C57" s="621"/>
      <c r="D57" s="622"/>
      <c r="E57" s="622"/>
      <c r="F57" s="622"/>
      <c r="G57" s="1963"/>
      <c r="H57" s="622"/>
      <c r="I57" s="622"/>
      <c r="J57" s="622"/>
      <c r="K57" s="622"/>
      <c r="L57" s="598"/>
      <c r="M57" s="598"/>
      <c r="N57" s="598"/>
      <c r="O57" s="598"/>
      <c r="P57" s="598"/>
      <c r="Q57" s="598"/>
      <c r="R57" s="598"/>
      <c r="S57" s="598"/>
    </row>
    <row r="58" spans="1:19" ht="15.75">
      <c r="A58" s="621"/>
      <c r="B58" s="621"/>
      <c r="C58" s="621"/>
      <c r="D58" s="622"/>
      <c r="E58" s="622"/>
      <c r="F58" s="622"/>
      <c r="G58" s="1963"/>
      <c r="H58" s="622"/>
      <c r="I58" s="622"/>
      <c r="J58" s="623"/>
      <c r="K58" s="622"/>
      <c r="L58" s="598"/>
      <c r="M58" s="598"/>
      <c r="N58" s="598"/>
      <c r="O58" s="598"/>
      <c r="P58" s="598"/>
      <c r="Q58" s="598"/>
      <c r="R58" s="598"/>
      <c r="S58" s="598"/>
    </row>
    <row r="59" spans="1:19" ht="15.75">
      <c r="A59" s="621"/>
      <c r="B59" s="621"/>
      <c r="C59" s="621"/>
      <c r="D59" s="622"/>
      <c r="E59" s="622"/>
      <c r="F59" s="622"/>
      <c r="G59" s="1963"/>
      <c r="H59" s="622"/>
      <c r="I59" s="622"/>
      <c r="J59" s="623"/>
      <c r="K59" s="622"/>
      <c r="L59" s="598"/>
      <c r="M59" s="598"/>
      <c r="N59" s="598"/>
      <c r="O59" s="598"/>
      <c r="P59" s="598"/>
      <c r="Q59" s="598"/>
      <c r="R59" s="598"/>
      <c r="S59" s="598"/>
    </row>
    <row r="60" spans="1:19" ht="13.5">
      <c r="A60" s="597">
        <v>6</v>
      </c>
      <c r="B60" s="597" t="s">
        <v>785</v>
      </c>
      <c r="C60" s="597" t="s">
        <v>761</v>
      </c>
      <c r="D60" s="604" t="s">
        <v>1428</v>
      </c>
      <c r="E60" s="598"/>
      <c r="F60" s="598"/>
      <c r="G60" s="1962"/>
      <c r="H60" s="598"/>
      <c r="I60" s="598"/>
      <c r="J60" s="598"/>
      <c r="K60" s="598"/>
      <c r="L60" s="598"/>
      <c r="M60" s="598"/>
      <c r="N60" s="598"/>
      <c r="O60" s="598"/>
      <c r="P60" s="598"/>
      <c r="Q60" s="598"/>
      <c r="R60" s="598"/>
      <c r="S60" s="598"/>
    </row>
    <row r="61" spans="1:19" ht="13.5">
      <c r="A61" s="597"/>
      <c r="B61" s="597"/>
      <c r="C61" s="597"/>
      <c r="D61" s="624">
        <f>D68</f>
        <v>13195202.578993147</v>
      </c>
      <c r="E61" s="598" t="s">
        <v>816</v>
      </c>
      <c r="F61" s="598"/>
      <c r="G61" s="1960" t="s">
        <v>1420</v>
      </c>
      <c r="H61" s="598"/>
      <c r="I61" s="598"/>
      <c r="J61" s="429"/>
      <c r="K61" s="598"/>
      <c r="L61" s="598"/>
      <c r="M61" s="598"/>
      <c r="N61" s="598"/>
      <c r="O61" s="598"/>
      <c r="P61" s="598"/>
      <c r="Q61" s="598"/>
      <c r="R61" s="598"/>
      <c r="S61" s="598"/>
    </row>
    <row r="62" spans="1:19" ht="13.5">
      <c r="A62" s="597"/>
      <c r="B62" s="597"/>
      <c r="C62" s="597"/>
      <c r="D62" s="625"/>
      <c r="E62" s="598"/>
      <c r="F62" s="598"/>
      <c r="G62" s="1964"/>
      <c r="H62" s="598"/>
      <c r="I62" s="598"/>
      <c r="J62" s="598"/>
      <c r="K62" s="598"/>
      <c r="L62" s="598"/>
      <c r="M62" s="598"/>
      <c r="N62" s="598"/>
      <c r="O62" s="598"/>
      <c r="P62" s="598"/>
      <c r="Q62" s="598"/>
      <c r="R62" s="598"/>
      <c r="S62" s="598"/>
    </row>
    <row r="63" spans="1:19" ht="13.5">
      <c r="A63" s="597"/>
      <c r="B63" s="597"/>
      <c r="C63" s="597"/>
      <c r="D63" s="626"/>
      <c r="E63" s="598"/>
      <c r="F63" s="598"/>
      <c r="G63" s="1962"/>
      <c r="H63" s="598"/>
      <c r="I63" s="598"/>
      <c r="J63" s="598"/>
      <c r="K63" s="598"/>
      <c r="L63" s="598"/>
      <c r="M63" s="598"/>
      <c r="N63" s="598"/>
      <c r="O63" s="598"/>
      <c r="P63" s="598"/>
      <c r="Q63" s="598"/>
      <c r="R63" s="598"/>
      <c r="S63" s="598"/>
    </row>
    <row r="64" spans="1:19" ht="13.5">
      <c r="A64" s="597"/>
      <c r="B64" s="597"/>
      <c r="C64" s="597"/>
      <c r="D64" s="598"/>
      <c r="E64" s="598"/>
      <c r="F64" s="598"/>
      <c r="G64" s="1962"/>
      <c r="H64" s="613"/>
      <c r="I64" s="598"/>
      <c r="J64" s="598"/>
      <c r="K64" s="598"/>
      <c r="L64" s="598"/>
      <c r="M64" s="598"/>
      <c r="N64" s="598"/>
      <c r="O64" s="598"/>
      <c r="P64" s="598"/>
      <c r="Q64" s="598"/>
      <c r="R64" s="598"/>
      <c r="S64" s="598"/>
    </row>
    <row r="65" spans="1:19" ht="13.5">
      <c r="A65" s="597">
        <v>7</v>
      </c>
      <c r="B65" s="597" t="s">
        <v>785</v>
      </c>
      <c r="C65" s="597" t="s">
        <v>761</v>
      </c>
      <c r="D65" s="604" t="str">
        <f>+'6 - Est and True up'!D65</f>
        <v>Reconciliation</v>
      </c>
      <c r="E65" s="605"/>
      <c r="F65" s="605"/>
      <c r="G65" s="1965"/>
      <c r="H65" s="605"/>
      <c r="I65" s="605"/>
      <c r="J65" s="605"/>
      <c r="K65" s="598"/>
      <c r="L65" s="598"/>
      <c r="M65" s="598"/>
      <c r="N65" s="598"/>
      <c r="O65" s="598"/>
      <c r="P65" s="598"/>
      <c r="Q65" s="598"/>
      <c r="R65" s="598"/>
      <c r="S65" s="598"/>
    </row>
    <row r="66" spans="1:19" ht="13.5">
      <c r="A66" s="597"/>
      <c r="B66" s="597"/>
      <c r="C66" s="597"/>
      <c r="D66" s="627"/>
      <c r="E66" s="628"/>
      <c r="F66" s="628"/>
      <c r="G66" s="1966"/>
      <c r="H66" s="605"/>
      <c r="I66" s="605"/>
      <c r="J66" s="605"/>
      <c r="K66" s="598"/>
      <c r="L66" s="598"/>
      <c r="M66" s="598"/>
      <c r="N66" s="598"/>
      <c r="O66" s="598"/>
      <c r="P66" s="598"/>
      <c r="Q66" s="598"/>
      <c r="R66" s="598"/>
      <c r="S66" s="598"/>
    </row>
    <row r="67" spans="1:19" ht="13.5">
      <c r="A67" s="597"/>
      <c r="B67" s="598"/>
      <c r="C67" s="598"/>
      <c r="D67" s="429"/>
      <c r="E67" s="429"/>
      <c r="F67" s="429"/>
      <c r="G67" s="1967"/>
      <c r="H67" s="429"/>
      <c r="I67" s="429"/>
      <c r="J67" s="598"/>
      <c r="K67" s="598"/>
      <c r="L67" s="613"/>
      <c r="M67" s="598"/>
      <c r="N67" s="429"/>
      <c r="O67" s="598"/>
      <c r="P67" s="598"/>
      <c r="Q67" s="602"/>
      <c r="R67" s="643"/>
      <c r="S67" s="643"/>
    </row>
    <row r="68" spans="1:19" ht="13.5">
      <c r="A68" s="597"/>
      <c r="B68" s="597"/>
      <c r="C68" s="597"/>
      <c r="D68" s="624">
        <f>'ATT H-1 '!K282</f>
        <v>13195202.578993147</v>
      </c>
      <c r="E68" s="630" t="s">
        <v>1146</v>
      </c>
      <c r="F68" s="598"/>
      <c r="G68" s="1960" t="s">
        <v>1420</v>
      </c>
      <c r="H68" s="598"/>
      <c r="I68" s="598"/>
      <c r="J68" s="598"/>
      <c r="K68" s="598"/>
      <c r="L68" s="613"/>
      <c r="M68" s="598"/>
      <c r="N68" s="429"/>
      <c r="O68" s="632"/>
      <c r="P68" s="633"/>
      <c r="Q68" s="633"/>
      <c r="R68" s="633"/>
      <c r="S68" s="602"/>
    </row>
    <row r="69" spans="1:19" ht="13.5">
      <c r="A69" s="430"/>
      <c r="B69" s="597"/>
      <c r="C69" s="597"/>
      <c r="D69" s="429"/>
      <c r="E69" s="598" t="s">
        <v>1166</v>
      </c>
      <c r="F69" s="598"/>
      <c r="G69" s="602"/>
      <c r="H69" s="634"/>
      <c r="I69" s="602"/>
      <c r="J69" s="598"/>
      <c r="K69" s="598"/>
      <c r="L69" s="598"/>
      <c r="M69" s="598"/>
      <c r="N69" s="598"/>
      <c r="O69" s="598"/>
      <c r="P69" s="598"/>
      <c r="Q69" s="598"/>
      <c r="R69" s="598"/>
      <c r="S69" s="598"/>
    </row>
    <row r="70" spans="1:19" ht="13.5">
      <c r="A70" s="597"/>
      <c r="B70" s="597"/>
      <c r="C70" s="597"/>
      <c r="D70" s="630"/>
      <c r="E70" s="598"/>
      <c r="F70" s="598"/>
      <c r="G70" s="602"/>
      <c r="H70" s="634"/>
      <c r="I70" s="602"/>
      <c r="J70" s="598"/>
      <c r="K70" s="598"/>
      <c r="L70" s="598"/>
      <c r="M70" s="598"/>
      <c r="N70" s="598"/>
      <c r="O70" s="598"/>
      <c r="P70" s="598"/>
      <c r="Q70" s="598"/>
      <c r="R70" s="598"/>
      <c r="S70" s="598"/>
    </row>
    <row r="71" spans="1:19" ht="13.5">
      <c r="A71" s="430"/>
      <c r="B71" s="597"/>
      <c r="C71" s="597"/>
      <c r="D71" s="635">
        <v>0</v>
      </c>
      <c r="E71" s="598" t="s">
        <v>509</v>
      </c>
      <c r="F71" s="598"/>
      <c r="G71" s="602"/>
      <c r="H71" s="634"/>
      <c r="I71" s="602"/>
      <c r="J71" s="598"/>
      <c r="K71" s="598"/>
      <c r="L71" s="598"/>
      <c r="M71" s="598"/>
      <c r="N71" s="598"/>
      <c r="O71" s="598"/>
      <c r="P71" s="598"/>
      <c r="Q71" s="598"/>
      <c r="R71" s="598"/>
      <c r="S71" s="598"/>
    </row>
    <row r="72" spans="1:19" ht="13.5">
      <c r="A72" s="430"/>
      <c r="B72" s="597"/>
      <c r="C72" s="597"/>
      <c r="D72" s="429"/>
      <c r="E72" s="598"/>
      <c r="F72" s="598"/>
      <c r="G72" s="602"/>
      <c r="H72" s="634"/>
      <c r="I72" s="602"/>
      <c r="J72" s="598"/>
      <c r="K72" s="598"/>
      <c r="L72" s="598"/>
      <c r="M72" s="598"/>
      <c r="N72" s="598"/>
      <c r="O72" s="598"/>
      <c r="P72" s="598"/>
      <c r="Q72" s="598"/>
      <c r="R72" s="598"/>
      <c r="S72" s="598"/>
    </row>
    <row r="73" spans="1:19" ht="13.5">
      <c r="A73" s="597"/>
      <c r="B73" s="597"/>
      <c r="C73" s="597"/>
      <c r="D73" s="630"/>
      <c r="E73" s="598"/>
      <c r="F73" s="598"/>
      <c r="G73" s="602"/>
      <c r="H73" s="634"/>
      <c r="I73" s="602"/>
      <c r="J73" s="598"/>
      <c r="K73" s="598"/>
      <c r="L73" s="598"/>
      <c r="M73" s="598"/>
      <c r="N73" s="598"/>
      <c r="O73" s="598"/>
      <c r="P73" s="598"/>
      <c r="Q73" s="598"/>
      <c r="R73" s="598"/>
      <c r="S73" s="598"/>
    </row>
    <row r="74" spans="1:19" ht="13.5">
      <c r="A74" s="597">
        <v>8</v>
      </c>
      <c r="B74" s="597" t="s">
        <v>785</v>
      </c>
      <c r="C74" s="597" t="s">
        <v>761</v>
      </c>
      <c r="D74" s="604" t="str">
        <f>+'6 - Est and True up'!D75</f>
        <v>True-Up Adjustment</v>
      </c>
      <c r="E74" s="598"/>
      <c r="F74" s="598"/>
      <c r="G74" s="598"/>
      <c r="H74" s="598"/>
      <c r="I74" s="598"/>
      <c r="J74" s="598"/>
      <c r="K74" s="598"/>
      <c r="L74" s="598"/>
      <c r="M74" s="598"/>
      <c r="N74" s="598"/>
      <c r="O74" s="598"/>
      <c r="P74" s="598"/>
      <c r="Q74" s="598"/>
      <c r="R74" s="598"/>
      <c r="S74" s="598"/>
    </row>
    <row r="75" spans="1:19" ht="13.5">
      <c r="A75" s="597"/>
      <c r="B75" s="597"/>
      <c r="C75" s="597"/>
      <c r="D75" s="604"/>
      <c r="E75" s="598"/>
      <c r="F75" s="598"/>
      <c r="G75" s="598"/>
      <c r="H75" s="598"/>
      <c r="I75" s="598"/>
      <c r="J75" s="598"/>
      <c r="K75" s="598"/>
      <c r="L75" s="598"/>
      <c r="M75" s="598"/>
      <c r="N75" s="598"/>
      <c r="O75" s="598"/>
      <c r="P75" s="598"/>
      <c r="Q75" s="598"/>
      <c r="R75" s="598"/>
      <c r="S75" s="598"/>
    </row>
    <row r="76" spans="1:19" ht="13.5">
      <c r="A76" s="600"/>
      <c r="B76" s="600"/>
      <c r="C76" s="597"/>
      <c r="D76" s="427" t="s">
        <v>1108</v>
      </c>
      <c r="E76" s="429"/>
      <c r="F76" s="429"/>
      <c r="G76" s="429"/>
      <c r="H76" s="429"/>
      <c r="I76" s="429"/>
      <c r="J76" s="429"/>
      <c r="K76" s="429"/>
      <c r="L76" s="598"/>
      <c r="M76" s="598"/>
      <c r="N76" s="598"/>
      <c r="O76" s="598"/>
      <c r="P76" s="598"/>
      <c r="Q76" s="598"/>
      <c r="R76" s="598"/>
      <c r="S76" s="598"/>
    </row>
    <row r="77" spans="1:19" ht="13.5">
      <c r="A77" s="600"/>
      <c r="B77" s="600"/>
      <c r="C77" s="597"/>
      <c r="D77" s="429"/>
      <c r="E77" s="598" t="s">
        <v>1167</v>
      </c>
      <c r="F77" s="598"/>
      <c r="G77" s="598"/>
      <c r="H77" s="598"/>
      <c r="I77" s="598"/>
      <c r="J77" s="598"/>
      <c r="K77" s="429"/>
      <c r="L77" s="598"/>
      <c r="M77" s="598"/>
      <c r="N77" s="598"/>
      <c r="O77" s="598"/>
      <c r="P77" s="598"/>
      <c r="Q77" s="598"/>
      <c r="R77" s="598"/>
      <c r="S77" s="598"/>
    </row>
    <row r="78" spans="1:19" ht="40.5">
      <c r="A78" s="600"/>
      <c r="B78" s="600"/>
      <c r="C78" s="597"/>
      <c r="D78" s="429"/>
      <c r="E78" s="864" t="s">
        <v>781</v>
      </c>
      <c r="F78" s="864" t="s">
        <v>1168</v>
      </c>
      <c r="G78" s="864" t="s">
        <v>1169</v>
      </c>
      <c r="H78" s="864" t="s">
        <v>1170</v>
      </c>
      <c r="I78" s="864" t="s">
        <v>1171</v>
      </c>
      <c r="J78" s="864" t="s">
        <v>1172</v>
      </c>
      <c r="K78" s="629"/>
      <c r="L78" s="598"/>
      <c r="M78" s="1947" t="s">
        <v>1432</v>
      </c>
      <c r="N78" s="650"/>
      <c r="O78" s="598"/>
      <c r="P78" s="598"/>
      <c r="Q78" s="598"/>
      <c r="R78" s="598"/>
      <c r="S78" s="598"/>
    </row>
    <row r="79" spans="1:19" ht="13.5">
      <c r="A79" s="600"/>
      <c r="B79" s="600"/>
      <c r="C79" s="597"/>
      <c r="D79" s="429"/>
      <c r="E79" s="598" t="s">
        <v>788</v>
      </c>
      <c r="F79" s="882">
        <v>1.2035874189703974</v>
      </c>
      <c r="G79" s="636">
        <f>'WKSHT4 - Monthly Tx System Peak'!C57</f>
        <v>663</v>
      </c>
      <c r="H79" s="651">
        <f>+F79*G79*1000</f>
        <v>797978.45877737342</v>
      </c>
      <c r="I79" s="636">
        <v>0</v>
      </c>
      <c r="J79" s="651">
        <f>+H79-I79</f>
        <v>797978.45877737342</v>
      </c>
      <c r="K79" s="429"/>
      <c r="L79" s="598"/>
      <c r="M79" s="636"/>
      <c r="N79" s="636"/>
      <c r="O79" s="598"/>
      <c r="P79" s="598"/>
      <c r="Q79" s="598"/>
      <c r="R79" s="598"/>
      <c r="S79" s="598"/>
    </row>
    <row r="80" spans="1:19" ht="13.5">
      <c r="A80" s="600"/>
      <c r="B80" s="600"/>
      <c r="C80" s="597"/>
      <c r="D80" s="429"/>
      <c r="E80" s="598" t="s">
        <v>789</v>
      </c>
      <c r="F80" s="882">
        <f>F79</f>
        <v>1.2035874189703974</v>
      </c>
      <c r="G80" s="636">
        <f>'WKSHT4 - Monthly Tx System Peak'!C58</f>
        <v>663</v>
      </c>
      <c r="H80" s="651">
        <f t="shared" ref="H80:H90" si="5">+F80*G80*1000</f>
        <v>797978.45877737342</v>
      </c>
      <c r="I80" s="636">
        <v>0</v>
      </c>
      <c r="J80" s="651">
        <f t="shared" ref="J80:J90" si="6">+H80-I80</f>
        <v>797978.45877737342</v>
      </c>
      <c r="K80" s="429"/>
      <c r="L80" s="598"/>
      <c r="M80" s="636"/>
      <c r="N80" s="636"/>
      <c r="O80" s="598"/>
      <c r="P80" s="598"/>
      <c r="Q80" s="598"/>
      <c r="R80" s="598"/>
      <c r="S80" s="598"/>
    </row>
    <row r="81" spans="1:19" ht="13.5">
      <c r="A81" s="600"/>
      <c r="B81" s="600"/>
      <c r="C81" s="597"/>
      <c r="D81" s="429"/>
      <c r="E81" s="598" t="s">
        <v>790</v>
      </c>
      <c r="F81" s="882">
        <f>F80</f>
        <v>1.2035874189703974</v>
      </c>
      <c r="G81" s="636">
        <f>'WKSHT4 - Monthly Tx System Peak'!C59</f>
        <v>663</v>
      </c>
      <c r="H81" s="651">
        <f t="shared" si="5"/>
        <v>797978.45877737342</v>
      </c>
      <c r="I81" s="636">
        <v>0</v>
      </c>
      <c r="J81" s="651">
        <f t="shared" si="6"/>
        <v>797978.45877737342</v>
      </c>
      <c r="K81" s="429"/>
      <c r="L81" s="598"/>
      <c r="M81" s="636"/>
      <c r="N81" s="636"/>
      <c r="O81" s="598"/>
      <c r="P81" s="598"/>
      <c r="Q81" s="598"/>
      <c r="R81" s="598"/>
      <c r="S81" s="598"/>
    </row>
    <row r="82" spans="1:19" ht="13.5">
      <c r="A82" s="600"/>
      <c r="B82" s="600"/>
      <c r="C82" s="597"/>
      <c r="D82" s="429"/>
      <c r="E82" s="598" t="s">
        <v>791</v>
      </c>
      <c r="F82" s="882">
        <f>F81</f>
        <v>1.2035874189703974</v>
      </c>
      <c r="G82" s="636">
        <f>'WKSHT4 - Monthly Tx System Peak'!C61</f>
        <v>663</v>
      </c>
      <c r="H82" s="651">
        <f>+F82*G82*1000</f>
        <v>797978.45877737342</v>
      </c>
      <c r="I82" s="636">
        <v>0</v>
      </c>
      <c r="J82" s="651">
        <f t="shared" si="6"/>
        <v>797978.45877737342</v>
      </c>
      <c r="K82" s="429"/>
      <c r="L82" s="598"/>
      <c r="M82" s="636"/>
      <c r="N82" s="636"/>
      <c r="O82" s="598"/>
      <c r="P82" s="598"/>
      <c r="Q82" s="598"/>
      <c r="R82" s="598"/>
      <c r="S82" s="598"/>
    </row>
    <row r="83" spans="1:19" ht="13.5">
      <c r="A83" s="600"/>
      <c r="B83" s="600"/>
      <c r="C83" s="597"/>
      <c r="D83" s="429"/>
      <c r="E83" s="598" t="s">
        <v>786</v>
      </c>
      <c r="F83" s="882">
        <f>F82</f>
        <v>1.2035874189703974</v>
      </c>
      <c r="G83" s="636">
        <f>'WKSHT4 - Monthly Tx System Peak'!C62</f>
        <v>663</v>
      </c>
      <c r="H83" s="651">
        <f>+F83*G83*1000</f>
        <v>797978.45877737342</v>
      </c>
      <c r="I83" s="636">
        <v>0</v>
      </c>
      <c r="J83" s="651">
        <f t="shared" si="6"/>
        <v>797978.45877737342</v>
      </c>
      <c r="K83" s="429"/>
      <c r="L83" s="598"/>
      <c r="M83" s="636"/>
      <c r="N83" s="636"/>
      <c r="O83" s="598"/>
      <c r="P83" s="598"/>
      <c r="Q83" s="598"/>
      <c r="R83" s="598"/>
      <c r="S83" s="598"/>
    </row>
    <row r="84" spans="1:19" ht="15.75">
      <c r="A84" s="600"/>
      <c r="B84" s="600"/>
      <c r="C84" s="597"/>
      <c r="D84" s="429"/>
      <c r="E84" s="598" t="s">
        <v>792</v>
      </c>
      <c r="F84" s="882">
        <v>0.76294923143841975</v>
      </c>
      <c r="G84" s="636">
        <f>'WKSHT4 - Monthly Tx System Peak'!C63</f>
        <v>663</v>
      </c>
      <c r="H84" s="651">
        <f t="shared" si="5"/>
        <v>505835.34044367232</v>
      </c>
      <c r="I84" s="636">
        <v>0</v>
      </c>
      <c r="J84" s="651">
        <f t="shared" si="6"/>
        <v>505835.34044367232</v>
      </c>
      <c r="K84" s="429"/>
      <c r="L84" s="598"/>
      <c r="M84" s="1948">
        <f>SUM(M80:M83)</f>
        <v>0</v>
      </c>
      <c r="N84" s="602" t="s">
        <v>1433</v>
      </c>
      <c r="O84" s="598"/>
      <c r="P84" s="598"/>
      <c r="Q84" s="598"/>
      <c r="R84" s="598"/>
      <c r="S84" s="598"/>
    </row>
    <row r="85" spans="1:19" ht="13.5">
      <c r="A85" s="600"/>
      <c r="B85" s="600"/>
      <c r="C85" s="597"/>
      <c r="D85" s="429"/>
      <c r="E85" s="598" t="s">
        <v>793</v>
      </c>
      <c r="F85" s="882">
        <f>F84</f>
        <v>0.76294923143841975</v>
      </c>
      <c r="G85" s="636">
        <f>'WKSHT4 - Monthly Tx System Peak'!C65</f>
        <v>663</v>
      </c>
      <c r="H85" s="651">
        <f t="shared" si="5"/>
        <v>505835.34044367232</v>
      </c>
      <c r="I85" s="636">
        <v>0</v>
      </c>
      <c r="J85" s="651">
        <f t="shared" si="6"/>
        <v>505835.34044367232</v>
      </c>
      <c r="K85" s="429"/>
      <c r="L85" s="598"/>
      <c r="M85" s="598"/>
      <c r="N85" s="598"/>
      <c r="O85" s="598"/>
      <c r="P85" s="598"/>
      <c r="Q85" s="598"/>
      <c r="R85" s="598"/>
      <c r="S85" s="598"/>
    </row>
    <row r="86" spans="1:19" ht="13.5">
      <c r="A86" s="600"/>
      <c r="B86" s="600"/>
      <c r="C86" s="597"/>
      <c r="D86" s="429"/>
      <c r="E86" s="598" t="s">
        <v>794</v>
      </c>
      <c r="F86" s="882">
        <f t="shared" ref="F86:F90" si="7">F85</f>
        <v>0.76294923143841975</v>
      </c>
      <c r="G86" s="636">
        <f>'WKSHT4 - Monthly Tx System Peak'!C66</f>
        <v>663</v>
      </c>
      <c r="H86" s="651">
        <f t="shared" si="5"/>
        <v>505835.34044367232</v>
      </c>
      <c r="I86" s="636">
        <v>0</v>
      </c>
      <c r="J86" s="651">
        <f t="shared" si="6"/>
        <v>505835.34044367232</v>
      </c>
      <c r="K86" s="429"/>
      <c r="L86" s="598"/>
      <c r="M86" s="598"/>
      <c r="N86" s="598"/>
      <c r="O86" s="598"/>
      <c r="P86" s="598"/>
      <c r="Q86" s="598"/>
      <c r="R86" s="598"/>
      <c r="S86" s="598"/>
    </row>
    <row r="87" spans="1:19" ht="13.5">
      <c r="A87" s="600"/>
      <c r="B87" s="600"/>
      <c r="C87" s="597"/>
      <c r="D87" s="429"/>
      <c r="E87" s="598" t="s">
        <v>795</v>
      </c>
      <c r="F87" s="882">
        <f t="shared" si="7"/>
        <v>0.76294923143841975</v>
      </c>
      <c r="G87" s="636">
        <f>'WKSHT4 - Monthly Tx System Peak'!C67</f>
        <v>663</v>
      </c>
      <c r="H87" s="651">
        <f t="shared" si="5"/>
        <v>505835.34044367232</v>
      </c>
      <c r="I87" s="636">
        <v>0</v>
      </c>
      <c r="J87" s="651">
        <f t="shared" si="6"/>
        <v>505835.34044367232</v>
      </c>
      <c r="K87" s="429"/>
      <c r="L87" s="598"/>
      <c r="M87" s="598"/>
      <c r="N87" s="598"/>
      <c r="O87" s="598"/>
      <c r="P87" s="598"/>
      <c r="Q87" s="598"/>
      <c r="R87" s="598"/>
      <c r="S87" s="598"/>
    </row>
    <row r="88" spans="1:19" ht="13.5">
      <c r="A88" s="600"/>
      <c r="B88" s="600"/>
      <c r="C88" s="597"/>
      <c r="D88" s="429"/>
      <c r="E88" s="598" t="s">
        <v>796</v>
      </c>
      <c r="F88" s="882">
        <f t="shared" si="7"/>
        <v>0.76294923143841975</v>
      </c>
      <c r="G88" s="636">
        <f>'WKSHT4 - Monthly Tx System Peak'!C69</f>
        <v>663</v>
      </c>
      <c r="H88" s="651">
        <f t="shared" si="5"/>
        <v>505835.34044367232</v>
      </c>
      <c r="I88" s="636">
        <v>0</v>
      </c>
      <c r="J88" s="651">
        <f t="shared" si="6"/>
        <v>505835.34044367232</v>
      </c>
      <c r="K88" s="429"/>
      <c r="L88" s="598"/>
      <c r="M88" s="598"/>
      <c r="N88" s="598"/>
      <c r="O88" s="598"/>
      <c r="P88" s="598"/>
      <c r="Q88" s="598"/>
      <c r="R88" s="598"/>
      <c r="S88" s="598"/>
    </row>
    <row r="89" spans="1:19" ht="13.5">
      <c r="A89" s="600"/>
      <c r="B89" s="600"/>
      <c r="C89" s="597"/>
      <c r="D89" s="429"/>
      <c r="E89" s="598" t="s">
        <v>797</v>
      </c>
      <c r="F89" s="882">
        <f t="shared" si="7"/>
        <v>0.76294923143841975</v>
      </c>
      <c r="G89" s="636">
        <f>'WKSHT4 - Monthly Tx System Peak'!C70</f>
        <v>663</v>
      </c>
      <c r="H89" s="651">
        <f t="shared" si="5"/>
        <v>505835.34044367232</v>
      </c>
      <c r="I89" s="636">
        <v>0</v>
      </c>
      <c r="J89" s="651">
        <f t="shared" si="6"/>
        <v>505835.34044367232</v>
      </c>
      <c r="K89" s="429"/>
      <c r="L89" s="598"/>
      <c r="M89" s="598"/>
      <c r="N89" s="598"/>
      <c r="O89" s="598"/>
      <c r="P89" s="598"/>
      <c r="Q89" s="598"/>
      <c r="R89" s="598"/>
      <c r="S89" s="598"/>
    </row>
    <row r="90" spans="1:19" ht="13.5">
      <c r="A90" s="600"/>
      <c r="B90" s="600"/>
      <c r="C90" s="597"/>
      <c r="D90" s="429"/>
      <c r="E90" s="598" t="s">
        <v>798</v>
      </c>
      <c r="F90" s="882">
        <f t="shared" si="7"/>
        <v>0.76294923143841975</v>
      </c>
      <c r="G90" s="636">
        <f>'WKSHT4 - Monthly Tx System Peak'!C71</f>
        <v>663</v>
      </c>
      <c r="H90" s="651">
        <f t="shared" si="5"/>
        <v>505835.34044367232</v>
      </c>
      <c r="I90" s="1411">
        <v>-1400763</v>
      </c>
      <c r="J90" s="651">
        <f t="shared" si="6"/>
        <v>1906598.3404436724</v>
      </c>
      <c r="K90" s="429"/>
      <c r="L90" s="598"/>
      <c r="M90" s="598"/>
      <c r="N90" s="598"/>
      <c r="O90" s="598"/>
      <c r="P90" s="598"/>
      <c r="Q90" s="598"/>
      <c r="R90" s="598"/>
      <c r="S90" s="598"/>
    </row>
    <row r="91" spans="1:19" ht="13.5">
      <c r="A91" s="600"/>
      <c r="B91" s="600"/>
      <c r="C91" s="597"/>
      <c r="D91" s="598"/>
      <c r="E91" s="598" t="s">
        <v>1173</v>
      </c>
      <c r="F91" s="637"/>
      <c r="G91" s="637"/>
      <c r="H91" s="637"/>
      <c r="I91" s="637"/>
      <c r="J91" s="651">
        <f>SUM(J79:J90)</f>
        <v>8931502.6769925747</v>
      </c>
      <c r="K91" s="429"/>
      <c r="L91" s="598"/>
      <c r="M91" s="598"/>
      <c r="N91" s="598"/>
      <c r="O91" s="598"/>
      <c r="P91" s="598"/>
      <c r="Q91" s="598"/>
      <c r="R91" s="598"/>
      <c r="S91" s="598"/>
    </row>
    <row r="92" spans="1:19" ht="13.5">
      <c r="A92" s="600"/>
      <c r="B92" s="600"/>
      <c r="C92" s="597"/>
      <c r="D92" s="598"/>
      <c r="E92" s="637"/>
      <c r="F92" s="637"/>
      <c r="G92" s="637"/>
      <c r="H92" s="637"/>
      <c r="I92" s="637"/>
      <c r="J92" s="429"/>
      <c r="K92" s="429"/>
      <c r="L92" s="598"/>
      <c r="M92" s="598"/>
      <c r="N92" s="598"/>
      <c r="O92" s="598"/>
      <c r="P92" s="598"/>
      <c r="Q92" s="598"/>
      <c r="R92" s="598"/>
      <c r="S92" s="598"/>
    </row>
    <row r="93" spans="1:19" ht="13.5">
      <c r="A93" s="600"/>
      <c r="B93" s="600"/>
      <c r="C93" s="597"/>
      <c r="D93" s="598"/>
      <c r="E93" s="637"/>
      <c r="F93" s="637"/>
      <c r="G93" s="637"/>
      <c r="H93" s="637"/>
      <c r="I93" s="637"/>
      <c r="J93" s="429"/>
      <c r="K93" s="429"/>
      <c r="L93" s="598"/>
      <c r="M93" s="598"/>
      <c r="N93" s="598"/>
      <c r="O93" s="598"/>
      <c r="P93" s="598"/>
      <c r="Q93" s="598"/>
      <c r="R93" s="598"/>
      <c r="S93" s="598"/>
    </row>
    <row r="94" spans="1:19" ht="13.5">
      <c r="A94" s="600"/>
      <c r="B94" s="600"/>
      <c r="C94" s="597"/>
      <c r="D94" s="604"/>
      <c r="E94" s="598"/>
      <c r="F94" s="429"/>
      <c r="G94" s="598"/>
      <c r="H94" s="598"/>
      <c r="I94" s="598"/>
      <c r="J94" s="598"/>
      <c r="K94" s="598"/>
      <c r="L94" s="598"/>
      <c r="M94" s="598"/>
      <c r="N94" s="598"/>
      <c r="O94" s="598"/>
      <c r="P94" s="598"/>
      <c r="Q94" s="598"/>
      <c r="R94" s="598"/>
      <c r="S94" s="598"/>
    </row>
    <row r="95" spans="1:19" ht="31.5">
      <c r="A95" s="600"/>
      <c r="B95" s="600"/>
      <c r="C95" s="597"/>
      <c r="D95" s="599" t="s">
        <v>1174</v>
      </c>
      <c r="E95" s="1950"/>
      <c r="F95" s="1950" t="s">
        <v>1149</v>
      </c>
      <c r="G95" s="598"/>
      <c r="H95" s="1951" t="s">
        <v>1435</v>
      </c>
      <c r="I95" s="598"/>
      <c r="J95" s="1952" t="s">
        <v>1436</v>
      </c>
      <c r="K95" s="188"/>
      <c r="L95" s="1953" t="s">
        <v>1437</v>
      </c>
      <c r="M95" s="598"/>
      <c r="N95" s="598"/>
      <c r="O95" s="598"/>
      <c r="P95" s="598"/>
      <c r="Q95" s="598"/>
      <c r="R95" s="598"/>
      <c r="S95" s="598"/>
    </row>
    <row r="96" spans="1:19" ht="15.75">
      <c r="A96" s="600"/>
      <c r="B96" s="600"/>
      <c r="C96" s="604" t="s">
        <v>1175</v>
      </c>
      <c r="D96" s="634">
        <f>D68</f>
        <v>13195202.578993147</v>
      </c>
      <c r="E96" s="597" t="s">
        <v>510</v>
      </c>
      <c r="F96" s="634">
        <f>J91</f>
        <v>8931502.6769925747</v>
      </c>
      <c r="G96" s="597" t="s">
        <v>511</v>
      </c>
      <c r="H96" s="613">
        <f>D96-F96</f>
        <v>4263699.9020005725</v>
      </c>
      <c r="I96" s="597" t="s">
        <v>510</v>
      </c>
      <c r="J96" s="1968">
        <f>M84</f>
        <v>0</v>
      </c>
      <c r="K96" s="1882" t="s">
        <v>511</v>
      </c>
      <c r="L96" s="1862">
        <f>H96-J96</f>
        <v>4263699.9020005725</v>
      </c>
      <c r="M96" s="185"/>
      <c r="N96" s="598"/>
      <c r="O96" s="598"/>
      <c r="P96" s="598"/>
      <c r="Q96" s="598"/>
      <c r="R96" s="598"/>
      <c r="S96" s="598"/>
    </row>
    <row r="97" spans="1:19" ht="15.75">
      <c r="A97" s="597"/>
      <c r="B97" s="597"/>
      <c r="C97" s="597"/>
      <c r="D97" s="638"/>
      <c r="E97" s="597"/>
      <c r="F97" s="613"/>
      <c r="G97" s="597"/>
      <c r="H97" s="613"/>
      <c r="I97" s="598"/>
      <c r="J97" s="178"/>
      <c r="K97" s="12"/>
      <c r="L97" s="12"/>
      <c r="M97" s="185"/>
      <c r="N97" s="598"/>
      <c r="O97" s="598"/>
      <c r="P97" s="598"/>
      <c r="Q97" s="598"/>
      <c r="R97" s="598"/>
      <c r="S97" s="598"/>
    </row>
    <row r="98" spans="1:19" ht="15.75">
      <c r="A98" s="597"/>
      <c r="B98" s="597"/>
      <c r="C98" s="597"/>
      <c r="D98" s="638"/>
      <c r="E98" s="597"/>
      <c r="F98" s="613"/>
      <c r="G98" s="597"/>
      <c r="H98" s="613"/>
      <c r="I98" s="598"/>
      <c r="J98" s="178"/>
      <c r="K98" s="12"/>
      <c r="L98" s="12"/>
      <c r="M98" s="185"/>
      <c r="N98" s="598"/>
      <c r="O98" s="598"/>
      <c r="P98" s="598"/>
      <c r="Q98" s="598"/>
      <c r="R98" s="598"/>
      <c r="S98" s="598"/>
    </row>
    <row r="99" spans="1:19" ht="15.75">
      <c r="A99" s="597"/>
      <c r="B99" s="597"/>
      <c r="C99" s="597"/>
      <c r="D99" s="1379" t="s">
        <v>799</v>
      </c>
      <c r="E99" s="600"/>
      <c r="F99" s="634"/>
      <c r="G99" s="597"/>
      <c r="H99" s="613"/>
      <c r="I99" s="598"/>
      <c r="J99" s="178"/>
      <c r="K99" s="12"/>
      <c r="L99" s="12"/>
      <c r="M99" s="185"/>
      <c r="N99" s="598"/>
      <c r="O99" s="598"/>
      <c r="P99" s="598"/>
      <c r="Q99" s="598"/>
      <c r="R99" s="598"/>
      <c r="S99" s="598"/>
    </row>
    <row r="100" spans="1:19" ht="15.75">
      <c r="A100" s="597"/>
      <c r="B100" s="597"/>
      <c r="C100" s="597"/>
      <c r="D100" s="1933" t="s">
        <v>1176</v>
      </c>
      <c r="E100" s="1933"/>
      <c r="F100" s="178">
        <v>2.7000000000000001E-3</v>
      </c>
      <c r="G100" s="600"/>
      <c r="H100" s="634"/>
      <c r="I100" s="598"/>
      <c r="J100" s="178"/>
      <c r="K100" s="12"/>
      <c r="L100" s="12"/>
      <c r="M100" s="185"/>
      <c r="N100" s="598"/>
      <c r="O100" s="598"/>
      <c r="P100" s="598"/>
      <c r="Q100" s="598"/>
      <c r="R100" s="598"/>
      <c r="S100" s="598"/>
    </row>
    <row r="101" spans="1:19" ht="13.5">
      <c r="A101" s="597"/>
      <c r="B101" s="597"/>
      <c r="C101" s="597"/>
      <c r="D101" s="631" t="s">
        <v>781</v>
      </c>
      <c r="E101" s="597" t="s">
        <v>800</v>
      </c>
      <c r="F101" s="600" t="s">
        <v>1177</v>
      </c>
      <c r="G101" s="1859" t="s">
        <v>1178</v>
      </c>
      <c r="H101" s="600"/>
      <c r="I101" s="631" t="s">
        <v>801</v>
      </c>
      <c r="J101" s="601" t="s">
        <v>1179</v>
      </c>
      <c r="K101" s="598"/>
      <c r="L101" s="598"/>
      <c r="M101" s="598"/>
      <c r="N101" s="598"/>
      <c r="O101" s="598"/>
      <c r="P101" s="598"/>
      <c r="Q101" s="598"/>
      <c r="R101" s="598"/>
      <c r="S101" s="598"/>
    </row>
    <row r="102" spans="1:19" ht="13.5">
      <c r="A102" s="597"/>
      <c r="B102" s="597"/>
      <c r="C102" s="597"/>
      <c r="D102" s="597"/>
      <c r="E102" s="597"/>
      <c r="F102" s="600" t="s">
        <v>1180</v>
      </c>
      <c r="G102" s="600" t="s">
        <v>1181</v>
      </c>
      <c r="H102" s="600" t="s">
        <v>802</v>
      </c>
      <c r="I102" s="597"/>
      <c r="J102" s="597"/>
      <c r="K102" s="598" t="s">
        <v>1182</v>
      </c>
      <c r="L102" s="598"/>
      <c r="M102" s="598"/>
      <c r="N102" s="598"/>
      <c r="O102" s="598"/>
      <c r="P102" s="598"/>
      <c r="Q102" s="598"/>
      <c r="R102" s="598"/>
      <c r="S102" s="598"/>
    </row>
    <row r="103" spans="1:19" ht="13.5">
      <c r="A103" s="597"/>
      <c r="B103" s="597"/>
      <c r="C103" s="597"/>
      <c r="D103" s="598" t="s">
        <v>788</v>
      </c>
      <c r="E103" s="598" t="s">
        <v>449</v>
      </c>
      <c r="F103" s="1860">
        <f>L96/12</f>
        <v>355308.32516671438</v>
      </c>
      <c r="G103" s="1855">
        <f>+F100</f>
        <v>2.7000000000000001E-3</v>
      </c>
      <c r="H103" s="602">
        <v>12</v>
      </c>
      <c r="I103" s="608">
        <f>+F103*G103*H103</f>
        <v>11511.989735401547</v>
      </c>
      <c r="J103" s="608">
        <f>+F103+I103</f>
        <v>366820.3149021159</v>
      </c>
      <c r="K103" s="598" t="s">
        <v>1183</v>
      </c>
      <c r="L103" s="598"/>
      <c r="M103" s="598"/>
      <c r="N103" s="598"/>
      <c r="O103" s="598"/>
      <c r="P103" s="598"/>
      <c r="Q103" s="598"/>
      <c r="R103" s="598"/>
      <c r="S103" s="598"/>
    </row>
    <row r="104" spans="1:19" ht="13.5">
      <c r="A104" s="597"/>
      <c r="B104" s="597"/>
      <c r="C104" s="597"/>
      <c r="D104" s="598" t="s">
        <v>789</v>
      </c>
      <c r="E104" s="598" t="s">
        <v>449</v>
      </c>
      <c r="F104" s="634">
        <f t="shared" ref="F104:G114" si="8">+F103</f>
        <v>355308.32516671438</v>
      </c>
      <c r="G104" s="1856">
        <f>+G103</f>
        <v>2.7000000000000001E-3</v>
      </c>
      <c r="H104" s="602">
        <v>11</v>
      </c>
      <c r="I104" s="608">
        <f t="shared" ref="I104:I114" si="9">+F104*G104*H104</f>
        <v>10552.657257451418</v>
      </c>
      <c r="J104" s="608">
        <f t="shared" ref="J104:J114" si="10">+F104+I104</f>
        <v>365860.98242416582</v>
      </c>
      <c r="K104" s="598" t="s">
        <v>1184</v>
      </c>
      <c r="L104" s="598"/>
      <c r="M104" s="598"/>
      <c r="N104" s="598"/>
      <c r="O104" s="598"/>
      <c r="P104" s="598"/>
      <c r="Q104" s="598"/>
      <c r="R104" s="598"/>
      <c r="S104" s="598"/>
    </row>
    <row r="105" spans="1:19" ht="13.5">
      <c r="A105" s="597"/>
      <c r="B105" s="597"/>
      <c r="C105" s="597"/>
      <c r="D105" s="598" t="s">
        <v>790</v>
      </c>
      <c r="E105" s="598" t="s">
        <v>449</v>
      </c>
      <c r="F105" s="634">
        <f t="shared" si="8"/>
        <v>355308.32516671438</v>
      </c>
      <c r="G105" s="1856">
        <f t="shared" si="8"/>
        <v>2.7000000000000001E-3</v>
      </c>
      <c r="H105" s="602">
        <v>10</v>
      </c>
      <c r="I105" s="608">
        <f t="shared" si="9"/>
        <v>9593.3247795012885</v>
      </c>
      <c r="J105" s="608">
        <f t="shared" si="10"/>
        <v>364901.64994621568</v>
      </c>
      <c r="K105" s="598"/>
      <c r="L105" s="598"/>
      <c r="M105" s="598"/>
      <c r="N105" s="598"/>
      <c r="O105" s="598"/>
      <c r="P105" s="598"/>
      <c r="Q105" s="598"/>
      <c r="R105" s="598"/>
      <c r="S105" s="598"/>
    </row>
    <row r="106" spans="1:19" ht="13.5">
      <c r="A106" s="597"/>
      <c r="B106" s="597"/>
      <c r="C106" s="597"/>
      <c r="D106" s="598" t="s">
        <v>791</v>
      </c>
      <c r="E106" s="598" t="s">
        <v>449</v>
      </c>
      <c r="F106" s="634">
        <f t="shared" si="8"/>
        <v>355308.32516671438</v>
      </c>
      <c r="G106" s="1856">
        <f t="shared" si="8"/>
        <v>2.7000000000000001E-3</v>
      </c>
      <c r="H106" s="602">
        <v>9</v>
      </c>
      <c r="I106" s="608">
        <f t="shared" si="9"/>
        <v>8633.9923015511595</v>
      </c>
      <c r="J106" s="608">
        <f t="shared" si="10"/>
        <v>363942.31746826554</v>
      </c>
      <c r="K106" s="598"/>
      <c r="L106" s="598"/>
      <c r="M106" s="598"/>
      <c r="N106" s="598"/>
      <c r="O106" s="598"/>
      <c r="P106" s="598"/>
      <c r="Q106" s="598"/>
      <c r="R106" s="598"/>
      <c r="S106" s="598"/>
    </row>
    <row r="107" spans="1:19" ht="13.5">
      <c r="A107" s="597"/>
      <c r="B107" s="597"/>
      <c r="C107" s="597"/>
      <c r="D107" s="598" t="s">
        <v>786</v>
      </c>
      <c r="E107" s="598" t="s">
        <v>449</v>
      </c>
      <c r="F107" s="634">
        <f t="shared" si="8"/>
        <v>355308.32516671438</v>
      </c>
      <c r="G107" s="1856">
        <f t="shared" si="8"/>
        <v>2.7000000000000001E-3</v>
      </c>
      <c r="H107" s="602">
        <v>8</v>
      </c>
      <c r="I107" s="608">
        <f t="shared" si="9"/>
        <v>7674.6598236010313</v>
      </c>
      <c r="J107" s="608">
        <f t="shared" si="10"/>
        <v>362982.9849903154</v>
      </c>
      <c r="K107" s="598"/>
      <c r="L107" s="598"/>
      <c r="M107" s="598"/>
      <c r="N107" s="598"/>
      <c r="O107" s="598"/>
      <c r="P107" s="598"/>
      <c r="Q107" s="598"/>
      <c r="R107" s="598"/>
      <c r="S107" s="598"/>
    </row>
    <row r="108" spans="1:19" ht="13.5">
      <c r="A108" s="597"/>
      <c r="B108" s="597"/>
      <c r="C108" s="597"/>
      <c r="D108" s="598" t="s">
        <v>792</v>
      </c>
      <c r="E108" s="598" t="s">
        <v>449</v>
      </c>
      <c r="F108" s="634">
        <f t="shared" si="8"/>
        <v>355308.32516671438</v>
      </c>
      <c r="G108" s="1856">
        <f t="shared" si="8"/>
        <v>2.7000000000000001E-3</v>
      </c>
      <c r="H108" s="602">
        <v>7</v>
      </c>
      <c r="I108" s="608">
        <f t="shared" si="9"/>
        <v>6715.3273456509023</v>
      </c>
      <c r="J108" s="608">
        <f t="shared" si="10"/>
        <v>362023.65251236525</v>
      </c>
      <c r="K108" s="598"/>
      <c r="L108" s="598"/>
      <c r="M108" s="598"/>
      <c r="N108" s="598"/>
      <c r="O108" s="598"/>
      <c r="P108" s="598"/>
      <c r="Q108" s="598"/>
      <c r="R108" s="598"/>
      <c r="S108" s="598"/>
    </row>
    <row r="109" spans="1:19" ht="13.5">
      <c r="A109" s="597"/>
      <c r="B109" s="597"/>
      <c r="C109" s="597"/>
      <c r="D109" s="598" t="s">
        <v>793</v>
      </c>
      <c r="E109" s="598" t="s">
        <v>449</v>
      </c>
      <c r="F109" s="634">
        <f t="shared" si="8"/>
        <v>355308.32516671438</v>
      </c>
      <c r="G109" s="1856">
        <f t="shared" si="8"/>
        <v>2.7000000000000001E-3</v>
      </c>
      <c r="H109" s="602">
        <v>6</v>
      </c>
      <c r="I109" s="608">
        <f t="shared" si="9"/>
        <v>5755.9948677007733</v>
      </c>
      <c r="J109" s="608">
        <f t="shared" si="10"/>
        <v>361064.32003441517</v>
      </c>
      <c r="K109" s="598"/>
      <c r="L109" s="598"/>
      <c r="M109" s="598"/>
      <c r="N109" s="598"/>
      <c r="O109" s="598"/>
      <c r="P109" s="598"/>
      <c r="Q109" s="598"/>
      <c r="R109" s="598"/>
      <c r="S109" s="598"/>
    </row>
    <row r="110" spans="1:19" ht="13.5">
      <c r="A110" s="597"/>
      <c r="B110" s="597"/>
      <c r="C110" s="597"/>
      <c r="D110" s="598" t="s">
        <v>794</v>
      </c>
      <c r="E110" s="598" t="s">
        <v>760</v>
      </c>
      <c r="F110" s="634">
        <f t="shared" si="8"/>
        <v>355308.32516671438</v>
      </c>
      <c r="G110" s="1856">
        <f t="shared" si="8"/>
        <v>2.7000000000000001E-3</v>
      </c>
      <c r="H110" s="602">
        <v>5</v>
      </c>
      <c r="I110" s="608">
        <f t="shared" si="9"/>
        <v>4796.6623897506443</v>
      </c>
      <c r="J110" s="608">
        <f t="shared" si="10"/>
        <v>360104.98755646503</v>
      </c>
      <c r="K110" s="598"/>
      <c r="L110" s="598"/>
      <c r="M110" s="598"/>
      <c r="N110" s="598"/>
      <c r="O110" s="598"/>
      <c r="P110" s="598"/>
      <c r="Q110" s="598"/>
      <c r="R110" s="598"/>
      <c r="S110" s="598"/>
    </row>
    <row r="111" spans="1:19" ht="13.5">
      <c r="A111" s="597"/>
      <c r="B111" s="597"/>
      <c r="C111" s="597"/>
      <c r="D111" s="598" t="s">
        <v>795</v>
      </c>
      <c r="E111" s="598" t="s">
        <v>760</v>
      </c>
      <c r="F111" s="634">
        <f t="shared" si="8"/>
        <v>355308.32516671438</v>
      </c>
      <c r="G111" s="1856">
        <f t="shared" si="8"/>
        <v>2.7000000000000001E-3</v>
      </c>
      <c r="H111" s="602">
        <v>4</v>
      </c>
      <c r="I111" s="608">
        <f t="shared" si="9"/>
        <v>3837.3299118005157</v>
      </c>
      <c r="J111" s="608">
        <f t="shared" si="10"/>
        <v>359145.65507851489</v>
      </c>
      <c r="K111" s="598"/>
      <c r="L111" s="598"/>
      <c r="M111" s="598"/>
      <c r="N111" s="598"/>
      <c r="O111" s="598"/>
      <c r="P111" s="598"/>
      <c r="Q111" s="598"/>
      <c r="R111" s="598"/>
      <c r="S111" s="598"/>
    </row>
    <row r="112" spans="1:19" ht="13.5">
      <c r="A112" s="597"/>
      <c r="B112" s="597"/>
      <c r="C112" s="597"/>
      <c r="D112" s="598" t="s">
        <v>796</v>
      </c>
      <c r="E112" s="598" t="s">
        <v>760</v>
      </c>
      <c r="F112" s="634">
        <f t="shared" si="8"/>
        <v>355308.32516671438</v>
      </c>
      <c r="G112" s="1856">
        <f t="shared" si="8"/>
        <v>2.7000000000000001E-3</v>
      </c>
      <c r="H112" s="602">
        <v>3</v>
      </c>
      <c r="I112" s="608">
        <f t="shared" si="9"/>
        <v>2877.9974338503866</v>
      </c>
      <c r="J112" s="608">
        <f t="shared" si="10"/>
        <v>358186.32260056474</v>
      </c>
      <c r="K112" s="598"/>
      <c r="L112" s="598"/>
      <c r="M112" s="598"/>
      <c r="N112" s="598"/>
      <c r="O112" s="598"/>
      <c r="P112" s="598"/>
      <c r="Q112" s="598"/>
      <c r="R112" s="598"/>
      <c r="S112" s="598"/>
    </row>
    <row r="113" spans="1:19" ht="13.5">
      <c r="A113" s="597"/>
      <c r="B113" s="597"/>
      <c r="C113" s="597"/>
      <c r="D113" s="598" t="s">
        <v>797</v>
      </c>
      <c r="E113" s="598" t="s">
        <v>760</v>
      </c>
      <c r="F113" s="634">
        <f t="shared" si="8"/>
        <v>355308.32516671438</v>
      </c>
      <c r="G113" s="1856">
        <f t="shared" si="8"/>
        <v>2.7000000000000001E-3</v>
      </c>
      <c r="H113" s="602">
        <v>2</v>
      </c>
      <c r="I113" s="608">
        <f t="shared" si="9"/>
        <v>1918.6649559002578</v>
      </c>
      <c r="J113" s="608">
        <f t="shared" si="10"/>
        <v>357226.99012261466</v>
      </c>
      <c r="K113" s="598"/>
      <c r="L113" s="598"/>
      <c r="M113" s="598"/>
      <c r="N113" s="598"/>
      <c r="O113" s="598"/>
      <c r="P113" s="598"/>
      <c r="Q113" s="598"/>
      <c r="R113" s="598"/>
      <c r="S113" s="598"/>
    </row>
    <row r="114" spans="1:19" ht="13.5">
      <c r="A114" s="597"/>
      <c r="B114" s="597"/>
      <c r="C114" s="597"/>
      <c r="D114" s="598" t="s">
        <v>798</v>
      </c>
      <c r="E114" s="598" t="s">
        <v>760</v>
      </c>
      <c r="F114" s="634">
        <f t="shared" si="8"/>
        <v>355308.32516671438</v>
      </c>
      <c r="G114" s="1856">
        <f t="shared" si="8"/>
        <v>2.7000000000000001E-3</v>
      </c>
      <c r="H114" s="602">
        <v>1</v>
      </c>
      <c r="I114" s="608">
        <f t="shared" si="9"/>
        <v>959.33247795012892</v>
      </c>
      <c r="J114" s="608">
        <f t="shared" si="10"/>
        <v>356267.65764466452</v>
      </c>
      <c r="K114" s="598"/>
      <c r="L114" s="598"/>
      <c r="M114" s="598"/>
      <c r="N114" s="598"/>
      <c r="O114" s="598"/>
      <c r="P114" s="598"/>
      <c r="Q114" s="598"/>
      <c r="R114" s="598"/>
      <c r="S114" s="598"/>
    </row>
    <row r="115" spans="1:19" ht="13.5">
      <c r="A115" s="597"/>
      <c r="B115" s="597"/>
      <c r="C115" s="597"/>
      <c r="D115" s="598" t="s">
        <v>1015</v>
      </c>
      <c r="E115" s="598"/>
      <c r="F115" s="634">
        <v>0</v>
      </c>
      <c r="G115" s="602"/>
      <c r="H115" s="602"/>
      <c r="I115" s="598"/>
      <c r="J115" s="608">
        <f>SUM(J103:J114)</f>
        <v>4338527.8352806829</v>
      </c>
      <c r="K115" s="598"/>
      <c r="L115" s="598"/>
      <c r="M115" s="598"/>
      <c r="N115" s="598"/>
      <c r="O115" s="598"/>
      <c r="P115" s="598"/>
      <c r="Q115" s="598"/>
      <c r="R115" s="598"/>
      <c r="S115" s="598"/>
    </row>
    <row r="116" spans="1:19" ht="27">
      <c r="A116" s="597"/>
      <c r="B116" s="597"/>
      <c r="C116" s="597"/>
      <c r="D116" s="598"/>
      <c r="E116" s="598"/>
      <c r="F116" s="1859" t="s">
        <v>803</v>
      </c>
      <c r="G116" s="1857" t="s">
        <v>1185</v>
      </c>
      <c r="H116" s="1857" t="s">
        <v>1186</v>
      </c>
      <c r="I116" s="631" t="s">
        <v>801</v>
      </c>
      <c r="J116" s="608" t="str">
        <f>+J101</f>
        <v>Surcharge (Refund) Owed</v>
      </c>
      <c r="K116" s="598"/>
      <c r="L116" s="598"/>
      <c r="M116" s="598"/>
      <c r="N116" s="598"/>
      <c r="O116" s="598"/>
      <c r="P116" s="598"/>
      <c r="Q116" s="598"/>
      <c r="R116" s="598"/>
      <c r="S116" s="598"/>
    </row>
    <row r="117" spans="1:19" ht="13.5">
      <c r="A117" s="597"/>
      <c r="B117" s="597"/>
      <c r="C117" s="597"/>
      <c r="D117" s="598" t="s">
        <v>788</v>
      </c>
      <c r="E117" s="598" t="s">
        <v>760</v>
      </c>
      <c r="F117" s="634">
        <f>+J115</f>
        <v>4338527.8352806829</v>
      </c>
      <c r="G117" s="1856">
        <f>+G114</f>
        <v>2.7000000000000001E-3</v>
      </c>
      <c r="H117" s="615">
        <v>0</v>
      </c>
      <c r="I117" s="608">
        <f t="shared" ref="I117:I133" si="11">+F117*G117</f>
        <v>11714.025155257845</v>
      </c>
      <c r="J117" s="608">
        <f>+F117+I117-H117</f>
        <v>4350241.8604359403</v>
      </c>
      <c r="K117" s="598"/>
      <c r="L117" s="598"/>
      <c r="M117" s="598"/>
      <c r="N117" s="598"/>
      <c r="O117" s="598"/>
      <c r="P117" s="598"/>
      <c r="Q117" s="598"/>
      <c r="R117" s="598"/>
      <c r="S117" s="598"/>
    </row>
    <row r="118" spans="1:19" ht="13.5">
      <c r="A118" s="597"/>
      <c r="B118" s="597"/>
      <c r="C118" s="597"/>
      <c r="D118" s="598" t="s">
        <v>789</v>
      </c>
      <c r="E118" s="598" t="s">
        <v>760</v>
      </c>
      <c r="F118" s="634">
        <f>+J117</f>
        <v>4350241.8604359403</v>
      </c>
      <c r="G118" s="1856">
        <f>+G117</f>
        <v>2.7000000000000001E-3</v>
      </c>
      <c r="H118" s="615">
        <f>H117</f>
        <v>0</v>
      </c>
      <c r="I118" s="608">
        <f t="shared" si="11"/>
        <v>11745.653023177039</v>
      </c>
      <c r="J118" s="608">
        <f t="shared" ref="J118:J133" si="12">+F118+I118-H118</f>
        <v>4361987.5134591172</v>
      </c>
      <c r="K118" s="598"/>
      <c r="L118" s="598"/>
      <c r="M118" s="598"/>
      <c r="N118" s="598"/>
      <c r="O118" s="598"/>
      <c r="P118" s="598"/>
      <c r="Q118" s="598"/>
      <c r="R118" s="598"/>
      <c r="S118" s="598"/>
    </row>
    <row r="119" spans="1:19" ht="13.5">
      <c r="A119" s="597"/>
      <c r="B119" s="597"/>
      <c r="C119" s="597"/>
      <c r="D119" s="598" t="s">
        <v>790</v>
      </c>
      <c r="E119" s="598" t="s">
        <v>760</v>
      </c>
      <c r="F119" s="634">
        <f t="shared" ref="F119:F133" si="13">+J118</f>
        <v>4361987.5134591172</v>
      </c>
      <c r="G119" s="1856">
        <f t="shared" ref="G119:G133" si="14">+G118</f>
        <v>2.7000000000000001E-3</v>
      </c>
      <c r="H119" s="615">
        <f t="shared" ref="H119:H133" si="15">H118</f>
        <v>0</v>
      </c>
      <c r="I119" s="608">
        <f t="shared" si="11"/>
        <v>11777.366286339617</v>
      </c>
      <c r="J119" s="608">
        <f t="shared" si="12"/>
        <v>4373764.8797454564</v>
      </c>
      <c r="K119" s="598"/>
      <c r="L119" s="598"/>
      <c r="M119" s="598"/>
      <c r="N119" s="598"/>
      <c r="O119" s="598"/>
      <c r="P119" s="598"/>
      <c r="Q119" s="598"/>
      <c r="R119" s="598"/>
      <c r="S119" s="598"/>
    </row>
    <row r="120" spans="1:19" ht="13.5">
      <c r="A120" s="597"/>
      <c r="B120" s="597"/>
      <c r="C120" s="597"/>
      <c r="D120" s="598" t="s">
        <v>791</v>
      </c>
      <c r="E120" s="598" t="s">
        <v>760</v>
      </c>
      <c r="F120" s="634">
        <f t="shared" si="13"/>
        <v>4373764.8797454564</v>
      </c>
      <c r="G120" s="1856">
        <f t="shared" si="14"/>
        <v>2.7000000000000001E-3</v>
      </c>
      <c r="H120" s="615">
        <f t="shared" si="15"/>
        <v>0</v>
      </c>
      <c r="I120" s="608">
        <f t="shared" si="11"/>
        <v>11809.165175312733</v>
      </c>
      <c r="J120" s="608">
        <f t="shared" si="12"/>
        <v>4385574.0449207695</v>
      </c>
      <c r="K120" s="641"/>
      <c r="L120" s="598"/>
      <c r="M120" s="598"/>
      <c r="N120" s="598"/>
      <c r="O120" s="598"/>
      <c r="P120" s="598"/>
      <c r="Q120" s="598"/>
      <c r="R120" s="598"/>
      <c r="S120" s="598"/>
    </row>
    <row r="121" spans="1:19" ht="13.5">
      <c r="A121" s="597"/>
      <c r="B121" s="597"/>
      <c r="C121" s="597"/>
      <c r="D121" s="598" t="s">
        <v>786</v>
      </c>
      <c r="E121" s="598" t="s">
        <v>760</v>
      </c>
      <c r="F121" s="634">
        <f t="shared" si="13"/>
        <v>4385574.0449207695</v>
      </c>
      <c r="G121" s="1856">
        <f t="shared" si="14"/>
        <v>2.7000000000000001E-3</v>
      </c>
      <c r="H121" s="615">
        <f t="shared" si="15"/>
        <v>0</v>
      </c>
      <c r="I121" s="608">
        <f t="shared" si="11"/>
        <v>11841.049921286078</v>
      </c>
      <c r="J121" s="608">
        <f t="shared" si="12"/>
        <v>4397415.0948420558</v>
      </c>
      <c r="K121" s="640"/>
      <c r="L121" s="598"/>
      <c r="M121" s="598"/>
      <c r="N121" s="598"/>
      <c r="O121" s="598"/>
      <c r="P121" s="598"/>
      <c r="Q121" s="598"/>
      <c r="R121" s="598"/>
      <c r="S121" s="598"/>
    </row>
    <row r="122" spans="1:19" ht="13.5">
      <c r="A122" s="597"/>
      <c r="B122" s="597"/>
      <c r="C122" s="597"/>
      <c r="D122" s="598" t="s">
        <v>792</v>
      </c>
      <c r="E122" s="598" t="s">
        <v>760</v>
      </c>
      <c r="F122" s="634">
        <f t="shared" si="13"/>
        <v>4397415.0948420558</v>
      </c>
      <c r="G122" s="1856">
        <f t="shared" si="14"/>
        <v>2.7000000000000001E-3</v>
      </c>
      <c r="H122" s="615">
        <f>-PMT(G122,12,J121)</f>
        <v>372914.2685586235</v>
      </c>
      <c r="I122" s="608">
        <f t="shared" si="11"/>
        <v>11873.020756073551</v>
      </c>
      <c r="J122" s="608">
        <f t="shared" si="12"/>
        <v>4036373.8470395058</v>
      </c>
      <c r="K122" s="598"/>
      <c r="L122" s="598"/>
      <c r="M122" s="598"/>
      <c r="N122" s="598"/>
      <c r="O122" s="598"/>
      <c r="P122" s="598"/>
      <c r="Q122" s="598"/>
      <c r="R122" s="598"/>
      <c r="S122" s="598"/>
    </row>
    <row r="123" spans="1:19" ht="13.5">
      <c r="A123" s="597"/>
      <c r="B123" s="597"/>
      <c r="C123" s="597"/>
      <c r="D123" s="598" t="s">
        <v>793</v>
      </c>
      <c r="E123" s="598" t="s">
        <v>760</v>
      </c>
      <c r="F123" s="634">
        <f t="shared" si="13"/>
        <v>4036373.8470395058</v>
      </c>
      <c r="G123" s="1856">
        <f t="shared" si="14"/>
        <v>2.7000000000000001E-3</v>
      </c>
      <c r="H123" s="615">
        <f t="shared" si="15"/>
        <v>372914.2685586235</v>
      </c>
      <c r="I123" s="608">
        <f t="shared" si="11"/>
        <v>10898.209387006666</v>
      </c>
      <c r="J123" s="608">
        <f t="shared" si="12"/>
        <v>3674357.7878678888</v>
      </c>
      <c r="K123" s="598"/>
      <c r="L123" s="598"/>
      <c r="M123" s="598"/>
      <c r="N123" s="598"/>
      <c r="O123" s="598"/>
      <c r="P123" s="598"/>
      <c r="Q123" s="598"/>
      <c r="R123" s="598"/>
      <c r="S123" s="598"/>
    </row>
    <row r="124" spans="1:19" ht="13.5">
      <c r="A124" s="597"/>
      <c r="B124" s="597"/>
      <c r="C124" s="597"/>
      <c r="D124" s="598" t="s">
        <v>794</v>
      </c>
      <c r="E124" s="598" t="s">
        <v>760</v>
      </c>
      <c r="F124" s="634">
        <f t="shared" si="13"/>
        <v>3674357.7878678888</v>
      </c>
      <c r="G124" s="1856">
        <f t="shared" si="14"/>
        <v>2.7000000000000001E-3</v>
      </c>
      <c r="H124" s="615">
        <f t="shared" si="15"/>
        <v>372914.2685586235</v>
      </c>
      <c r="I124" s="608">
        <f t="shared" si="11"/>
        <v>9920.7660272433004</v>
      </c>
      <c r="J124" s="608">
        <f t="shared" si="12"/>
        <v>3311364.2853365084</v>
      </c>
      <c r="K124" s="598"/>
      <c r="L124" s="598"/>
      <c r="M124" s="598"/>
      <c r="N124" s="598"/>
      <c r="O124" s="598"/>
      <c r="P124" s="598"/>
      <c r="Q124" s="598"/>
      <c r="R124" s="598"/>
      <c r="S124" s="598"/>
    </row>
    <row r="125" spans="1:19" ht="13.5">
      <c r="A125" s="597"/>
      <c r="B125" s="597"/>
      <c r="C125" s="597"/>
      <c r="D125" s="598" t="s">
        <v>795</v>
      </c>
      <c r="E125" s="598" t="s">
        <v>760</v>
      </c>
      <c r="F125" s="634">
        <f t="shared" si="13"/>
        <v>3311364.2853365084</v>
      </c>
      <c r="G125" s="1856">
        <f t="shared" si="14"/>
        <v>2.7000000000000001E-3</v>
      </c>
      <c r="H125" s="615">
        <f t="shared" si="15"/>
        <v>372914.2685586235</v>
      </c>
      <c r="I125" s="608">
        <f t="shared" si="11"/>
        <v>8940.6835704085734</v>
      </c>
      <c r="J125" s="608">
        <f t="shared" si="12"/>
        <v>2947390.7003482934</v>
      </c>
      <c r="K125" s="598"/>
      <c r="L125" s="598"/>
      <c r="M125" s="598"/>
      <c r="N125" s="598"/>
      <c r="O125" s="598"/>
      <c r="P125" s="598"/>
      <c r="Q125" s="598"/>
      <c r="R125" s="598"/>
      <c r="S125" s="598"/>
    </row>
    <row r="126" spans="1:19" ht="13.5">
      <c r="A126" s="597"/>
      <c r="B126" s="597"/>
      <c r="C126" s="597"/>
      <c r="D126" s="598" t="s">
        <v>796</v>
      </c>
      <c r="E126" s="598" t="s">
        <v>760</v>
      </c>
      <c r="F126" s="634">
        <f t="shared" si="13"/>
        <v>2947390.7003482934</v>
      </c>
      <c r="G126" s="1856">
        <f t="shared" si="14"/>
        <v>2.7000000000000001E-3</v>
      </c>
      <c r="H126" s="615">
        <f t="shared" si="15"/>
        <v>372914.2685586235</v>
      </c>
      <c r="I126" s="608">
        <f t="shared" si="11"/>
        <v>7957.9548909403929</v>
      </c>
      <c r="J126" s="608">
        <f t="shared" si="12"/>
        <v>2582434.3866806105</v>
      </c>
      <c r="K126" s="598"/>
      <c r="L126" s="598"/>
      <c r="M126" s="598"/>
      <c r="N126" s="598"/>
      <c r="O126" s="598"/>
      <c r="P126" s="598"/>
      <c r="Q126" s="598"/>
      <c r="R126" s="598"/>
      <c r="S126" s="598"/>
    </row>
    <row r="127" spans="1:19" ht="13.5">
      <c r="A127" s="597"/>
      <c r="B127" s="597"/>
      <c r="C127" s="597"/>
      <c r="D127" s="598" t="s">
        <v>797</v>
      </c>
      <c r="E127" s="598" t="s">
        <v>760</v>
      </c>
      <c r="F127" s="634">
        <f t="shared" si="13"/>
        <v>2582434.3866806105</v>
      </c>
      <c r="G127" s="1856">
        <f t="shared" si="14"/>
        <v>2.7000000000000001E-3</v>
      </c>
      <c r="H127" s="615">
        <f t="shared" si="15"/>
        <v>372914.2685586235</v>
      </c>
      <c r="I127" s="608">
        <f t="shared" si="11"/>
        <v>6972.5728440376488</v>
      </c>
      <c r="J127" s="608">
        <f t="shared" si="12"/>
        <v>2216492.690966025</v>
      </c>
      <c r="K127" s="598"/>
      <c r="L127" s="598"/>
      <c r="M127" s="598"/>
      <c r="N127" s="598"/>
      <c r="O127" s="598"/>
      <c r="P127" s="598"/>
      <c r="Q127" s="598"/>
      <c r="R127" s="598"/>
      <c r="S127" s="598"/>
    </row>
    <row r="128" spans="1:19" ht="13.5">
      <c r="A128" s="597"/>
      <c r="B128" s="597"/>
      <c r="C128" s="597"/>
      <c r="D128" s="598" t="s">
        <v>798</v>
      </c>
      <c r="E128" s="598" t="s">
        <v>760</v>
      </c>
      <c r="F128" s="634">
        <f t="shared" si="13"/>
        <v>2216492.690966025</v>
      </c>
      <c r="G128" s="1856">
        <f t="shared" si="14"/>
        <v>2.7000000000000001E-3</v>
      </c>
      <c r="H128" s="615">
        <f t="shared" si="15"/>
        <v>372914.2685586235</v>
      </c>
      <c r="I128" s="608">
        <f t="shared" si="11"/>
        <v>5984.5302656082677</v>
      </c>
      <c r="J128" s="608">
        <f t="shared" si="12"/>
        <v>1849562.9526730098</v>
      </c>
      <c r="K128" s="598"/>
      <c r="L128" s="598"/>
      <c r="M128" s="598"/>
      <c r="N128" s="598"/>
      <c r="O128" s="598"/>
      <c r="P128" s="598"/>
      <c r="Q128" s="598"/>
      <c r="R128" s="598"/>
      <c r="S128" s="598"/>
    </row>
    <row r="129" spans="1:19" ht="13.5">
      <c r="A129" s="597"/>
      <c r="B129" s="597"/>
      <c r="C129" s="597"/>
      <c r="D129" s="598" t="s">
        <v>788</v>
      </c>
      <c r="E129" s="598" t="s">
        <v>761</v>
      </c>
      <c r="F129" s="634">
        <f t="shared" si="13"/>
        <v>1849562.9526730098</v>
      </c>
      <c r="G129" s="1856">
        <f t="shared" si="14"/>
        <v>2.7000000000000001E-3</v>
      </c>
      <c r="H129" s="615">
        <f t="shared" si="15"/>
        <v>372914.2685586235</v>
      </c>
      <c r="I129" s="608">
        <f t="shared" si="11"/>
        <v>4993.8199722171266</v>
      </c>
      <c r="J129" s="608">
        <f t="shared" si="12"/>
        <v>1481642.5040866034</v>
      </c>
      <c r="K129" s="598"/>
      <c r="L129" s="598"/>
      <c r="M129" s="598"/>
      <c r="N129" s="598"/>
      <c r="O129" s="598"/>
      <c r="P129" s="598"/>
      <c r="Q129" s="598"/>
      <c r="R129" s="598"/>
      <c r="S129" s="598"/>
    </row>
    <row r="130" spans="1:19" ht="13.5">
      <c r="A130" s="597"/>
      <c r="B130" s="597"/>
      <c r="C130" s="597"/>
      <c r="D130" s="598" t="s">
        <v>789</v>
      </c>
      <c r="E130" s="598" t="s">
        <v>761</v>
      </c>
      <c r="F130" s="634">
        <f t="shared" si="13"/>
        <v>1481642.5040866034</v>
      </c>
      <c r="G130" s="1856">
        <f t="shared" si="14"/>
        <v>2.7000000000000001E-3</v>
      </c>
      <c r="H130" s="615">
        <f t="shared" si="15"/>
        <v>372914.2685586235</v>
      </c>
      <c r="I130" s="608">
        <f t="shared" si="11"/>
        <v>4000.4347610338295</v>
      </c>
      <c r="J130" s="608">
        <f t="shared" si="12"/>
        <v>1112728.6702890138</v>
      </c>
      <c r="K130" s="598"/>
      <c r="L130" s="598"/>
      <c r="M130" s="598"/>
      <c r="N130" s="598"/>
      <c r="O130" s="598"/>
      <c r="P130" s="598"/>
      <c r="Q130" s="598"/>
      <c r="R130" s="598"/>
      <c r="S130" s="598"/>
    </row>
    <row r="131" spans="1:19" ht="13.5">
      <c r="A131" s="597"/>
      <c r="B131" s="597"/>
      <c r="C131" s="597"/>
      <c r="D131" s="598" t="s">
        <v>790</v>
      </c>
      <c r="E131" s="598" t="s">
        <v>761</v>
      </c>
      <c r="F131" s="634">
        <f t="shared" si="13"/>
        <v>1112728.6702890138</v>
      </c>
      <c r="G131" s="1856">
        <f t="shared" si="14"/>
        <v>2.7000000000000001E-3</v>
      </c>
      <c r="H131" s="615">
        <f t="shared" si="15"/>
        <v>372914.2685586235</v>
      </c>
      <c r="I131" s="608">
        <f t="shared" si="11"/>
        <v>3004.3674097803373</v>
      </c>
      <c r="J131" s="608">
        <f t="shared" si="12"/>
        <v>742818.76914017065</v>
      </c>
      <c r="K131" s="598"/>
      <c r="L131" s="598"/>
      <c r="M131" s="598"/>
      <c r="N131" s="598"/>
      <c r="O131" s="598"/>
      <c r="P131" s="598"/>
      <c r="Q131" s="598"/>
      <c r="R131" s="598"/>
      <c r="S131" s="598"/>
    </row>
    <row r="132" spans="1:19" ht="13.5">
      <c r="A132" s="597"/>
      <c r="B132" s="597"/>
      <c r="C132" s="597"/>
      <c r="D132" s="598" t="s">
        <v>791</v>
      </c>
      <c r="E132" s="598" t="s">
        <v>761</v>
      </c>
      <c r="F132" s="634">
        <f t="shared" si="13"/>
        <v>742818.76914017065</v>
      </c>
      <c r="G132" s="1856">
        <f t="shared" si="14"/>
        <v>2.7000000000000001E-3</v>
      </c>
      <c r="H132" s="615">
        <f t="shared" si="15"/>
        <v>372914.2685586235</v>
      </c>
      <c r="I132" s="608">
        <f t="shared" si="11"/>
        <v>2005.6106766784608</v>
      </c>
      <c r="J132" s="608">
        <f t="shared" si="12"/>
        <v>371910.11125822563</v>
      </c>
      <c r="K132" s="598"/>
      <c r="L132" s="598"/>
      <c r="M132" s="598"/>
      <c r="N132" s="598"/>
      <c r="O132" s="598"/>
      <c r="P132" s="598"/>
      <c r="Q132" s="598"/>
      <c r="R132" s="598"/>
      <c r="S132" s="598"/>
    </row>
    <row r="133" spans="1:19" ht="13.5">
      <c r="A133" s="597"/>
      <c r="B133" s="597"/>
      <c r="C133" s="597"/>
      <c r="D133" s="598" t="s">
        <v>786</v>
      </c>
      <c r="E133" s="598" t="s">
        <v>761</v>
      </c>
      <c r="F133" s="634">
        <f t="shared" si="13"/>
        <v>371910.11125822563</v>
      </c>
      <c r="G133" s="1856">
        <f t="shared" si="14"/>
        <v>2.7000000000000001E-3</v>
      </c>
      <c r="H133" s="615">
        <f t="shared" si="15"/>
        <v>372914.2685586235</v>
      </c>
      <c r="I133" s="608">
        <f t="shared" si="11"/>
        <v>1004.1573003972093</v>
      </c>
      <c r="J133" s="608">
        <f t="shared" si="12"/>
        <v>-6.4028427004814148E-10</v>
      </c>
      <c r="K133" s="598"/>
      <c r="L133" s="598"/>
      <c r="M133" s="598"/>
      <c r="N133" s="598"/>
      <c r="O133" s="598"/>
      <c r="P133" s="598"/>
      <c r="Q133" s="598"/>
      <c r="R133" s="598"/>
      <c r="S133" s="598"/>
    </row>
    <row r="134" spans="1:19" ht="13.5">
      <c r="A134" s="597"/>
      <c r="B134" s="597"/>
      <c r="C134" s="597"/>
      <c r="D134" s="598" t="s">
        <v>817</v>
      </c>
      <c r="E134" s="598"/>
      <c r="F134" s="598"/>
      <c r="G134" s="598"/>
      <c r="H134" s="613">
        <f>SUM(H117:H133)</f>
        <v>4474971.2227034811</v>
      </c>
      <c r="I134" s="598"/>
      <c r="J134" s="598"/>
      <c r="K134" s="598"/>
      <c r="L134" s="598"/>
      <c r="M134" s="598"/>
      <c r="N134" s="598"/>
      <c r="O134" s="598"/>
      <c r="P134" s="598"/>
      <c r="Q134" s="598"/>
      <c r="R134" s="598"/>
      <c r="S134" s="598"/>
    </row>
    <row r="135" spans="1:19" ht="13.5">
      <c r="A135" s="597"/>
      <c r="B135" s="597"/>
      <c r="C135" s="597"/>
      <c r="D135" s="598"/>
      <c r="E135" s="598"/>
      <c r="F135" s="598"/>
      <c r="G135" s="598"/>
      <c r="H135" s="598"/>
      <c r="I135" s="598"/>
      <c r="J135" s="598"/>
      <c r="K135" s="598"/>
      <c r="L135" s="598"/>
      <c r="M135" s="598"/>
      <c r="N135" s="598"/>
      <c r="O135" s="598"/>
      <c r="P135" s="598"/>
      <c r="Q135" s="598"/>
      <c r="R135" s="598"/>
      <c r="S135" s="598"/>
    </row>
    <row r="136" spans="1:19" ht="13.5">
      <c r="A136" s="430"/>
      <c r="B136" s="597"/>
      <c r="C136" s="597"/>
      <c r="D136" s="639" t="str">
        <f>+D134</f>
        <v>Total with interest</v>
      </c>
      <c r="E136" s="597"/>
      <c r="F136" s="429"/>
      <c r="G136" s="597"/>
      <c r="H136" s="613">
        <f>+H134</f>
        <v>4474971.2227034811</v>
      </c>
      <c r="I136" s="597"/>
      <c r="J136" s="613"/>
      <c r="K136" s="598"/>
      <c r="L136" s="598"/>
      <c r="M136" s="598"/>
      <c r="N136" s="598"/>
      <c r="O136" s="598"/>
      <c r="P136" s="598"/>
      <c r="Q136" s="598"/>
      <c r="R136" s="598"/>
      <c r="S136" s="598"/>
    </row>
    <row r="137" spans="1:19" ht="13.5">
      <c r="A137" s="430"/>
      <c r="B137" s="597"/>
      <c r="C137" s="597"/>
      <c r="D137" s="639" t="s">
        <v>78</v>
      </c>
      <c r="E137" s="597"/>
      <c r="F137" s="429"/>
      <c r="G137" s="597"/>
      <c r="H137" s="642">
        <f>'ATT H-1 '!K282</f>
        <v>13195202.578993147</v>
      </c>
      <c r="I137" s="610"/>
      <c r="J137" s="634"/>
      <c r="K137" s="598"/>
      <c r="L137" s="598"/>
      <c r="M137" s="598"/>
      <c r="N137" s="598"/>
      <c r="O137" s="598"/>
      <c r="P137" s="598"/>
      <c r="Q137" s="598"/>
      <c r="R137" s="598"/>
      <c r="S137" s="598"/>
    </row>
    <row r="138" spans="1:19" ht="13.5">
      <c r="A138" s="430"/>
      <c r="B138" s="597"/>
      <c r="C138" s="597"/>
      <c r="D138" s="639" t="s">
        <v>79</v>
      </c>
      <c r="E138" s="597"/>
      <c r="F138" s="429"/>
      <c r="G138" s="597"/>
      <c r="H138" s="613">
        <f>+H136+H137</f>
        <v>17670173.801696628</v>
      </c>
      <c r="I138" s="601"/>
      <c r="J138" s="634"/>
      <c r="K138" s="598"/>
      <c r="L138" s="598"/>
      <c r="M138" s="598"/>
      <c r="N138" s="598"/>
      <c r="O138" s="598"/>
      <c r="P138" s="598"/>
      <c r="Q138" s="598"/>
      <c r="R138" s="598"/>
      <c r="S138" s="598"/>
    </row>
    <row r="139" spans="1:19" ht="13.5">
      <c r="A139" s="597"/>
      <c r="B139" s="597"/>
      <c r="C139" s="597"/>
      <c r="D139" s="630"/>
      <c r="E139" s="598"/>
      <c r="F139" s="598"/>
      <c r="G139" s="602"/>
      <c r="H139" s="634"/>
      <c r="I139" s="602"/>
      <c r="J139" s="598"/>
      <c r="K139" s="598"/>
      <c r="L139" s="598"/>
      <c r="M139" s="598"/>
      <c r="N139" s="598"/>
      <c r="O139" s="598"/>
      <c r="P139" s="598"/>
      <c r="Q139" s="598"/>
      <c r="R139" s="598"/>
      <c r="S139" s="598"/>
    </row>
    <row r="140" spans="1:19" ht="13.5">
      <c r="A140" s="597">
        <v>9</v>
      </c>
      <c r="B140" s="597" t="s">
        <v>785</v>
      </c>
      <c r="C140" s="597" t="s">
        <v>761</v>
      </c>
      <c r="D140" s="604" t="s">
        <v>1441</v>
      </c>
      <c r="E140" s="598"/>
      <c r="F140" s="598"/>
      <c r="G140" s="598"/>
      <c r="H140" s="598"/>
      <c r="I140" s="598"/>
      <c r="J140" s="429"/>
      <c r="K140" s="598"/>
      <c r="L140" s="598"/>
      <c r="M140" s="598"/>
      <c r="N140" s="598"/>
      <c r="O140" s="598"/>
      <c r="P140" s="598"/>
      <c r="Q140" s="598"/>
      <c r="R140" s="598"/>
      <c r="S140" s="598"/>
    </row>
    <row r="141" spans="1:19" ht="13.5">
      <c r="A141" s="597"/>
      <c r="B141" s="597"/>
      <c r="C141" s="597"/>
      <c r="D141" s="604"/>
      <c r="E141" s="598"/>
      <c r="F141" s="598"/>
      <c r="G141" s="598"/>
      <c r="H141" s="598"/>
      <c r="I141" s="598"/>
      <c r="J141" s="429"/>
      <c r="K141" s="598"/>
      <c r="L141" s="598"/>
      <c r="M141" s="598"/>
      <c r="N141" s="598"/>
      <c r="O141" s="598"/>
      <c r="P141" s="598"/>
      <c r="Q141" s="598"/>
      <c r="R141" s="598"/>
      <c r="S141" s="598"/>
    </row>
    <row r="142" spans="1:19" ht="13.5">
      <c r="A142" s="597"/>
      <c r="B142" s="429"/>
      <c r="C142" s="490" t="s">
        <v>344</v>
      </c>
      <c r="D142" s="490" t="s">
        <v>345</v>
      </c>
      <c r="E142" s="490" t="s">
        <v>438</v>
      </c>
      <c r="F142" s="490" t="s">
        <v>346</v>
      </c>
      <c r="G142" s="490" t="s">
        <v>347</v>
      </c>
      <c r="H142" s="490" t="s">
        <v>343</v>
      </c>
      <c r="I142" s="490"/>
      <c r="J142" s="490" t="s">
        <v>719</v>
      </c>
      <c r="K142" s="490" t="s">
        <v>720</v>
      </c>
      <c r="L142" s="490" t="s">
        <v>1128</v>
      </c>
      <c r="M142" s="600" t="s">
        <v>1129</v>
      </c>
      <c r="N142" s="597" t="s">
        <v>1130</v>
      </c>
      <c r="O142" s="597" t="s">
        <v>1131</v>
      </c>
      <c r="P142" s="597"/>
      <c r="Q142" s="597"/>
      <c r="R142" s="597"/>
      <c r="S142" s="597"/>
    </row>
    <row r="143" spans="1:19" ht="13.5">
      <c r="A143" s="597"/>
      <c r="B143" s="429"/>
      <c r="C143" s="597" t="s">
        <v>300</v>
      </c>
      <c r="D143" s="597" t="s">
        <v>300</v>
      </c>
      <c r="E143" s="597" t="s">
        <v>300</v>
      </c>
      <c r="F143" s="597" t="s">
        <v>300</v>
      </c>
      <c r="G143" s="597" t="s">
        <v>300</v>
      </c>
      <c r="H143" s="597" t="s">
        <v>300</v>
      </c>
      <c r="I143" s="597"/>
      <c r="J143" s="597" t="s">
        <v>84</v>
      </c>
      <c r="K143" s="597" t="s">
        <v>84</v>
      </c>
      <c r="L143" s="597" t="s">
        <v>84</v>
      </c>
      <c r="M143" s="597" t="s">
        <v>84</v>
      </c>
      <c r="N143" s="597" t="s">
        <v>84</v>
      </c>
      <c r="O143" s="597" t="s">
        <v>84</v>
      </c>
      <c r="P143" s="597"/>
      <c r="Q143" s="597"/>
      <c r="R143" s="597"/>
      <c r="S143" s="597"/>
    </row>
    <row r="144" spans="1:19" ht="13.5">
      <c r="A144" s="597"/>
      <c r="B144" s="598"/>
      <c r="C144" s="597" t="s">
        <v>80</v>
      </c>
      <c r="D144" s="597" t="s">
        <v>80</v>
      </c>
      <c r="E144" s="597" t="s">
        <v>80</v>
      </c>
      <c r="F144" s="648"/>
      <c r="G144" s="648"/>
      <c r="H144" s="648"/>
      <c r="I144" s="597"/>
      <c r="J144" s="597" t="s">
        <v>85</v>
      </c>
      <c r="K144" s="597" t="s">
        <v>86</v>
      </c>
      <c r="L144" s="597" t="s">
        <v>87</v>
      </c>
      <c r="M144" s="597" t="s">
        <v>88</v>
      </c>
      <c r="N144" s="597" t="s">
        <v>89</v>
      </c>
      <c r="O144" s="597" t="s">
        <v>90</v>
      </c>
      <c r="P144" s="597"/>
      <c r="Q144" s="597"/>
      <c r="R144" s="597"/>
      <c r="S144" s="597"/>
    </row>
    <row r="145" spans="1:19" ht="13.5">
      <c r="A145" s="597"/>
      <c r="B145" s="598"/>
      <c r="C145" s="597"/>
      <c r="D145" s="597"/>
      <c r="E145" s="597"/>
      <c r="F145" s="597" t="s">
        <v>81</v>
      </c>
      <c r="G145" s="597" t="s">
        <v>82</v>
      </c>
      <c r="H145" s="597" t="s">
        <v>83</v>
      </c>
      <c r="I145" s="597"/>
      <c r="J145" s="597"/>
      <c r="K145" s="597"/>
      <c r="L145" s="597"/>
      <c r="M145" s="597"/>
      <c r="N145" s="597"/>
      <c r="O145" s="597"/>
      <c r="P145" s="597"/>
      <c r="Q145" s="597"/>
      <c r="R145" s="597"/>
      <c r="S145" s="597"/>
    </row>
    <row r="146" spans="1:19" ht="13.5">
      <c r="A146" s="597"/>
      <c r="B146" s="598"/>
      <c r="C146" s="597"/>
      <c r="D146" s="612"/>
      <c r="E146" s="612"/>
      <c r="F146" s="612"/>
      <c r="G146" s="597"/>
      <c r="H146" s="597"/>
      <c r="I146" s="647"/>
      <c r="J146" s="597"/>
      <c r="K146" s="597"/>
      <c r="L146" s="613"/>
      <c r="M146" s="597"/>
      <c r="N146" s="597"/>
      <c r="O146" s="608"/>
      <c r="P146" s="597"/>
      <c r="Q146" s="631"/>
      <c r="R146" s="613"/>
      <c r="S146" s="597"/>
    </row>
    <row r="147" spans="1:19" ht="13.5">
      <c r="A147" s="597"/>
      <c r="B147" s="598" t="s">
        <v>788</v>
      </c>
      <c r="C147" s="614"/>
      <c r="D147" s="614"/>
      <c r="E147" s="614"/>
      <c r="F147" s="614"/>
      <c r="G147" s="614"/>
      <c r="H147" s="614"/>
      <c r="I147" s="647"/>
      <c r="J147" s="613">
        <f t="shared" ref="J147:O147" si="16">C147</f>
        <v>0</v>
      </c>
      <c r="K147" s="613">
        <f t="shared" si="16"/>
        <v>0</v>
      </c>
      <c r="L147" s="613">
        <f t="shared" si="16"/>
        <v>0</v>
      </c>
      <c r="M147" s="613">
        <f t="shared" si="16"/>
        <v>0</v>
      </c>
      <c r="N147" s="613">
        <f t="shared" si="16"/>
        <v>0</v>
      </c>
      <c r="O147" s="613">
        <f t="shared" si="16"/>
        <v>0</v>
      </c>
      <c r="P147" s="613"/>
      <c r="Q147" s="613"/>
      <c r="R147" s="613"/>
      <c r="S147" s="608"/>
    </row>
    <row r="148" spans="1:19" ht="13.5">
      <c r="A148" s="597"/>
      <c r="B148" s="598" t="s">
        <v>789</v>
      </c>
      <c r="C148" s="614"/>
      <c r="D148" s="614"/>
      <c r="E148" s="614"/>
      <c r="F148" s="614"/>
      <c r="G148" s="614"/>
      <c r="H148" s="614"/>
      <c r="I148" s="647"/>
      <c r="J148" s="613">
        <f>J147+C148</f>
        <v>0</v>
      </c>
      <c r="K148" s="613">
        <f t="shared" ref="K148:K158" si="17">K147+D148</f>
        <v>0</v>
      </c>
      <c r="L148" s="613">
        <f t="shared" ref="L148:L158" si="18">L147+E148</f>
        <v>0</v>
      </c>
      <c r="M148" s="613">
        <f t="shared" ref="M148:M158" si="19">M147+F148</f>
        <v>0</v>
      </c>
      <c r="N148" s="613">
        <f t="shared" ref="N148:N158" si="20">N147+G148</f>
        <v>0</v>
      </c>
      <c r="O148" s="613">
        <f t="shared" ref="O148:O158" si="21">O147+H148</f>
        <v>0</v>
      </c>
      <c r="P148" s="613"/>
      <c r="Q148" s="613"/>
      <c r="R148" s="613"/>
      <c r="S148" s="608"/>
    </row>
    <row r="149" spans="1:19" ht="13.5">
      <c r="A149" s="597"/>
      <c r="B149" s="598" t="s">
        <v>790</v>
      </c>
      <c r="C149" s="614"/>
      <c r="D149" s="614"/>
      <c r="E149" s="614"/>
      <c r="F149" s="614"/>
      <c r="G149" s="614"/>
      <c r="H149" s="614"/>
      <c r="I149" s="647"/>
      <c r="J149" s="613">
        <f t="shared" ref="J149:J158" si="22">J148+C149</f>
        <v>0</v>
      </c>
      <c r="K149" s="613">
        <f t="shared" si="17"/>
        <v>0</v>
      </c>
      <c r="L149" s="613">
        <f t="shared" si="18"/>
        <v>0</v>
      </c>
      <c r="M149" s="613">
        <f t="shared" si="19"/>
        <v>0</v>
      </c>
      <c r="N149" s="613">
        <f t="shared" si="20"/>
        <v>0</v>
      </c>
      <c r="O149" s="613">
        <f t="shared" si="21"/>
        <v>0</v>
      </c>
      <c r="P149" s="613"/>
      <c r="Q149" s="613"/>
      <c r="R149" s="613"/>
      <c r="S149" s="608"/>
    </row>
    <row r="150" spans="1:19" ht="13.5">
      <c r="A150" s="597"/>
      <c r="B150" s="598" t="s">
        <v>791</v>
      </c>
      <c r="C150" s="614"/>
      <c r="D150" s="614"/>
      <c r="E150" s="614"/>
      <c r="F150" s="614"/>
      <c r="G150" s="614"/>
      <c r="H150" s="614"/>
      <c r="I150" s="647"/>
      <c r="J150" s="613">
        <f t="shared" si="22"/>
        <v>0</v>
      </c>
      <c r="K150" s="613">
        <f t="shared" si="17"/>
        <v>0</v>
      </c>
      <c r="L150" s="613">
        <f t="shared" si="18"/>
        <v>0</v>
      </c>
      <c r="M150" s="613">
        <f t="shared" si="19"/>
        <v>0</v>
      </c>
      <c r="N150" s="613">
        <f t="shared" si="20"/>
        <v>0</v>
      </c>
      <c r="O150" s="613">
        <f t="shared" si="21"/>
        <v>0</v>
      </c>
      <c r="P150" s="613"/>
      <c r="Q150" s="613"/>
      <c r="R150" s="613"/>
      <c r="S150" s="608"/>
    </row>
    <row r="151" spans="1:19" ht="13.5">
      <c r="A151" s="597"/>
      <c r="B151" s="598" t="s">
        <v>786</v>
      </c>
      <c r="C151" s="614"/>
      <c r="D151" s="614"/>
      <c r="E151" s="614"/>
      <c r="F151" s="614"/>
      <c r="G151" s="614"/>
      <c r="H151" s="614"/>
      <c r="I151" s="647"/>
      <c r="J151" s="613">
        <f t="shared" si="22"/>
        <v>0</v>
      </c>
      <c r="K151" s="613">
        <f t="shared" si="17"/>
        <v>0</v>
      </c>
      <c r="L151" s="613">
        <f t="shared" si="18"/>
        <v>0</v>
      </c>
      <c r="M151" s="613">
        <f t="shared" si="19"/>
        <v>0</v>
      </c>
      <c r="N151" s="613">
        <f t="shared" si="20"/>
        <v>0</v>
      </c>
      <c r="O151" s="613">
        <f t="shared" si="21"/>
        <v>0</v>
      </c>
      <c r="P151" s="613"/>
      <c r="Q151" s="613"/>
      <c r="R151" s="613"/>
      <c r="S151" s="608"/>
    </row>
    <row r="152" spans="1:19" ht="13.5">
      <c r="A152" s="597"/>
      <c r="B152" s="598" t="s">
        <v>792</v>
      </c>
      <c r="C152" s="614"/>
      <c r="D152" s="614"/>
      <c r="E152" s="614"/>
      <c r="F152" s="614"/>
      <c r="G152" s="614"/>
      <c r="H152" s="614"/>
      <c r="I152" s="647"/>
      <c r="J152" s="613">
        <f t="shared" si="22"/>
        <v>0</v>
      </c>
      <c r="K152" s="613">
        <f t="shared" si="17"/>
        <v>0</v>
      </c>
      <c r="L152" s="613">
        <f t="shared" si="18"/>
        <v>0</v>
      </c>
      <c r="M152" s="613">
        <f t="shared" si="19"/>
        <v>0</v>
      </c>
      <c r="N152" s="613">
        <f t="shared" si="20"/>
        <v>0</v>
      </c>
      <c r="O152" s="613">
        <f t="shared" si="21"/>
        <v>0</v>
      </c>
      <c r="P152" s="613"/>
      <c r="Q152" s="613"/>
      <c r="R152" s="613"/>
      <c r="S152" s="608"/>
    </row>
    <row r="153" spans="1:19" ht="13.5">
      <c r="A153" s="597"/>
      <c r="B153" s="598" t="s">
        <v>793</v>
      </c>
      <c r="C153" s="614"/>
      <c r="D153" s="614"/>
      <c r="E153" s="614"/>
      <c r="F153" s="614"/>
      <c r="G153" s="614"/>
      <c r="H153" s="614"/>
      <c r="I153" s="647"/>
      <c r="J153" s="613">
        <f t="shared" si="22"/>
        <v>0</v>
      </c>
      <c r="K153" s="613">
        <f t="shared" si="17"/>
        <v>0</v>
      </c>
      <c r="L153" s="613">
        <f t="shared" si="18"/>
        <v>0</v>
      </c>
      <c r="M153" s="613">
        <f t="shared" si="19"/>
        <v>0</v>
      </c>
      <c r="N153" s="613">
        <f t="shared" si="20"/>
        <v>0</v>
      </c>
      <c r="O153" s="613">
        <f t="shared" si="21"/>
        <v>0</v>
      </c>
      <c r="P153" s="613"/>
      <c r="Q153" s="613"/>
      <c r="R153" s="613"/>
      <c r="S153" s="608"/>
    </row>
    <row r="154" spans="1:19" ht="13.5">
      <c r="A154" s="597"/>
      <c r="B154" s="598" t="s">
        <v>794</v>
      </c>
      <c r="C154" s="614"/>
      <c r="D154" s="614"/>
      <c r="E154" s="614"/>
      <c r="F154" s="614"/>
      <c r="G154" s="614"/>
      <c r="H154" s="614"/>
      <c r="I154" s="647"/>
      <c r="J154" s="613">
        <f t="shared" si="22"/>
        <v>0</v>
      </c>
      <c r="K154" s="613">
        <f t="shared" si="17"/>
        <v>0</v>
      </c>
      <c r="L154" s="613">
        <f t="shared" si="18"/>
        <v>0</v>
      </c>
      <c r="M154" s="613">
        <f t="shared" si="19"/>
        <v>0</v>
      </c>
      <c r="N154" s="613">
        <f t="shared" si="20"/>
        <v>0</v>
      </c>
      <c r="O154" s="613">
        <f t="shared" si="21"/>
        <v>0</v>
      </c>
      <c r="P154" s="613"/>
      <c r="Q154" s="613"/>
      <c r="R154" s="613"/>
      <c r="S154" s="608"/>
    </row>
    <row r="155" spans="1:19" ht="13.5">
      <c r="A155" s="597"/>
      <c r="B155" s="598" t="s">
        <v>795</v>
      </c>
      <c r="C155" s="614"/>
      <c r="D155" s="614"/>
      <c r="E155" s="614"/>
      <c r="F155" s="614"/>
      <c r="G155" s="614"/>
      <c r="H155" s="614"/>
      <c r="I155" s="647"/>
      <c r="J155" s="613">
        <f t="shared" si="22"/>
        <v>0</v>
      </c>
      <c r="K155" s="613">
        <f t="shared" si="17"/>
        <v>0</v>
      </c>
      <c r="L155" s="613">
        <f t="shared" si="18"/>
        <v>0</v>
      </c>
      <c r="M155" s="613">
        <f t="shared" si="19"/>
        <v>0</v>
      </c>
      <c r="N155" s="613">
        <f t="shared" si="20"/>
        <v>0</v>
      </c>
      <c r="O155" s="613">
        <f t="shared" si="21"/>
        <v>0</v>
      </c>
      <c r="P155" s="613"/>
      <c r="Q155" s="613"/>
      <c r="R155" s="613"/>
      <c r="S155" s="608"/>
    </row>
    <row r="156" spans="1:19" ht="13.5">
      <c r="A156" s="597"/>
      <c r="B156" s="598" t="s">
        <v>796</v>
      </c>
      <c r="C156" s="614"/>
      <c r="D156" s="614"/>
      <c r="E156" s="614"/>
      <c r="F156" s="614"/>
      <c r="G156" s="614"/>
      <c r="H156" s="614"/>
      <c r="I156" s="647"/>
      <c r="J156" s="613">
        <f t="shared" si="22"/>
        <v>0</v>
      </c>
      <c r="K156" s="613">
        <f t="shared" si="17"/>
        <v>0</v>
      </c>
      <c r="L156" s="613">
        <f t="shared" si="18"/>
        <v>0</v>
      </c>
      <c r="M156" s="613">
        <f t="shared" si="19"/>
        <v>0</v>
      </c>
      <c r="N156" s="613">
        <f t="shared" si="20"/>
        <v>0</v>
      </c>
      <c r="O156" s="613">
        <f t="shared" si="21"/>
        <v>0</v>
      </c>
      <c r="P156" s="613"/>
      <c r="Q156" s="613"/>
      <c r="R156" s="613"/>
      <c r="S156" s="608"/>
    </row>
    <row r="157" spans="1:19" ht="13.5">
      <c r="A157" s="597"/>
      <c r="B157" s="598" t="s">
        <v>797</v>
      </c>
      <c r="C157" s="614"/>
      <c r="D157" s="614"/>
      <c r="E157" s="614"/>
      <c r="F157" s="614"/>
      <c r="G157" s="614"/>
      <c r="H157" s="614"/>
      <c r="I157" s="647"/>
      <c r="J157" s="613">
        <f t="shared" si="22"/>
        <v>0</v>
      </c>
      <c r="K157" s="613">
        <f t="shared" si="17"/>
        <v>0</v>
      </c>
      <c r="L157" s="613">
        <f t="shared" si="18"/>
        <v>0</v>
      </c>
      <c r="M157" s="613">
        <f t="shared" si="19"/>
        <v>0</v>
      </c>
      <c r="N157" s="613">
        <f t="shared" si="20"/>
        <v>0</v>
      </c>
      <c r="O157" s="613">
        <f t="shared" si="21"/>
        <v>0</v>
      </c>
      <c r="P157" s="613"/>
      <c r="Q157" s="613"/>
      <c r="R157" s="613"/>
      <c r="S157" s="608"/>
    </row>
    <row r="158" spans="1:19" ht="13.5">
      <c r="A158" s="597"/>
      <c r="B158" s="598" t="s">
        <v>798</v>
      </c>
      <c r="C158" s="614"/>
      <c r="D158" s="614"/>
      <c r="E158" s="614"/>
      <c r="F158" s="614"/>
      <c r="G158" s="614"/>
      <c r="H158" s="614"/>
      <c r="I158" s="647"/>
      <c r="J158" s="613">
        <f t="shared" si="22"/>
        <v>0</v>
      </c>
      <c r="K158" s="613">
        <f t="shared" si="17"/>
        <v>0</v>
      </c>
      <c r="L158" s="613">
        <f t="shared" si="18"/>
        <v>0</v>
      </c>
      <c r="M158" s="613">
        <f t="shared" si="19"/>
        <v>0</v>
      </c>
      <c r="N158" s="613">
        <f t="shared" si="20"/>
        <v>0</v>
      </c>
      <c r="O158" s="613">
        <f t="shared" si="21"/>
        <v>0</v>
      </c>
      <c r="P158" s="613"/>
      <c r="Q158" s="613"/>
      <c r="R158" s="613"/>
      <c r="S158" s="608"/>
    </row>
    <row r="159" spans="1:19" ht="13.5">
      <c r="A159" s="597"/>
      <c r="B159" s="598" t="s">
        <v>1015</v>
      </c>
      <c r="C159" s="613">
        <f t="shared" ref="C159:H159" si="23">SUM(C147:C158)</f>
        <v>0</v>
      </c>
      <c r="D159" s="613">
        <f t="shared" si="23"/>
        <v>0</v>
      </c>
      <c r="E159" s="613">
        <f t="shared" si="23"/>
        <v>0</v>
      </c>
      <c r="F159" s="613">
        <f t="shared" si="23"/>
        <v>0</v>
      </c>
      <c r="G159" s="613">
        <f t="shared" si="23"/>
        <v>0</v>
      </c>
      <c r="H159" s="613">
        <f t="shared" si="23"/>
        <v>0</v>
      </c>
      <c r="I159" s="613" t="s">
        <v>91</v>
      </c>
      <c r="J159" s="613">
        <f t="shared" ref="J159:O159" si="24">AVERAGE(J147:J158)</f>
        <v>0</v>
      </c>
      <c r="K159" s="613">
        <f t="shared" si="24"/>
        <v>0</v>
      </c>
      <c r="L159" s="613">
        <f t="shared" si="24"/>
        <v>0</v>
      </c>
      <c r="M159" s="613">
        <f t="shared" si="24"/>
        <v>0</v>
      </c>
      <c r="N159" s="613">
        <f t="shared" si="24"/>
        <v>0</v>
      </c>
      <c r="O159" s="613">
        <f t="shared" si="24"/>
        <v>0</v>
      </c>
      <c r="P159" s="613"/>
      <c r="Q159" s="613"/>
      <c r="R159" s="613"/>
      <c r="S159" s="613"/>
    </row>
    <row r="160" spans="1:19" ht="13.5">
      <c r="A160" s="597"/>
      <c r="C160" s="598"/>
      <c r="D160" s="429"/>
      <c r="E160" s="429"/>
      <c r="F160" s="429"/>
      <c r="G160" s="429"/>
      <c r="H160" s="429"/>
      <c r="I160" s="429"/>
      <c r="J160" s="429"/>
      <c r="K160" s="429"/>
      <c r="L160" s="615"/>
      <c r="M160" s="598"/>
      <c r="N160" s="598"/>
      <c r="O160" s="598"/>
      <c r="P160" s="429"/>
      <c r="Q160" s="615"/>
      <c r="R160" s="598"/>
      <c r="S160" s="598"/>
    </row>
    <row r="161" spans="1:19" ht="15.75">
      <c r="A161" s="597" t="s">
        <v>919</v>
      </c>
      <c r="B161" s="598" t="s">
        <v>93</v>
      </c>
      <c r="C161" s="598"/>
      <c r="D161" s="429"/>
      <c r="E161" s="429"/>
      <c r="F161" s="429"/>
      <c r="G161" s="429"/>
      <c r="H161" s="429"/>
      <c r="I161" s="429"/>
      <c r="J161" s="598"/>
      <c r="K161" s="649" t="s">
        <v>92</v>
      </c>
      <c r="L161" s="429"/>
      <c r="M161" s="613">
        <f>SUM(J159:O159)</f>
        <v>0</v>
      </c>
      <c r="N161" s="613"/>
      <c r="O161" s="1959" t="s">
        <v>1442</v>
      </c>
      <c r="P161" s="598"/>
      <c r="Q161" s="615"/>
      <c r="R161" s="613"/>
      <c r="S161" s="613"/>
    </row>
    <row r="162" spans="1:19" ht="13.5">
      <c r="A162" s="597"/>
      <c r="B162" s="598"/>
      <c r="C162" s="598"/>
      <c r="D162" s="429"/>
      <c r="E162" s="429"/>
      <c r="F162" s="429"/>
      <c r="G162" s="429"/>
      <c r="H162" s="429"/>
      <c r="I162" s="429"/>
      <c r="J162" s="598"/>
      <c r="K162" s="598"/>
      <c r="L162" s="613"/>
      <c r="M162" s="598"/>
      <c r="N162" s="429"/>
      <c r="O162" s="598"/>
      <c r="P162" s="598"/>
      <c r="Q162" s="598"/>
      <c r="R162" s="598"/>
      <c r="S162" s="598"/>
    </row>
    <row r="163" spans="1:19" ht="13.5">
      <c r="A163" s="597"/>
      <c r="B163" s="597"/>
      <c r="C163" s="597"/>
      <c r="D163" s="619"/>
      <c r="E163" s="597"/>
      <c r="F163" s="613"/>
      <c r="G163" s="597"/>
      <c r="H163" s="613"/>
      <c r="I163" s="601"/>
      <c r="J163" s="634"/>
      <c r="K163" s="598"/>
      <c r="L163" s="598"/>
      <c r="M163" s="598"/>
      <c r="N163" s="598"/>
      <c r="O163" s="598"/>
      <c r="P163" s="598"/>
      <c r="Q163" s="598"/>
      <c r="R163" s="598"/>
      <c r="S163" s="598"/>
    </row>
    <row r="164" spans="1:19" ht="13.5">
      <c r="A164" s="597">
        <v>10</v>
      </c>
      <c r="B164" s="597" t="s">
        <v>786</v>
      </c>
      <c r="C164" s="597" t="s">
        <v>761</v>
      </c>
      <c r="D164" s="604" t="s">
        <v>555</v>
      </c>
      <c r="E164" s="598"/>
      <c r="F164" s="598"/>
      <c r="G164" s="598"/>
      <c r="H164" s="598"/>
      <c r="I164" s="601"/>
      <c r="J164" s="602"/>
      <c r="K164" s="598"/>
      <c r="L164" s="598"/>
      <c r="M164" s="598"/>
      <c r="N164" s="598"/>
      <c r="O164" s="598"/>
      <c r="P164" s="598"/>
      <c r="Q164" s="602"/>
      <c r="R164" s="643"/>
      <c r="S164" s="643"/>
    </row>
    <row r="165" spans="1:19" ht="13.5">
      <c r="A165" s="597"/>
      <c r="B165" s="597"/>
      <c r="C165" s="597"/>
      <c r="D165" s="620"/>
      <c r="E165" s="598" t="s">
        <v>1127</v>
      </c>
      <c r="F165" s="598"/>
      <c r="G165" s="598"/>
      <c r="H165" s="598"/>
      <c r="I165" s="602"/>
      <c r="J165" s="602"/>
      <c r="K165" s="598"/>
      <c r="L165" s="598"/>
      <c r="M165" s="598"/>
      <c r="N165" s="598"/>
      <c r="O165" s="598"/>
      <c r="P165" s="598"/>
      <c r="Q165" s="598"/>
      <c r="R165" s="598"/>
      <c r="S165" s="598"/>
    </row>
    <row r="166" spans="1:19" ht="13.5">
      <c r="A166" s="597"/>
      <c r="B166" s="597"/>
      <c r="C166" s="597"/>
      <c r="D166" s="626"/>
      <c r="E166" s="619"/>
      <c r="F166" s="598"/>
      <c r="G166" s="598"/>
      <c r="H166" s="598"/>
      <c r="I166" s="602"/>
      <c r="J166" s="602"/>
      <c r="K166" s="598"/>
      <c r="L166" s="598"/>
      <c r="M166" s="598"/>
      <c r="N166" s="598"/>
      <c r="O166" s="598"/>
      <c r="P166" s="598"/>
      <c r="Q166" s="598"/>
      <c r="R166" s="598"/>
      <c r="S166" s="598"/>
    </row>
    <row r="167" spans="1:19" ht="13.5">
      <c r="A167" s="597"/>
      <c r="B167" s="597"/>
      <c r="C167" s="597"/>
      <c r="D167" s="620"/>
      <c r="E167" s="598"/>
      <c r="F167" s="598"/>
      <c r="G167" s="598"/>
      <c r="H167" s="598"/>
      <c r="I167" s="602"/>
      <c r="J167" s="602"/>
      <c r="K167" s="598"/>
      <c r="L167" s="598"/>
      <c r="M167" s="598"/>
      <c r="N167" s="598"/>
      <c r="O167" s="598"/>
      <c r="P167" s="598"/>
      <c r="Q167" s="598"/>
      <c r="R167" s="598"/>
      <c r="S167" s="598"/>
    </row>
    <row r="168" spans="1:19" ht="13.5">
      <c r="A168" s="597">
        <v>11</v>
      </c>
      <c r="B168" s="597" t="s">
        <v>787</v>
      </c>
      <c r="C168" s="597" t="s">
        <v>761</v>
      </c>
      <c r="D168" s="627" t="s">
        <v>1430</v>
      </c>
      <c r="E168" s="598"/>
      <c r="F168" s="598"/>
      <c r="G168" s="598"/>
      <c r="H168" s="598"/>
      <c r="I168" s="598"/>
      <c r="J168" s="598"/>
      <c r="K168" s="598"/>
      <c r="L168" s="598"/>
      <c r="M168" s="598"/>
      <c r="N168" s="598"/>
      <c r="O168" s="598"/>
      <c r="P168" s="598"/>
      <c r="Q168" s="598"/>
      <c r="R168" s="598"/>
      <c r="S168" s="598"/>
    </row>
    <row r="169" spans="1:19" ht="13.5">
      <c r="A169" s="597"/>
      <c r="B169" s="597"/>
      <c r="C169" s="597"/>
      <c r="D169" s="644">
        <v>0</v>
      </c>
      <c r="E169" s="598"/>
      <c r="F169" s="598"/>
      <c r="G169" s="598"/>
      <c r="H169" s="598"/>
      <c r="I169" s="598"/>
      <c r="J169" s="598"/>
      <c r="K169" s="598"/>
      <c r="L169" s="598"/>
      <c r="M169" s="598"/>
      <c r="N169" s="598"/>
      <c r="O169" s="598"/>
      <c r="P169" s="598"/>
      <c r="Q169" s="598"/>
      <c r="R169" s="598"/>
      <c r="S169" s="598"/>
    </row>
    <row r="170" spans="1:19" ht="13.5">
      <c r="A170" s="597"/>
      <c r="B170" s="597"/>
      <c r="C170" s="597"/>
      <c r="D170" s="598"/>
      <c r="E170" s="598"/>
      <c r="F170" s="598"/>
      <c r="G170" s="598"/>
      <c r="H170" s="598"/>
      <c r="I170" s="598"/>
      <c r="J170" s="598"/>
      <c r="K170" s="598"/>
      <c r="L170" s="598"/>
      <c r="M170" s="598"/>
      <c r="N170" s="598"/>
      <c r="O170" s="598"/>
      <c r="P170" s="598"/>
      <c r="Q170" s="598"/>
      <c r="R170" s="598"/>
      <c r="S170" s="598"/>
    </row>
    <row r="171" spans="1:19" ht="13.5">
      <c r="A171" s="597"/>
      <c r="B171" s="598"/>
      <c r="C171" s="597"/>
      <c r="D171" s="619"/>
      <c r="E171" s="598"/>
      <c r="F171" s="598"/>
      <c r="G171" s="598"/>
      <c r="H171" s="598"/>
      <c r="I171" s="598"/>
      <c r="J171" s="598"/>
      <c r="K171" s="598"/>
      <c r="L171" s="598"/>
      <c r="M171" s="598"/>
      <c r="N171" s="598"/>
      <c r="O171" s="598"/>
      <c r="P171" s="598"/>
      <c r="Q171" s="598"/>
      <c r="R171" s="598"/>
      <c r="S171" s="598"/>
    </row>
    <row r="172" spans="1:19" ht="13.5">
      <c r="A172" s="597"/>
      <c r="B172" s="597"/>
      <c r="C172" s="597"/>
      <c r="D172" s="598"/>
      <c r="E172" s="598"/>
      <c r="F172" s="598"/>
      <c r="G172" s="598"/>
      <c r="H172" s="598"/>
      <c r="I172" s="598"/>
      <c r="J172" s="598"/>
      <c r="K172" s="598"/>
      <c r="L172" s="598"/>
      <c r="M172" s="598"/>
      <c r="N172" s="598"/>
      <c r="O172" s="598"/>
      <c r="P172" s="598"/>
      <c r="Q172" s="598"/>
      <c r="R172" s="598"/>
      <c r="S172" s="598"/>
    </row>
    <row r="173" spans="1:19" ht="13.5">
      <c r="A173" s="597"/>
      <c r="B173" s="597"/>
      <c r="C173" s="597"/>
      <c r="D173" s="598"/>
      <c r="E173" s="598"/>
      <c r="F173" s="598"/>
      <c r="G173" s="598"/>
      <c r="H173" s="598"/>
      <c r="I173" s="598"/>
      <c r="J173" s="598"/>
      <c r="K173" s="598"/>
      <c r="L173" s="598"/>
      <c r="M173" s="598"/>
      <c r="N173" s="598"/>
      <c r="O173" s="598"/>
      <c r="P173" s="598"/>
      <c r="Q173" s="598"/>
      <c r="R173" s="598"/>
      <c r="S173" s="598"/>
    </row>
    <row r="174" spans="1:19" ht="13.5">
      <c r="A174" s="597"/>
      <c r="B174" s="597"/>
      <c r="C174" s="597"/>
      <c r="D174" s="598"/>
      <c r="E174" s="598"/>
      <c r="F174" s="598"/>
      <c r="G174" s="598"/>
      <c r="H174" s="598"/>
      <c r="I174" s="598"/>
      <c r="J174" s="598"/>
      <c r="K174" s="598"/>
      <c r="L174" s="598"/>
      <c r="M174" s="598"/>
      <c r="N174" s="598"/>
      <c r="O174" s="598"/>
      <c r="P174" s="598"/>
      <c r="Q174" s="598"/>
      <c r="R174" s="598"/>
      <c r="S174" s="598"/>
    </row>
    <row r="175" spans="1:19" ht="13.5">
      <c r="A175" s="597"/>
      <c r="B175" s="597"/>
      <c r="C175" s="597"/>
      <c r="D175" s="598"/>
      <c r="E175" s="598"/>
      <c r="F175" s="598"/>
      <c r="G175" s="598"/>
      <c r="H175" s="598"/>
      <c r="I175" s="598"/>
      <c r="J175" s="598"/>
      <c r="K175" s="598"/>
      <c r="L175" s="598"/>
      <c r="M175" s="598"/>
      <c r="N175" s="598"/>
      <c r="O175" s="598"/>
      <c r="P175" s="598"/>
      <c r="Q175" s="598"/>
      <c r="R175" s="598"/>
      <c r="S175" s="598"/>
    </row>
    <row r="176" spans="1:19" ht="13.5">
      <c r="A176" s="597"/>
      <c r="B176" s="597"/>
      <c r="C176" s="597"/>
      <c r="D176" s="598"/>
      <c r="E176" s="598"/>
      <c r="F176" s="598"/>
      <c r="G176" s="598"/>
      <c r="H176" s="598"/>
      <c r="I176" s="598"/>
      <c r="J176" s="598"/>
      <c r="K176" s="598"/>
      <c r="L176" s="598"/>
      <c r="M176" s="598"/>
      <c r="N176" s="598"/>
      <c r="O176" s="598"/>
      <c r="P176" s="598"/>
      <c r="Q176" s="598"/>
      <c r="R176" s="598"/>
      <c r="S176" s="598"/>
    </row>
    <row r="177" spans="1:19" ht="13.5">
      <c r="A177" s="597"/>
      <c r="B177" s="597"/>
      <c r="C177" s="597"/>
      <c r="D177" s="598"/>
      <c r="E177" s="598"/>
      <c r="F177" s="598"/>
      <c r="G177" s="598"/>
      <c r="H177" s="598"/>
      <c r="I177" s="598"/>
      <c r="J177" s="598"/>
      <c r="K177" s="598"/>
      <c r="L177" s="598"/>
      <c r="M177" s="598"/>
      <c r="N177" s="598"/>
      <c r="O177" s="598"/>
      <c r="P177" s="598"/>
      <c r="Q177" s="598"/>
      <c r="R177" s="598"/>
      <c r="S177" s="598"/>
    </row>
    <row r="178" spans="1:19" ht="13.5">
      <c r="A178" s="597"/>
      <c r="B178" s="597"/>
      <c r="C178" s="597"/>
      <c r="D178" s="598"/>
      <c r="E178" s="598"/>
      <c r="F178" s="598"/>
      <c r="G178" s="598"/>
      <c r="H178" s="598"/>
      <c r="I178" s="598"/>
      <c r="J178" s="598"/>
      <c r="K178" s="598"/>
      <c r="L178" s="598"/>
      <c r="M178" s="598"/>
      <c r="N178" s="598"/>
      <c r="O178" s="598"/>
      <c r="P178" s="598"/>
      <c r="Q178" s="598"/>
      <c r="R178" s="598"/>
      <c r="S178" s="598"/>
    </row>
    <row r="179" spans="1:19" ht="13.5">
      <c r="A179" s="597"/>
      <c r="B179" s="597"/>
      <c r="C179" s="597"/>
      <c r="D179" s="598"/>
      <c r="E179" s="598"/>
      <c r="F179" s="598"/>
      <c r="G179" s="598"/>
      <c r="H179" s="598"/>
      <c r="I179" s="598"/>
      <c r="J179" s="598"/>
      <c r="K179" s="598"/>
      <c r="L179" s="598"/>
      <c r="M179" s="598"/>
      <c r="N179" s="598"/>
      <c r="O179" s="598"/>
      <c r="P179" s="598"/>
      <c r="Q179" s="598"/>
      <c r="R179" s="598"/>
      <c r="S179" s="598"/>
    </row>
    <row r="180" spans="1:19" ht="13.5">
      <c r="A180" s="597"/>
      <c r="B180" s="597"/>
      <c r="C180" s="597"/>
      <c r="D180" s="598"/>
      <c r="E180" s="598"/>
      <c r="F180" s="598"/>
      <c r="G180" s="598"/>
      <c r="H180" s="598"/>
      <c r="I180" s="598"/>
      <c r="J180" s="598"/>
      <c r="K180" s="598"/>
      <c r="L180" s="598"/>
      <c r="M180" s="598"/>
      <c r="N180" s="598"/>
      <c r="O180" s="598"/>
      <c r="P180" s="598"/>
      <c r="Q180" s="598"/>
      <c r="R180" s="598"/>
      <c r="S180" s="598"/>
    </row>
    <row r="181" spans="1:19" ht="13.5">
      <c r="A181" s="597"/>
      <c r="B181" s="597"/>
      <c r="C181" s="597"/>
      <c r="D181" s="598"/>
      <c r="E181" s="598"/>
      <c r="F181" s="598"/>
      <c r="G181" s="598"/>
      <c r="H181" s="598"/>
      <c r="I181" s="598"/>
      <c r="J181" s="598"/>
      <c r="K181" s="598"/>
      <c r="L181" s="598"/>
      <c r="M181" s="598"/>
      <c r="N181" s="598"/>
      <c r="O181" s="598"/>
      <c r="P181" s="598"/>
      <c r="Q181" s="598"/>
      <c r="R181" s="598"/>
      <c r="S181" s="598"/>
    </row>
    <row r="182" spans="1:19" ht="13.5">
      <c r="A182" s="597"/>
      <c r="B182" s="597"/>
      <c r="C182" s="597"/>
      <c r="D182" s="598"/>
      <c r="E182" s="598"/>
      <c r="F182" s="598"/>
      <c r="G182" s="598"/>
      <c r="H182" s="598"/>
      <c r="I182" s="598"/>
      <c r="J182" s="598"/>
      <c r="K182" s="598"/>
      <c r="L182" s="598"/>
      <c r="M182" s="598"/>
      <c r="N182" s="598"/>
      <c r="O182" s="598"/>
      <c r="P182" s="598"/>
      <c r="Q182" s="598"/>
      <c r="R182" s="598"/>
      <c r="S182" s="598"/>
    </row>
    <row r="183" spans="1:19" ht="13.5">
      <c r="A183" s="597"/>
      <c r="B183" s="597"/>
      <c r="C183" s="597"/>
      <c r="D183" s="598"/>
      <c r="E183" s="598"/>
      <c r="F183" s="598"/>
      <c r="G183" s="598"/>
      <c r="H183" s="598"/>
      <c r="I183" s="598"/>
      <c r="J183" s="598"/>
      <c r="K183" s="598"/>
      <c r="L183" s="598"/>
      <c r="M183" s="598"/>
      <c r="N183" s="598"/>
      <c r="O183" s="598"/>
      <c r="P183" s="598"/>
      <c r="Q183" s="598"/>
      <c r="R183" s="598"/>
      <c r="S183" s="598"/>
    </row>
    <row r="184" spans="1:19" ht="13.5">
      <c r="A184" s="597"/>
      <c r="B184" s="597"/>
      <c r="C184" s="597"/>
      <c r="D184" s="598"/>
      <c r="E184" s="598"/>
      <c r="F184" s="598"/>
      <c r="G184" s="598"/>
      <c r="H184" s="598"/>
      <c r="I184" s="598"/>
      <c r="J184" s="598"/>
      <c r="K184" s="598"/>
      <c r="L184" s="598"/>
      <c r="M184" s="598"/>
      <c r="N184" s="598"/>
      <c r="O184" s="598"/>
      <c r="P184" s="598"/>
      <c r="Q184" s="598"/>
      <c r="R184" s="598"/>
      <c r="S184" s="598"/>
    </row>
    <row r="185" spans="1:19" ht="13.5">
      <c r="A185" s="597"/>
      <c r="B185" s="597"/>
      <c r="C185" s="597"/>
      <c r="D185" s="598"/>
      <c r="E185" s="598"/>
      <c r="F185" s="598"/>
      <c r="G185" s="598"/>
      <c r="H185" s="598"/>
      <c r="I185" s="598"/>
      <c r="J185" s="598"/>
      <c r="K185" s="598"/>
      <c r="L185" s="598"/>
      <c r="M185" s="598"/>
      <c r="N185" s="598"/>
      <c r="O185" s="598"/>
      <c r="P185" s="598"/>
      <c r="Q185" s="598"/>
      <c r="R185" s="598"/>
      <c r="S185" s="598"/>
    </row>
    <row r="186" spans="1:19" ht="13.5">
      <c r="A186" s="597"/>
      <c r="B186" s="597"/>
      <c r="C186" s="597"/>
      <c r="D186" s="598"/>
      <c r="E186" s="598"/>
      <c r="F186" s="598"/>
      <c r="G186" s="598"/>
      <c r="H186" s="598"/>
      <c r="I186" s="598"/>
      <c r="J186" s="598"/>
      <c r="K186" s="598"/>
      <c r="L186" s="598"/>
      <c r="M186" s="598"/>
      <c r="N186" s="598"/>
      <c r="O186" s="598"/>
      <c r="P186" s="598"/>
      <c r="Q186" s="598"/>
      <c r="R186" s="598"/>
      <c r="S186" s="598"/>
    </row>
    <row r="187" spans="1:19" ht="15.75">
      <c r="A187" s="645"/>
      <c r="B187" s="597"/>
      <c r="C187" s="597"/>
      <c r="D187" s="598"/>
      <c r="E187" s="598"/>
      <c r="F187" s="598"/>
      <c r="G187" s="598"/>
      <c r="H187" s="598"/>
      <c r="I187" s="598"/>
      <c r="J187" s="598"/>
      <c r="K187" s="598"/>
      <c r="L187" s="598"/>
      <c r="M187" s="598"/>
      <c r="N187" s="598"/>
      <c r="O187" s="598"/>
      <c r="P187" s="598"/>
      <c r="Q187" s="598"/>
      <c r="R187" s="598"/>
      <c r="S187" s="598"/>
    </row>
    <row r="188" spans="1:19" ht="15.75">
      <c r="A188" s="645"/>
      <c r="B188" s="597"/>
      <c r="C188" s="597"/>
      <c r="D188" s="598"/>
      <c r="E188" s="598"/>
      <c r="F188" s="598"/>
      <c r="G188" s="598"/>
      <c r="H188" s="598"/>
      <c r="I188" s="598"/>
      <c r="J188" s="598"/>
      <c r="K188" s="598"/>
      <c r="L188" s="598"/>
      <c r="M188" s="598"/>
      <c r="N188" s="598"/>
      <c r="O188" s="598"/>
      <c r="P188" s="598"/>
      <c r="Q188" s="598"/>
      <c r="R188" s="598"/>
      <c r="S188" s="598"/>
    </row>
    <row r="189" spans="1:19" ht="15.75">
      <c r="A189" s="645"/>
      <c r="B189" s="645"/>
      <c r="C189" s="645"/>
      <c r="D189" s="646"/>
      <c r="E189" s="646"/>
      <c r="F189" s="646"/>
      <c r="G189" s="646"/>
      <c r="H189" s="646"/>
      <c r="I189" s="646"/>
      <c r="J189" s="646"/>
      <c r="K189" s="646"/>
      <c r="L189" s="646"/>
      <c r="M189" s="646"/>
      <c r="N189" s="646"/>
      <c r="O189" s="646"/>
      <c r="P189" s="646"/>
      <c r="Q189" s="646"/>
      <c r="R189" s="646"/>
      <c r="S189" s="646"/>
    </row>
  </sheetData>
  <mergeCells count="3">
    <mergeCell ref="D100:E100"/>
    <mergeCell ref="A3:Q3"/>
    <mergeCell ref="A2:Q2"/>
  </mergeCells>
  <phoneticPr fontId="77" type="noConversion"/>
  <pageMargins left="0.75" right="0.75" top="1" bottom="1" header="0.5" footer="0.5"/>
  <pageSetup scale="47" fitToHeight="4" orientation="landscape" r:id="rId1"/>
  <headerFooter alignWithMargins="0"/>
  <rowBreaks count="2" manualBreakCount="2">
    <brk id="73" max="16" man="1"/>
    <brk id="13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Sch 1</vt:lpstr>
      <vt:lpstr>ATT H-1 </vt:lpstr>
      <vt:lpstr>1 - ADIT</vt:lpstr>
      <vt:lpstr>2 - Other Tax</vt:lpstr>
      <vt:lpstr>3 - Revenue Credits</vt:lpstr>
      <vt:lpstr>4 - 100 Basis Pt ROE</vt:lpstr>
      <vt:lpstr>5 - Cost Support</vt:lpstr>
      <vt:lpstr>6 - Est and True up</vt:lpstr>
      <vt:lpstr>6A-Colstrip</vt:lpstr>
      <vt:lpstr>6B-So Intertie</vt:lpstr>
      <vt:lpstr>7 - Cap Add WS</vt:lpstr>
      <vt:lpstr>8 - Depreciation Rates</vt:lpstr>
      <vt:lpstr>WKSHT1 - Rev Credits</vt:lpstr>
      <vt:lpstr>WKSHT2 - Prepaid</vt:lpstr>
      <vt:lpstr>WKSHT3 - All GIFs</vt:lpstr>
      <vt:lpstr>WKSHT4 - Monthly Tx System Peak</vt:lpstr>
      <vt:lpstr>WKSHT5 - Plant in Service 13mo </vt:lpstr>
      <vt:lpstr>WKSHT6 - Cost of Capital</vt:lpstr>
      <vt:lpstr>'2 - Other Tax'!Print_Area</vt:lpstr>
      <vt:lpstr>'3 - Revenue Credits'!Print_Area</vt:lpstr>
      <vt:lpstr>'5 - Cost Support'!Print_Area</vt:lpstr>
      <vt:lpstr>'6 - Est and True up'!Print_Area</vt:lpstr>
      <vt:lpstr>'6A-Colstrip'!Print_Area</vt:lpstr>
      <vt:lpstr>'6B-So Intertie'!Print_Area</vt:lpstr>
      <vt:lpstr>'7 - Cap Add WS'!Print_Area</vt:lpstr>
      <vt:lpstr>'8 - Depreciation Rates'!Print_Area</vt:lpstr>
      <vt:lpstr>'ATT H-1 '!Print_Area</vt:lpstr>
      <vt:lpstr>'Sch 1'!Print_Area</vt:lpstr>
      <vt:lpstr>'WKSHT1 - Rev Credits'!Print_Area</vt:lpstr>
      <vt:lpstr>'WKSHT4 - Monthly Tx System Peak'!Print_Area</vt:lpstr>
      <vt:lpstr>'WKSHT6 - Cost of Capital'!Print_Area</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Puget Sound Energy</cp:lastModifiedBy>
  <cp:lastPrinted>2015-05-29T19:45:41Z</cp:lastPrinted>
  <dcterms:created xsi:type="dcterms:W3CDTF">2004-01-21T20:42:01Z</dcterms:created>
  <dcterms:modified xsi:type="dcterms:W3CDTF">2015-05-29T19:45:43Z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0000000010A293EFACE6DC46A1899B5022368A9907006EE6D7A68CD176418AD2920AD2EBAE49000001A8709B00001AA62B46D6D81C45A7B0C4FF830396030000001883DF0000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ies>
</file>